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barthelf\Documents\Projects\FAIR\D04\"/>
    </mc:Choice>
  </mc:AlternateContent>
  <bookViews>
    <workbookView xWindow="0" yWindow="0" windowWidth="0" windowHeight="0" tabRatio="772"/>
  </bookViews>
  <sheets>
    <sheet name="1. Introduction" sheetId="2" r:id="rId1"/>
    <sheet name="2.1 Input_FAIR_Facets" sheetId="3" r:id="rId2"/>
    <sheet name="2.2 Input_General_Information" sheetId="4" r:id="rId3"/>
    <sheet name="2.3 Input_Main_Questionnaire" sheetId="5" r:id="rId4"/>
    <sheet name="3. Results" sheetId="6" r:id="rId5"/>
    <sheet name="Results_data_timeseries" sheetId="7" r:id="rId6"/>
    <sheet name="Results_data_timeseries_Export" sheetId="8" r:id="rId7"/>
    <sheet name="Results_data" sheetId="9" r:id="rId8"/>
    <sheet name="Summary_Calc" sheetId="10" r:id="rId9"/>
    <sheet name="Glossary" sheetId="11" r:id="rId10"/>
    <sheet name="Calc_time" sheetId="12" r:id="rId11"/>
    <sheet name="Calc_Misc" sheetId="13" r:id="rId12"/>
    <sheet name="Calc_Storage" sheetId="14" r:id="rId13"/>
    <sheet name="Researchers_Salaries" sheetId="15" r:id="rId14"/>
    <sheet name="Growth" sheetId="16" r:id="rId15"/>
    <sheet name="Inflation" sheetId="17" r:id="rId16"/>
    <sheet name="FAIR_Assumption(s)" sheetId="18" r:id="rId17"/>
  </sheets>
  <definedNames>
    <definedName name="_xlnm._FilterDatabase" localSheetId="8" hidden="1">Summary_Calc!$A$19:$E$60</definedName>
    <definedName name="Cumulative_Present_Value">OFFSET('3. Results'!$AV$15,0,0,COUNTA('3. Results'!$AV:$AV)-1)</definedName>
    <definedName name="CumulativePresentValue">OFFSET('3. Results'!$D$55,0,0,COUNTA('3. Results'!$55:$55)-1)</definedName>
    <definedName name="Date">OFFSET('3. Results'!$D$41,0,0,COUNTA('3. Results'!$41:$41)-1)</definedName>
    <definedName name="Year">OFFSET('3. Results'!$AU$15,0,0,COUNTA('3. Results'!$AU:$AU)-1)</definedName>
  </definedNames>
  <calcPr calcId="162913"/>
</workbook>
</file>

<file path=xl/calcChain.xml><?xml version="1.0" encoding="utf-8"?>
<calcChain xmlns="http://schemas.openxmlformats.org/spreadsheetml/2006/main">
  <c r="F15" i="13" l="1"/>
  <c r="E75" i="13"/>
  <c r="E33" i="10"/>
  <c r="AJ46" i="6" l="1"/>
  <c r="AJ45" i="6" s="1"/>
  <c r="AK46" i="6"/>
  <c r="AK45" i="6" s="1"/>
  <c r="AL46" i="6"/>
  <c r="AL45" i="6" s="1"/>
  <c r="AM46" i="6"/>
  <c r="AM45" i="6" s="1"/>
  <c r="AN46" i="6"/>
  <c r="AN45" i="6" s="1"/>
  <c r="AO46" i="6"/>
  <c r="AO45" i="6" s="1"/>
  <c r="AP46" i="6"/>
  <c r="AP45" i="6" s="1"/>
  <c r="AQ46" i="6"/>
  <c r="AQ45" i="6" s="1"/>
  <c r="AR46" i="6"/>
  <c r="AR45" i="6" s="1"/>
  <c r="AS46" i="6"/>
  <c r="AS45" i="6" s="1"/>
  <c r="AJ115" i="6"/>
  <c r="AK115" i="6"/>
  <c r="AL115" i="6"/>
  <c r="AM115" i="6"/>
  <c r="AN115" i="6"/>
  <c r="AO115" i="6"/>
  <c r="AP115" i="6"/>
  <c r="AQ115" i="6"/>
  <c r="AR115" i="6"/>
  <c r="AS115" i="6"/>
  <c r="Z46" i="6"/>
  <c r="Z45" i="6" s="1"/>
  <c r="AA46" i="6"/>
  <c r="AA45" i="6" s="1"/>
  <c r="AB46" i="6"/>
  <c r="AB45" i="6" s="1"/>
  <c r="AC46" i="6"/>
  <c r="AC45" i="6" s="1"/>
  <c r="AD46" i="6"/>
  <c r="AD45" i="6" s="1"/>
  <c r="AE46" i="6"/>
  <c r="AE45" i="6" s="1"/>
  <c r="AF46" i="6"/>
  <c r="AF45" i="6" s="1"/>
  <c r="AG46" i="6"/>
  <c r="AG45" i="6" s="1"/>
  <c r="AH46" i="6"/>
  <c r="AH45" i="6" s="1"/>
  <c r="AI46" i="6"/>
  <c r="AI45" i="6" s="1"/>
  <c r="Z115" i="6"/>
  <c r="AA115" i="6"/>
  <c r="AB115" i="6"/>
  <c r="AC115" i="6"/>
  <c r="AD115" i="6"/>
  <c r="AE115" i="6"/>
  <c r="AF115" i="6"/>
  <c r="AG115" i="6"/>
  <c r="AH115" i="6"/>
  <c r="AI115" i="6"/>
  <c r="F115" i="6"/>
  <c r="G115" i="6"/>
  <c r="H115" i="6"/>
  <c r="I115" i="6"/>
  <c r="J115" i="6"/>
  <c r="K115" i="6"/>
  <c r="L115" i="6"/>
  <c r="M115" i="6"/>
  <c r="N115" i="6"/>
  <c r="O115" i="6"/>
  <c r="P115" i="6"/>
  <c r="Q115" i="6"/>
  <c r="R115" i="6"/>
  <c r="S115" i="6"/>
  <c r="T115" i="6"/>
  <c r="U115" i="6"/>
  <c r="V115" i="6"/>
  <c r="W115" i="6"/>
  <c r="X115" i="6"/>
  <c r="Y115" i="6"/>
  <c r="E90" i="6"/>
  <c r="A23" i="7" l="1"/>
  <c r="A17" i="7"/>
  <c r="A18" i="7"/>
  <c r="AG2" i="7"/>
  <c r="AH2" i="7"/>
  <c r="AI2" i="7"/>
  <c r="AJ2" i="7"/>
  <c r="AK2" i="7"/>
  <c r="AL2" i="7"/>
  <c r="AM2" i="7"/>
  <c r="AN2" i="7"/>
  <c r="AO2" i="7"/>
  <c r="AP2" i="7"/>
  <c r="AG3" i="7"/>
  <c r="AH3" i="7"/>
  <c r="AI3" i="7"/>
  <c r="AJ3" i="7"/>
  <c r="AK3" i="7"/>
  <c r="AL3" i="7"/>
  <c r="AM3" i="7"/>
  <c r="AN3" i="7"/>
  <c r="AO3" i="7"/>
  <c r="AP3" i="7"/>
  <c r="AG4" i="7"/>
  <c r="AH4" i="7"/>
  <c r="AI4" i="7"/>
  <c r="AI6" i="7" s="1"/>
  <c r="AJ4" i="7"/>
  <c r="AK4" i="7"/>
  <c r="AL4" i="7"/>
  <c r="AM4" i="7"/>
  <c r="AM6" i="7" s="1"/>
  <c r="AN4" i="7"/>
  <c r="AO4" i="7"/>
  <c r="AP4" i="7"/>
  <c r="AG5" i="7"/>
  <c r="AH5" i="7"/>
  <c r="AI5" i="7"/>
  <c r="AJ5" i="7"/>
  <c r="AK5" i="7"/>
  <c r="AL5" i="7"/>
  <c r="AM5" i="7"/>
  <c r="AN5" i="7"/>
  <c r="AO5" i="7"/>
  <c r="AP5" i="7"/>
  <c r="AH6" i="7"/>
  <c r="AJ6" i="7"/>
  <c r="AL6" i="7"/>
  <c r="AN6" i="7"/>
  <c r="AP6" i="7"/>
  <c r="AG7" i="7"/>
  <c r="AH7" i="7"/>
  <c r="AI7" i="7"/>
  <c r="AJ7" i="7"/>
  <c r="AK7" i="7"/>
  <c r="AL7" i="7"/>
  <c r="AM7" i="7"/>
  <c r="AN7" i="7"/>
  <c r="AO7" i="7"/>
  <c r="AP7" i="7"/>
  <c r="AG8" i="7"/>
  <c r="AH8" i="7"/>
  <c r="AH17" i="7" s="1"/>
  <c r="AI8" i="7"/>
  <c r="AJ8" i="7"/>
  <c r="AK8" i="7"/>
  <c r="AL8" i="7"/>
  <c r="AM8" i="7"/>
  <c r="AN8" i="7"/>
  <c r="AO8" i="7"/>
  <c r="AP8" i="7"/>
  <c r="AG9" i="7"/>
  <c r="AH9" i="7"/>
  <c r="AI9" i="7"/>
  <c r="AJ9" i="7"/>
  <c r="AK9" i="7"/>
  <c r="AL9" i="7"/>
  <c r="AM9" i="7"/>
  <c r="AN9" i="7"/>
  <c r="AO9" i="7"/>
  <c r="AP9" i="7"/>
  <c r="AG10" i="7"/>
  <c r="AH10" i="7"/>
  <c r="AI10" i="7"/>
  <c r="AJ10" i="7"/>
  <c r="AK10" i="7"/>
  <c r="AL10" i="7"/>
  <c r="AM10" i="7"/>
  <c r="AN10" i="7"/>
  <c r="AO10" i="7"/>
  <c r="AP10" i="7"/>
  <c r="W11" i="7"/>
  <c r="X11" i="7"/>
  <c r="Y11" i="7"/>
  <c r="Z11" i="7"/>
  <c r="AA11" i="7"/>
  <c r="AB11" i="7"/>
  <c r="AC11" i="7"/>
  <c r="AD11" i="7"/>
  <c r="AE11" i="7"/>
  <c r="AF11" i="7"/>
  <c r="AG11" i="7"/>
  <c r="AH11" i="7"/>
  <c r="AI11" i="7"/>
  <c r="AJ11" i="7"/>
  <c r="AK11" i="7"/>
  <c r="AL11" i="7"/>
  <c r="AM11" i="7"/>
  <c r="AN11" i="7"/>
  <c r="AO11" i="7"/>
  <c r="AP11" i="7"/>
  <c r="AG12" i="7"/>
  <c r="AH12" i="7"/>
  <c r="AI12" i="7"/>
  <c r="AJ12" i="7"/>
  <c r="AK12" i="7"/>
  <c r="AL12" i="7"/>
  <c r="AM12" i="7"/>
  <c r="AN12" i="7"/>
  <c r="AO12" i="7"/>
  <c r="AP12" i="7"/>
  <c r="AG13" i="7"/>
  <c r="AH13" i="7"/>
  <c r="AI13" i="7"/>
  <c r="AJ13" i="7"/>
  <c r="AK13" i="7"/>
  <c r="AL13" i="7"/>
  <c r="AM13" i="7"/>
  <c r="AN13" i="7"/>
  <c r="AO13" i="7"/>
  <c r="AP13" i="7"/>
  <c r="AG14" i="7"/>
  <c r="AH14" i="7"/>
  <c r="AI14" i="7"/>
  <c r="AJ14" i="7"/>
  <c r="AK14" i="7"/>
  <c r="AL14" i="7"/>
  <c r="AM14" i="7"/>
  <c r="AN14" i="7"/>
  <c r="AO14" i="7"/>
  <c r="AP14" i="7"/>
  <c r="AG15" i="7"/>
  <c r="AH15" i="7"/>
  <c r="AI15" i="7"/>
  <c r="AJ15" i="7"/>
  <c r="AK15" i="7"/>
  <c r="AL15" i="7"/>
  <c r="AM15" i="7"/>
  <c r="AN15" i="7"/>
  <c r="AO15" i="7"/>
  <c r="AP15" i="7"/>
  <c r="AG16" i="7"/>
  <c r="AG18" i="7" s="1"/>
  <c r="AH16" i="7"/>
  <c r="AH18" i="7" s="1"/>
  <c r="AI16" i="7"/>
  <c r="AI18" i="7" s="1"/>
  <c r="AJ16" i="7"/>
  <c r="AJ18" i="7" s="1"/>
  <c r="AK16" i="7"/>
  <c r="AK18" i="7" s="1"/>
  <c r="AL16" i="7"/>
  <c r="AL18" i="7" s="1"/>
  <c r="AM16" i="7"/>
  <c r="AM18" i="7" s="1"/>
  <c r="AN16" i="7"/>
  <c r="AN18" i="7" s="1"/>
  <c r="AO16" i="7"/>
  <c r="AO18" i="7" s="1"/>
  <c r="AP16" i="7"/>
  <c r="AP18" i="7" s="1"/>
  <c r="W19" i="7"/>
  <c r="X19" i="7"/>
  <c r="Y19" i="7"/>
  <c r="Z19" i="7"/>
  <c r="AA19" i="7"/>
  <c r="AB19" i="7"/>
  <c r="AC19" i="7"/>
  <c r="AD19" i="7"/>
  <c r="AE19" i="7"/>
  <c r="AF19" i="7"/>
  <c r="AG19" i="7"/>
  <c r="AH19" i="7"/>
  <c r="AI19" i="7"/>
  <c r="AJ19" i="7"/>
  <c r="AK19" i="7"/>
  <c r="AL19" i="7"/>
  <c r="AM19" i="7"/>
  <c r="AN19" i="7"/>
  <c r="AO19" i="7"/>
  <c r="AP19" i="7"/>
  <c r="W20" i="7"/>
  <c r="X20" i="7"/>
  <c r="Y20" i="7"/>
  <c r="Z20" i="7"/>
  <c r="AA20" i="7"/>
  <c r="AB20" i="7"/>
  <c r="AC20" i="7"/>
  <c r="AD20" i="7"/>
  <c r="AE20" i="7"/>
  <c r="AF20" i="7"/>
  <c r="AG20" i="7"/>
  <c r="AH20" i="7"/>
  <c r="AI20" i="7"/>
  <c r="AJ20" i="7"/>
  <c r="AK20" i="7"/>
  <c r="AL20" i="7"/>
  <c r="AM20" i="7"/>
  <c r="AN20" i="7"/>
  <c r="AO20" i="7"/>
  <c r="AP20" i="7"/>
  <c r="W21" i="7"/>
  <c r="X21" i="7"/>
  <c r="Y21" i="7"/>
  <c r="Z21" i="7"/>
  <c r="AA21" i="7"/>
  <c r="AB21" i="7"/>
  <c r="AC21" i="7"/>
  <c r="AD21" i="7"/>
  <c r="AE21" i="7"/>
  <c r="AF21" i="7"/>
  <c r="AG21" i="7"/>
  <c r="AH21" i="7"/>
  <c r="AI21" i="7"/>
  <c r="AJ21" i="7"/>
  <c r="AK21" i="7"/>
  <c r="AL21" i="7"/>
  <c r="AM21" i="7"/>
  <c r="AN21" i="7"/>
  <c r="AO21" i="7"/>
  <c r="AP21" i="7"/>
  <c r="W22" i="7"/>
  <c r="X22" i="7"/>
  <c r="Y22" i="7"/>
  <c r="Z22" i="7"/>
  <c r="AA22" i="7"/>
  <c r="AB22" i="7"/>
  <c r="AC22" i="7"/>
  <c r="AD22" i="7"/>
  <c r="AE22" i="7"/>
  <c r="AF22" i="7"/>
  <c r="AG22" i="7"/>
  <c r="AH22" i="7"/>
  <c r="AI22" i="7"/>
  <c r="AJ22" i="7"/>
  <c r="AK22" i="7"/>
  <c r="AL22" i="7"/>
  <c r="AM22" i="7"/>
  <c r="AN22" i="7"/>
  <c r="AO22" i="7"/>
  <c r="AP22" i="7"/>
  <c r="W23" i="7"/>
  <c r="X23" i="7"/>
  <c r="Y23" i="7"/>
  <c r="Z23" i="7"/>
  <c r="AA23" i="7"/>
  <c r="AB23" i="7"/>
  <c r="AC23" i="7"/>
  <c r="AD23" i="7"/>
  <c r="AE23" i="7"/>
  <c r="AF23" i="7"/>
  <c r="AG23" i="7"/>
  <c r="AH23" i="7"/>
  <c r="AI23" i="7"/>
  <c r="AJ23" i="7"/>
  <c r="AK23" i="7"/>
  <c r="AL23" i="7"/>
  <c r="AM23" i="7"/>
  <c r="AN23" i="7"/>
  <c r="AO23" i="7"/>
  <c r="AG24" i="7"/>
  <c r="AH24" i="7"/>
  <c r="AI24" i="7"/>
  <c r="AJ24" i="7"/>
  <c r="AK24" i="7"/>
  <c r="AL24" i="7"/>
  <c r="AM24" i="7"/>
  <c r="AN24" i="7"/>
  <c r="AO24" i="7"/>
  <c r="AP24" i="7"/>
  <c r="AG25" i="7"/>
  <c r="AH25" i="7"/>
  <c r="AI25" i="7"/>
  <c r="AJ25" i="7"/>
  <c r="AK25" i="7"/>
  <c r="AL25" i="7"/>
  <c r="AM25" i="7"/>
  <c r="AO25" i="7"/>
  <c r="AP25" i="7"/>
  <c r="AG26" i="7"/>
  <c r="AH26" i="7"/>
  <c r="AI26" i="7"/>
  <c r="AJ26" i="7"/>
  <c r="AK26" i="7"/>
  <c r="AL26" i="7"/>
  <c r="AM26" i="7"/>
  <c r="AO26" i="7"/>
  <c r="AP26" i="7"/>
  <c r="AG27" i="7"/>
  <c r="AH27" i="7"/>
  <c r="AI27" i="7"/>
  <c r="AJ27" i="7"/>
  <c r="AK27" i="7"/>
  <c r="AL27" i="7"/>
  <c r="AM27" i="7"/>
  <c r="AO27" i="7"/>
  <c r="AP27" i="7"/>
  <c r="AG28" i="7"/>
  <c r="AH28" i="7"/>
  <c r="AI28" i="7"/>
  <c r="AJ28" i="7"/>
  <c r="AK28" i="7"/>
  <c r="AL28" i="7"/>
  <c r="AM28" i="7"/>
  <c r="AO28" i="7"/>
  <c r="AP28" i="7"/>
  <c r="AG29" i="7"/>
  <c r="AH29" i="7"/>
  <c r="AI29" i="7"/>
  <c r="AJ29" i="7"/>
  <c r="AK29" i="7"/>
  <c r="AL29" i="7"/>
  <c r="AM29" i="7"/>
  <c r="AO29" i="7"/>
  <c r="AP29" i="7"/>
  <c r="A25" i="7"/>
  <c r="C11" i="7"/>
  <c r="D11" i="7"/>
  <c r="E11" i="7"/>
  <c r="F11" i="7"/>
  <c r="G11" i="7"/>
  <c r="H11" i="7"/>
  <c r="I11" i="7"/>
  <c r="J11" i="7"/>
  <c r="K11" i="7"/>
  <c r="L11" i="7"/>
  <c r="M11" i="7"/>
  <c r="N11" i="7"/>
  <c r="O11" i="7"/>
  <c r="P11" i="7"/>
  <c r="Q11" i="7"/>
  <c r="R11" i="7"/>
  <c r="S11" i="7"/>
  <c r="T11" i="7"/>
  <c r="U11" i="7"/>
  <c r="V11" i="7"/>
  <c r="AP17" i="7" l="1"/>
  <c r="AL17" i="7"/>
  <c r="AO6" i="7"/>
  <c r="AK6" i="7"/>
  <c r="AG6" i="7"/>
  <c r="AM17" i="7"/>
  <c r="AI17" i="7"/>
  <c r="AO17" i="7"/>
  <c r="AK17" i="7"/>
  <c r="AG17" i="7"/>
  <c r="AN17" i="7"/>
  <c r="AJ17" i="7"/>
  <c r="AP23" i="7"/>
  <c r="C128" i="16" l="1"/>
  <c r="D128" i="16"/>
  <c r="B130" i="16"/>
  <c r="B131" i="16"/>
  <c r="B132" i="16"/>
  <c r="B133" i="16"/>
  <c r="B197" i="16"/>
  <c r="B198" i="16"/>
  <c r="B199" i="16"/>
  <c r="B200" i="16"/>
  <c r="B201" i="16"/>
  <c r="B202" i="16"/>
  <c r="B203" i="16"/>
  <c r="B204" i="16"/>
  <c r="B205" i="16"/>
  <c r="B206" i="16"/>
  <c r="B207" i="16"/>
  <c r="B208" i="16"/>
  <c r="B209" i="16"/>
  <c r="B210" i="16"/>
  <c r="B211" i="16"/>
  <c r="B212" i="16"/>
  <c r="B213" i="16"/>
  <c r="B214" i="16"/>
  <c r="B215" i="16"/>
  <c r="L188" i="16"/>
  <c r="Q188" i="16"/>
  <c r="S188" i="16"/>
  <c r="H100" i="5"/>
  <c r="B134" i="16" l="1"/>
  <c r="B216" i="16"/>
  <c r="B135" i="16" l="1"/>
  <c r="B217" i="16"/>
  <c r="B136" i="16" l="1"/>
  <c r="B218" i="16"/>
  <c r="B137" i="16" l="1"/>
  <c r="B219" i="16"/>
  <c r="B138" i="16" l="1"/>
  <c r="B220" i="16"/>
  <c r="B139" i="16" l="1"/>
  <c r="B221" i="16"/>
  <c r="B140" i="16" l="1"/>
  <c r="B222" i="16"/>
  <c r="B141" i="16" l="1"/>
  <c r="B223" i="16"/>
  <c r="B142" i="16" l="1"/>
  <c r="B224" i="16"/>
  <c r="B143" i="16" l="1"/>
  <c r="B225" i="16"/>
  <c r="B144" i="16" l="1"/>
  <c r="B226" i="16"/>
  <c r="B145" i="16" l="1"/>
  <c r="B227" i="16"/>
  <c r="B146" i="16" l="1"/>
  <c r="B228" i="16"/>
  <c r="B147" i="16" l="1"/>
  <c r="B229" i="16"/>
  <c r="B148" i="16" l="1"/>
  <c r="B230" i="16"/>
  <c r="B149" i="16" l="1"/>
  <c r="B231" i="16"/>
  <c r="B150" i="16" l="1"/>
  <c r="B232" i="16"/>
  <c r="B151" i="16" l="1"/>
  <c r="B233" i="16"/>
  <c r="B152" i="16" l="1"/>
  <c r="B234" i="16"/>
  <c r="B153" i="16" l="1"/>
  <c r="B235" i="16"/>
  <c r="B154" i="16" l="1"/>
  <c r="B236" i="16"/>
  <c r="B155" i="16" l="1"/>
  <c r="B237" i="16"/>
  <c r="B156" i="16" l="1"/>
  <c r="B157" i="16" l="1"/>
  <c r="B158" i="16" l="1"/>
  <c r="B159" i="16" l="1"/>
  <c r="B160" i="16" l="1"/>
  <c r="B161" i="16" l="1"/>
  <c r="B162" i="16" l="1"/>
  <c r="B163" i="16" l="1"/>
  <c r="B164" i="16" l="1"/>
  <c r="B165" i="16" l="1"/>
  <c r="B166" i="16" l="1"/>
  <c r="B167" i="16" l="1"/>
  <c r="B168" i="16" l="1"/>
  <c r="B169" i="16" l="1"/>
  <c r="B170" i="16" l="1"/>
  <c r="I248" i="5" l="1"/>
  <c r="F4" i="14" l="1"/>
  <c r="B4" i="14" l="1"/>
  <c r="D4" i="14" l="1"/>
  <c r="H20" i="4" l="1"/>
  <c r="C17" i="6"/>
  <c r="AV14" i="6"/>
  <c r="E61" i="18"/>
  <c r="F60" i="18" s="1"/>
  <c r="F58" i="18"/>
  <c r="F57" i="18"/>
  <c r="F55" i="18"/>
  <c r="F54" i="18"/>
  <c r="F53" i="18"/>
  <c r="F52" i="18"/>
  <c r="E48" i="18"/>
  <c r="F46" i="18" s="1"/>
  <c r="F47" i="18"/>
  <c r="F44" i="18"/>
  <c r="F43" i="18"/>
  <c r="F40" i="18"/>
  <c r="F39" i="18"/>
  <c r="C24" i="17"/>
  <c r="C8" i="17"/>
  <c r="C32" i="17" s="1"/>
  <c r="B5" i="17"/>
  <c r="B6" i="17" s="1"/>
  <c r="B7" i="17" s="1"/>
  <c r="B8" i="17" s="1"/>
  <c r="B9" i="17" s="1"/>
  <c r="B10" i="17" s="1"/>
  <c r="B11" i="17" s="1"/>
  <c r="B12" i="17" s="1"/>
  <c r="B13" i="17" s="1"/>
  <c r="B14" i="17" s="1"/>
  <c r="B15" i="17" s="1"/>
  <c r="B16" i="17" s="1"/>
  <c r="B17" i="17" s="1"/>
  <c r="B18" i="17" s="1"/>
  <c r="B19" i="17" s="1"/>
  <c r="B20" i="17" s="1"/>
  <c r="B21" i="17" s="1"/>
  <c r="B22" i="17" s="1"/>
  <c r="B23" i="17" s="1"/>
  <c r="B24" i="17" s="1"/>
  <c r="B25" i="17" s="1"/>
  <c r="B26" i="17" s="1"/>
  <c r="B27" i="17" s="1"/>
  <c r="B28" i="17" s="1"/>
  <c r="B29" i="17" s="1"/>
  <c r="B30" i="17" s="1"/>
  <c r="B31" i="17" s="1"/>
  <c r="B32" i="17" s="1"/>
  <c r="B33" i="17" s="1"/>
  <c r="B34" i="17" s="1"/>
  <c r="B35" i="17" s="1"/>
  <c r="B36" i="17" s="1"/>
  <c r="B37" i="17" s="1"/>
  <c r="B38" i="17" s="1"/>
  <c r="B39" i="17" s="1"/>
  <c r="B40" i="17" s="1"/>
  <c r="B41" i="17" s="1"/>
  <c r="B42" i="17" s="1"/>
  <c r="B43" i="17" s="1"/>
  <c r="B44" i="17" s="1"/>
  <c r="D195" i="16"/>
  <c r="C195" i="16"/>
  <c r="X190" i="16"/>
  <c r="W190" i="16"/>
  <c r="V190" i="16"/>
  <c r="E190" i="16"/>
  <c r="Q195" i="16"/>
  <c r="L195" i="16"/>
  <c r="M120" i="16"/>
  <c r="C119" i="16"/>
  <c r="C68" i="16"/>
  <c r="C10" i="16"/>
  <c r="H5" i="18" s="1"/>
  <c r="C9" i="16"/>
  <c r="B20" i="16" s="1"/>
  <c r="O164" i="15"/>
  <c r="O98" i="15" s="1"/>
  <c r="O163" i="15"/>
  <c r="O162" i="15"/>
  <c r="O161" i="15"/>
  <c r="O160" i="15"/>
  <c r="O94" i="15" s="1"/>
  <c r="O159" i="15"/>
  <c r="O158" i="15"/>
  <c r="O157" i="15"/>
  <c r="O156" i="15"/>
  <c r="O155" i="15"/>
  <c r="O154" i="15"/>
  <c r="O153" i="15"/>
  <c r="O152" i="15"/>
  <c r="O151" i="15"/>
  <c r="O150" i="15"/>
  <c r="O149" i="15"/>
  <c r="O148" i="15"/>
  <c r="O147" i="15"/>
  <c r="O146" i="15"/>
  <c r="O145" i="15"/>
  <c r="O144" i="15"/>
  <c r="O143" i="15"/>
  <c r="O142" i="15"/>
  <c r="O141" i="15"/>
  <c r="X140" i="15"/>
  <c r="T140" i="15"/>
  <c r="P140" i="15"/>
  <c r="O140" i="15" a="1"/>
  <c r="W140" i="15" s="1"/>
  <c r="O139" i="15"/>
  <c r="O138" i="15"/>
  <c r="O137" i="15"/>
  <c r="O136" i="15"/>
  <c r="O135" i="15"/>
  <c r="O134" i="15"/>
  <c r="O133" i="15"/>
  <c r="O132" i="15"/>
  <c r="M100" i="15"/>
  <c r="L100" i="15"/>
  <c r="K100" i="15"/>
  <c r="J100" i="15"/>
  <c r="I100" i="15"/>
  <c r="AK98" i="15"/>
  <c r="AI98" i="15"/>
  <c r="AE98" i="15"/>
  <c r="AA98" i="15"/>
  <c r="X98" i="15"/>
  <c r="AJ98" i="15" s="1"/>
  <c r="W98" i="15"/>
  <c r="V98" i="15"/>
  <c r="AH98" i="15" s="1"/>
  <c r="U98" i="15"/>
  <c r="AG98" i="15" s="1"/>
  <c r="T98" i="15"/>
  <c r="AF98" i="15" s="1"/>
  <c r="S98" i="15"/>
  <c r="R98" i="15"/>
  <c r="AD98" i="15" s="1"/>
  <c r="Q98" i="15"/>
  <c r="AC98" i="15" s="1"/>
  <c r="P98" i="15"/>
  <c r="AB98" i="15" s="1"/>
  <c r="N98" i="15"/>
  <c r="Z98" i="15" s="1"/>
  <c r="M98" i="15"/>
  <c r="L98" i="15"/>
  <c r="K98" i="15"/>
  <c r="J98" i="15"/>
  <c r="I98" i="15"/>
  <c r="H98" i="15"/>
  <c r="G98" i="15"/>
  <c r="F98" i="15"/>
  <c r="E98" i="15"/>
  <c r="D98" i="15"/>
  <c r="AK97" i="15"/>
  <c r="AJ97" i="15"/>
  <c r="AI97" i="15"/>
  <c r="AB97" i="15"/>
  <c r="AA97" i="15"/>
  <c r="X97" i="15"/>
  <c r="W97" i="15"/>
  <c r="V97" i="15"/>
  <c r="AH97" i="15" s="1"/>
  <c r="U97" i="15"/>
  <c r="AG97" i="15" s="1"/>
  <c r="T97" i="15"/>
  <c r="AF97" i="15" s="1"/>
  <c r="S97" i="15"/>
  <c r="AE97" i="15" s="1"/>
  <c r="R97" i="15"/>
  <c r="AD97" i="15" s="1"/>
  <c r="Q97" i="15"/>
  <c r="AC97" i="15" s="1"/>
  <c r="P97" i="15"/>
  <c r="O97" i="15"/>
  <c r="N97" i="15"/>
  <c r="Z97" i="15" s="1"/>
  <c r="M97" i="15"/>
  <c r="L97" i="15"/>
  <c r="K97" i="15"/>
  <c r="J97" i="15"/>
  <c r="I97" i="15"/>
  <c r="H97" i="15"/>
  <c r="G97" i="15"/>
  <c r="F97" i="15"/>
  <c r="E97" i="15"/>
  <c r="D97" i="15"/>
  <c r="AK96" i="15"/>
  <c r="AI96" i="15"/>
  <c r="AG96" i="15"/>
  <c r="AE96" i="15"/>
  <c r="AC96" i="15"/>
  <c r="AA96" i="15"/>
  <c r="X96" i="15"/>
  <c r="AJ96" i="15" s="1"/>
  <c r="W96" i="15"/>
  <c r="V96" i="15"/>
  <c r="AH96" i="15" s="1"/>
  <c r="U96" i="15"/>
  <c r="T96" i="15"/>
  <c r="AF96" i="15" s="1"/>
  <c r="S96" i="15"/>
  <c r="R96" i="15"/>
  <c r="AD96" i="15" s="1"/>
  <c r="Q96" i="15"/>
  <c r="P96" i="15"/>
  <c r="AB96" i="15" s="1"/>
  <c r="O96" i="15"/>
  <c r="N96" i="15"/>
  <c r="Z96" i="15" s="1"/>
  <c r="M96" i="15"/>
  <c r="L96" i="15"/>
  <c r="K96" i="15"/>
  <c r="J96" i="15"/>
  <c r="I96" i="15"/>
  <c r="H96" i="15"/>
  <c r="G96" i="15"/>
  <c r="F96" i="15"/>
  <c r="E96" i="15"/>
  <c r="D96" i="15"/>
  <c r="AK95" i="15"/>
  <c r="AJ95" i="15"/>
  <c r="AH95" i="15"/>
  <c r="AF95" i="15"/>
  <c r="AD95" i="15"/>
  <c r="AB95" i="15"/>
  <c r="Z95" i="15"/>
  <c r="X95" i="15"/>
  <c r="W95" i="15"/>
  <c r="AI95" i="15" s="1"/>
  <c r="V95" i="15"/>
  <c r="U95" i="15"/>
  <c r="AG95" i="15" s="1"/>
  <c r="T95" i="15"/>
  <c r="S95" i="15"/>
  <c r="R95" i="15"/>
  <c r="Q95" i="15"/>
  <c r="AC95" i="15" s="1"/>
  <c r="P95" i="15"/>
  <c r="O95" i="15"/>
  <c r="AA95" i="15" s="1"/>
  <c r="N95" i="15"/>
  <c r="M95" i="15"/>
  <c r="L95" i="15"/>
  <c r="K95" i="15"/>
  <c r="J95" i="15"/>
  <c r="I95" i="15"/>
  <c r="H95" i="15"/>
  <c r="G95" i="15"/>
  <c r="F95" i="15"/>
  <c r="E95" i="15"/>
  <c r="D95" i="15"/>
  <c r="AK94" i="15"/>
  <c r="AI94" i="15"/>
  <c r="AG94" i="15"/>
  <c r="AE94" i="15"/>
  <c r="AC94" i="15"/>
  <c r="X94" i="15"/>
  <c r="W94" i="15"/>
  <c r="V94" i="15"/>
  <c r="U94" i="15"/>
  <c r="T94" i="15"/>
  <c r="S94" i="15"/>
  <c r="R94" i="15"/>
  <c r="AD94" i="15" s="1"/>
  <c r="Q94" i="15"/>
  <c r="P94" i="15"/>
  <c r="N94" i="15"/>
  <c r="M94" i="15"/>
  <c r="L94" i="15"/>
  <c r="K94" i="15"/>
  <c r="J94" i="15"/>
  <c r="I94" i="15"/>
  <c r="H94" i="15"/>
  <c r="G94" i="15"/>
  <c r="F94" i="15"/>
  <c r="E94" i="15"/>
  <c r="D94" i="15"/>
  <c r="AK92" i="15"/>
  <c r="AI92" i="15"/>
  <c r="AG92" i="15"/>
  <c r="AE92" i="15"/>
  <c r="AC92" i="15"/>
  <c r="AA92" i="15"/>
  <c r="X92" i="15"/>
  <c r="AJ92" i="15" s="1"/>
  <c r="W92" i="15"/>
  <c r="V92" i="15"/>
  <c r="AH92" i="15" s="1"/>
  <c r="U92" i="15"/>
  <c r="T92" i="15"/>
  <c r="AF92" i="15" s="1"/>
  <c r="S92" i="15"/>
  <c r="R92" i="15"/>
  <c r="AD92" i="15" s="1"/>
  <c r="Q92" i="15"/>
  <c r="P92" i="15"/>
  <c r="AB92" i="15" s="1"/>
  <c r="O92" i="15"/>
  <c r="N92" i="15"/>
  <c r="Z92" i="15" s="1"/>
  <c r="M92" i="15"/>
  <c r="L92" i="15"/>
  <c r="K92" i="15"/>
  <c r="J92" i="15"/>
  <c r="I92" i="15"/>
  <c r="H92" i="15"/>
  <c r="G92" i="15"/>
  <c r="F92" i="15"/>
  <c r="E92" i="15"/>
  <c r="D92" i="15"/>
  <c r="AK91" i="15"/>
  <c r="AJ91" i="15"/>
  <c r="AH91" i="15"/>
  <c r="AF91" i="15"/>
  <c r="AD91" i="15"/>
  <c r="AB91" i="15"/>
  <c r="Z91" i="15"/>
  <c r="X91" i="15"/>
  <c r="W91" i="15"/>
  <c r="AI91" i="15" s="1"/>
  <c r="V91" i="15"/>
  <c r="U91" i="15"/>
  <c r="AG91" i="15" s="1"/>
  <c r="T91" i="15"/>
  <c r="S91" i="15"/>
  <c r="AE91" i="15" s="1"/>
  <c r="R91" i="15"/>
  <c r="Q91" i="15"/>
  <c r="AC91" i="15" s="1"/>
  <c r="P91" i="15"/>
  <c r="O91" i="15"/>
  <c r="AA91" i="15" s="1"/>
  <c r="N91" i="15"/>
  <c r="M91" i="15"/>
  <c r="L91" i="15"/>
  <c r="K91" i="15"/>
  <c r="J91" i="15"/>
  <c r="I91" i="15"/>
  <c r="H91" i="15"/>
  <c r="G91" i="15"/>
  <c r="F91" i="15"/>
  <c r="E91" i="15"/>
  <c r="D91" i="15"/>
  <c r="AK90" i="15"/>
  <c r="AI90" i="15"/>
  <c r="AG90" i="15"/>
  <c r="AE90" i="15"/>
  <c r="AC90" i="15"/>
  <c r="AA90" i="15"/>
  <c r="X90" i="15"/>
  <c r="AJ90" i="15" s="1"/>
  <c r="W90" i="15"/>
  <c r="V90" i="15"/>
  <c r="AH90" i="15" s="1"/>
  <c r="U90" i="15"/>
  <c r="T90" i="15"/>
  <c r="AF90" i="15" s="1"/>
  <c r="S90" i="15"/>
  <c r="R90" i="15"/>
  <c r="AD90" i="15" s="1"/>
  <c r="Q90" i="15"/>
  <c r="P90" i="15"/>
  <c r="AB90" i="15" s="1"/>
  <c r="O90" i="15"/>
  <c r="N90" i="15"/>
  <c r="Z90" i="15" s="1"/>
  <c r="M90" i="15"/>
  <c r="L90" i="15"/>
  <c r="K90" i="15"/>
  <c r="J90" i="15"/>
  <c r="I90" i="15"/>
  <c r="H90" i="15"/>
  <c r="G90" i="15"/>
  <c r="F90" i="15"/>
  <c r="E90" i="15"/>
  <c r="D90" i="15"/>
  <c r="AK89" i="15"/>
  <c r="AJ89" i="15"/>
  <c r="AH89" i="15"/>
  <c r="AF89" i="15"/>
  <c r="AD89" i="15"/>
  <c r="AB89" i="15"/>
  <c r="Z89" i="15"/>
  <c r="X89" i="15"/>
  <c r="W89" i="15"/>
  <c r="AI89" i="15" s="1"/>
  <c r="V89" i="15"/>
  <c r="U89" i="15"/>
  <c r="AG89" i="15" s="1"/>
  <c r="T89" i="15"/>
  <c r="S89" i="15"/>
  <c r="AE89" i="15" s="1"/>
  <c r="R89" i="15"/>
  <c r="Q89" i="15"/>
  <c r="AC89" i="15" s="1"/>
  <c r="P89" i="15"/>
  <c r="O89" i="15"/>
  <c r="AA89" i="15" s="1"/>
  <c r="N89" i="15"/>
  <c r="M89" i="15"/>
  <c r="L89" i="15"/>
  <c r="K89" i="15"/>
  <c r="J89" i="15"/>
  <c r="I89" i="15"/>
  <c r="H89" i="15"/>
  <c r="G89" i="15"/>
  <c r="F89" i="15"/>
  <c r="E89" i="15"/>
  <c r="D89" i="15"/>
  <c r="AK88" i="15"/>
  <c r="AI88" i="15"/>
  <c r="AG88" i="15"/>
  <c r="AE88" i="15"/>
  <c r="AC88" i="15"/>
  <c r="AA88" i="15"/>
  <c r="X88" i="15"/>
  <c r="AJ88" i="15" s="1"/>
  <c r="W88" i="15"/>
  <c r="V88" i="15"/>
  <c r="AH88" i="15" s="1"/>
  <c r="U88" i="15"/>
  <c r="T88" i="15"/>
  <c r="AF88" i="15" s="1"/>
  <c r="S88" i="15"/>
  <c r="R88" i="15"/>
  <c r="AD88" i="15" s="1"/>
  <c r="Q88" i="15"/>
  <c r="P88" i="15"/>
  <c r="AB88" i="15" s="1"/>
  <c r="O88" i="15"/>
  <c r="N88" i="15"/>
  <c r="Z88" i="15" s="1"/>
  <c r="M88" i="15"/>
  <c r="L88" i="15"/>
  <c r="K88" i="15"/>
  <c r="J88" i="15"/>
  <c r="I88" i="15"/>
  <c r="H88" i="15"/>
  <c r="G88" i="15"/>
  <c r="F88" i="15"/>
  <c r="E88" i="15"/>
  <c r="D88" i="15"/>
  <c r="AK87" i="15"/>
  <c r="AJ87" i="15"/>
  <c r="AH87" i="15"/>
  <c r="AF87" i="15"/>
  <c r="AD87" i="15"/>
  <c r="AB87" i="15"/>
  <c r="Z87" i="15"/>
  <c r="X87" i="15"/>
  <c r="W87" i="15"/>
  <c r="AI87" i="15" s="1"/>
  <c r="V87" i="15"/>
  <c r="U87" i="15"/>
  <c r="AG87" i="15" s="1"/>
  <c r="T87" i="15"/>
  <c r="S87" i="15"/>
  <c r="AE87" i="15" s="1"/>
  <c r="R87" i="15"/>
  <c r="Q87" i="15"/>
  <c r="AC87" i="15" s="1"/>
  <c r="P87" i="15"/>
  <c r="O87" i="15"/>
  <c r="AA87" i="15" s="1"/>
  <c r="N87" i="15"/>
  <c r="M87" i="15"/>
  <c r="L87" i="15"/>
  <c r="K87" i="15"/>
  <c r="J87" i="15"/>
  <c r="I87" i="15"/>
  <c r="H87" i="15"/>
  <c r="G87" i="15"/>
  <c r="F87" i="15"/>
  <c r="E87" i="15"/>
  <c r="D87" i="15"/>
  <c r="AK86" i="15"/>
  <c r="AI86" i="15"/>
  <c r="AG86" i="15"/>
  <c r="AE86" i="15"/>
  <c r="AC86" i="15"/>
  <c r="AA86" i="15"/>
  <c r="X86" i="15"/>
  <c r="AJ86" i="15" s="1"/>
  <c r="W86" i="15"/>
  <c r="V86" i="15"/>
  <c r="AH86" i="15" s="1"/>
  <c r="U86" i="15"/>
  <c r="T86" i="15"/>
  <c r="AF86" i="15" s="1"/>
  <c r="S86" i="15"/>
  <c r="R86" i="15"/>
  <c r="AD86" i="15" s="1"/>
  <c r="Q86" i="15"/>
  <c r="P86" i="15"/>
  <c r="AB86" i="15" s="1"/>
  <c r="O86" i="15"/>
  <c r="N86" i="15"/>
  <c r="Z86" i="15" s="1"/>
  <c r="M86" i="15"/>
  <c r="L86" i="15"/>
  <c r="K86" i="15"/>
  <c r="J86" i="15"/>
  <c r="I86" i="15"/>
  <c r="H86" i="15"/>
  <c r="G86" i="15"/>
  <c r="F86" i="15"/>
  <c r="E86" i="15"/>
  <c r="D86" i="15"/>
  <c r="AK85" i="15"/>
  <c r="AJ85" i="15"/>
  <c r="AH85" i="15"/>
  <c r="AF85" i="15"/>
  <c r="AD85" i="15"/>
  <c r="AB85" i="15"/>
  <c r="Z85" i="15"/>
  <c r="X85" i="15"/>
  <c r="W85" i="15"/>
  <c r="AI85" i="15" s="1"/>
  <c r="V85" i="15"/>
  <c r="U85" i="15"/>
  <c r="AG85" i="15" s="1"/>
  <c r="T85" i="15"/>
  <c r="S85" i="15"/>
  <c r="AE85" i="15" s="1"/>
  <c r="R85" i="15"/>
  <c r="Q85" i="15"/>
  <c r="AC85" i="15" s="1"/>
  <c r="P85" i="15"/>
  <c r="O85" i="15"/>
  <c r="AA85" i="15" s="1"/>
  <c r="N85" i="15"/>
  <c r="M85" i="15"/>
  <c r="L85" i="15"/>
  <c r="K85" i="15"/>
  <c r="J85" i="15"/>
  <c r="I85" i="15"/>
  <c r="H85" i="15"/>
  <c r="G85" i="15"/>
  <c r="F85" i="15"/>
  <c r="E85" i="15"/>
  <c r="D85" i="15"/>
  <c r="AK84" i="15"/>
  <c r="AI84" i="15"/>
  <c r="AG84" i="15"/>
  <c r="AE84" i="15"/>
  <c r="AC84" i="15"/>
  <c r="AA84" i="15"/>
  <c r="X84" i="15"/>
  <c r="AJ84" i="15" s="1"/>
  <c r="W84" i="15"/>
  <c r="V84" i="15"/>
  <c r="AH84" i="15" s="1"/>
  <c r="U84" i="15"/>
  <c r="T84" i="15"/>
  <c r="AF84" i="15" s="1"/>
  <c r="S84" i="15"/>
  <c r="R84" i="15"/>
  <c r="AD84" i="15" s="1"/>
  <c r="Q84" i="15"/>
  <c r="P84" i="15"/>
  <c r="AB84" i="15" s="1"/>
  <c r="O84" i="15"/>
  <c r="N84" i="15"/>
  <c r="Z84" i="15" s="1"/>
  <c r="M84" i="15"/>
  <c r="L84" i="15"/>
  <c r="K84" i="15"/>
  <c r="J84" i="15"/>
  <c r="I84" i="15"/>
  <c r="H84" i="15"/>
  <c r="G84" i="15"/>
  <c r="F84" i="15"/>
  <c r="E84" i="15"/>
  <c r="D84" i="15"/>
  <c r="AK83" i="15"/>
  <c r="AJ83" i="15"/>
  <c r="AH83" i="15"/>
  <c r="AF83" i="15"/>
  <c r="AD83" i="15"/>
  <c r="AB83" i="15"/>
  <c r="Z83" i="15"/>
  <c r="X83" i="15"/>
  <c r="W83" i="15"/>
  <c r="AI83" i="15" s="1"/>
  <c r="V83" i="15"/>
  <c r="U83" i="15"/>
  <c r="AG83" i="15" s="1"/>
  <c r="T83" i="15"/>
  <c r="S83" i="15"/>
  <c r="AE83" i="15" s="1"/>
  <c r="R83" i="15"/>
  <c r="Q83" i="15"/>
  <c r="AC83" i="15" s="1"/>
  <c r="P83" i="15"/>
  <c r="O83" i="15"/>
  <c r="AA83" i="15" s="1"/>
  <c r="N83" i="15"/>
  <c r="M83" i="15"/>
  <c r="L83" i="15"/>
  <c r="K83" i="15"/>
  <c r="J83" i="15"/>
  <c r="I83" i="15"/>
  <c r="H83" i="15"/>
  <c r="G83" i="15"/>
  <c r="F83" i="15"/>
  <c r="E83" i="15"/>
  <c r="D83" i="15"/>
  <c r="AK82" i="15"/>
  <c r="AI82" i="15"/>
  <c r="AG82" i="15"/>
  <c r="AE82" i="15"/>
  <c r="AC82" i="15"/>
  <c r="AA82" i="15"/>
  <c r="X82" i="15"/>
  <c r="AJ82" i="15" s="1"/>
  <c r="W82" i="15"/>
  <c r="V82" i="15"/>
  <c r="AH82" i="15" s="1"/>
  <c r="U82" i="15"/>
  <c r="T82" i="15"/>
  <c r="AF82" i="15" s="1"/>
  <c r="S82" i="15"/>
  <c r="R82" i="15"/>
  <c r="AD82" i="15" s="1"/>
  <c r="Q82" i="15"/>
  <c r="P82" i="15"/>
  <c r="AB82" i="15" s="1"/>
  <c r="O82" i="15"/>
  <c r="N82" i="15"/>
  <c r="Z82" i="15" s="1"/>
  <c r="M82" i="15"/>
  <c r="L82" i="15"/>
  <c r="K82" i="15"/>
  <c r="J82" i="15"/>
  <c r="I82" i="15"/>
  <c r="H82" i="15"/>
  <c r="G82" i="15"/>
  <c r="F82" i="15"/>
  <c r="E82" i="15"/>
  <c r="D82" i="15"/>
  <c r="AK81" i="15"/>
  <c r="AJ81" i="15"/>
  <c r="AH81" i="15"/>
  <c r="AF81" i="15"/>
  <c r="AD81" i="15"/>
  <c r="AB81" i="15"/>
  <c r="Z81" i="15"/>
  <c r="X81" i="15"/>
  <c r="W81" i="15"/>
  <c r="AI81" i="15" s="1"/>
  <c r="V81" i="15"/>
  <c r="U81" i="15"/>
  <c r="AG81" i="15" s="1"/>
  <c r="T81" i="15"/>
  <c r="S81" i="15"/>
  <c r="AE81" i="15" s="1"/>
  <c r="R81" i="15"/>
  <c r="Q81" i="15"/>
  <c r="AC81" i="15" s="1"/>
  <c r="P81" i="15"/>
  <c r="O81" i="15"/>
  <c r="AA81" i="15" s="1"/>
  <c r="N81" i="15"/>
  <c r="M81" i="15"/>
  <c r="L81" i="15"/>
  <c r="K81" i="15"/>
  <c r="J81" i="15"/>
  <c r="I81" i="15"/>
  <c r="H81" i="15"/>
  <c r="G81" i="15"/>
  <c r="F81" i="15"/>
  <c r="E81" i="15"/>
  <c r="D81" i="15"/>
  <c r="AK80" i="15"/>
  <c r="AI80" i="15"/>
  <c r="AG80" i="15"/>
  <c r="AE80" i="15"/>
  <c r="AC80" i="15"/>
  <c r="AA80" i="15"/>
  <c r="X80" i="15"/>
  <c r="AJ80" i="15" s="1"/>
  <c r="W80" i="15"/>
  <c r="V80" i="15"/>
  <c r="AH80" i="15" s="1"/>
  <c r="U80" i="15"/>
  <c r="T80" i="15"/>
  <c r="AF80" i="15" s="1"/>
  <c r="S80" i="15"/>
  <c r="R80" i="15"/>
  <c r="AD80" i="15" s="1"/>
  <c r="Q80" i="15"/>
  <c r="P80" i="15"/>
  <c r="AB80" i="15" s="1"/>
  <c r="O80" i="15"/>
  <c r="N80" i="15"/>
  <c r="Z80" i="15" s="1"/>
  <c r="M80" i="15"/>
  <c r="L80" i="15"/>
  <c r="K80" i="15"/>
  <c r="J80" i="15"/>
  <c r="I80" i="15"/>
  <c r="H80" i="15"/>
  <c r="G80" i="15"/>
  <c r="F80" i="15"/>
  <c r="E80" i="15"/>
  <c r="D80" i="15"/>
  <c r="AK79" i="15"/>
  <c r="AJ79" i="15"/>
  <c r="AH79" i="15"/>
  <c r="AF79" i="15"/>
  <c r="AD79" i="15"/>
  <c r="AB79" i="15"/>
  <c r="Z79" i="15"/>
  <c r="X79" i="15"/>
  <c r="W79" i="15"/>
  <c r="AI79" i="15" s="1"/>
  <c r="V79" i="15"/>
  <c r="U79" i="15"/>
  <c r="AG79" i="15" s="1"/>
  <c r="T79" i="15"/>
  <c r="S79" i="15"/>
  <c r="AE79" i="15" s="1"/>
  <c r="R79" i="15"/>
  <c r="Q79" i="15"/>
  <c r="AC79" i="15" s="1"/>
  <c r="P79" i="15"/>
  <c r="O79" i="15"/>
  <c r="AA79" i="15" s="1"/>
  <c r="N79" i="15"/>
  <c r="M79" i="15"/>
  <c r="L79" i="15"/>
  <c r="K79" i="15"/>
  <c r="J79" i="15"/>
  <c r="I79" i="15"/>
  <c r="H79" i="15"/>
  <c r="G79" i="15"/>
  <c r="F79" i="15"/>
  <c r="E79" i="15"/>
  <c r="D79" i="15"/>
  <c r="AK78" i="15"/>
  <c r="AI78" i="15"/>
  <c r="AG78" i="15"/>
  <c r="AE78" i="15"/>
  <c r="AC78" i="15"/>
  <c r="AA78" i="15"/>
  <c r="X78" i="15"/>
  <c r="AJ78" i="15" s="1"/>
  <c r="W78" i="15"/>
  <c r="V78" i="15"/>
  <c r="AH78" i="15" s="1"/>
  <c r="U78" i="15"/>
  <c r="T78" i="15"/>
  <c r="AF78" i="15" s="1"/>
  <c r="S78" i="15"/>
  <c r="R78" i="15"/>
  <c r="AD78" i="15" s="1"/>
  <c r="Q78" i="15"/>
  <c r="P78" i="15"/>
  <c r="AB78" i="15" s="1"/>
  <c r="O78" i="15"/>
  <c r="N78" i="15"/>
  <c r="Z78" i="15" s="1"/>
  <c r="M78" i="15"/>
  <c r="L78" i="15"/>
  <c r="K78" i="15"/>
  <c r="J78" i="15"/>
  <c r="I78" i="15"/>
  <c r="H78" i="15"/>
  <c r="G78" i="15"/>
  <c r="F78" i="15"/>
  <c r="E78" i="15"/>
  <c r="D78" i="15"/>
  <c r="AK77" i="15"/>
  <c r="AJ77" i="15"/>
  <c r="AH77" i="15"/>
  <c r="AF77" i="15"/>
  <c r="AD77" i="15"/>
  <c r="AB77" i="15"/>
  <c r="Z77" i="15"/>
  <c r="X77" i="15"/>
  <c r="W77" i="15"/>
  <c r="AI77" i="15" s="1"/>
  <c r="V77" i="15"/>
  <c r="U77" i="15"/>
  <c r="AG77" i="15" s="1"/>
  <c r="T77" i="15"/>
  <c r="S77" i="15"/>
  <c r="AE77" i="15" s="1"/>
  <c r="R77" i="15"/>
  <c r="Q77" i="15"/>
  <c r="AC77" i="15" s="1"/>
  <c r="P77" i="15"/>
  <c r="O77" i="15"/>
  <c r="AA77" i="15" s="1"/>
  <c r="N77" i="15"/>
  <c r="M77" i="15"/>
  <c r="L77" i="15"/>
  <c r="K77" i="15"/>
  <c r="J77" i="15"/>
  <c r="I77" i="15"/>
  <c r="H77" i="15"/>
  <c r="G77" i="15"/>
  <c r="F77" i="15"/>
  <c r="E77" i="15"/>
  <c r="D77" i="15"/>
  <c r="AK76" i="15"/>
  <c r="AI76" i="15"/>
  <c r="AG76" i="15"/>
  <c r="AE76" i="15"/>
  <c r="AC76" i="15"/>
  <c r="AA76" i="15"/>
  <c r="X76" i="15"/>
  <c r="AJ76" i="15" s="1"/>
  <c r="W76" i="15"/>
  <c r="V76" i="15"/>
  <c r="AH76" i="15" s="1"/>
  <c r="U76" i="15"/>
  <c r="T76" i="15"/>
  <c r="AF76" i="15" s="1"/>
  <c r="S76" i="15"/>
  <c r="R76" i="15"/>
  <c r="AD76" i="15" s="1"/>
  <c r="Q76" i="15"/>
  <c r="P76" i="15"/>
  <c r="AB76" i="15" s="1"/>
  <c r="O76" i="15"/>
  <c r="N76" i="15"/>
  <c r="Z76" i="15" s="1"/>
  <c r="M76" i="15"/>
  <c r="L76" i="15"/>
  <c r="K76" i="15"/>
  <c r="J76" i="15"/>
  <c r="I76" i="15"/>
  <c r="H76" i="15"/>
  <c r="G76" i="15"/>
  <c r="F76" i="15"/>
  <c r="E76" i="15"/>
  <c r="D76" i="15"/>
  <c r="X75" i="15"/>
  <c r="W75" i="15"/>
  <c r="V75" i="15"/>
  <c r="U75" i="15"/>
  <c r="T75" i="15"/>
  <c r="S75" i="15"/>
  <c r="R75" i="15"/>
  <c r="Q75" i="15"/>
  <c r="P75" i="15"/>
  <c r="O75" i="15"/>
  <c r="N75" i="15"/>
  <c r="M75" i="15"/>
  <c r="L75" i="15"/>
  <c r="K75" i="15"/>
  <c r="J75" i="15"/>
  <c r="I75" i="15"/>
  <c r="H75" i="15"/>
  <c r="G75" i="15"/>
  <c r="F75" i="15"/>
  <c r="E75" i="15"/>
  <c r="D75" i="15"/>
  <c r="AK72" i="15"/>
  <c r="AI72" i="15"/>
  <c r="AG72" i="15"/>
  <c r="AE72" i="15"/>
  <c r="AC72" i="15"/>
  <c r="AA72" i="15"/>
  <c r="X72" i="15"/>
  <c r="AJ72" i="15" s="1"/>
  <c r="W72" i="15"/>
  <c r="V72" i="15"/>
  <c r="AH72" i="15" s="1"/>
  <c r="U72" i="15"/>
  <c r="T72" i="15"/>
  <c r="AF72" i="15" s="1"/>
  <c r="S72" i="15"/>
  <c r="R72" i="15"/>
  <c r="AD72" i="15" s="1"/>
  <c r="Q72" i="15"/>
  <c r="P72" i="15"/>
  <c r="AB72" i="15" s="1"/>
  <c r="O72" i="15"/>
  <c r="N72" i="15"/>
  <c r="Z72" i="15" s="1"/>
  <c r="M72" i="15"/>
  <c r="L72" i="15"/>
  <c r="K72" i="15"/>
  <c r="J72" i="15"/>
  <c r="I72" i="15"/>
  <c r="H72" i="15"/>
  <c r="G72" i="15"/>
  <c r="F72" i="15"/>
  <c r="E72" i="15"/>
  <c r="D72" i="15"/>
  <c r="AK71" i="15"/>
  <c r="AJ71" i="15"/>
  <c r="AH71" i="15"/>
  <c r="AF71" i="15"/>
  <c r="AD71" i="15"/>
  <c r="AB71" i="15"/>
  <c r="Z71" i="15"/>
  <c r="X71" i="15"/>
  <c r="W71" i="15"/>
  <c r="AI71" i="15" s="1"/>
  <c r="V71" i="15"/>
  <c r="U71" i="15"/>
  <c r="AG71" i="15" s="1"/>
  <c r="T71" i="15"/>
  <c r="S71" i="15"/>
  <c r="AE71" i="15" s="1"/>
  <c r="R71" i="15"/>
  <c r="Q71" i="15"/>
  <c r="AC71" i="15" s="1"/>
  <c r="P71" i="15"/>
  <c r="O71" i="15"/>
  <c r="AA71" i="15" s="1"/>
  <c r="N71" i="15"/>
  <c r="M71" i="15"/>
  <c r="L71" i="15"/>
  <c r="K71" i="15"/>
  <c r="J71" i="15"/>
  <c r="I71" i="15"/>
  <c r="H71" i="15"/>
  <c r="G71" i="15"/>
  <c r="F71" i="15"/>
  <c r="E71" i="15"/>
  <c r="D71" i="15"/>
  <c r="T70" i="15"/>
  <c r="U70" i="15" s="1"/>
  <c r="V70" i="15" s="1"/>
  <c r="W70" i="15" s="1"/>
  <c r="X70" i="15" s="1"/>
  <c r="P70" i="15"/>
  <c r="Q70" i="15" s="1"/>
  <c r="R70" i="15" s="1"/>
  <c r="S70" i="15" s="1"/>
  <c r="O70" i="15"/>
  <c r="AK65" i="15"/>
  <c r="AJ65" i="15"/>
  <c r="AH65" i="15"/>
  <c r="AF65" i="15"/>
  <c r="AD65" i="15"/>
  <c r="AB65" i="15"/>
  <c r="Z65" i="15"/>
  <c r="X65" i="15"/>
  <c r="W65" i="15"/>
  <c r="AI65" i="15" s="1"/>
  <c r="V65" i="15"/>
  <c r="U65" i="15"/>
  <c r="AG65" i="15" s="1"/>
  <c r="T65" i="15"/>
  <c r="S65" i="15"/>
  <c r="AE65" i="15" s="1"/>
  <c r="R65" i="15"/>
  <c r="Q65" i="15"/>
  <c r="AC65" i="15" s="1"/>
  <c r="P65" i="15"/>
  <c r="O65" i="15"/>
  <c r="AA65" i="15" s="1"/>
  <c r="N65" i="15"/>
  <c r="M65" i="15"/>
  <c r="L65" i="15"/>
  <c r="K65" i="15"/>
  <c r="J65" i="15"/>
  <c r="I65" i="15"/>
  <c r="H65" i="15"/>
  <c r="G65" i="15"/>
  <c r="F65" i="15"/>
  <c r="E65" i="15"/>
  <c r="D65" i="15"/>
  <c r="AK64" i="15"/>
  <c r="AI64" i="15"/>
  <c r="AG64" i="15"/>
  <c r="AE64" i="15"/>
  <c r="AC64" i="15"/>
  <c r="AA64" i="15"/>
  <c r="X64" i="15"/>
  <c r="AJ64" i="15" s="1"/>
  <c r="W64" i="15"/>
  <c r="V64" i="15"/>
  <c r="AH64" i="15" s="1"/>
  <c r="U64" i="15"/>
  <c r="T64" i="15"/>
  <c r="AF64" i="15" s="1"/>
  <c r="S64" i="15"/>
  <c r="R64" i="15"/>
  <c r="AD64" i="15" s="1"/>
  <c r="Q64" i="15"/>
  <c r="P64" i="15"/>
  <c r="AB64" i="15" s="1"/>
  <c r="O64" i="15"/>
  <c r="N64" i="15"/>
  <c r="Z64" i="15" s="1"/>
  <c r="M64" i="15"/>
  <c r="L64" i="15"/>
  <c r="K64" i="15"/>
  <c r="J64" i="15"/>
  <c r="I64" i="15"/>
  <c r="H64" i="15"/>
  <c r="G64" i="15"/>
  <c r="F64" i="15"/>
  <c r="E64" i="15"/>
  <c r="D64" i="15"/>
  <c r="AK63" i="15"/>
  <c r="AJ63" i="15"/>
  <c r="AH63" i="15"/>
  <c r="AF63" i="15"/>
  <c r="AD63" i="15"/>
  <c r="AB63" i="15"/>
  <c r="Z63" i="15"/>
  <c r="X63" i="15"/>
  <c r="W63" i="15"/>
  <c r="AI63" i="15" s="1"/>
  <c r="V63" i="15"/>
  <c r="U63" i="15"/>
  <c r="AG63" i="15" s="1"/>
  <c r="T63" i="15"/>
  <c r="S63" i="15"/>
  <c r="AE63" i="15" s="1"/>
  <c r="R63" i="15"/>
  <c r="Q63" i="15"/>
  <c r="AC63" i="15" s="1"/>
  <c r="P63" i="15"/>
  <c r="O63" i="15"/>
  <c r="AA63" i="15" s="1"/>
  <c r="N63" i="15"/>
  <c r="M63" i="15"/>
  <c r="L63" i="15"/>
  <c r="K63" i="15"/>
  <c r="J63" i="15"/>
  <c r="I63" i="15"/>
  <c r="H63" i="15"/>
  <c r="G63" i="15"/>
  <c r="F63" i="15"/>
  <c r="E63" i="15"/>
  <c r="D63" i="15"/>
  <c r="AK62" i="15"/>
  <c r="AI62" i="15"/>
  <c r="AG62" i="15"/>
  <c r="AE62" i="15"/>
  <c r="AC62" i="15"/>
  <c r="AA62" i="15"/>
  <c r="X62" i="15"/>
  <c r="AJ62" i="15" s="1"/>
  <c r="W62" i="15"/>
  <c r="V62" i="15"/>
  <c r="AH62" i="15" s="1"/>
  <c r="U62" i="15"/>
  <c r="T62" i="15"/>
  <c r="AF62" i="15" s="1"/>
  <c r="S62" i="15"/>
  <c r="R62" i="15"/>
  <c r="AD62" i="15" s="1"/>
  <c r="Q62" i="15"/>
  <c r="P62" i="15"/>
  <c r="AB62" i="15" s="1"/>
  <c r="O62" i="15"/>
  <c r="N62" i="15"/>
  <c r="Z62" i="15" s="1"/>
  <c r="M62" i="15"/>
  <c r="L62" i="15"/>
  <c r="K62" i="15"/>
  <c r="J62" i="15"/>
  <c r="I62" i="15"/>
  <c r="H62" i="15"/>
  <c r="G62" i="15"/>
  <c r="F62" i="15"/>
  <c r="E62" i="15"/>
  <c r="D62" i="15"/>
  <c r="AK61" i="15"/>
  <c r="AJ61" i="15"/>
  <c r="AH61" i="15"/>
  <c r="AF61" i="15"/>
  <c r="AD61" i="15"/>
  <c r="AB61" i="15"/>
  <c r="Z61" i="15"/>
  <c r="X61" i="15"/>
  <c r="W61" i="15"/>
  <c r="AI61" i="15" s="1"/>
  <c r="V61" i="15"/>
  <c r="U61" i="15"/>
  <c r="AG61" i="15" s="1"/>
  <c r="T61" i="15"/>
  <c r="S61" i="15"/>
  <c r="AE61" i="15" s="1"/>
  <c r="R61" i="15"/>
  <c r="Q61" i="15"/>
  <c r="AC61" i="15" s="1"/>
  <c r="P61" i="15"/>
  <c r="O61" i="15"/>
  <c r="AA61" i="15" s="1"/>
  <c r="N61" i="15"/>
  <c r="M61" i="15"/>
  <c r="L61" i="15"/>
  <c r="K61" i="15"/>
  <c r="J61" i="15"/>
  <c r="I61" i="15"/>
  <c r="H61" i="15"/>
  <c r="G61" i="15"/>
  <c r="F61" i="15"/>
  <c r="E61" i="15"/>
  <c r="D61" i="15"/>
  <c r="P60" i="15"/>
  <c r="AK59" i="15"/>
  <c r="AJ59" i="15"/>
  <c r="AH59" i="15"/>
  <c r="AF59" i="15"/>
  <c r="AD59" i="15"/>
  <c r="AB59" i="15"/>
  <c r="Z59" i="15"/>
  <c r="X59" i="15"/>
  <c r="W59" i="15"/>
  <c r="AI59" i="15" s="1"/>
  <c r="V59" i="15"/>
  <c r="U59" i="15"/>
  <c r="AG59" i="15" s="1"/>
  <c r="T59" i="15"/>
  <c r="S59" i="15"/>
  <c r="AE59" i="15" s="1"/>
  <c r="R59" i="15"/>
  <c r="Q59" i="15"/>
  <c r="AC59" i="15" s="1"/>
  <c r="P59" i="15"/>
  <c r="O59" i="15"/>
  <c r="AA59" i="15" s="1"/>
  <c r="N59" i="15"/>
  <c r="M59" i="15"/>
  <c r="L59" i="15"/>
  <c r="K59" i="15"/>
  <c r="J59" i="15"/>
  <c r="I59" i="15"/>
  <c r="H59" i="15"/>
  <c r="G59" i="15"/>
  <c r="F59" i="15"/>
  <c r="E59" i="15"/>
  <c r="D59" i="15"/>
  <c r="AK58" i="15"/>
  <c r="AI58" i="15"/>
  <c r="AG58" i="15"/>
  <c r="AE58" i="15"/>
  <c r="AC58" i="15"/>
  <c r="AA58" i="15"/>
  <c r="X58" i="15"/>
  <c r="AJ58" i="15" s="1"/>
  <c r="W58" i="15"/>
  <c r="V58" i="15"/>
  <c r="AH58" i="15" s="1"/>
  <c r="U58" i="15"/>
  <c r="T58" i="15"/>
  <c r="AF58" i="15" s="1"/>
  <c r="S58" i="15"/>
  <c r="R58" i="15"/>
  <c r="AD58" i="15" s="1"/>
  <c r="Q58" i="15"/>
  <c r="P58" i="15"/>
  <c r="AB58" i="15" s="1"/>
  <c r="O58" i="15"/>
  <c r="N58" i="15"/>
  <c r="Z58" i="15" s="1"/>
  <c r="M58" i="15"/>
  <c r="L58" i="15"/>
  <c r="K58" i="15"/>
  <c r="J58" i="15"/>
  <c r="I58" i="15"/>
  <c r="H58" i="15"/>
  <c r="G58" i="15"/>
  <c r="F58" i="15"/>
  <c r="E58" i="15"/>
  <c r="D58" i="15"/>
  <c r="AK57" i="15"/>
  <c r="AJ57" i="15"/>
  <c r="AH57" i="15"/>
  <c r="AF57" i="15"/>
  <c r="AD57" i="15"/>
  <c r="AB57" i="15"/>
  <c r="Z57" i="15"/>
  <c r="X57" i="15"/>
  <c r="W57" i="15"/>
  <c r="AI57" i="15" s="1"/>
  <c r="V57" i="15"/>
  <c r="U57" i="15"/>
  <c r="AG57" i="15" s="1"/>
  <c r="T57" i="15"/>
  <c r="S57" i="15"/>
  <c r="AE57" i="15" s="1"/>
  <c r="R57" i="15"/>
  <c r="Q57" i="15"/>
  <c r="AC57" i="15" s="1"/>
  <c r="P57" i="15"/>
  <c r="O57" i="15"/>
  <c r="AA57" i="15" s="1"/>
  <c r="N57" i="15"/>
  <c r="M57" i="15"/>
  <c r="L57" i="15"/>
  <c r="K57" i="15"/>
  <c r="J57" i="15"/>
  <c r="I57" i="15"/>
  <c r="H57" i="15"/>
  <c r="G57" i="15"/>
  <c r="F57" i="15"/>
  <c r="E57" i="15"/>
  <c r="D57" i="15"/>
  <c r="AK56" i="15"/>
  <c r="AI56" i="15"/>
  <c r="AG56" i="15"/>
  <c r="AE56" i="15"/>
  <c r="AC56" i="15"/>
  <c r="AA56" i="15"/>
  <c r="X56" i="15"/>
  <c r="AJ56" i="15" s="1"/>
  <c r="W56" i="15"/>
  <c r="V56" i="15"/>
  <c r="AH56" i="15" s="1"/>
  <c r="U56" i="15"/>
  <c r="T56" i="15"/>
  <c r="AF56" i="15" s="1"/>
  <c r="S56" i="15"/>
  <c r="R56" i="15"/>
  <c r="AD56" i="15" s="1"/>
  <c r="Q56" i="15"/>
  <c r="P56" i="15"/>
  <c r="AB56" i="15" s="1"/>
  <c r="O56" i="15"/>
  <c r="N56" i="15"/>
  <c r="Z56" i="15" s="1"/>
  <c r="M56" i="15"/>
  <c r="L56" i="15"/>
  <c r="K56" i="15"/>
  <c r="J56" i="15"/>
  <c r="I56" i="15"/>
  <c r="H56" i="15"/>
  <c r="G56" i="15"/>
  <c r="F56" i="15"/>
  <c r="E56" i="15"/>
  <c r="D56" i="15"/>
  <c r="AK55" i="15"/>
  <c r="AJ55" i="15"/>
  <c r="AH55" i="15"/>
  <c r="AF55" i="15"/>
  <c r="AD55" i="15"/>
  <c r="AB55" i="15"/>
  <c r="Z55" i="15"/>
  <c r="X55" i="15"/>
  <c r="W55" i="15"/>
  <c r="AI55" i="15" s="1"/>
  <c r="V55" i="15"/>
  <c r="U55" i="15"/>
  <c r="AG55" i="15" s="1"/>
  <c r="T55" i="15"/>
  <c r="S55" i="15"/>
  <c r="AE55" i="15" s="1"/>
  <c r="R55" i="15"/>
  <c r="Q55" i="15"/>
  <c r="AC55" i="15" s="1"/>
  <c r="P55" i="15"/>
  <c r="O55" i="15"/>
  <c r="AA55" i="15" s="1"/>
  <c r="N55" i="15"/>
  <c r="M55" i="15"/>
  <c r="L55" i="15"/>
  <c r="K55" i="15"/>
  <c r="J55" i="15"/>
  <c r="I55" i="15"/>
  <c r="H55" i="15"/>
  <c r="G55" i="15"/>
  <c r="F55" i="15"/>
  <c r="E55" i="15"/>
  <c r="D55" i="15"/>
  <c r="AK54" i="15"/>
  <c r="AI54" i="15"/>
  <c r="AG54" i="15"/>
  <c r="AE54" i="15"/>
  <c r="AC54" i="15"/>
  <c r="AA54" i="15"/>
  <c r="X54" i="15"/>
  <c r="AJ54" i="15" s="1"/>
  <c r="W54" i="15"/>
  <c r="V54" i="15"/>
  <c r="AH54" i="15" s="1"/>
  <c r="U54" i="15"/>
  <c r="T54" i="15"/>
  <c r="AF54" i="15" s="1"/>
  <c r="S54" i="15"/>
  <c r="R54" i="15"/>
  <c r="AD54" i="15" s="1"/>
  <c r="Q54" i="15"/>
  <c r="P54" i="15"/>
  <c r="AB54" i="15" s="1"/>
  <c r="O54" i="15"/>
  <c r="N54" i="15"/>
  <c r="Z54" i="15" s="1"/>
  <c r="M54" i="15"/>
  <c r="L54" i="15"/>
  <c r="K54" i="15"/>
  <c r="J54" i="15"/>
  <c r="I54" i="15"/>
  <c r="H54" i="15"/>
  <c r="G54" i="15"/>
  <c r="F54" i="15"/>
  <c r="E54" i="15"/>
  <c r="D54" i="15"/>
  <c r="AK53" i="15"/>
  <c r="AJ53" i="15"/>
  <c r="AH53" i="15"/>
  <c r="AF53" i="15"/>
  <c r="AE53" i="15"/>
  <c r="AB53" i="15"/>
  <c r="Z53" i="15"/>
  <c r="X53" i="15"/>
  <c r="W53" i="15"/>
  <c r="AI53" i="15" s="1"/>
  <c r="V53" i="15"/>
  <c r="U53" i="15"/>
  <c r="AG53" i="15" s="1"/>
  <c r="T53" i="15"/>
  <c r="S53" i="15"/>
  <c r="R53" i="15"/>
  <c r="AD53" i="15" s="1"/>
  <c r="Q53" i="15"/>
  <c r="AC53" i="15" s="1"/>
  <c r="P53" i="15"/>
  <c r="O53" i="15"/>
  <c r="AA53" i="15" s="1"/>
  <c r="N53" i="15"/>
  <c r="M53" i="15"/>
  <c r="L53" i="15"/>
  <c r="K53" i="15"/>
  <c r="J53" i="15"/>
  <c r="I53" i="15"/>
  <c r="H53" i="15"/>
  <c r="G53" i="15"/>
  <c r="F53" i="15"/>
  <c r="E53" i="15"/>
  <c r="D53" i="15"/>
  <c r="AK52" i="15"/>
  <c r="AG52" i="15"/>
  <c r="AF52" i="15"/>
  <c r="AC52" i="15"/>
  <c r="X52" i="15"/>
  <c r="AJ52" i="15" s="1"/>
  <c r="W52" i="15"/>
  <c r="AI52" i="15" s="1"/>
  <c r="V52" i="15"/>
  <c r="AH52" i="15" s="1"/>
  <c r="U52" i="15"/>
  <c r="T52" i="15"/>
  <c r="S52" i="15"/>
  <c r="AE52" i="15" s="1"/>
  <c r="R52" i="15"/>
  <c r="AD52" i="15" s="1"/>
  <c r="Q52" i="15"/>
  <c r="P52" i="15"/>
  <c r="AB52" i="15" s="1"/>
  <c r="O52" i="15"/>
  <c r="AA52" i="15" s="1"/>
  <c r="N52" i="15"/>
  <c r="Z52" i="15" s="1"/>
  <c r="M52" i="15"/>
  <c r="L52" i="15"/>
  <c r="K52" i="15"/>
  <c r="J52" i="15"/>
  <c r="I52" i="15"/>
  <c r="H52" i="15"/>
  <c r="G52" i="15"/>
  <c r="F52" i="15"/>
  <c r="E52" i="15"/>
  <c r="D52" i="15"/>
  <c r="AK51" i="15"/>
  <c r="AH51" i="15"/>
  <c r="AF51" i="15"/>
  <c r="AD51" i="15"/>
  <c r="AB51" i="15"/>
  <c r="Z51" i="15"/>
  <c r="X51" i="15"/>
  <c r="AJ51" i="15" s="1"/>
  <c r="W51" i="15"/>
  <c r="AI51" i="15" s="1"/>
  <c r="V51" i="15"/>
  <c r="U51" i="15"/>
  <c r="AG51" i="15" s="1"/>
  <c r="T51" i="15"/>
  <c r="S51" i="15"/>
  <c r="AE51" i="15" s="1"/>
  <c r="R51" i="15"/>
  <c r="Q51" i="15"/>
  <c r="AC51" i="15" s="1"/>
  <c r="P51" i="15"/>
  <c r="O51" i="15"/>
  <c r="AA51" i="15" s="1"/>
  <c r="N51" i="15"/>
  <c r="M51" i="15"/>
  <c r="L51" i="15"/>
  <c r="K51" i="15"/>
  <c r="J51" i="15"/>
  <c r="I51" i="15"/>
  <c r="H51" i="15"/>
  <c r="G51" i="15"/>
  <c r="F51" i="15"/>
  <c r="E51" i="15"/>
  <c r="D51" i="15"/>
  <c r="AK50" i="15"/>
  <c r="AH50" i="15"/>
  <c r="AD50" i="15"/>
  <c r="AC50" i="15"/>
  <c r="Z50" i="15"/>
  <c r="X50" i="15"/>
  <c r="AJ50" i="15" s="1"/>
  <c r="W50" i="15"/>
  <c r="AI50" i="15" s="1"/>
  <c r="V50" i="15"/>
  <c r="U50" i="15"/>
  <c r="AG50" i="15" s="1"/>
  <c r="T50" i="15"/>
  <c r="AF50" i="15" s="1"/>
  <c r="S50" i="15"/>
  <c r="AE50" i="15" s="1"/>
  <c r="R50" i="15"/>
  <c r="Q50" i="15"/>
  <c r="P50" i="15"/>
  <c r="AB50" i="15" s="1"/>
  <c r="O50" i="15"/>
  <c r="AA50" i="15" s="1"/>
  <c r="N50" i="15"/>
  <c r="M50" i="15"/>
  <c r="L50" i="15"/>
  <c r="K50" i="15"/>
  <c r="J50" i="15"/>
  <c r="I50" i="15"/>
  <c r="H50" i="15"/>
  <c r="G50" i="15"/>
  <c r="F50" i="15"/>
  <c r="E50" i="15"/>
  <c r="D50" i="15"/>
  <c r="AK49" i="15"/>
  <c r="AI49" i="15"/>
  <c r="AG49" i="15"/>
  <c r="AE49" i="15"/>
  <c r="AC49" i="15"/>
  <c r="AA49" i="15"/>
  <c r="X49" i="15"/>
  <c r="AJ49" i="15" s="1"/>
  <c r="W49" i="15"/>
  <c r="V49" i="15"/>
  <c r="AH49" i="15" s="1"/>
  <c r="U49" i="15"/>
  <c r="T49" i="15"/>
  <c r="AF49" i="15" s="1"/>
  <c r="S49" i="15"/>
  <c r="R49" i="15"/>
  <c r="AD49" i="15" s="1"/>
  <c r="Q49" i="15"/>
  <c r="P49" i="15"/>
  <c r="AB49" i="15" s="1"/>
  <c r="O49" i="15"/>
  <c r="N49" i="15"/>
  <c r="Z49" i="15" s="1"/>
  <c r="M49" i="15"/>
  <c r="L49" i="15"/>
  <c r="K49" i="15"/>
  <c r="J49" i="15"/>
  <c r="I49" i="15"/>
  <c r="H49" i="15"/>
  <c r="G49" i="15"/>
  <c r="F49" i="15"/>
  <c r="E49" i="15"/>
  <c r="D49" i="15"/>
  <c r="AK48" i="15"/>
  <c r="AJ48" i="15"/>
  <c r="AH48" i="15"/>
  <c r="AF48" i="15"/>
  <c r="AD48" i="15"/>
  <c r="AB48" i="15"/>
  <c r="Z48" i="15"/>
  <c r="X48" i="15"/>
  <c r="W48" i="15"/>
  <c r="AI48" i="15" s="1"/>
  <c r="V48" i="15"/>
  <c r="U48" i="15"/>
  <c r="AG48" i="15" s="1"/>
  <c r="T48" i="15"/>
  <c r="S48" i="15"/>
  <c r="AE48" i="15" s="1"/>
  <c r="R48" i="15"/>
  <c r="Q48" i="15"/>
  <c r="AC48" i="15" s="1"/>
  <c r="P48" i="15"/>
  <c r="O48" i="15"/>
  <c r="AA48" i="15" s="1"/>
  <c r="N48" i="15"/>
  <c r="M48" i="15"/>
  <c r="L48" i="15"/>
  <c r="K48" i="15"/>
  <c r="J48" i="15"/>
  <c r="I48" i="15"/>
  <c r="H48" i="15"/>
  <c r="G48" i="15"/>
  <c r="F48" i="15"/>
  <c r="E48" i="15"/>
  <c r="D48" i="15"/>
  <c r="AK47" i="15"/>
  <c r="AI47" i="15"/>
  <c r="AG47" i="15"/>
  <c r="AE47" i="15"/>
  <c r="AC47" i="15"/>
  <c r="AA47" i="15"/>
  <c r="X47" i="15"/>
  <c r="AJ47" i="15" s="1"/>
  <c r="W47" i="15"/>
  <c r="V47" i="15"/>
  <c r="AH47" i="15" s="1"/>
  <c r="U47" i="15"/>
  <c r="T47" i="15"/>
  <c r="AF47" i="15" s="1"/>
  <c r="S47" i="15"/>
  <c r="R47" i="15"/>
  <c r="AD47" i="15" s="1"/>
  <c r="Q47" i="15"/>
  <c r="P47" i="15"/>
  <c r="AB47" i="15" s="1"/>
  <c r="O47" i="15"/>
  <c r="N47" i="15"/>
  <c r="Z47" i="15" s="1"/>
  <c r="M47" i="15"/>
  <c r="L47" i="15"/>
  <c r="K47" i="15"/>
  <c r="J47" i="15"/>
  <c r="I47" i="15"/>
  <c r="H47" i="15"/>
  <c r="G47" i="15"/>
  <c r="F47" i="15"/>
  <c r="E47" i="15"/>
  <c r="D47" i="15"/>
  <c r="AK46" i="15"/>
  <c r="AJ46" i="15"/>
  <c r="AH46" i="15"/>
  <c r="AF46" i="15"/>
  <c r="AD46" i="15"/>
  <c r="AB46" i="15"/>
  <c r="Z46" i="15"/>
  <c r="X46" i="15"/>
  <c r="W46" i="15"/>
  <c r="AI46" i="15" s="1"/>
  <c r="V46" i="15"/>
  <c r="U46" i="15"/>
  <c r="AG46" i="15" s="1"/>
  <c r="T46" i="15"/>
  <c r="S46" i="15"/>
  <c r="AE46" i="15" s="1"/>
  <c r="R46" i="15"/>
  <c r="Q46" i="15"/>
  <c r="AC46" i="15" s="1"/>
  <c r="P46" i="15"/>
  <c r="O46" i="15"/>
  <c r="AA46" i="15" s="1"/>
  <c r="N46" i="15"/>
  <c r="M46" i="15"/>
  <c r="L46" i="15"/>
  <c r="K46" i="15"/>
  <c r="J46" i="15"/>
  <c r="I46" i="15"/>
  <c r="H46" i="15"/>
  <c r="G46" i="15"/>
  <c r="F46" i="15"/>
  <c r="E46" i="15"/>
  <c r="D46" i="15"/>
  <c r="AK45" i="15"/>
  <c r="AI45" i="15"/>
  <c r="AG45" i="15"/>
  <c r="AE45" i="15"/>
  <c r="AC45" i="15"/>
  <c r="AA45" i="15"/>
  <c r="X45" i="15"/>
  <c r="AJ45" i="15" s="1"/>
  <c r="W45" i="15"/>
  <c r="V45" i="15"/>
  <c r="AH45" i="15" s="1"/>
  <c r="U45" i="15"/>
  <c r="T45" i="15"/>
  <c r="AF45" i="15" s="1"/>
  <c r="S45" i="15"/>
  <c r="R45" i="15"/>
  <c r="AD45" i="15" s="1"/>
  <c r="Q45" i="15"/>
  <c r="P45" i="15"/>
  <c r="AB45" i="15" s="1"/>
  <c r="O45" i="15"/>
  <c r="N45" i="15"/>
  <c r="Z45" i="15" s="1"/>
  <c r="M45" i="15"/>
  <c r="L45" i="15"/>
  <c r="K45" i="15"/>
  <c r="J45" i="15"/>
  <c r="I45" i="15"/>
  <c r="H45" i="15"/>
  <c r="G45" i="15"/>
  <c r="F45" i="15"/>
  <c r="E45" i="15"/>
  <c r="D45" i="15"/>
  <c r="AK44" i="15"/>
  <c r="AJ44" i="15"/>
  <c r="AH44" i="15"/>
  <c r="AF44" i="15"/>
  <c r="AD44" i="15"/>
  <c r="AB44" i="15"/>
  <c r="Z44" i="15"/>
  <c r="X44" i="15"/>
  <c r="W44" i="15"/>
  <c r="AI44" i="15" s="1"/>
  <c r="V44" i="15"/>
  <c r="U44" i="15"/>
  <c r="AG44" i="15" s="1"/>
  <c r="T44" i="15"/>
  <c r="S44" i="15"/>
  <c r="AE44" i="15" s="1"/>
  <c r="R44" i="15"/>
  <c r="Q44" i="15"/>
  <c r="AC44" i="15" s="1"/>
  <c r="P44" i="15"/>
  <c r="O44" i="15"/>
  <c r="AA44" i="15" s="1"/>
  <c r="N44" i="15"/>
  <c r="M44" i="15"/>
  <c r="L44" i="15"/>
  <c r="K44" i="15"/>
  <c r="J44" i="15"/>
  <c r="I44" i="15"/>
  <c r="H44" i="15"/>
  <c r="G44" i="15"/>
  <c r="F44" i="15"/>
  <c r="E44" i="15"/>
  <c r="D44" i="15"/>
  <c r="AK43" i="15"/>
  <c r="AI43" i="15"/>
  <c r="AG43" i="15"/>
  <c r="AE43" i="15"/>
  <c r="AC43" i="15"/>
  <c r="AA43" i="15"/>
  <c r="X43" i="15"/>
  <c r="AJ43" i="15" s="1"/>
  <c r="W43" i="15"/>
  <c r="V43" i="15"/>
  <c r="AH43" i="15" s="1"/>
  <c r="U43" i="15"/>
  <c r="T43" i="15"/>
  <c r="AF43" i="15" s="1"/>
  <c r="T41" i="15" s="1"/>
  <c r="S43" i="15"/>
  <c r="R43" i="15"/>
  <c r="AD43" i="15" s="1"/>
  <c r="Q43" i="15"/>
  <c r="P43" i="15"/>
  <c r="AB43" i="15" s="1"/>
  <c r="O43" i="15"/>
  <c r="N43" i="15"/>
  <c r="Z43" i="15" s="1"/>
  <c r="M43" i="15"/>
  <c r="L43" i="15"/>
  <c r="K43" i="15"/>
  <c r="J43" i="15"/>
  <c r="I43" i="15"/>
  <c r="H43" i="15"/>
  <c r="G43" i="15"/>
  <c r="F43" i="15"/>
  <c r="E43" i="15"/>
  <c r="D43" i="15"/>
  <c r="X42" i="15"/>
  <c r="W42" i="15"/>
  <c r="V42" i="15"/>
  <c r="U42" i="15"/>
  <c r="T42" i="15"/>
  <c r="S42" i="15"/>
  <c r="R42" i="15"/>
  <c r="Q42" i="15"/>
  <c r="P42" i="15"/>
  <c r="O42" i="15"/>
  <c r="N42" i="15"/>
  <c r="M42" i="15"/>
  <c r="L42" i="15"/>
  <c r="K42" i="15"/>
  <c r="J42" i="15"/>
  <c r="I42" i="15"/>
  <c r="H42" i="15"/>
  <c r="G42" i="15"/>
  <c r="F42" i="15"/>
  <c r="E42" i="15"/>
  <c r="D42" i="15"/>
  <c r="AK39" i="15"/>
  <c r="AI39" i="15"/>
  <c r="AG39" i="15"/>
  <c r="AE39" i="15"/>
  <c r="AC39" i="15"/>
  <c r="AA39" i="15"/>
  <c r="X39" i="15"/>
  <c r="AJ39" i="15" s="1"/>
  <c r="W39" i="15"/>
  <c r="V39" i="15"/>
  <c r="U39" i="15"/>
  <c r="T39" i="15"/>
  <c r="AF39" i="15" s="1"/>
  <c r="S39" i="15"/>
  <c r="R39" i="15"/>
  <c r="AD39" i="15" s="1"/>
  <c r="Q39" i="15"/>
  <c r="P39" i="15"/>
  <c r="AB39" i="15" s="1"/>
  <c r="O39" i="15"/>
  <c r="N39" i="15"/>
  <c r="M39" i="15"/>
  <c r="L39" i="15"/>
  <c r="K39" i="15"/>
  <c r="J39" i="15"/>
  <c r="I39" i="15"/>
  <c r="H39" i="15"/>
  <c r="G39" i="15"/>
  <c r="F39" i="15"/>
  <c r="F66" i="15" s="1"/>
  <c r="E39" i="15"/>
  <c r="D39" i="15"/>
  <c r="AK38" i="15"/>
  <c r="AJ38" i="15"/>
  <c r="AH38" i="15"/>
  <c r="AF38" i="15"/>
  <c r="AD38" i="15"/>
  <c r="AB38" i="15"/>
  <c r="P40" i="15" s="1"/>
  <c r="Z38" i="15"/>
  <c r="X38" i="15"/>
  <c r="W38" i="15"/>
  <c r="V38" i="15"/>
  <c r="U38" i="15"/>
  <c r="AG38" i="15" s="1"/>
  <c r="T38" i="15"/>
  <c r="S38" i="15"/>
  <c r="R38" i="15"/>
  <c r="R66" i="15" s="1"/>
  <c r="Q38" i="15"/>
  <c r="AC38" i="15" s="1"/>
  <c r="P38" i="15"/>
  <c r="O38" i="15"/>
  <c r="N38" i="15"/>
  <c r="M38" i="15"/>
  <c r="L38" i="15"/>
  <c r="K38" i="15"/>
  <c r="J38" i="15"/>
  <c r="J66" i="15" s="1"/>
  <c r="J67" i="15" s="1"/>
  <c r="I38" i="15"/>
  <c r="H38" i="15"/>
  <c r="G38" i="15"/>
  <c r="F38" i="15"/>
  <c r="E38" i="15"/>
  <c r="D38" i="15"/>
  <c r="D66" i="15" s="1"/>
  <c r="T37" i="15"/>
  <c r="U37" i="15" s="1"/>
  <c r="V37" i="15" s="1"/>
  <c r="W37" i="15" s="1"/>
  <c r="X37" i="15" s="1"/>
  <c r="P37" i="15"/>
  <c r="Q37" i="15" s="1"/>
  <c r="R37" i="15" s="1"/>
  <c r="S37" i="15" s="1"/>
  <c r="O37" i="15"/>
  <c r="X33" i="15"/>
  <c r="AK32" i="15"/>
  <c r="AJ32" i="15"/>
  <c r="AH32" i="15"/>
  <c r="AF32" i="15"/>
  <c r="AD32" i="15"/>
  <c r="AB32" i="15"/>
  <c r="Z32" i="15"/>
  <c r="X32" i="15"/>
  <c r="W32" i="15"/>
  <c r="V32" i="15"/>
  <c r="U32" i="15"/>
  <c r="T32" i="15"/>
  <c r="S32" i="15"/>
  <c r="R32" i="15"/>
  <c r="Q32" i="15"/>
  <c r="P32" i="15"/>
  <c r="O32" i="15"/>
  <c r="N32" i="15"/>
  <c r="M32" i="15"/>
  <c r="M33" i="15" s="1"/>
  <c r="M34" i="15" s="1"/>
  <c r="L32" i="15"/>
  <c r="K32" i="15"/>
  <c r="J32" i="15"/>
  <c r="I32" i="15"/>
  <c r="I33" i="15" s="1"/>
  <c r="I34" i="15" s="1"/>
  <c r="H32" i="15"/>
  <c r="G32" i="15"/>
  <c r="F32" i="15"/>
  <c r="E32" i="15"/>
  <c r="E33" i="15" s="1"/>
  <c r="D32" i="15"/>
  <c r="AK30" i="15"/>
  <c r="AJ30" i="15"/>
  <c r="AH30" i="15"/>
  <c r="AF30" i="15"/>
  <c r="AD30" i="15"/>
  <c r="AB30" i="15"/>
  <c r="Z30" i="15"/>
  <c r="X30" i="15"/>
  <c r="W30" i="15"/>
  <c r="AI30" i="15" s="1"/>
  <c r="V30" i="15"/>
  <c r="U30" i="15"/>
  <c r="AG30" i="15" s="1"/>
  <c r="T30" i="15"/>
  <c r="S30" i="15"/>
  <c r="AE30" i="15" s="1"/>
  <c r="R30" i="15"/>
  <c r="Q30" i="15"/>
  <c r="AC30" i="15" s="1"/>
  <c r="P30" i="15"/>
  <c r="O30" i="15"/>
  <c r="AA30" i="15" s="1"/>
  <c r="N30" i="15"/>
  <c r="M30" i="15"/>
  <c r="L30" i="15"/>
  <c r="K30" i="15"/>
  <c r="J30" i="15"/>
  <c r="I30" i="15"/>
  <c r="H30" i="15"/>
  <c r="G30" i="15"/>
  <c r="F30" i="15"/>
  <c r="E30" i="15"/>
  <c r="D30" i="15"/>
  <c r="AK29" i="15"/>
  <c r="AI29" i="15"/>
  <c r="AG29" i="15"/>
  <c r="AE29" i="15"/>
  <c r="AC29" i="15"/>
  <c r="AA29" i="15"/>
  <c r="X29" i="15"/>
  <c r="AJ29" i="15" s="1"/>
  <c r="W29" i="15"/>
  <c r="V29" i="15"/>
  <c r="AH29" i="15" s="1"/>
  <c r="U29" i="15"/>
  <c r="T29" i="15"/>
  <c r="AF29" i="15" s="1"/>
  <c r="S29" i="15"/>
  <c r="R29" i="15"/>
  <c r="AD29" i="15" s="1"/>
  <c r="Q29" i="15"/>
  <c r="P29" i="15"/>
  <c r="AB29" i="15" s="1"/>
  <c r="O29" i="15"/>
  <c r="N29" i="15"/>
  <c r="Z29" i="15" s="1"/>
  <c r="M29" i="15"/>
  <c r="L29" i="15"/>
  <c r="K29" i="15"/>
  <c r="J29" i="15"/>
  <c r="I29" i="15"/>
  <c r="H29" i="15"/>
  <c r="G29" i="15"/>
  <c r="F29" i="15"/>
  <c r="E29" i="15"/>
  <c r="D29" i="15"/>
  <c r="AK28" i="15"/>
  <c r="AJ28" i="15"/>
  <c r="AH28" i="15"/>
  <c r="AF28" i="15"/>
  <c r="AD28" i="15"/>
  <c r="AB28" i="15"/>
  <c r="Z28" i="15"/>
  <c r="X28" i="15"/>
  <c r="W28" i="15"/>
  <c r="AI28" i="15" s="1"/>
  <c r="V28" i="15"/>
  <c r="U28" i="15"/>
  <c r="AG28" i="15" s="1"/>
  <c r="T28" i="15"/>
  <c r="S28" i="15"/>
  <c r="AE28" i="15" s="1"/>
  <c r="R28" i="15"/>
  <c r="Q28" i="15"/>
  <c r="AC28" i="15" s="1"/>
  <c r="P28" i="15"/>
  <c r="O28" i="15"/>
  <c r="AA28" i="15" s="1"/>
  <c r="N28" i="15"/>
  <c r="M28" i="15"/>
  <c r="L28" i="15"/>
  <c r="K28" i="15"/>
  <c r="J28" i="15"/>
  <c r="I28" i="15"/>
  <c r="H28" i="15"/>
  <c r="G28" i="15"/>
  <c r="F28" i="15"/>
  <c r="E28" i="15"/>
  <c r="D28" i="15"/>
  <c r="AK27" i="15"/>
  <c r="AI27" i="15"/>
  <c r="AG27" i="15"/>
  <c r="AE27" i="15"/>
  <c r="AC27" i="15"/>
  <c r="AA27" i="15"/>
  <c r="X27" i="15"/>
  <c r="AJ27" i="15" s="1"/>
  <c r="W27" i="15"/>
  <c r="V27" i="15"/>
  <c r="AH27" i="15" s="1"/>
  <c r="U27" i="15"/>
  <c r="T27" i="15"/>
  <c r="AF27" i="15" s="1"/>
  <c r="S27" i="15"/>
  <c r="R27" i="15"/>
  <c r="AD27" i="15" s="1"/>
  <c r="Q27" i="15"/>
  <c r="P27" i="15"/>
  <c r="AB27" i="15" s="1"/>
  <c r="O27" i="15"/>
  <c r="N27" i="15"/>
  <c r="Z27" i="15" s="1"/>
  <c r="M27" i="15"/>
  <c r="L27" i="15"/>
  <c r="K27" i="15"/>
  <c r="J27" i="15"/>
  <c r="I27" i="15"/>
  <c r="H27" i="15"/>
  <c r="G27" i="15"/>
  <c r="F27" i="15"/>
  <c r="E27" i="15"/>
  <c r="D27" i="15"/>
  <c r="AK26" i="15"/>
  <c r="AJ26" i="15"/>
  <c r="AH26" i="15"/>
  <c r="AF26" i="15"/>
  <c r="AD26" i="15"/>
  <c r="AB26" i="15"/>
  <c r="Z26" i="15"/>
  <c r="X26" i="15"/>
  <c r="W26" i="15"/>
  <c r="AI26" i="15" s="1"/>
  <c r="V26" i="15"/>
  <c r="U26" i="15"/>
  <c r="AG26" i="15" s="1"/>
  <c r="T26" i="15"/>
  <c r="S26" i="15"/>
  <c r="AE26" i="15" s="1"/>
  <c r="R26" i="15"/>
  <c r="Q26" i="15"/>
  <c r="AC26" i="15" s="1"/>
  <c r="P26" i="15"/>
  <c r="O26" i="15"/>
  <c r="AA26" i="15" s="1"/>
  <c r="N26" i="15"/>
  <c r="M26" i="15"/>
  <c r="L26" i="15"/>
  <c r="K26" i="15"/>
  <c r="J26" i="15"/>
  <c r="I26" i="15"/>
  <c r="H26" i="15"/>
  <c r="G26" i="15"/>
  <c r="F26" i="15"/>
  <c r="E26" i="15"/>
  <c r="D26" i="15"/>
  <c r="AK25" i="15"/>
  <c r="AI25" i="15"/>
  <c r="AG25" i="15"/>
  <c r="AE25" i="15"/>
  <c r="AC25" i="15"/>
  <c r="AA25" i="15"/>
  <c r="X25" i="15"/>
  <c r="AJ25" i="15" s="1"/>
  <c r="W25" i="15"/>
  <c r="V25" i="15"/>
  <c r="AH25" i="15" s="1"/>
  <c r="U25" i="15"/>
  <c r="T25" i="15"/>
  <c r="AF25" i="15" s="1"/>
  <c r="S25" i="15"/>
  <c r="R25" i="15"/>
  <c r="AD25" i="15" s="1"/>
  <c r="Q25" i="15"/>
  <c r="P25" i="15"/>
  <c r="AB25" i="15" s="1"/>
  <c r="O25" i="15"/>
  <c r="N25" i="15"/>
  <c r="Z25" i="15" s="1"/>
  <c r="M25" i="15"/>
  <c r="L25" i="15"/>
  <c r="K25" i="15"/>
  <c r="J25" i="15"/>
  <c r="I25" i="15"/>
  <c r="H25" i="15"/>
  <c r="G25" i="15"/>
  <c r="F25" i="15"/>
  <c r="E25" i="15"/>
  <c r="D25" i="15"/>
  <c r="AK24" i="15"/>
  <c r="AJ24" i="15"/>
  <c r="AH24" i="15"/>
  <c r="AF24" i="15"/>
  <c r="AD24" i="15"/>
  <c r="AB24" i="15"/>
  <c r="Z24" i="15"/>
  <c r="X24" i="15"/>
  <c r="W24" i="15"/>
  <c r="AI24" i="15" s="1"/>
  <c r="V24" i="15"/>
  <c r="U24" i="15"/>
  <c r="AG24" i="15" s="1"/>
  <c r="T24" i="15"/>
  <c r="S24" i="15"/>
  <c r="AE24" i="15" s="1"/>
  <c r="R24" i="15"/>
  <c r="Q24" i="15"/>
  <c r="AC24" i="15" s="1"/>
  <c r="P24" i="15"/>
  <c r="O24" i="15"/>
  <c r="AA24" i="15" s="1"/>
  <c r="N24" i="15"/>
  <c r="M24" i="15"/>
  <c r="L24" i="15"/>
  <c r="K24" i="15"/>
  <c r="J24" i="15"/>
  <c r="I24" i="15"/>
  <c r="H24" i="15"/>
  <c r="G24" i="15"/>
  <c r="F24" i="15"/>
  <c r="E24" i="15"/>
  <c r="D24" i="15"/>
  <c r="AK23" i="15"/>
  <c r="AI23" i="15"/>
  <c r="AG23" i="15"/>
  <c r="AE23" i="15"/>
  <c r="AC23" i="15"/>
  <c r="AA23" i="15"/>
  <c r="X23" i="15"/>
  <c r="AJ23" i="15" s="1"/>
  <c r="W23" i="15"/>
  <c r="V23" i="15"/>
  <c r="AH23" i="15" s="1"/>
  <c r="U23" i="15"/>
  <c r="T23" i="15"/>
  <c r="AF23" i="15" s="1"/>
  <c r="S23" i="15"/>
  <c r="R23" i="15"/>
  <c r="AD23" i="15" s="1"/>
  <c r="Q23" i="15"/>
  <c r="P23" i="15"/>
  <c r="AB23" i="15" s="1"/>
  <c r="O23" i="15"/>
  <c r="N23" i="15"/>
  <c r="Z23" i="15" s="1"/>
  <c r="M23" i="15"/>
  <c r="L23" i="15"/>
  <c r="K23" i="15"/>
  <c r="J23" i="15"/>
  <c r="I23" i="15"/>
  <c r="H23" i="15"/>
  <c r="G23" i="15"/>
  <c r="F23" i="15"/>
  <c r="E23" i="15"/>
  <c r="D23" i="15"/>
  <c r="AK22" i="15"/>
  <c r="AJ22" i="15"/>
  <c r="AH22" i="15"/>
  <c r="AF22" i="15"/>
  <c r="AD22" i="15"/>
  <c r="AB22" i="15"/>
  <c r="Z22" i="15"/>
  <c r="X22" i="15"/>
  <c r="W22" i="15"/>
  <c r="AI22" i="15" s="1"/>
  <c r="V22" i="15"/>
  <c r="U22" i="15"/>
  <c r="AG22" i="15" s="1"/>
  <c r="T22" i="15"/>
  <c r="S22" i="15"/>
  <c r="AE22" i="15" s="1"/>
  <c r="R22" i="15"/>
  <c r="Q22" i="15"/>
  <c r="AC22" i="15" s="1"/>
  <c r="P22" i="15"/>
  <c r="O22" i="15"/>
  <c r="AA22" i="15" s="1"/>
  <c r="N22" i="15"/>
  <c r="M22" i="15"/>
  <c r="L22" i="15"/>
  <c r="K22" i="15"/>
  <c r="J22" i="15"/>
  <c r="I22" i="15"/>
  <c r="H22" i="15"/>
  <c r="G22" i="15"/>
  <c r="F22" i="15"/>
  <c r="E22" i="15"/>
  <c r="D22" i="15"/>
  <c r="AK21" i="15"/>
  <c r="AI21" i="15"/>
  <c r="AG21" i="15"/>
  <c r="AE21" i="15"/>
  <c r="AC21" i="15"/>
  <c r="AA21" i="15"/>
  <c r="X21" i="15"/>
  <c r="AJ21" i="15" s="1"/>
  <c r="W21" i="15"/>
  <c r="V21" i="15"/>
  <c r="AH21" i="15" s="1"/>
  <c r="U21" i="15"/>
  <c r="T21" i="15"/>
  <c r="AF21" i="15" s="1"/>
  <c r="S21" i="15"/>
  <c r="R21" i="15"/>
  <c r="AD21" i="15" s="1"/>
  <c r="Q21" i="15"/>
  <c r="P21" i="15"/>
  <c r="AB21" i="15" s="1"/>
  <c r="O21" i="15"/>
  <c r="N21" i="15"/>
  <c r="Z21" i="15" s="1"/>
  <c r="M21" i="15"/>
  <c r="L21" i="15"/>
  <c r="K21" i="15"/>
  <c r="J21" i="15"/>
  <c r="I21" i="15"/>
  <c r="H21" i="15"/>
  <c r="G21" i="15"/>
  <c r="F21" i="15"/>
  <c r="E21" i="15"/>
  <c r="D21" i="15"/>
  <c r="AK20" i="15"/>
  <c r="AJ20" i="15"/>
  <c r="AH20" i="15"/>
  <c r="AF20" i="15"/>
  <c r="AD20" i="15"/>
  <c r="AB20" i="15"/>
  <c r="Z20" i="15"/>
  <c r="X20" i="15"/>
  <c r="W20" i="15"/>
  <c r="AI20" i="15" s="1"/>
  <c r="V20" i="15"/>
  <c r="U20" i="15"/>
  <c r="AG20" i="15" s="1"/>
  <c r="T20" i="15"/>
  <c r="S20" i="15"/>
  <c r="AE20" i="15" s="1"/>
  <c r="R20" i="15"/>
  <c r="Q20" i="15"/>
  <c r="AC20" i="15" s="1"/>
  <c r="P20" i="15"/>
  <c r="O20" i="15"/>
  <c r="AA20" i="15" s="1"/>
  <c r="N20" i="15"/>
  <c r="M20" i="15"/>
  <c r="L20" i="15"/>
  <c r="K20" i="15"/>
  <c r="J20" i="15"/>
  <c r="I20" i="15"/>
  <c r="H20" i="15"/>
  <c r="G20" i="15"/>
  <c r="F20" i="15"/>
  <c r="E20" i="15"/>
  <c r="D20" i="15"/>
  <c r="AK19" i="15"/>
  <c r="AI19" i="15"/>
  <c r="AG19" i="15"/>
  <c r="AE19" i="15"/>
  <c r="AC19" i="15"/>
  <c r="AA19" i="15"/>
  <c r="X19" i="15"/>
  <c r="AJ19" i="15" s="1"/>
  <c r="W19" i="15"/>
  <c r="V19" i="15"/>
  <c r="AH19" i="15" s="1"/>
  <c r="U19" i="15"/>
  <c r="T19" i="15"/>
  <c r="AF19" i="15" s="1"/>
  <c r="S19" i="15"/>
  <c r="R19" i="15"/>
  <c r="AD19" i="15" s="1"/>
  <c r="Q19" i="15"/>
  <c r="P19" i="15"/>
  <c r="AB19" i="15" s="1"/>
  <c r="O19" i="15"/>
  <c r="N19" i="15"/>
  <c r="Z19" i="15" s="1"/>
  <c r="M19" i="15"/>
  <c r="L19" i="15"/>
  <c r="K19" i="15"/>
  <c r="J19" i="15"/>
  <c r="I19" i="15"/>
  <c r="H19" i="15"/>
  <c r="G19" i="15"/>
  <c r="F19" i="15"/>
  <c r="E19" i="15"/>
  <c r="D19" i="15"/>
  <c r="AK18" i="15"/>
  <c r="AJ18" i="15"/>
  <c r="AH18" i="15"/>
  <c r="AF18" i="15"/>
  <c r="AD18" i="15"/>
  <c r="AB18" i="15"/>
  <c r="Z18" i="15"/>
  <c r="X18" i="15"/>
  <c r="W18" i="15"/>
  <c r="AI18" i="15" s="1"/>
  <c r="V18" i="15"/>
  <c r="U18" i="15"/>
  <c r="AG18" i="15" s="1"/>
  <c r="T18" i="15"/>
  <c r="S18" i="15"/>
  <c r="AE18" i="15" s="1"/>
  <c r="R18" i="15"/>
  <c r="Q18" i="15"/>
  <c r="AC18" i="15" s="1"/>
  <c r="P18" i="15"/>
  <c r="O18" i="15"/>
  <c r="AA18" i="15" s="1"/>
  <c r="N18" i="15"/>
  <c r="M18" i="15"/>
  <c r="L18" i="15"/>
  <c r="K18" i="15"/>
  <c r="J18" i="15"/>
  <c r="I18" i="15"/>
  <c r="H18" i="15"/>
  <c r="G18" i="15"/>
  <c r="F18" i="15"/>
  <c r="E18" i="15"/>
  <c r="D18" i="15"/>
  <c r="AK17" i="15"/>
  <c r="AI17" i="15"/>
  <c r="AG17" i="15"/>
  <c r="AE17" i="15"/>
  <c r="AC17" i="15"/>
  <c r="AA17" i="15"/>
  <c r="X17" i="15"/>
  <c r="AJ17" i="15" s="1"/>
  <c r="W17" i="15"/>
  <c r="V17" i="15"/>
  <c r="AH17" i="15" s="1"/>
  <c r="U17" i="15"/>
  <c r="T17" i="15"/>
  <c r="AF17" i="15" s="1"/>
  <c r="S17" i="15"/>
  <c r="R17" i="15"/>
  <c r="AD17" i="15" s="1"/>
  <c r="Q17" i="15"/>
  <c r="P17" i="15"/>
  <c r="AB17" i="15" s="1"/>
  <c r="O17" i="15"/>
  <c r="N17" i="15"/>
  <c r="Z17" i="15" s="1"/>
  <c r="M17" i="15"/>
  <c r="L17" i="15"/>
  <c r="K17" i="15"/>
  <c r="J17" i="15"/>
  <c r="I17" i="15"/>
  <c r="H17" i="15"/>
  <c r="G17" i="15"/>
  <c r="F17" i="15"/>
  <c r="E17" i="15"/>
  <c r="D17" i="15"/>
  <c r="AK16" i="15"/>
  <c r="AJ16" i="15"/>
  <c r="AH16" i="15"/>
  <c r="AF16" i="15"/>
  <c r="AD16" i="15"/>
  <c r="AB16" i="15"/>
  <c r="Z16" i="15"/>
  <c r="X16" i="15"/>
  <c r="W16" i="15"/>
  <c r="AI16" i="15" s="1"/>
  <c r="V16" i="15"/>
  <c r="U16" i="15"/>
  <c r="AG16" i="15" s="1"/>
  <c r="T16" i="15"/>
  <c r="S16" i="15"/>
  <c r="AE16" i="15" s="1"/>
  <c r="R16" i="15"/>
  <c r="Q16" i="15"/>
  <c r="AC16" i="15" s="1"/>
  <c r="P16" i="15"/>
  <c r="O16" i="15"/>
  <c r="AA16" i="15" s="1"/>
  <c r="N16" i="15"/>
  <c r="M16" i="15"/>
  <c r="L16" i="15"/>
  <c r="K16" i="15"/>
  <c r="J16" i="15"/>
  <c r="I16" i="15"/>
  <c r="H16" i="15"/>
  <c r="G16" i="15"/>
  <c r="F16" i="15"/>
  <c r="E16" i="15"/>
  <c r="D16" i="15"/>
  <c r="AK15" i="15"/>
  <c r="AI15" i="15"/>
  <c r="AG15" i="15"/>
  <c r="AE15" i="15"/>
  <c r="AC15" i="15"/>
  <c r="AA15" i="15"/>
  <c r="X15" i="15"/>
  <c r="AJ15" i="15" s="1"/>
  <c r="W15" i="15"/>
  <c r="V15" i="15"/>
  <c r="AH15" i="15" s="1"/>
  <c r="U15" i="15"/>
  <c r="T15" i="15"/>
  <c r="S15" i="15"/>
  <c r="R15" i="15"/>
  <c r="AD15" i="15" s="1"/>
  <c r="Q15" i="15"/>
  <c r="P15" i="15"/>
  <c r="O15" i="15"/>
  <c r="N15" i="15"/>
  <c r="Z15" i="15" s="1"/>
  <c r="M15" i="15"/>
  <c r="L15" i="15"/>
  <c r="L33" i="15" s="1"/>
  <c r="L34" i="15" s="1"/>
  <c r="K15" i="15"/>
  <c r="J15" i="15"/>
  <c r="I15" i="15"/>
  <c r="H15" i="15"/>
  <c r="H33" i="15" s="1"/>
  <c r="G15" i="15"/>
  <c r="F15" i="15"/>
  <c r="E15" i="15"/>
  <c r="D15" i="15"/>
  <c r="D33" i="15" s="1"/>
  <c r="AK14" i="15"/>
  <c r="AJ14" i="15"/>
  <c r="AH14" i="15"/>
  <c r="AF14" i="15"/>
  <c r="AD14" i="15"/>
  <c r="AB14" i="15"/>
  <c r="Z14" i="15"/>
  <c r="X14" i="15"/>
  <c r="W14" i="15"/>
  <c r="AI14" i="15" s="1"/>
  <c r="V14" i="15"/>
  <c r="U14" i="15"/>
  <c r="AG14" i="15" s="1"/>
  <c r="T14" i="15"/>
  <c r="S14" i="15"/>
  <c r="AE14" i="15" s="1"/>
  <c r="R14" i="15"/>
  <c r="Q14" i="15"/>
  <c r="AC14" i="15" s="1"/>
  <c r="P14" i="15"/>
  <c r="O14" i="15"/>
  <c r="AA14" i="15" s="1"/>
  <c r="N14" i="15"/>
  <c r="M14" i="15"/>
  <c r="L14" i="15"/>
  <c r="K14" i="15"/>
  <c r="J14" i="15"/>
  <c r="I14" i="15"/>
  <c r="H14" i="15"/>
  <c r="G14" i="15"/>
  <c r="F14" i="15"/>
  <c r="E14" i="15"/>
  <c r="D14" i="15"/>
  <c r="AK13" i="15"/>
  <c r="AI13" i="15"/>
  <c r="AG13" i="15"/>
  <c r="AE13" i="15"/>
  <c r="AC13" i="15"/>
  <c r="AA13" i="15"/>
  <c r="X13" i="15"/>
  <c r="AJ13" i="15" s="1"/>
  <c r="W13" i="15"/>
  <c r="V13" i="15"/>
  <c r="U13" i="15"/>
  <c r="T13" i="15"/>
  <c r="AF13" i="15" s="1"/>
  <c r="S13" i="15"/>
  <c r="R13" i="15"/>
  <c r="Q13" i="15"/>
  <c r="P13" i="15"/>
  <c r="AB13" i="15" s="1"/>
  <c r="O13" i="15"/>
  <c r="N13" i="15"/>
  <c r="M13" i="15"/>
  <c r="L13" i="15"/>
  <c r="K13" i="15"/>
  <c r="J13" i="15"/>
  <c r="I13" i="15"/>
  <c r="H13" i="15"/>
  <c r="G13" i="15"/>
  <c r="F13" i="15"/>
  <c r="E13" i="15"/>
  <c r="D13" i="15"/>
  <c r="AK11" i="15"/>
  <c r="AI11" i="15"/>
  <c r="AG11" i="15"/>
  <c r="AE11" i="15"/>
  <c r="AC11" i="15"/>
  <c r="AA11" i="15"/>
  <c r="X11" i="15"/>
  <c r="AJ11" i="15" s="1"/>
  <c r="W11" i="15"/>
  <c r="V11" i="15"/>
  <c r="AH11" i="15" s="1"/>
  <c r="U11" i="15"/>
  <c r="T11" i="15"/>
  <c r="AF11" i="15" s="1"/>
  <c r="S11" i="15"/>
  <c r="R11" i="15"/>
  <c r="AD11" i="15" s="1"/>
  <c r="Q11" i="15"/>
  <c r="P11" i="15"/>
  <c r="AB11" i="15" s="1"/>
  <c r="O11" i="15"/>
  <c r="N11" i="15"/>
  <c r="Z11" i="15" s="1"/>
  <c r="M11" i="15"/>
  <c r="L11" i="15"/>
  <c r="K11" i="15"/>
  <c r="J11" i="15"/>
  <c r="I11" i="15"/>
  <c r="H11" i="15"/>
  <c r="G11" i="15"/>
  <c r="F11" i="15"/>
  <c r="E11" i="15"/>
  <c r="D11" i="15"/>
  <c r="AK10" i="15"/>
  <c r="AJ10" i="15"/>
  <c r="AH10" i="15"/>
  <c r="AF10" i="15"/>
  <c r="AD10" i="15"/>
  <c r="AB10" i="15"/>
  <c r="Z10" i="15"/>
  <c r="X10" i="15"/>
  <c r="W10" i="15"/>
  <c r="AI10" i="15" s="1"/>
  <c r="V10" i="15"/>
  <c r="U10" i="15"/>
  <c r="AG10" i="15" s="1"/>
  <c r="T10" i="15"/>
  <c r="S10" i="15"/>
  <c r="AE10" i="15" s="1"/>
  <c r="R10" i="15"/>
  <c r="Q10" i="15"/>
  <c r="AC10" i="15" s="1"/>
  <c r="P10" i="15"/>
  <c r="O10" i="15"/>
  <c r="AA10" i="15" s="1"/>
  <c r="N10" i="15"/>
  <c r="M10" i="15"/>
  <c r="L10" i="15"/>
  <c r="K10" i="15"/>
  <c r="J10" i="15"/>
  <c r="I10" i="15"/>
  <c r="H10" i="15"/>
  <c r="G10" i="15"/>
  <c r="F10" i="15"/>
  <c r="E10" i="15"/>
  <c r="D10" i="15"/>
  <c r="X9" i="15"/>
  <c r="W9" i="15"/>
  <c r="V9" i="15"/>
  <c r="U9" i="15"/>
  <c r="T9" i="15"/>
  <c r="S9" i="15"/>
  <c r="R9" i="15"/>
  <c r="Q9" i="15"/>
  <c r="P9" i="15"/>
  <c r="O9" i="15"/>
  <c r="N9" i="15"/>
  <c r="M9" i="15"/>
  <c r="L9" i="15"/>
  <c r="K9" i="15"/>
  <c r="J9" i="15"/>
  <c r="I9" i="15"/>
  <c r="H9" i="15"/>
  <c r="G9" i="15"/>
  <c r="F9" i="15"/>
  <c r="E9" i="15"/>
  <c r="D9" i="15"/>
  <c r="AK6" i="15"/>
  <c r="AJ6" i="15"/>
  <c r="AH6" i="15"/>
  <c r="AF6" i="15"/>
  <c r="AD6" i="15"/>
  <c r="AB6" i="15"/>
  <c r="Z6" i="15"/>
  <c r="X6" i="15"/>
  <c r="W6" i="15"/>
  <c r="AI6" i="15" s="1"/>
  <c r="V6" i="15"/>
  <c r="U6" i="15"/>
  <c r="AG6" i="15" s="1"/>
  <c r="T6" i="15"/>
  <c r="S6" i="15"/>
  <c r="AE6" i="15" s="1"/>
  <c r="R6" i="15"/>
  <c r="Q6" i="15"/>
  <c r="AC6" i="15" s="1"/>
  <c r="P6" i="15"/>
  <c r="O6" i="15"/>
  <c r="AA6" i="15" s="1"/>
  <c r="N6" i="15"/>
  <c r="M6" i="15"/>
  <c r="L6" i="15"/>
  <c r="K6" i="15"/>
  <c r="J6" i="15"/>
  <c r="I6" i="15"/>
  <c r="H6" i="15"/>
  <c r="G6" i="15"/>
  <c r="F6" i="15"/>
  <c r="E6" i="15"/>
  <c r="D6" i="15"/>
  <c r="AK5" i="15"/>
  <c r="AI5" i="15"/>
  <c r="AG5" i="15"/>
  <c r="AE5" i="15"/>
  <c r="AC5" i="15"/>
  <c r="AA5" i="15"/>
  <c r="X5" i="15"/>
  <c r="AJ5" i="15" s="1"/>
  <c r="W5" i="15"/>
  <c r="V5" i="15"/>
  <c r="AH5" i="15" s="1"/>
  <c r="U5" i="15"/>
  <c r="T5" i="15"/>
  <c r="AF5" i="15" s="1"/>
  <c r="S5" i="15"/>
  <c r="R5" i="15"/>
  <c r="AD5" i="15" s="1"/>
  <c r="Q5" i="15"/>
  <c r="P5" i="15"/>
  <c r="AB5" i="15" s="1"/>
  <c r="O5" i="15"/>
  <c r="N5" i="15"/>
  <c r="Z5" i="15" s="1"/>
  <c r="M5" i="15"/>
  <c r="L5" i="15"/>
  <c r="K5" i="15"/>
  <c r="J5" i="15"/>
  <c r="I5" i="15"/>
  <c r="H5" i="15"/>
  <c r="G5" i="15"/>
  <c r="F5" i="15"/>
  <c r="E5" i="15"/>
  <c r="D5" i="15"/>
  <c r="X4" i="15"/>
  <c r="W4" i="15"/>
  <c r="V4" i="15"/>
  <c r="U4" i="15"/>
  <c r="T4" i="15"/>
  <c r="S4" i="15"/>
  <c r="R4" i="15"/>
  <c r="Q4" i="15"/>
  <c r="P4" i="15"/>
  <c r="O4" i="15"/>
  <c r="N4" i="15"/>
  <c r="M4" i="15"/>
  <c r="L4" i="15"/>
  <c r="K4" i="15"/>
  <c r="J4" i="15"/>
  <c r="I4" i="15"/>
  <c r="H4" i="15"/>
  <c r="G4" i="15"/>
  <c r="F4" i="15"/>
  <c r="E4" i="15"/>
  <c r="D4" i="15"/>
  <c r="C4" i="15"/>
  <c r="O3" i="15"/>
  <c r="P3" i="15" s="1"/>
  <c r="Q3" i="15" s="1"/>
  <c r="R3" i="15" s="1"/>
  <c r="S3" i="15" s="1"/>
  <c r="T3" i="15" s="1"/>
  <c r="U3" i="15" s="1"/>
  <c r="V3" i="15" s="1"/>
  <c r="W3" i="15" s="1"/>
  <c r="X3" i="15" s="1"/>
  <c r="D19" i="14"/>
  <c r="D17" i="14"/>
  <c r="D16" i="14"/>
  <c r="D14" i="14"/>
  <c r="D13" i="14"/>
  <c r="D8" i="14"/>
  <c r="O8" i="14" s="1"/>
  <c r="C8" i="14" a="1"/>
  <c r="C8" i="14" s="1"/>
  <c r="D7" i="14"/>
  <c r="O7" i="14" s="1"/>
  <c r="D6" i="14"/>
  <c r="K6" i="14" s="1"/>
  <c r="D5" i="14"/>
  <c r="K5" i="14" s="1"/>
  <c r="K4" i="14"/>
  <c r="I89" i="13"/>
  <c r="H89" i="13"/>
  <c r="H90" i="13" s="1"/>
  <c r="E77" i="13" s="1"/>
  <c r="G89" i="13"/>
  <c r="F89" i="13"/>
  <c r="F90" i="13" s="1"/>
  <c r="E73" i="13"/>
  <c r="E72" i="13"/>
  <c r="R64" i="13"/>
  <c r="S63" i="13"/>
  <c r="T63" i="13" s="1"/>
  <c r="F61" i="13"/>
  <c r="S49" i="13"/>
  <c r="R49" i="13"/>
  <c r="F45" i="13"/>
  <c r="M40" i="13"/>
  <c r="M41" i="13" s="1"/>
  <c r="M43" i="13" s="1"/>
  <c r="M47" i="13" s="1"/>
  <c r="L40" i="13"/>
  <c r="L41" i="13" s="1"/>
  <c r="L43" i="13" s="1"/>
  <c r="K40" i="13"/>
  <c r="K41" i="13" s="1"/>
  <c r="K43" i="13" s="1"/>
  <c r="J40" i="13"/>
  <c r="J41" i="13" s="1"/>
  <c r="J43" i="13" s="1"/>
  <c r="J47" i="13" s="1"/>
  <c r="I40" i="13"/>
  <c r="I41" i="13" s="1"/>
  <c r="I43" i="13" s="1"/>
  <c r="I47" i="13" s="1"/>
  <c r="H40" i="13"/>
  <c r="H41" i="13" s="1"/>
  <c r="H43" i="13" s="1"/>
  <c r="G40" i="13"/>
  <c r="G41" i="13" s="1"/>
  <c r="G43" i="13" s="1"/>
  <c r="F40" i="13"/>
  <c r="F41" i="13" s="1"/>
  <c r="F43" i="13" s="1"/>
  <c r="F47" i="13" s="1"/>
  <c r="M38" i="13"/>
  <c r="R57" i="13" s="1"/>
  <c r="L38" i="13"/>
  <c r="R56" i="13" s="1"/>
  <c r="K38" i="13"/>
  <c r="R55" i="13" s="1"/>
  <c r="J38" i="13"/>
  <c r="R54" i="13" s="1"/>
  <c r="I38" i="13"/>
  <c r="R53" i="13" s="1"/>
  <c r="H38" i="13"/>
  <c r="R52" i="13" s="1"/>
  <c r="G38" i="13"/>
  <c r="R51" i="13" s="1"/>
  <c r="F38" i="13"/>
  <c r="R50" i="13" s="1"/>
  <c r="R33" i="13"/>
  <c r="R32" i="13"/>
  <c r="S31" i="13"/>
  <c r="T31" i="13" s="1"/>
  <c r="U31" i="13" s="1"/>
  <c r="V31" i="13" s="1"/>
  <c r="W31" i="13" s="1"/>
  <c r="X31" i="13" s="1"/>
  <c r="Y31" i="13" s="1"/>
  <c r="Z31" i="13" s="1"/>
  <c r="AA31" i="13" s="1"/>
  <c r="AB31" i="13" s="1"/>
  <c r="AC31" i="13" s="1"/>
  <c r="AD31" i="13" s="1"/>
  <c r="AE31" i="13" s="1"/>
  <c r="AF31" i="13" s="1"/>
  <c r="AG31" i="13" s="1"/>
  <c r="AH31" i="13" s="1"/>
  <c r="AI31" i="13" s="1"/>
  <c r="AJ31" i="13" s="1"/>
  <c r="AK31" i="13" s="1"/>
  <c r="AL31" i="13" s="1"/>
  <c r="AM31" i="13" s="1"/>
  <c r="AN31" i="13" s="1"/>
  <c r="AO31" i="13" s="1"/>
  <c r="AP31" i="13" s="1"/>
  <c r="AQ31" i="13" s="1"/>
  <c r="AR31" i="13" s="1"/>
  <c r="AS31" i="13" s="1"/>
  <c r="AT31" i="13" s="1"/>
  <c r="AU31" i="13" s="1"/>
  <c r="AV31" i="13" s="1"/>
  <c r="AW31" i="13" s="1"/>
  <c r="AX31" i="13" s="1"/>
  <c r="AY31" i="13" s="1"/>
  <c r="AZ31" i="13" s="1"/>
  <c r="BA31" i="13" s="1"/>
  <c r="BB31" i="13" s="1"/>
  <c r="BC31" i="13" s="1"/>
  <c r="BD31" i="13" s="1"/>
  <c r="BE31" i="13" s="1"/>
  <c r="BF31" i="13" s="1"/>
  <c r="BG31" i="13" s="1"/>
  <c r="F30" i="13"/>
  <c r="F28" i="13"/>
  <c r="R24" i="13"/>
  <c r="R23" i="13"/>
  <c r="S22" i="13"/>
  <c r="T22" i="13" s="1"/>
  <c r="U22" i="13" s="1"/>
  <c r="W747" i="12"/>
  <c r="V746" i="12"/>
  <c r="N744" i="12"/>
  <c r="N57" i="12" s="1"/>
  <c r="M744" i="12"/>
  <c r="M57" i="12" s="1"/>
  <c r="L744" i="12"/>
  <c r="L57" i="12" s="1"/>
  <c r="K744" i="12"/>
  <c r="K57" i="12" s="1"/>
  <c r="J744" i="12"/>
  <c r="J57" i="12" s="1"/>
  <c r="I744" i="12"/>
  <c r="I57" i="12" s="1"/>
  <c r="H744" i="12"/>
  <c r="H57" i="12" s="1"/>
  <c r="G744" i="12"/>
  <c r="G57" i="12" s="1"/>
  <c r="W736" i="12"/>
  <c r="X736" i="12" s="1"/>
  <c r="V736" i="12"/>
  <c r="G734" i="12"/>
  <c r="G727" i="12"/>
  <c r="D721" i="12"/>
  <c r="W711" i="12"/>
  <c r="X711" i="12" s="1"/>
  <c r="V710" i="12"/>
  <c r="W700" i="12"/>
  <c r="X700" i="12" s="1"/>
  <c r="Y700" i="12" s="1"/>
  <c r="Z700" i="12" s="1"/>
  <c r="V699" i="12"/>
  <c r="W689" i="12"/>
  <c r="X689" i="12" s="1"/>
  <c r="V688" i="12"/>
  <c r="V686" i="12"/>
  <c r="W685" i="12"/>
  <c r="X685" i="12" s="1"/>
  <c r="G672" i="12"/>
  <c r="G669" i="12"/>
  <c r="G668" i="12"/>
  <c r="D665" i="12"/>
  <c r="W654" i="12"/>
  <c r="V647" i="12"/>
  <c r="V644" i="12"/>
  <c r="V643" i="12"/>
  <c r="V642" i="12"/>
  <c r="V640" i="12"/>
  <c r="V639" i="12"/>
  <c r="V638" i="12"/>
  <c r="V635" i="12"/>
  <c r="V634" i="12"/>
  <c r="V633" i="12"/>
  <c r="W631" i="12"/>
  <c r="X631" i="12" s="1"/>
  <c r="V630" i="12"/>
  <c r="H625" i="12"/>
  <c r="G625" i="12"/>
  <c r="H624" i="12"/>
  <c r="G624" i="12"/>
  <c r="H623" i="12"/>
  <c r="G623" i="12"/>
  <c r="J608" i="12"/>
  <c r="I608" i="12"/>
  <c r="H608" i="12"/>
  <c r="G608" i="12"/>
  <c r="H601" i="12"/>
  <c r="G601" i="12"/>
  <c r="F601" i="12"/>
  <c r="F606" i="12" s="1"/>
  <c r="H596" i="12"/>
  <c r="G596" i="12"/>
  <c r="H595" i="12"/>
  <c r="H600" i="12" s="1"/>
  <c r="H605" i="12" s="1"/>
  <c r="G595" i="12"/>
  <c r="G600" i="12" s="1"/>
  <c r="G605" i="12" s="1"/>
  <c r="H594" i="12"/>
  <c r="V616" i="12" s="1"/>
  <c r="G594" i="12"/>
  <c r="G599" i="12" s="1"/>
  <c r="G604" i="12" s="1"/>
  <c r="V615" i="12" s="1"/>
  <c r="D591" i="12"/>
  <c r="W580" i="12"/>
  <c r="V579" i="12"/>
  <c r="I573" i="12"/>
  <c r="G573" i="12"/>
  <c r="I572" i="12"/>
  <c r="G572" i="12"/>
  <c r="I571" i="12"/>
  <c r="G571" i="12"/>
  <c r="I570" i="12"/>
  <c r="G570" i="12"/>
  <c r="I569" i="12"/>
  <c r="G569" i="12"/>
  <c r="V563" i="12"/>
  <c r="V562" i="12"/>
  <c r="W558" i="12"/>
  <c r="V556" i="12"/>
  <c r="D553" i="12"/>
  <c r="W536" i="12"/>
  <c r="X536" i="12" s="1"/>
  <c r="V535" i="12"/>
  <c r="V525" i="12"/>
  <c r="V509" i="12"/>
  <c r="V521" i="12" s="1"/>
  <c r="W504" i="12"/>
  <c r="G496" i="12"/>
  <c r="H495" i="12"/>
  <c r="G495" i="12"/>
  <c r="H494" i="12"/>
  <c r="G494" i="12"/>
  <c r="E494" i="12"/>
  <c r="V508" i="12" s="1"/>
  <c r="V515" i="12" s="1"/>
  <c r="V520" i="12" s="1"/>
  <c r="H493" i="12"/>
  <c r="G493" i="12"/>
  <c r="E493" i="12"/>
  <c r="V507" i="12" s="1"/>
  <c r="V514" i="12" s="1"/>
  <c r="V519" i="12" s="1"/>
  <c r="H492" i="12"/>
  <c r="G492" i="12"/>
  <c r="E492" i="12"/>
  <c r="V506" i="12" s="1"/>
  <c r="V513" i="12" s="1"/>
  <c r="V518" i="12" s="1"/>
  <c r="H491" i="12"/>
  <c r="G491" i="12"/>
  <c r="K188" i="16" s="1"/>
  <c r="E491" i="12"/>
  <c r="V505" i="12" s="1"/>
  <c r="V512" i="12" s="1"/>
  <c r="V517" i="12" s="1"/>
  <c r="D487" i="12"/>
  <c r="K469" i="12"/>
  <c r="G469" i="12"/>
  <c r="E477" i="12" s="1"/>
  <c r="F477" i="12" s="1"/>
  <c r="E469" i="12"/>
  <c r="K468" i="12"/>
  <c r="G468" i="12"/>
  <c r="E476" i="12" s="1"/>
  <c r="F476" i="12" s="1"/>
  <c r="E468" i="12"/>
  <c r="K467" i="12"/>
  <c r="G467" i="12"/>
  <c r="E467" i="12"/>
  <c r="D462" i="12"/>
  <c r="W451" i="12"/>
  <c r="V450" i="12"/>
  <c r="J448" i="12"/>
  <c r="I448" i="12"/>
  <c r="H448" i="12"/>
  <c r="G448" i="12"/>
  <c r="G55" i="12" s="1"/>
  <c r="W437" i="12"/>
  <c r="X437" i="12" s="1"/>
  <c r="Y437" i="12" s="1"/>
  <c r="Z437" i="12" s="1"/>
  <c r="AA437" i="12" s="1"/>
  <c r="AB437" i="12" s="1"/>
  <c r="AC437" i="12" s="1"/>
  <c r="AD437" i="12" s="1"/>
  <c r="AE437" i="12" s="1"/>
  <c r="AF437" i="12" s="1"/>
  <c r="AG437" i="12" s="1"/>
  <c r="AH437" i="12" s="1"/>
  <c r="AI437" i="12" s="1"/>
  <c r="AJ437" i="12" s="1"/>
  <c r="AK437" i="12" s="1"/>
  <c r="AL437" i="12" s="1"/>
  <c r="AM437" i="12" s="1"/>
  <c r="AN437" i="12" s="1"/>
  <c r="AO437" i="12" s="1"/>
  <c r="AP437" i="12" s="1"/>
  <c r="AQ437" i="12" s="1"/>
  <c r="AR437" i="12" s="1"/>
  <c r="AS437" i="12" s="1"/>
  <c r="AT437" i="12" s="1"/>
  <c r="AU437" i="12" s="1"/>
  <c r="AV437" i="12" s="1"/>
  <c r="AW437" i="12" s="1"/>
  <c r="AX437" i="12" s="1"/>
  <c r="AY437" i="12" s="1"/>
  <c r="AZ437" i="12" s="1"/>
  <c r="BA437" i="12" s="1"/>
  <c r="BB437" i="12" s="1"/>
  <c r="BC437" i="12" s="1"/>
  <c r="BD437" i="12" s="1"/>
  <c r="BE437" i="12" s="1"/>
  <c r="BF437" i="12" s="1"/>
  <c r="BG437" i="12" s="1"/>
  <c r="BH437" i="12" s="1"/>
  <c r="BI437" i="12" s="1"/>
  <c r="BJ437" i="12" s="1"/>
  <c r="BK437" i="12" s="1"/>
  <c r="W426" i="12"/>
  <c r="J423" i="12"/>
  <c r="J29" i="12" s="1"/>
  <c r="J30" i="12" s="1"/>
  <c r="I423" i="12"/>
  <c r="I29" i="12" s="1"/>
  <c r="I30" i="12" s="1"/>
  <c r="H423" i="12"/>
  <c r="H29" i="12" s="1"/>
  <c r="H30" i="12" s="1"/>
  <c r="G423" i="12"/>
  <c r="G29" i="12" s="1"/>
  <c r="G30" i="12" s="1"/>
  <c r="V414" i="12"/>
  <c r="W413" i="12"/>
  <c r="G411" i="12"/>
  <c r="V407" i="12"/>
  <c r="V405" i="12"/>
  <c r="V404" i="12"/>
  <c r="V403" i="12"/>
  <c r="V396" i="12"/>
  <c r="V401" i="12" s="1"/>
  <c r="V395" i="12"/>
  <c r="V400" i="12" s="1"/>
  <c r="V394" i="12"/>
  <c r="V399" i="12" s="1"/>
  <c r="W392" i="12"/>
  <c r="V391" i="12"/>
  <c r="H388" i="12"/>
  <c r="G388" i="12"/>
  <c r="J188" i="16" s="1"/>
  <c r="H387" i="12"/>
  <c r="G387" i="12"/>
  <c r="H386" i="12"/>
  <c r="G386" i="12"/>
  <c r="V379" i="12"/>
  <c r="V377" i="12"/>
  <c r="V376" i="12"/>
  <c r="V375" i="12"/>
  <c r="V374" i="12"/>
  <c r="V372" i="12"/>
  <c r="V371" i="12"/>
  <c r="V370" i="12"/>
  <c r="V369" i="12"/>
  <c r="BK363" i="12"/>
  <c r="BJ363" i="12"/>
  <c r="BI363" i="12"/>
  <c r="BH363" i="12"/>
  <c r="BG363" i="12"/>
  <c r="BF363" i="12"/>
  <c r="BE363" i="12"/>
  <c r="BD363" i="12"/>
  <c r="BC363" i="12"/>
  <c r="BB363" i="12"/>
  <c r="BA363" i="12"/>
  <c r="AZ363" i="12"/>
  <c r="AY363" i="12"/>
  <c r="AX363" i="12"/>
  <c r="AW363" i="12"/>
  <c r="AV363" i="12"/>
  <c r="AU363" i="12"/>
  <c r="AT363" i="12"/>
  <c r="AS363" i="12"/>
  <c r="AR363" i="12"/>
  <c r="AQ363" i="12"/>
  <c r="AP363" i="12"/>
  <c r="AO363" i="12"/>
  <c r="AN363" i="12"/>
  <c r="AM363" i="12"/>
  <c r="AL363" i="12"/>
  <c r="AK363" i="12"/>
  <c r="AJ363" i="12"/>
  <c r="AI363" i="12"/>
  <c r="AH363" i="12"/>
  <c r="AG363" i="12"/>
  <c r="AF363" i="12"/>
  <c r="AE363" i="12"/>
  <c r="AD363" i="12"/>
  <c r="AC363" i="12"/>
  <c r="AB363" i="12"/>
  <c r="AA363" i="12"/>
  <c r="Z363" i="12"/>
  <c r="Y363" i="12"/>
  <c r="X363" i="12"/>
  <c r="W363" i="12"/>
  <c r="W361" i="12"/>
  <c r="V360" i="12"/>
  <c r="F358" i="12"/>
  <c r="F357" i="12"/>
  <c r="F356" i="12"/>
  <c r="F355" i="12"/>
  <c r="G351" i="12"/>
  <c r="D349" i="12"/>
  <c r="G347" i="12"/>
  <c r="G41" i="12" s="1"/>
  <c r="E121" i="6" s="1"/>
  <c r="B19" i="7" s="1"/>
  <c r="D345" i="12"/>
  <c r="D343" i="12"/>
  <c r="V332" i="12"/>
  <c r="V322" i="12"/>
  <c r="W312" i="12"/>
  <c r="W301" i="12"/>
  <c r="V289" i="12"/>
  <c r="W273" i="12"/>
  <c r="X273" i="12" s="1"/>
  <c r="H271" i="12"/>
  <c r="G271" i="12"/>
  <c r="Y188" i="16" s="1"/>
  <c r="E271" i="12"/>
  <c r="V277" i="12" s="1"/>
  <c r="H270" i="12"/>
  <c r="G270" i="12"/>
  <c r="X188" i="16" s="1"/>
  <c r="E270" i="12"/>
  <c r="V276" i="12" s="1"/>
  <c r="H269" i="12"/>
  <c r="G269" i="12"/>
  <c r="W188" i="16" s="1"/>
  <c r="E269" i="12"/>
  <c r="V275" i="12" s="1"/>
  <c r="T257" i="12"/>
  <c r="V254" i="12"/>
  <c r="V252" i="12"/>
  <c r="V251" i="12"/>
  <c r="V250" i="12"/>
  <c r="U232" i="12"/>
  <c r="H228" i="12"/>
  <c r="G228" i="12"/>
  <c r="F228" i="12"/>
  <c r="E228" i="12"/>
  <c r="V246" i="12" s="1"/>
  <c r="H227" i="12"/>
  <c r="G227" i="12"/>
  <c r="O188" i="16" s="1"/>
  <c r="F227" i="12"/>
  <c r="E227" i="12"/>
  <c r="V245" i="12" s="1"/>
  <c r="H226" i="12"/>
  <c r="G226" i="12"/>
  <c r="N188" i="16" s="1"/>
  <c r="F226" i="12"/>
  <c r="E226" i="12"/>
  <c r="V244" i="12" s="1"/>
  <c r="H225" i="12"/>
  <c r="G225" i="12"/>
  <c r="M188" i="16" s="1"/>
  <c r="F225" i="12"/>
  <c r="E225" i="12"/>
  <c r="V243" i="12" s="1"/>
  <c r="H224" i="12"/>
  <c r="G224" i="12"/>
  <c r="F224" i="12"/>
  <c r="E224" i="12"/>
  <c r="V242" i="12" s="1"/>
  <c r="H223" i="12"/>
  <c r="G223" i="12"/>
  <c r="F223" i="12"/>
  <c r="E223" i="12"/>
  <c r="V241" i="12" s="1"/>
  <c r="V219" i="12"/>
  <c r="G216" i="12"/>
  <c r="G188" i="16" s="1"/>
  <c r="V212" i="12"/>
  <c r="V210" i="12"/>
  <c r="V209" i="12"/>
  <c r="V208" i="12"/>
  <c r="V201" i="12"/>
  <c r="V206" i="12" s="1"/>
  <c r="V200" i="12"/>
  <c r="V205" i="12" s="1"/>
  <c r="V199" i="12"/>
  <c r="V204" i="12" s="1"/>
  <c r="H196" i="12"/>
  <c r="G196" i="12"/>
  <c r="I188" i="16" s="1"/>
  <c r="H195" i="12"/>
  <c r="G195" i="12"/>
  <c r="H194" i="12"/>
  <c r="G194" i="12"/>
  <c r="V187" i="12"/>
  <c r="W166" i="12"/>
  <c r="X166" i="12" s="1"/>
  <c r="Y166" i="12" s="1"/>
  <c r="H164" i="12"/>
  <c r="G164" i="12"/>
  <c r="U188" i="16" s="1"/>
  <c r="E164" i="12"/>
  <c r="V172" i="12" s="1"/>
  <c r="V179" i="12" s="1"/>
  <c r="H163" i="12"/>
  <c r="G163" i="12"/>
  <c r="F188" i="16" s="1"/>
  <c r="E163" i="12"/>
  <c r="H162" i="12"/>
  <c r="G162" i="12"/>
  <c r="E162" i="12"/>
  <c r="V170" i="12" s="1"/>
  <c r="V177" i="12" s="1"/>
  <c r="H161" i="12"/>
  <c r="G161" i="12"/>
  <c r="E161" i="12"/>
  <c r="V182" i="12" s="1"/>
  <c r="H160" i="12"/>
  <c r="G160" i="12"/>
  <c r="E160" i="12"/>
  <c r="V168" i="12" s="1"/>
  <c r="V175" i="12" s="1"/>
  <c r="D155" i="12"/>
  <c r="W144" i="12"/>
  <c r="X144" i="12" s="1"/>
  <c r="Y144" i="12" s="1"/>
  <c r="Z144" i="12" s="1"/>
  <c r="AA144" i="12" s="1"/>
  <c r="AB144" i="12" s="1"/>
  <c r="AC144" i="12" s="1"/>
  <c r="AD144" i="12" s="1"/>
  <c r="AE144" i="12" s="1"/>
  <c r="AF144" i="12" s="1"/>
  <c r="AG144" i="12" s="1"/>
  <c r="AH144" i="12" s="1"/>
  <c r="AI144" i="12" s="1"/>
  <c r="AJ144" i="12" s="1"/>
  <c r="AK144" i="12" s="1"/>
  <c r="AL144" i="12" s="1"/>
  <c r="AM144" i="12" s="1"/>
  <c r="AN144" i="12" s="1"/>
  <c r="AO144" i="12" s="1"/>
  <c r="AP144" i="12" s="1"/>
  <c r="AQ144" i="12" s="1"/>
  <c r="AR144" i="12" s="1"/>
  <c r="AS144" i="12" s="1"/>
  <c r="AT144" i="12" s="1"/>
  <c r="AU144" i="12" s="1"/>
  <c r="AV144" i="12" s="1"/>
  <c r="AW144" i="12" s="1"/>
  <c r="AX144" i="12" s="1"/>
  <c r="AY144" i="12" s="1"/>
  <c r="AZ144" i="12" s="1"/>
  <c r="BA144" i="12" s="1"/>
  <c r="BB144" i="12" s="1"/>
  <c r="BC144" i="12" s="1"/>
  <c r="BD144" i="12" s="1"/>
  <c r="BE144" i="12" s="1"/>
  <c r="BF144" i="12" s="1"/>
  <c r="BG144" i="12" s="1"/>
  <c r="BH144" i="12" s="1"/>
  <c r="BI144" i="12" s="1"/>
  <c r="BJ144" i="12" s="1"/>
  <c r="BK144" i="12" s="1"/>
  <c r="V143" i="12"/>
  <c r="X138" i="12"/>
  <c r="Y138" i="12" s="1"/>
  <c r="Z138" i="12" s="1"/>
  <c r="AA138" i="12" s="1"/>
  <c r="AB138" i="12" s="1"/>
  <c r="AC138" i="12" s="1"/>
  <c r="AD138" i="12" s="1"/>
  <c r="AE138" i="12" s="1"/>
  <c r="AF138" i="12" s="1"/>
  <c r="AG138" i="12" s="1"/>
  <c r="AH138" i="12" s="1"/>
  <c r="AI138" i="12" s="1"/>
  <c r="AJ138" i="12" s="1"/>
  <c r="AK138" i="12" s="1"/>
  <c r="AL138" i="12" s="1"/>
  <c r="AM138" i="12" s="1"/>
  <c r="AN138" i="12" s="1"/>
  <c r="AO138" i="12" s="1"/>
  <c r="AP138" i="12" s="1"/>
  <c r="AQ138" i="12" s="1"/>
  <c r="AR138" i="12" s="1"/>
  <c r="AS138" i="12" s="1"/>
  <c r="AT138" i="12" s="1"/>
  <c r="AU138" i="12" s="1"/>
  <c r="AV138" i="12" s="1"/>
  <c r="AW138" i="12" s="1"/>
  <c r="AX138" i="12" s="1"/>
  <c r="AY138" i="12" s="1"/>
  <c r="AZ138" i="12" s="1"/>
  <c r="BA138" i="12" s="1"/>
  <c r="BB138" i="12" s="1"/>
  <c r="BC138" i="12" s="1"/>
  <c r="BD138" i="12" s="1"/>
  <c r="BE138" i="12" s="1"/>
  <c r="BF138" i="12" s="1"/>
  <c r="BG138" i="12" s="1"/>
  <c r="BH138" i="12" s="1"/>
  <c r="BI138" i="12" s="1"/>
  <c r="BJ138" i="12" s="1"/>
  <c r="BK138" i="12" s="1"/>
  <c r="W138" i="12"/>
  <c r="J136" i="12"/>
  <c r="I136" i="12"/>
  <c r="H136" i="12"/>
  <c r="G136" i="12"/>
  <c r="D132" i="12"/>
  <c r="D130" i="12"/>
  <c r="V125" i="12"/>
  <c r="V124" i="12"/>
  <c r="V123" i="12"/>
  <c r="W122" i="12"/>
  <c r="X122" i="12" s="1"/>
  <c r="Y122" i="12" s="1"/>
  <c r="Z122" i="12" s="1"/>
  <c r="AA122" i="12" s="1"/>
  <c r="AB122" i="12" s="1"/>
  <c r="AC122" i="12" s="1"/>
  <c r="AD122" i="12" s="1"/>
  <c r="AE122" i="12" s="1"/>
  <c r="AF122" i="12" s="1"/>
  <c r="AG122" i="12" s="1"/>
  <c r="AH122" i="12" s="1"/>
  <c r="AI122" i="12" s="1"/>
  <c r="AJ122" i="12" s="1"/>
  <c r="AK122" i="12" s="1"/>
  <c r="AL122" i="12" s="1"/>
  <c r="AM122" i="12" s="1"/>
  <c r="AN122" i="12" s="1"/>
  <c r="AO122" i="12" s="1"/>
  <c r="AP122" i="12" s="1"/>
  <c r="AQ122" i="12" s="1"/>
  <c r="AR122" i="12" s="1"/>
  <c r="AS122" i="12" s="1"/>
  <c r="AT122" i="12" s="1"/>
  <c r="AU122" i="12" s="1"/>
  <c r="AV122" i="12" s="1"/>
  <c r="AW122" i="12" s="1"/>
  <c r="AX122" i="12" s="1"/>
  <c r="AY122" i="12" s="1"/>
  <c r="AZ122" i="12" s="1"/>
  <c r="BA122" i="12" s="1"/>
  <c r="BB122" i="12" s="1"/>
  <c r="BC122" i="12" s="1"/>
  <c r="BD122" i="12" s="1"/>
  <c r="BE122" i="12" s="1"/>
  <c r="BF122" i="12" s="1"/>
  <c r="BG122" i="12" s="1"/>
  <c r="BH122" i="12" s="1"/>
  <c r="BI122" i="12" s="1"/>
  <c r="BJ122" i="12" s="1"/>
  <c r="BK122" i="12" s="1"/>
  <c r="W111" i="12"/>
  <c r="X111" i="12" s="1"/>
  <c r="Y111" i="12" s="1"/>
  <c r="Z111" i="12" s="1"/>
  <c r="AA111" i="12" s="1"/>
  <c r="AB111" i="12" s="1"/>
  <c r="AC111" i="12" s="1"/>
  <c r="AD111" i="12" s="1"/>
  <c r="AE111" i="12" s="1"/>
  <c r="AF111" i="12" s="1"/>
  <c r="AG111" i="12" s="1"/>
  <c r="AH111" i="12" s="1"/>
  <c r="AI111" i="12" s="1"/>
  <c r="AJ111" i="12" s="1"/>
  <c r="AK111" i="12" s="1"/>
  <c r="AL111" i="12" s="1"/>
  <c r="AM111" i="12" s="1"/>
  <c r="AN111" i="12" s="1"/>
  <c r="AO111" i="12" s="1"/>
  <c r="AP111" i="12" s="1"/>
  <c r="AQ111" i="12" s="1"/>
  <c r="AR111" i="12" s="1"/>
  <c r="AS111" i="12" s="1"/>
  <c r="AT111" i="12" s="1"/>
  <c r="AU111" i="12" s="1"/>
  <c r="AV111" i="12" s="1"/>
  <c r="AW111" i="12" s="1"/>
  <c r="AX111" i="12" s="1"/>
  <c r="AY111" i="12" s="1"/>
  <c r="AZ111" i="12" s="1"/>
  <c r="BA111" i="12" s="1"/>
  <c r="BB111" i="12" s="1"/>
  <c r="BC111" i="12" s="1"/>
  <c r="BD111" i="12" s="1"/>
  <c r="BE111" i="12" s="1"/>
  <c r="BF111" i="12" s="1"/>
  <c r="BG111" i="12" s="1"/>
  <c r="BH111" i="12" s="1"/>
  <c r="BI111" i="12" s="1"/>
  <c r="BJ111" i="12" s="1"/>
  <c r="BK111" i="12" s="1"/>
  <c r="V110" i="12"/>
  <c r="W101" i="12"/>
  <c r="X101" i="12" s="1"/>
  <c r="Y101" i="12" s="1"/>
  <c r="Z101" i="12" s="1"/>
  <c r="AA101" i="12" s="1"/>
  <c r="AB101" i="12" s="1"/>
  <c r="AC101" i="12" s="1"/>
  <c r="AD101" i="12" s="1"/>
  <c r="AE101" i="12" s="1"/>
  <c r="AF101" i="12" s="1"/>
  <c r="AG101" i="12" s="1"/>
  <c r="AH101" i="12" s="1"/>
  <c r="AI101" i="12" s="1"/>
  <c r="AJ101" i="12" s="1"/>
  <c r="AK101" i="12" s="1"/>
  <c r="AL101" i="12" s="1"/>
  <c r="AM101" i="12" s="1"/>
  <c r="AN101" i="12" s="1"/>
  <c r="AO101" i="12" s="1"/>
  <c r="AP101" i="12" s="1"/>
  <c r="AQ101" i="12" s="1"/>
  <c r="AR101" i="12" s="1"/>
  <c r="AS101" i="12" s="1"/>
  <c r="AT101" i="12" s="1"/>
  <c r="AU101" i="12" s="1"/>
  <c r="AV101" i="12" s="1"/>
  <c r="AW101" i="12" s="1"/>
  <c r="AX101" i="12" s="1"/>
  <c r="AY101" i="12" s="1"/>
  <c r="AZ101" i="12" s="1"/>
  <c r="BA101" i="12" s="1"/>
  <c r="BB101" i="12" s="1"/>
  <c r="BC101" i="12" s="1"/>
  <c r="BD101" i="12" s="1"/>
  <c r="BE101" i="12" s="1"/>
  <c r="BF101" i="12" s="1"/>
  <c r="BG101" i="12" s="1"/>
  <c r="BH101" i="12" s="1"/>
  <c r="BI101" i="12" s="1"/>
  <c r="BJ101" i="12" s="1"/>
  <c r="BK101" i="12" s="1"/>
  <c r="V100" i="12"/>
  <c r="W90" i="12"/>
  <c r="X90" i="12" s="1"/>
  <c r="Y90" i="12" s="1"/>
  <c r="Z90" i="12" s="1"/>
  <c r="AA90" i="12" s="1"/>
  <c r="AB90" i="12" s="1"/>
  <c r="AC90" i="12" s="1"/>
  <c r="AD90" i="12" s="1"/>
  <c r="AE90" i="12" s="1"/>
  <c r="AF90" i="12" s="1"/>
  <c r="AG90" i="12" s="1"/>
  <c r="AH90" i="12" s="1"/>
  <c r="AI90" i="12" s="1"/>
  <c r="AJ90" i="12" s="1"/>
  <c r="AK90" i="12" s="1"/>
  <c r="AL90" i="12" s="1"/>
  <c r="AM90" i="12" s="1"/>
  <c r="AN90" i="12" s="1"/>
  <c r="AO90" i="12" s="1"/>
  <c r="AP90" i="12" s="1"/>
  <c r="AQ90" i="12" s="1"/>
  <c r="AR90" i="12" s="1"/>
  <c r="AS90" i="12" s="1"/>
  <c r="AT90" i="12" s="1"/>
  <c r="AU90" i="12" s="1"/>
  <c r="AV90" i="12" s="1"/>
  <c r="AW90" i="12" s="1"/>
  <c r="AX90" i="12" s="1"/>
  <c r="AY90" i="12" s="1"/>
  <c r="AZ90" i="12" s="1"/>
  <c r="BA90" i="12" s="1"/>
  <c r="BB90" i="12" s="1"/>
  <c r="BC90" i="12" s="1"/>
  <c r="BD90" i="12" s="1"/>
  <c r="BE90" i="12" s="1"/>
  <c r="BF90" i="12" s="1"/>
  <c r="BG90" i="12" s="1"/>
  <c r="BH90" i="12" s="1"/>
  <c r="BI90" i="12" s="1"/>
  <c r="BJ90" i="12" s="1"/>
  <c r="BK90" i="12" s="1"/>
  <c r="V89" i="12"/>
  <c r="W78" i="12"/>
  <c r="X78" i="12" s="1"/>
  <c r="Y78" i="12" s="1"/>
  <c r="Z78" i="12" s="1"/>
  <c r="AA78" i="12" s="1"/>
  <c r="AB78" i="12" s="1"/>
  <c r="AC78" i="12" s="1"/>
  <c r="AD78" i="12" s="1"/>
  <c r="AE78" i="12" s="1"/>
  <c r="AF78" i="12" s="1"/>
  <c r="AG78" i="12" s="1"/>
  <c r="AH78" i="12" s="1"/>
  <c r="AI78" i="12" s="1"/>
  <c r="AJ78" i="12" s="1"/>
  <c r="AK78" i="12" s="1"/>
  <c r="AL78" i="12" s="1"/>
  <c r="AM78" i="12" s="1"/>
  <c r="AN78" i="12" s="1"/>
  <c r="AO78" i="12" s="1"/>
  <c r="AP78" i="12" s="1"/>
  <c r="AQ78" i="12" s="1"/>
  <c r="AR78" i="12" s="1"/>
  <c r="AS78" i="12" s="1"/>
  <c r="AT78" i="12" s="1"/>
  <c r="AU78" i="12" s="1"/>
  <c r="AV78" i="12" s="1"/>
  <c r="AW78" i="12" s="1"/>
  <c r="AX78" i="12" s="1"/>
  <c r="AY78" i="12" s="1"/>
  <c r="AZ78" i="12" s="1"/>
  <c r="BA78" i="12" s="1"/>
  <c r="BB78" i="12" s="1"/>
  <c r="BC78" i="12" s="1"/>
  <c r="BD78" i="12" s="1"/>
  <c r="BE78" i="12" s="1"/>
  <c r="BF78" i="12" s="1"/>
  <c r="BG78" i="12" s="1"/>
  <c r="BH78" i="12" s="1"/>
  <c r="BI78" i="12" s="1"/>
  <c r="BJ78" i="12" s="1"/>
  <c r="BK78" i="12" s="1"/>
  <c r="V77" i="12"/>
  <c r="E69" i="12"/>
  <c r="E68" i="12"/>
  <c r="E67" i="12"/>
  <c r="E66" i="12"/>
  <c r="E57" i="12"/>
  <c r="E56" i="12"/>
  <c r="E55" i="12"/>
  <c r="G44" i="12"/>
  <c r="E125" i="6" s="1"/>
  <c r="E43" i="12"/>
  <c r="C123" i="6" s="1"/>
  <c r="A21" i="7" s="1"/>
  <c r="E42" i="12"/>
  <c r="E41" i="12"/>
  <c r="E29" i="12"/>
  <c r="F23" i="12"/>
  <c r="G25" i="12" s="1"/>
  <c r="E88" i="6" s="1"/>
  <c r="E23" i="12"/>
  <c r="F12" i="12"/>
  <c r="W9" i="12"/>
  <c r="X9" i="12" s="1"/>
  <c r="Y9" i="12" s="1"/>
  <c r="C32" i="11"/>
  <c r="C30" i="11"/>
  <c r="C29" i="11"/>
  <c r="C28" i="11"/>
  <c r="C27" i="11"/>
  <c r="C20" i="11"/>
  <c r="C18" i="11"/>
  <c r="C7" i="11" s="1"/>
  <c r="C17" i="11"/>
  <c r="C16" i="11"/>
  <c r="C15" i="11"/>
  <c r="C13" i="11"/>
  <c r="C11" i="11"/>
  <c r="C10" i="11"/>
  <c r="C8" i="11"/>
  <c r="D7" i="11"/>
  <c r="E60" i="10"/>
  <c r="E59" i="10"/>
  <c r="E58" i="10"/>
  <c r="E57" i="10"/>
  <c r="E56" i="10"/>
  <c r="B56" i="10"/>
  <c r="E55" i="10"/>
  <c r="B55" i="10"/>
  <c r="E54" i="10"/>
  <c r="B54" i="10"/>
  <c r="E53" i="10"/>
  <c r="B53" i="10"/>
  <c r="E52" i="10"/>
  <c r="B52" i="10"/>
  <c r="E51" i="10"/>
  <c r="B51" i="10"/>
  <c r="E50" i="10"/>
  <c r="B50" i="10"/>
  <c r="E49" i="10"/>
  <c r="B49" i="10"/>
  <c r="E48" i="10"/>
  <c r="B48" i="10"/>
  <c r="E47" i="10"/>
  <c r="B47" i="10"/>
  <c r="E46" i="10"/>
  <c r="B46" i="10"/>
  <c r="E45" i="10"/>
  <c r="B45" i="10"/>
  <c r="E44" i="10"/>
  <c r="B44" i="10"/>
  <c r="E43" i="10"/>
  <c r="E42" i="10"/>
  <c r="E41" i="10"/>
  <c r="E39" i="10"/>
  <c r="B39" i="10"/>
  <c r="E38" i="10"/>
  <c r="B38" i="10"/>
  <c r="E37" i="10"/>
  <c r="B37" i="10"/>
  <c r="E36" i="10"/>
  <c r="B36" i="10"/>
  <c r="E35" i="10"/>
  <c r="B35" i="10"/>
  <c r="E34" i="10"/>
  <c r="B34" i="10"/>
  <c r="B33" i="10"/>
  <c r="E32" i="10"/>
  <c r="B32" i="10"/>
  <c r="E31" i="10"/>
  <c r="B31" i="10"/>
  <c r="B30" i="10"/>
  <c r="E28" i="10"/>
  <c r="B28" i="10"/>
  <c r="E27" i="10"/>
  <c r="B27" i="10"/>
  <c r="E26" i="10"/>
  <c r="B26" i="10"/>
  <c r="E25" i="10"/>
  <c r="B25" i="10"/>
  <c r="E24" i="10"/>
  <c r="B24" i="10"/>
  <c r="E23" i="10"/>
  <c r="B23" i="10"/>
  <c r="B22" i="10"/>
  <c r="B21" i="10"/>
  <c r="E20" i="10"/>
  <c r="B20" i="10"/>
  <c r="J11" i="10"/>
  <c r="J10" i="10"/>
  <c r="J9" i="10"/>
  <c r="J8" i="10"/>
  <c r="J7" i="10"/>
  <c r="J6" i="10"/>
  <c r="J5" i="10"/>
  <c r="J4" i="10"/>
  <c r="J3" i="10"/>
  <c r="H2" i="9"/>
  <c r="B2" i="9"/>
  <c r="J1" i="9"/>
  <c r="I1" i="9"/>
  <c r="H1" i="9"/>
  <c r="G1" i="9"/>
  <c r="F1" i="9"/>
  <c r="E1" i="9"/>
  <c r="A29" i="7"/>
  <c r="A28" i="7"/>
  <c r="A27" i="7"/>
  <c r="A26" i="7"/>
  <c r="A24" i="7"/>
  <c r="V22" i="7"/>
  <c r="U22" i="7"/>
  <c r="T22" i="7"/>
  <c r="S22" i="7"/>
  <c r="R22" i="7"/>
  <c r="Q22" i="7"/>
  <c r="P22" i="7"/>
  <c r="O22" i="7"/>
  <c r="N22" i="7"/>
  <c r="M22" i="7"/>
  <c r="L22" i="7"/>
  <c r="K22" i="7"/>
  <c r="J22" i="7"/>
  <c r="I22" i="7"/>
  <c r="H22" i="7"/>
  <c r="G22" i="7"/>
  <c r="F22" i="7"/>
  <c r="E22" i="7"/>
  <c r="D22" i="7"/>
  <c r="C22" i="7"/>
  <c r="V21" i="7"/>
  <c r="U21" i="7"/>
  <c r="T21" i="7"/>
  <c r="S21" i="7"/>
  <c r="R21" i="7"/>
  <c r="Q21" i="7"/>
  <c r="P21" i="7"/>
  <c r="O21" i="7"/>
  <c r="N21" i="7"/>
  <c r="M21" i="7"/>
  <c r="L21" i="7"/>
  <c r="K21" i="7"/>
  <c r="J21" i="7"/>
  <c r="I21" i="7"/>
  <c r="H21" i="7"/>
  <c r="G21" i="7"/>
  <c r="F21" i="7"/>
  <c r="E21" i="7"/>
  <c r="D21" i="7"/>
  <c r="C21" i="7"/>
  <c r="V20" i="7"/>
  <c r="U20" i="7"/>
  <c r="T20" i="7"/>
  <c r="S20" i="7"/>
  <c r="R20" i="7"/>
  <c r="Q20" i="7"/>
  <c r="P20" i="7"/>
  <c r="O20" i="7"/>
  <c r="N20" i="7"/>
  <c r="M20" i="7"/>
  <c r="L20" i="7"/>
  <c r="K20" i="7"/>
  <c r="J20" i="7"/>
  <c r="I20" i="7"/>
  <c r="H20" i="7"/>
  <c r="G20" i="7"/>
  <c r="F20" i="7"/>
  <c r="E20" i="7"/>
  <c r="D20" i="7"/>
  <c r="C20" i="7"/>
  <c r="V19" i="7"/>
  <c r="V23" i="7" s="1"/>
  <c r="U19" i="7"/>
  <c r="U23" i="7" s="1"/>
  <c r="T19" i="7"/>
  <c r="T23" i="7" s="1"/>
  <c r="S19" i="7"/>
  <c r="S23" i="7" s="1"/>
  <c r="R19" i="7"/>
  <c r="R23" i="7" s="1"/>
  <c r="Q19" i="7"/>
  <c r="Q23" i="7" s="1"/>
  <c r="P19" i="7"/>
  <c r="P23" i="7" s="1"/>
  <c r="O19" i="7"/>
  <c r="O23" i="7" s="1"/>
  <c r="N19" i="7"/>
  <c r="N23" i="7" s="1"/>
  <c r="M19" i="7"/>
  <c r="M23" i="7" s="1"/>
  <c r="L19" i="7"/>
  <c r="L23" i="7" s="1"/>
  <c r="K19" i="7"/>
  <c r="K23" i="7" s="1"/>
  <c r="J19" i="7"/>
  <c r="J23" i="7" s="1"/>
  <c r="I19" i="7"/>
  <c r="I23" i="7" s="1"/>
  <c r="H19" i="7"/>
  <c r="H23" i="7" s="1"/>
  <c r="G19" i="7"/>
  <c r="G23" i="7" s="1"/>
  <c r="F19" i="7"/>
  <c r="F23" i="7" s="1"/>
  <c r="E19" i="7"/>
  <c r="E23" i="7" s="1"/>
  <c r="D19" i="7"/>
  <c r="D23" i="7" s="1"/>
  <c r="C19" i="7"/>
  <c r="C23" i="7" s="1"/>
  <c r="A14" i="7"/>
  <c r="B8" i="7"/>
  <c r="A7" i="7"/>
  <c r="A6" i="7"/>
  <c r="B5" i="7"/>
  <c r="B4" i="7"/>
  <c r="B3" i="7"/>
  <c r="A3" i="7"/>
  <c r="B2" i="7"/>
  <c r="A2" i="7"/>
  <c r="C135" i="6"/>
  <c r="R17" i="6" s="1"/>
  <c r="C125" i="6"/>
  <c r="C124" i="6"/>
  <c r="A22" i="7" s="1"/>
  <c r="C122" i="6"/>
  <c r="A20" i="7" s="1"/>
  <c r="C121" i="6"/>
  <c r="A19" i="7" s="1"/>
  <c r="C115" i="6"/>
  <c r="A11" i="7" s="1"/>
  <c r="C114" i="6"/>
  <c r="A15" i="7" s="1"/>
  <c r="C112" i="6"/>
  <c r="A12" i="7" s="1"/>
  <c r="C111" i="6"/>
  <c r="A13" i="7" s="1"/>
  <c r="C110" i="6"/>
  <c r="C109" i="6"/>
  <c r="A10" i="7" s="1"/>
  <c r="C108" i="6"/>
  <c r="A9" i="7" s="1"/>
  <c r="C107" i="6"/>
  <c r="A8" i="7" s="1"/>
  <c r="C103" i="6"/>
  <c r="A16" i="7" s="1"/>
  <c r="C88" i="6"/>
  <c r="C87" i="6"/>
  <c r="C86" i="6"/>
  <c r="A5" i="7" s="1"/>
  <c r="C85" i="6"/>
  <c r="C84" i="6"/>
  <c r="A4" i="7" s="1"/>
  <c r="Y46" i="6"/>
  <c r="Y45" i="6" s="1"/>
  <c r="X46" i="6"/>
  <c r="X45" i="6" s="1"/>
  <c r="W46" i="6"/>
  <c r="W45" i="6" s="1"/>
  <c r="V46" i="6"/>
  <c r="V45" i="6" s="1"/>
  <c r="U46" i="6"/>
  <c r="U45" i="6" s="1"/>
  <c r="T46" i="6"/>
  <c r="T45" i="6" s="1"/>
  <c r="S46" i="6"/>
  <c r="S45" i="6" s="1"/>
  <c r="R46" i="6"/>
  <c r="R45" i="6" s="1"/>
  <c r="Q46" i="6"/>
  <c r="Q45" i="6" s="1"/>
  <c r="P46" i="6"/>
  <c r="P45" i="6" s="1"/>
  <c r="O46" i="6"/>
  <c r="O45" i="6" s="1"/>
  <c r="N46" i="6"/>
  <c r="N45" i="6" s="1"/>
  <c r="M46" i="6"/>
  <c r="M45" i="6" s="1"/>
  <c r="L46" i="6"/>
  <c r="L45" i="6" s="1"/>
  <c r="K46" i="6"/>
  <c r="K45" i="6" s="1"/>
  <c r="J46" i="6"/>
  <c r="J45" i="6" s="1"/>
  <c r="I46" i="6"/>
  <c r="I45" i="6" s="1"/>
  <c r="H46" i="6"/>
  <c r="H45" i="6" s="1"/>
  <c r="G46" i="6"/>
  <c r="G45" i="6" s="1"/>
  <c r="F46" i="6"/>
  <c r="F45" i="6" s="1"/>
  <c r="E46" i="6"/>
  <c r="E45" i="6" s="1"/>
  <c r="F44" i="6"/>
  <c r="G44" i="6" s="1"/>
  <c r="H44" i="6" s="1"/>
  <c r="I44" i="6" s="1"/>
  <c r="J44" i="6" s="1"/>
  <c r="K44" i="6" s="1"/>
  <c r="L44" i="6" s="1"/>
  <c r="M44" i="6" s="1"/>
  <c r="N44" i="6" s="1"/>
  <c r="O44" i="6" s="1"/>
  <c r="P44" i="6" s="1"/>
  <c r="Q44" i="6" s="1"/>
  <c r="R44" i="6" s="1"/>
  <c r="S44" i="6" s="1"/>
  <c r="T44" i="6" s="1"/>
  <c r="U44" i="6" s="1"/>
  <c r="V44" i="6" s="1"/>
  <c r="W44" i="6" s="1"/>
  <c r="X44" i="6" s="1"/>
  <c r="Y44" i="6" s="1"/>
  <c r="Z44" i="6" s="1"/>
  <c r="AA44" i="6" s="1"/>
  <c r="AB44" i="6" s="1"/>
  <c r="AC44" i="6" s="1"/>
  <c r="AD44" i="6" s="1"/>
  <c r="AE44" i="6" s="1"/>
  <c r="AF44" i="6" s="1"/>
  <c r="AG44" i="6" s="1"/>
  <c r="AH44" i="6" s="1"/>
  <c r="AI44" i="6" s="1"/>
  <c r="AJ44" i="6" s="1"/>
  <c r="AK44" i="6" s="1"/>
  <c r="AL44" i="6" s="1"/>
  <c r="AM44" i="6" s="1"/>
  <c r="AN44" i="6" s="1"/>
  <c r="AO44" i="6" s="1"/>
  <c r="AP44" i="6" s="1"/>
  <c r="AQ44" i="6" s="1"/>
  <c r="AR44" i="6" s="1"/>
  <c r="AS44" i="6" s="1"/>
  <c r="AZ14" i="6"/>
  <c r="AY14" i="6"/>
  <c r="AX14" i="6"/>
  <c r="E13" i="6"/>
  <c r="J2" i="9" s="1"/>
  <c r="H365" i="5"/>
  <c r="G725" i="12" s="1"/>
  <c r="G365" i="5"/>
  <c r="F365" i="5"/>
  <c r="E365" i="5"/>
  <c r="H334" i="5"/>
  <c r="E303" i="5"/>
  <c r="H294" i="5"/>
  <c r="E270" i="5"/>
  <c r="E257" i="5"/>
  <c r="E235" i="5"/>
  <c r="H212" i="5"/>
  <c r="H211" i="5"/>
  <c r="H208" i="5"/>
  <c r="E201" i="5"/>
  <c r="D417" i="12" s="1"/>
  <c r="H196" i="5"/>
  <c r="H195" i="5"/>
  <c r="I192" i="5"/>
  <c r="H192" i="5"/>
  <c r="I187" i="5"/>
  <c r="I186" i="5"/>
  <c r="H182" i="5"/>
  <c r="H181" i="5"/>
  <c r="H178" i="5"/>
  <c r="H160" i="5"/>
  <c r="E151" i="5"/>
  <c r="H128" i="5"/>
  <c r="I123" i="5"/>
  <c r="I122" i="5"/>
  <c r="I116" i="5"/>
  <c r="H116" i="5"/>
  <c r="I108" i="5"/>
  <c r="I107" i="5"/>
  <c r="I164" i="12"/>
  <c r="H98" i="5"/>
  <c r="H92" i="5"/>
  <c r="H82" i="5"/>
  <c r="H71" i="5"/>
  <c r="H70" i="5"/>
  <c r="I65" i="5"/>
  <c r="H65" i="5"/>
  <c r="E54" i="5"/>
  <c r="E49" i="5"/>
  <c r="E57" i="5" s="1"/>
  <c r="E67" i="5" s="1"/>
  <c r="E84" i="5" s="1"/>
  <c r="E104" i="5" s="1"/>
  <c r="E47" i="5"/>
  <c r="E40" i="5"/>
  <c r="K36" i="5"/>
  <c r="J36" i="5"/>
  <c r="I36" i="5"/>
  <c r="H36" i="5"/>
  <c r="O35" i="5"/>
  <c r="N35" i="5"/>
  <c r="M35" i="5"/>
  <c r="L35" i="5"/>
  <c r="O34" i="5"/>
  <c r="N34" i="5"/>
  <c r="M34" i="5"/>
  <c r="L34" i="5"/>
  <c r="O33" i="5"/>
  <c r="N33" i="5"/>
  <c r="M33" i="5"/>
  <c r="L33" i="5"/>
  <c r="O32" i="5"/>
  <c r="N32" i="5"/>
  <c r="M32" i="5"/>
  <c r="L32" i="5"/>
  <c r="O31" i="5"/>
  <c r="N31" i="5"/>
  <c r="M31" i="5"/>
  <c r="L31" i="5"/>
  <c r="O30" i="5"/>
  <c r="N30" i="5"/>
  <c r="M30" i="5"/>
  <c r="L30" i="5"/>
  <c r="O29" i="5"/>
  <c r="N29" i="5"/>
  <c r="M29" i="5"/>
  <c r="L29" i="5"/>
  <c r="O28" i="5"/>
  <c r="N136" i="12" s="1"/>
  <c r="N28" i="5"/>
  <c r="M136" i="12" s="1"/>
  <c r="M28" i="5"/>
  <c r="L136" i="12" s="1"/>
  <c r="L28" i="5"/>
  <c r="K136" i="12" s="1"/>
  <c r="O27" i="5"/>
  <c r="N27" i="5"/>
  <c r="N36" i="5" s="1"/>
  <c r="M27" i="5"/>
  <c r="M36" i="5" s="1"/>
  <c r="L27" i="5"/>
  <c r="L36" i="5" s="1"/>
  <c r="O25" i="5"/>
  <c r="N25" i="5"/>
  <c r="M25" i="5"/>
  <c r="L25" i="5"/>
  <c r="K25" i="5"/>
  <c r="J25" i="5"/>
  <c r="I25" i="5"/>
  <c r="H25" i="5"/>
  <c r="O24" i="5"/>
  <c r="E381" i="5" s="1"/>
  <c r="H333" i="5" s="1"/>
  <c r="N24" i="5"/>
  <c r="M24" i="5"/>
  <c r="L24" i="5"/>
  <c r="L342" i="5" s="1"/>
  <c r="K24" i="5"/>
  <c r="E377" i="5" s="1"/>
  <c r="H329" i="5" s="1"/>
  <c r="J24" i="5"/>
  <c r="J342" i="5" s="1"/>
  <c r="I24" i="5"/>
  <c r="H24" i="5"/>
  <c r="E374" i="5" s="1"/>
  <c r="H326" i="5" s="1"/>
  <c r="O99" i="4"/>
  <c r="O102" i="4" s="1"/>
  <c r="N99" i="4"/>
  <c r="N102" i="4" s="1"/>
  <c r="M99" i="4"/>
  <c r="M102" i="4" s="1"/>
  <c r="L99" i="4"/>
  <c r="L102" i="4" s="1"/>
  <c r="K99" i="4"/>
  <c r="K102" i="4" s="1"/>
  <c r="J99" i="4"/>
  <c r="J102" i="4" s="1"/>
  <c r="I99" i="4"/>
  <c r="I102" i="4" s="1"/>
  <c r="H99" i="4"/>
  <c r="H102" i="4" s="1"/>
  <c r="T92" i="4"/>
  <c r="R92" i="4"/>
  <c r="H59" i="4"/>
  <c r="H58" i="4"/>
  <c r="G39" i="4"/>
  <c r="G38" i="4"/>
  <c r="D22" i="4"/>
  <c r="D34" i="4" s="1"/>
  <c r="D36" i="4" s="1"/>
  <c r="D40" i="4" s="1"/>
  <c r="D48" i="4" s="1"/>
  <c r="D56" i="4" s="1"/>
  <c r="D91" i="4" s="1"/>
  <c r="D92" i="4" s="1"/>
  <c r="D93" i="4" s="1"/>
  <c r="D94" i="4" s="1"/>
  <c r="D98" i="4" s="1"/>
  <c r="D100" i="4" s="1"/>
  <c r="D101" i="4" s="1"/>
  <c r="D337" i="3"/>
  <c r="D335" i="3"/>
  <c r="D333" i="3"/>
  <c r="D331" i="3"/>
  <c r="D327" i="3"/>
  <c r="D325" i="3"/>
  <c r="D323" i="3"/>
  <c r="D321" i="3"/>
  <c r="D317" i="3"/>
  <c r="D315" i="3"/>
  <c r="D313" i="3"/>
  <c r="D311" i="3"/>
  <c r="D307" i="3"/>
  <c r="D305" i="3"/>
  <c r="D303" i="3"/>
  <c r="D301" i="3"/>
  <c r="D297" i="3"/>
  <c r="D295" i="3"/>
  <c r="D293" i="3"/>
  <c r="D291" i="3"/>
  <c r="D287" i="3"/>
  <c r="D285" i="3"/>
  <c r="D283" i="3"/>
  <c r="D281" i="3"/>
  <c r="D277" i="3"/>
  <c r="D275" i="3"/>
  <c r="D273" i="3"/>
  <c r="D271" i="3"/>
  <c r="D267" i="3"/>
  <c r="D265" i="3"/>
  <c r="D263" i="3"/>
  <c r="D261" i="3"/>
  <c r="D257" i="3"/>
  <c r="D255" i="3"/>
  <c r="D253" i="3"/>
  <c r="D251" i="3"/>
  <c r="D247" i="3"/>
  <c r="D245" i="3"/>
  <c r="D243" i="3"/>
  <c r="D241" i="3"/>
  <c r="D237" i="3"/>
  <c r="D235" i="3"/>
  <c r="D233" i="3"/>
  <c r="D231" i="3"/>
  <c r="D227" i="3"/>
  <c r="D225" i="3"/>
  <c r="D223" i="3"/>
  <c r="D221" i="3"/>
  <c r="D217" i="3"/>
  <c r="D215" i="3"/>
  <c r="D213" i="3"/>
  <c r="D211" i="3"/>
  <c r="D207" i="3"/>
  <c r="D205" i="3"/>
  <c r="D203" i="3"/>
  <c r="D201" i="3"/>
  <c r="D197" i="3"/>
  <c r="D195" i="3"/>
  <c r="D193" i="3"/>
  <c r="D191" i="3"/>
  <c r="L161" i="3"/>
  <c r="D330" i="3" s="1"/>
  <c r="L160" i="3"/>
  <c r="D320" i="3" s="1"/>
  <c r="L159" i="3"/>
  <c r="D310" i="3" s="1"/>
  <c r="L158" i="3"/>
  <c r="D300" i="3" s="1"/>
  <c r="L157" i="3"/>
  <c r="L156" i="3"/>
  <c r="D290" i="3" s="1"/>
  <c r="L155" i="3"/>
  <c r="D280" i="3" s="1"/>
  <c r="L154" i="3"/>
  <c r="D270" i="3" s="1"/>
  <c r="L153" i="3"/>
  <c r="L152" i="3"/>
  <c r="D260" i="3" s="1"/>
  <c r="L151" i="3"/>
  <c r="D250" i="3" s="1"/>
  <c r="L150" i="3"/>
  <c r="D240" i="3" s="1"/>
  <c r="L149" i="3"/>
  <c r="D230" i="3" s="1"/>
  <c r="L148" i="3"/>
  <c r="L147" i="3"/>
  <c r="D220" i="3" s="1"/>
  <c r="L146" i="3"/>
  <c r="D210" i="3" s="1"/>
  <c r="L145" i="3"/>
  <c r="D200" i="3" s="1"/>
  <c r="L144" i="3"/>
  <c r="D190" i="3" s="1"/>
  <c r="O117" i="3"/>
  <c r="O111" i="3"/>
  <c r="O106" i="3"/>
  <c r="O96" i="3"/>
  <c r="O92" i="3"/>
  <c r="O88" i="3"/>
  <c r="O81" i="3"/>
  <c r="O77" i="3"/>
  <c r="O73" i="3"/>
  <c r="O69" i="3"/>
  <c r="O60" i="3"/>
  <c r="O56" i="3"/>
  <c r="O52" i="3"/>
  <c r="O48" i="3"/>
  <c r="O47" i="3"/>
  <c r="E119" i="5" l="1"/>
  <c r="E129" i="5" s="1"/>
  <c r="E134" i="5" s="1"/>
  <c r="E153" i="5" s="1"/>
  <c r="E237" i="5" s="1"/>
  <c r="E252" i="5" s="1"/>
  <c r="E259" i="5" s="1"/>
  <c r="E272" i="5" s="1"/>
  <c r="E278" i="5" s="1"/>
  <c r="E287" i="5" s="1"/>
  <c r="E298" i="5" s="1"/>
  <c r="E305" i="5" s="1"/>
  <c r="E321" i="5" s="1"/>
  <c r="E340" i="5" s="1"/>
  <c r="E350" i="5" s="1"/>
  <c r="E388" i="5" s="1"/>
  <c r="E392" i="5" s="1"/>
  <c r="E405" i="5" s="1"/>
  <c r="J224" i="12"/>
  <c r="J493" i="12"/>
  <c r="G47" i="13"/>
  <c r="K47" i="13"/>
  <c r="G90" i="13"/>
  <c r="J17" i="13"/>
  <c r="H47" i="13"/>
  <c r="L47" i="13"/>
  <c r="E74" i="13"/>
  <c r="J623" i="12"/>
  <c r="W517" i="12"/>
  <c r="W521" i="12"/>
  <c r="W518" i="12"/>
  <c r="W520" i="12"/>
  <c r="W519" i="12"/>
  <c r="W250" i="12"/>
  <c r="W254" i="12"/>
  <c r="W255" i="12"/>
  <c r="W251" i="12"/>
  <c r="W252" i="12"/>
  <c r="W253" i="12"/>
  <c r="G229" i="12"/>
  <c r="J223" i="12"/>
  <c r="P188" i="16"/>
  <c r="P195" i="16" s="1"/>
  <c r="E188" i="16"/>
  <c r="E195" i="16" s="1"/>
  <c r="J625" i="12"/>
  <c r="J624" i="12"/>
  <c r="P187" i="16"/>
  <c r="J492" i="12"/>
  <c r="J495" i="12"/>
  <c r="J491" i="12"/>
  <c r="J494" i="12"/>
  <c r="I596" i="12"/>
  <c r="G597" i="12" s="1"/>
  <c r="H606" i="12"/>
  <c r="C7" i="14"/>
  <c r="B36" i="14" s="1" a="1"/>
  <c r="C4" i="14"/>
  <c r="C5" i="14"/>
  <c r="M5" i="14" s="1"/>
  <c r="C6" i="14"/>
  <c r="G6" i="14" s="1"/>
  <c r="J8" i="14"/>
  <c r="B134" i="12"/>
  <c r="E36" i="4"/>
  <c r="L17" i="13"/>
  <c r="H17" i="13"/>
  <c r="I91" i="13"/>
  <c r="E78" i="13" s="1"/>
  <c r="J572" i="12"/>
  <c r="J571" i="12"/>
  <c r="F44" i="10"/>
  <c r="H44" i="10"/>
  <c r="H38" i="10"/>
  <c r="BB14" i="6"/>
  <c r="B6" i="7"/>
  <c r="I106" i="5"/>
  <c r="I185" i="5"/>
  <c r="F210" i="5"/>
  <c r="H69" i="5"/>
  <c r="I121" i="5"/>
  <c r="J271" i="12"/>
  <c r="H7" i="14"/>
  <c r="J270" i="12"/>
  <c r="V235" i="12"/>
  <c r="J388" i="12"/>
  <c r="G409" i="12" s="1"/>
  <c r="O5" i="14"/>
  <c r="J196" i="12"/>
  <c r="G215" i="12" s="1"/>
  <c r="G357" i="12"/>
  <c r="H357" i="12" s="1"/>
  <c r="W376" i="12" s="1"/>
  <c r="V237" i="12"/>
  <c r="J570" i="12"/>
  <c r="G606" i="12"/>
  <c r="B31" i="14" a="1"/>
  <c r="B31" i="14" s="1"/>
  <c r="V185" i="12"/>
  <c r="V181" i="12"/>
  <c r="H5" i="14"/>
  <c r="K8" i="14"/>
  <c r="V183" i="12"/>
  <c r="V233" i="12"/>
  <c r="G356" i="12"/>
  <c r="H356" i="12" s="1"/>
  <c r="J569" i="12"/>
  <c r="H599" i="12"/>
  <c r="H604" i="12" s="1"/>
  <c r="G667" i="12"/>
  <c r="G670" i="12" s="1"/>
  <c r="H679" i="12" s="1"/>
  <c r="M17" i="13"/>
  <c r="I17" i="13"/>
  <c r="F17" i="13"/>
  <c r="G17" i="13"/>
  <c r="K17" i="13"/>
  <c r="G122" i="3"/>
  <c r="G123" i="3"/>
  <c r="H123" i="3" s="1"/>
  <c r="G124" i="3"/>
  <c r="H124" i="3" s="1"/>
  <c r="D178" i="3"/>
  <c r="D174" i="3"/>
  <c r="D186" i="3"/>
  <c r="D182" i="3"/>
  <c r="H122" i="3"/>
  <c r="G125" i="3"/>
  <c r="H125" i="3" s="1"/>
  <c r="G462" i="12"/>
  <c r="G417" i="12"/>
  <c r="G259" i="12"/>
  <c r="G498" i="12" s="1"/>
  <c r="G134" i="12"/>
  <c r="G51" i="12"/>
  <c r="G10" i="12"/>
  <c r="G27" i="12"/>
  <c r="K417" i="12"/>
  <c r="K134" i="12"/>
  <c r="K259" i="12"/>
  <c r="K498" i="12" s="1"/>
  <c r="K51" i="12"/>
  <c r="K10" i="12"/>
  <c r="K27" i="12"/>
  <c r="K448" i="12"/>
  <c r="K423" i="12"/>
  <c r="K29" i="12" s="1"/>
  <c r="K30" i="12" s="1"/>
  <c r="S189" i="16"/>
  <c r="S237" i="16" s="1"/>
  <c r="J189" i="16"/>
  <c r="V187" i="16"/>
  <c r="L187" i="16"/>
  <c r="H187" i="16"/>
  <c r="E189" i="16"/>
  <c r="Y187" i="16"/>
  <c r="U187" i="16"/>
  <c r="O187" i="16"/>
  <c r="K187" i="16"/>
  <c r="G187" i="16"/>
  <c r="L189" i="16"/>
  <c r="H189" i="16"/>
  <c r="X187" i="16"/>
  <c r="S187" i="16"/>
  <c r="N187" i="16"/>
  <c r="J187" i="16"/>
  <c r="F187" i="16"/>
  <c r="M187" i="16"/>
  <c r="M121" i="16"/>
  <c r="H119" i="16"/>
  <c r="E10" i="16"/>
  <c r="I187" i="16"/>
  <c r="M119" i="16"/>
  <c r="E65" i="16"/>
  <c r="W187" i="16"/>
  <c r="E187" i="16"/>
  <c r="J121" i="16"/>
  <c r="K119" i="16"/>
  <c r="H121" i="16"/>
  <c r="Q187" i="16"/>
  <c r="J119" i="16"/>
  <c r="C64" i="16"/>
  <c r="W647" i="12"/>
  <c r="W655" i="12" s="1"/>
  <c r="F5" i="14"/>
  <c r="F6" i="14" s="1"/>
  <c r="F7" i="14" s="1"/>
  <c r="F8" i="14" s="1"/>
  <c r="F9" i="14" s="1"/>
  <c r="F10" i="14" s="1"/>
  <c r="F11" i="14" s="1"/>
  <c r="F12" i="14" s="1"/>
  <c r="F13" i="14" s="1"/>
  <c r="F14" i="14" s="1"/>
  <c r="F15" i="14" s="1"/>
  <c r="F16" i="14" s="1"/>
  <c r="F17" i="14" s="1"/>
  <c r="F18" i="14" s="1"/>
  <c r="F19" i="14" s="1"/>
  <c r="F20" i="14" s="1"/>
  <c r="F21" i="14" s="1"/>
  <c r="F22" i="14" s="1"/>
  <c r="F23" i="14" s="1"/>
  <c r="F24" i="14" s="1"/>
  <c r="F25" i="14" s="1"/>
  <c r="F26" i="14" s="1"/>
  <c r="F27" i="14" s="1"/>
  <c r="F28" i="14" s="1"/>
  <c r="F29" i="14" s="1"/>
  <c r="F30" i="14" s="1"/>
  <c r="F31" i="14" s="1"/>
  <c r="F32" i="14" s="1"/>
  <c r="F33" i="14" s="1"/>
  <c r="F34" i="14" s="1"/>
  <c r="F35" i="14" s="1"/>
  <c r="F36" i="14" s="1"/>
  <c r="F37" i="14" s="1"/>
  <c r="F38" i="14" s="1"/>
  <c r="F39" i="14" s="1"/>
  <c r="F40" i="14" s="1"/>
  <c r="F41" i="14" s="1"/>
  <c r="F42" i="14" s="1"/>
  <c r="F43" i="14" s="1"/>
  <c r="F44" i="14" s="1"/>
  <c r="F45" i="14" s="1"/>
  <c r="F46" i="14" s="1"/>
  <c r="F47" i="14" s="1"/>
  <c r="F48" i="14" s="1"/>
  <c r="W643" i="12"/>
  <c r="W403" i="12"/>
  <c r="W212" i="12"/>
  <c r="W316" i="12" s="1"/>
  <c r="W209" i="12"/>
  <c r="D8" i="12"/>
  <c r="E41" i="6"/>
  <c r="F41" i="6" s="1"/>
  <c r="G41" i="6" s="1"/>
  <c r="H41" i="6" s="1"/>
  <c r="I41" i="6" s="1"/>
  <c r="J41" i="6" s="1"/>
  <c r="K41" i="6" s="1"/>
  <c r="L41" i="6" s="1"/>
  <c r="M41" i="6" s="1"/>
  <c r="N41" i="6" s="1"/>
  <c r="O41" i="6" s="1"/>
  <c r="P41" i="6" s="1"/>
  <c r="Q41" i="6" s="1"/>
  <c r="R41" i="6" s="1"/>
  <c r="S41" i="6" s="1"/>
  <c r="T41" i="6" s="1"/>
  <c r="U41" i="6" s="1"/>
  <c r="V41" i="6" s="1"/>
  <c r="W41" i="6" s="1"/>
  <c r="X41" i="6" s="1"/>
  <c r="Y41" i="6" s="1"/>
  <c r="Z41" i="6" s="1"/>
  <c r="D128" i="12"/>
  <c r="H417" i="12"/>
  <c r="H259" i="12"/>
  <c r="H498" i="12" s="1"/>
  <c r="H134" i="12"/>
  <c r="H27" i="12"/>
  <c r="E375" i="5"/>
  <c r="H327" i="5" s="1"/>
  <c r="H51" i="12"/>
  <c r="H10" i="12"/>
  <c r="L417" i="12"/>
  <c r="L259" i="12"/>
  <c r="L498" i="12" s="1"/>
  <c r="L134" i="12"/>
  <c r="L27" i="12"/>
  <c r="L51" i="12"/>
  <c r="L10" i="12"/>
  <c r="E379" i="5"/>
  <c r="H331" i="5" s="1"/>
  <c r="L423" i="12"/>
  <c r="L29" i="12" s="1"/>
  <c r="L30" i="12" s="1"/>
  <c r="L448" i="12"/>
  <c r="I417" i="12"/>
  <c r="I259" i="12"/>
  <c r="I498" i="12" s="1"/>
  <c r="I27" i="12"/>
  <c r="I51" i="12"/>
  <c r="I10" i="12"/>
  <c r="I134" i="12"/>
  <c r="E376" i="5"/>
  <c r="H328" i="5" s="1"/>
  <c r="M417" i="12"/>
  <c r="M259" i="12"/>
  <c r="M498" i="12" s="1"/>
  <c r="M134" i="12"/>
  <c r="M27" i="12"/>
  <c r="M51" i="12"/>
  <c r="M10" i="12"/>
  <c r="E380" i="5"/>
  <c r="H332" i="5" s="1"/>
  <c r="M448" i="12"/>
  <c r="M423" i="12"/>
  <c r="M29" i="12" s="1"/>
  <c r="M30" i="12" s="1"/>
  <c r="H342" i="5"/>
  <c r="M342" i="5"/>
  <c r="B4" i="6"/>
  <c r="J417" i="12"/>
  <c r="J259" i="12"/>
  <c r="J498" i="12" s="1"/>
  <c r="J134" i="12"/>
  <c r="J27" i="12"/>
  <c r="J51" i="12"/>
  <c r="J10" i="12"/>
  <c r="K342" i="5"/>
  <c r="N417" i="12"/>
  <c r="N259" i="12"/>
  <c r="N498" i="12" s="1"/>
  <c r="N134" i="12"/>
  <c r="N27" i="12"/>
  <c r="N51" i="12"/>
  <c r="N10" i="12"/>
  <c r="O342" i="5"/>
  <c r="N502" i="12"/>
  <c r="O36" i="5"/>
  <c r="N448" i="12"/>
  <c r="N423" i="12"/>
  <c r="N29" i="12" s="1"/>
  <c r="N30" i="12" s="1"/>
  <c r="H194" i="5"/>
  <c r="H180" i="5"/>
  <c r="I342" i="5"/>
  <c r="N342" i="5"/>
  <c r="E378" i="5"/>
  <c r="H330" i="5" s="1"/>
  <c r="E12" i="6"/>
  <c r="I2" i="9" s="1"/>
  <c r="V184" i="12"/>
  <c r="V171" i="12"/>
  <c r="V178" i="12" s="1"/>
  <c r="U190" i="16"/>
  <c r="I163" i="12"/>
  <c r="F38" i="10"/>
  <c r="Y729" i="12"/>
  <c r="Y730" i="12" s="1"/>
  <c r="Y123" i="12" s="1"/>
  <c r="Y614" i="12"/>
  <c r="Z9" i="12"/>
  <c r="W257" i="12"/>
  <c r="W729" i="12"/>
  <c r="W730" i="12" s="1"/>
  <c r="W123" i="12" s="1"/>
  <c r="W614" i="12"/>
  <c r="J164" i="12"/>
  <c r="Z166" i="12"/>
  <c r="X729" i="12"/>
  <c r="X730" i="12" s="1"/>
  <c r="X123" i="12" s="1"/>
  <c r="X614" i="12"/>
  <c r="W195" i="16"/>
  <c r="F195" i="16"/>
  <c r="V169" i="12"/>
  <c r="V176" i="12" s="1"/>
  <c r="W181" i="12"/>
  <c r="W183" i="12"/>
  <c r="W185" i="12"/>
  <c r="I195" i="16"/>
  <c r="M195" i="16"/>
  <c r="O195" i="16"/>
  <c r="I228" i="12"/>
  <c r="P190" i="16" s="1"/>
  <c r="I230" i="12"/>
  <c r="J269" i="12"/>
  <c r="H294" i="12"/>
  <c r="U195" i="16"/>
  <c r="W289" i="12"/>
  <c r="W338" i="12" s="1"/>
  <c r="W285" i="12"/>
  <c r="W286" i="12"/>
  <c r="W287" i="12"/>
  <c r="W208" i="12"/>
  <c r="W210" i="12"/>
  <c r="G195" i="16"/>
  <c r="V234" i="12"/>
  <c r="V236" i="12"/>
  <c r="V238" i="12"/>
  <c r="Y195" i="16"/>
  <c r="Y273" i="12"/>
  <c r="W182" i="12"/>
  <c r="W184" i="12"/>
  <c r="W187" i="12"/>
  <c r="W308" i="12" s="1"/>
  <c r="N195" i="16"/>
  <c r="X195" i="16"/>
  <c r="X312" i="12"/>
  <c r="W379" i="12"/>
  <c r="W431" i="12" s="1"/>
  <c r="W374" i="12"/>
  <c r="X361" i="12"/>
  <c r="X426" i="12"/>
  <c r="G358" i="12"/>
  <c r="H188" i="16" s="1"/>
  <c r="W407" i="12"/>
  <c r="W441" i="12" s="1"/>
  <c r="W404" i="12"/>
  <c r="X392" i="12"/>
  <c r="X413" i="12"/>
  <c r="X451" i="12"/>
  <c r="Y536" i="12"/>
  <c r="W405" i="12"/>
  <c r="M502" i="12"/>
  <c r="I502" i="12"/>
  <c r="L502" i="12"/>
  <c r="H502" i="12"/>
  <c r="K502" i="12"/>
  <c r="G502" i="12"/>
  <c r="Y685" i="12"/>
  <c r="X301" i="12"/>
  <c r="J502" i="12"/>
  <c r="Y631" i="12"/>
  <c r="J573" i="12"/>
  <c r="AA700" i="12"/>
  <c r="U63" i="13"/>
  <c r="K195" i="16"/>
  <c r="X504" i="12"/>
  <c r="X558" i="12"/>
  <c r="X654" i="12"/>
  <c r="W523" i="12"/>
  <c r="W533" i="12" s="1"/>
  <c r="X580" i="12"/>
  <c r="W644" i="12"/>
  <c r="Y689" i="12"/>
  <c r="X731" i="12"/>
  <c r="Y711" i="12"/>
  <c r="AC32" i="15"/>
  <c r="Q7" i="15" s="1"/>
  <c r="Q33" i="15"/>
  <c r="AG32" i="15"/>
  <c r="U33" i="15"/>
  <c r="W642" i="12"/>
  <c r="X747" i="12"/>
  <c r="Q74" i="15"/>
  <c r="Q73" i="15"/>
  <c r="Q93" i="15"/>
  <c r="U74" i="15"/>
  <c r="U93" i="15"/>
  <c r="U73" i="15"/>
  <c r="V93" i="15"/>
  <c r="U8" i="15"/>
  <c r="V22" i="13"/>
  <c r="T49" i="13"/>
  <c r="W731" i="12"/>
  <c r="M8" i="14"/>
  <c r="G8" i="14"/>
  <c r="AB15" i="15"/>
  <c r="P7" i="15" s="1"/>
  <c r="P33" i="15"/>
  <c r="AF15" i="15"/>
  <c r="T33" i="15"/>
  <c r="X40" i="15"/>
  <c r="X41" i="15"/>
  <c r="X60" i="15"/>
  <c r="Z39" i="15"/>
  <c r="N40" i="15" s="1"/>
  <c r="N66" i="15"/>
  <c r="N67" i="15" s="1"/>
  <c r="AH39" i="15"/>
  <c r="V66" i="15"/>
  <c r="S73" i="15"/>
  <c r="Y736" i="12"/>
  <c r="B37" i="14" a="1"/>
  <c r="K7" i="14"/>
  <c r="P41" i="15"/>
  <c r="M4" i="14"/>
  <c r="G66" i="15"/>
  <c r="K66" i="15"/>
  <c r="K67" i="15" s="1"/>
  <c r="O66" i="15"/>
  <c r="AA38" i="15"/>
  <c r="S66" i="15"/>
  <c r="AE38" i="15"/>
  <c r="W66" i="15"/>
  <c r="AI38" i="15"/>
  <c r="R40" i="15"/>
  <c r="I90" i="13"/>
  <c r="E80" i="13" s="1"/>
  <c r="B28" i="14" a="1"/>
  <c r="H4" i="14"/>
  <c r="O4" i="14"/>
  <c r="B34" i="14" a="1"/>
  <c r="H6" i="14"/>
  <c r="O6" i="14"/>
  <c r="P8" i="15"/>
  <c r="P31" i="15"/>
  <c r="P12" i="15"/>
  <c r="T8" i="15"/>
  <c r="T31" i="15"/>
  <c r="T12" i="15"/>
  <c r="X8" i="15"/>
  <c r="X31" i="15"/>
  <c r="X12" i="15"/>
  <c r="U31" i="15"/>
  <c r="U12" i="15"/>
  <c r="U7" i="15"/>
  <c r="T7" i="15"/>
  <c r="G33" i="15"/>
  <c r="K33" i="15"/>
  <c r="K34" i="15" s="1"/>
  <c r="O33" i="15"/>
  <c r="S33" i="15"/>
  <c r="W33" i="15"/>
  <c r="H66" i="15"/>
  <c r="L66" i="15"/>
  <c r="L67" i="15" s="1"/>
  <c r="P66" i="15"/>
  <c r="T66" i="15"/>
  <c r="X66" i="15"/>
  <c r="T60" i="15"/>
  <c r="T40" i="15"/>
  <c r="R74" i="15"/>
  <c r="V99" i="15"/>
  <c r="V100" i="15" s="1"/>
  <c r="H8" i="14"/>
  <c r="W7" i="15"/>
  <c r="X7" i="15"/>
  <c r="F33" i="15"/>
  <c r="J33" i="15"/>
  <c r="J34" i="15" s="1"/>
  <c r="Z13" i="15"/>
  <c r="N8" i="15" s="1"/>
  <c r="N33" i="15"/>
  <c r="AD13" i="15"/>
  <c r="R8" i="15" s="1"/>
  <c r="R33" i="15"/>
  <c r="AH13" i="15"/>
  <c r="V8" i="15" s="1"/>
  <c r="V33" i="15"/>
  <c r="Q60" i="15"/>
  <c r="Q40" i="15"/>
  <c r="Q41" i="15"/>
  <c r="U60" i="15"/>
  <c r="U40" i="15"/>
  <c r="U41" i="15"/>
  <c r="N60" i="15"/>
  <c r="V60" i="15"/>
  <c r="O31" i="15"/>
  <c r="W31" i="15"/>
  <c r="AA32" i="15"/>
  <c r="O12" i="15" s="1"/>
  <c r="AE32" i="15"/>
  <c r="S7" i="15" s="1"/>
  <c r="AI32" i="15"/>
  <c r="W12" i="15" s="1"/>
  <c r="R60" i="15"/>
  <c r="X73" i="15"/>
  <c r="N99" i="15"/>
  <c r="N100" i="15" s="1"/>
  <c r="W99" i="15"/>
  <c r="W100" i="15" s="1"/>
  <c r="R99" i="15"/>
  <c r="R100" i="15" s="1"/>
  <c r="O8" i="15"/>
  <c r="S8" i="15"/>
  <c r="W8" i="15"/>
  <c r="E66" i="15"/>
  <c r="I66" i="15"/>
  <c r="I67" i="15" s="1"/>
  <c r="M66" i="15"/>
  <c r="M67" i="15" s="1"/>
  <c r="Q66" i="15"/>
  <c r="U66" i="15"/>
  <c r="R41" i="15"/>
  <c r="V41" i="15"/>
  <c r="S93" i="15"/>
  <c r="W93" i="15"/>
  <c r="W74" i="15"/>
  <c r="R93" i="15"/>
  <c r="R73" i="15"/>
  <c r="W73" i="15"/>
  <c r="P99" i="15"/>
  <c r="P100" i="15" s="1"/>
  <c r="AB94" i="15"/>
  <c r="P74" i="15" s="1"/>
  <c r="T99" i="15"/>
  <c r="T100" i="15" s="1"/>
  <c r="AF94" i="15"/>
  <c r="T74" i="15" s="1"/>
  <c r="X99" i="15"/>
  <c r="X100" i="15" s="1"/>
  <c r="AJ94" i="15"/>
  <c r="X74" i="15" s="1"/>
  <c r="V40" i="15"/>
  <c r="T93" i="15"/>
  <c r="T73" i="15"/>
  <c r="AE95" i="15"/>
  <c r="S74" i="15" s="1"/>
  <c r="S99" i="15"/>
  <c r="S100" i="15" s="1"/>
  <c r="O99" i="15"/>
  <c r="O100" i="15" s="1"/>
  <c r="AA94" i="15"/>
  <c r="O93" i="15" s="1"/>
  <c r="Q99" i="15"/>
  <c r="Q100" i="15" s="1"/>
  <c r="U99" i="15"/>
  <c r="U100" i="15" s="1"/>
  <c r="Z94" i="15"/>
  <c r="N93" i="15" s="1"/>
  <c r="AH94" i="15"/>
  <c r="V73" i="15" s="1"/>
  <c r="B21" i="16"/>
  <c r="Q140" i="15"/>
  <c r="U140" i="15"/>
  <c r="C11" i="16"/>
  <c r="O140" i="15"/>
  <c r="R140" i="15"/>
  <c r="V140" i="15"/>
  <c r="S140" i="15"/>
  <c r="S195" i="16"/>
  <c r="C43" i="17"/>
  <c r="C41" i="17"/>
  <c r="C39" i="17"/>
  <c r="C37" i="17"/>
  <c r="C35" i="17"/>
  <c r="C33" i="17"/>
  <c r="C31" i="17"/>
  <c r="C29" i="17"/>
  <c r="C27" i="17"/>
  <c r="C25" i="17"/>
  <c r="C23" i="17"/>
  <c r="C21" i="17"/>
  <c r="C19" i="17"/>
  <c r="C17" i="17"/>
  <c r="C15" i="17"/>
  <c r="C13" i="17"/>
  <c r="C11" i="17"/>
  <c r="C9" i="17"/>
  <c r="C38" i="17"/>
  <c r="C30" i="17"/>
  <c r="C22" i="17"/>
  <c r="C14" i="17"/>
  <c r="C44" i="17"/>
  <c r="C36" i="17"/>
  <c r="C28" i="17"/>
  <c r="C20" i="17"/>
  <c r="C12" i="17"/>
  <c r="C42" i="17"/>
  <c r="C34" i="17"/>
  <c r="C26" i="17"/>
  <c r="C18" i="17"/>
  <c r="C10" i="17"/>
  <c r="C40" i="17"/>
  <c r="C16" i="17"/>
  <c r="F59" i="18"/>
  <c r="F41" i="18"/>
  <c r="E12" i="18" s="1"/>
  <c r="H7" i="18" s="1"/>
  <c r="F45" i="18"/>
  <c r="F56" i="18"/>
  <c r="F42" i="18"/>
  <c r="G612" i="12" l="1"/>
  <c r="F10" i="13"/>
  <c r="V188" i="16"/>
  <c r="V195" i="16" s="1"/>
  <c r="H597" i="12"/>
  <c r="Z76" i="6"/>
  <c r="AA41" i="6"/>
  <c r="Z95" i="6"/>
  <c r="J228" i="12"/>
  <c r="S206" i="16"/>
  <c r="S210" i="16"/>
  <c r="S214" i="16"/>
  <c r="S218" i="16"/>
  <c r="S222" i="16"/>
  <c r="S226" i="16"/>
  <c r="S230" i="16"/>
  <c r="S234" i="16"/>
  <c r="S209" i="16"/>
  <c r="S225" i="16"/>
  <c r="S207" i="16"/>
  <c r="S211" i="16"/>
  <c r="S215" i="16"/>
  <c r="S219" i="16"/>
  <c r="S223" i="16"/>
  <c r="S227" i="16"/>
  <c r="S231" i="16"/>
  <c r="S235" i="16"/>
  <c r="S217" i="16"/>
  <c r="S229" i="16"/>
  <c r="S208" i="16"/>
  <c r="S212" i="16"/>
  <c r="S216" i="16"/>
  <c r="S220" i="16"/>
  <c r="S224" i="16"/>
  <c r="S228" i="16"/>
  <c r="S232" i="16"/>
  <c r="S236" i="16"/>
  <c r="S213" i="16"/>
  <c r="S221" i="16"/>
  <c r="S233" i="16"/>
  <c r="L206" i="16"/>
  <c r="AF140" i="12" s="1"/>
  <c r="L210" i="16"/>
  <c r="AJ140" i="12" s="1"/>
  <c r="L214" i="16"/>
  <c r="AN140" i="12" s="1"/>
  <c r="L218" i="16"/>
  <c r="AR140" i="12" s="1"/>
  <c r="L222" i="16"/>
  <c r="AV140" i="12" s="1"/>
  <c r="L226" i="16"/>
  <c r="AZ140" i="12" s="1"/>
  <c r="L230" i="16"/>
  <c r="BD140" i="12" s="1"/>
  <c r="L234" i="16"/>
  <c r="BH140" i="12" s="1"/>
  <c r="L217" i="16"/>
  <c r="AQ140" i="12" s="1"/>
  <c r="L229" i="16"/>
  <c r="BC140" i="12" s="1"/>
  <c r="L207" i="16"/>
  <c r="AG140" i="12" s="1"/>
  <c r="L211" i="16"/>
  <c r="AK140" i="12" s="1"/>
  <c r="L215" i="16"/>
  <c r="AO140" i="12" s="1"/>
  <c r="L219" i="16"/>
  <c r="AS140" i="12" s="1"/>
  <c r="L223" i="16"/>
  <c r="AW140" i="12" s="1"/>
  <c r="L227" i="16"/>
  <c r="BA140" i="12" s="1"/>
  <c r="L231" i="16"/>
  <c r="BE140" i="12" s="1"/>
  <c r="L235" i="16"/>
  <c r="BI140" i="12" s="1"/>
  <c r="L209" i="16"/>
  <c r="AI140" i="12" s="1"/>
  <c r="L225" i="16"/>
  <c r="AY140" i="12" s="1"/>
  <c r="L237" i="16"/>
  <c r="BK140" i="12" s="1"/>
  <c r="L208" i="16"/>
  <c r="AH140" i="12" s="1"/>
  <c r="L212" i="16"/>
  <c r="AL140" i="12" s="1"/>
  <c r="L216" i="16"/>
  <c r="AP140" i="12" s="1"/>
  <c r="L220" i="16"/>
  <c r="AT140" i="12" s="1"/>
  <c r="L224" i="16"/>
  <c r="AX140" i="12" s="1"/>
  <c r="L228" i="16"/>
  <c r="BB140" i="12" s="1"/>
  <c r="L232" i="16"/>
  <c r="BF140" i="12" s="1"/>
  <c r="L236" i="16"/>
  <c r="BJ140" i="12" s="1"/>
  <c r="L213" i="16"/>
  <c r="AM140" i="12" s="1"/>
  <c r="L221" i="16"/>
  <c r="AU140" i="12" s="1"/>
  <c r="L233" i="16"/>
  <c r="BG140" i="12" s="1"/>
  <c r="H206" i="16"/>
  <c r="H210" i="16"/>
  <c r="H214" i="16"/>
  <c r="H218" i="16"/>
  <c r="H222" i="16"/>
  <c r="H226" i="16"/>
  <c r="H230" i="16"/>
  <c r="H234" i="16"/>
  <c r="H217" i="16"/>
  <c r="H229" i="16"/>
  <c r="H207" i="16"/>
  <c r="H211" i="16"/>
  <c r="H215" i="16"/>
  <c r="H219" i="16"/>
  <c r="H223" i="16"/>
  <c r="H227" i="16"/>
  <c r="H231" i="16"/>
  <c r="H235" i="16"/>
  <c r="H209" i="16"/>
  <c r="H213" i="16"/>
  <c r="H225" i="16"/>
  <c r="H237" i="16"/>
  <c r="H208" i="16"/>
  <c r="H212" i="16"/>
  <c r="H216" i="16"/>
  <c r="H220" i="16"/>
  <c r="H224" i="16"/>
  <c r="H228" i="16"/>
  <c r="H232" i="16"/>
  <c r="H236" i="16"/>
  <c r="H221" i="16"/>
  <c r="H233" i="16"/>
  <c r="I130" i="16"/>
  <c r="I132" i="16"/>
  <c r="I131" i="16"/>
  <c r="I133" i="16"/>
  <c r="I134" i="16"/>
  <c r="I135" i="16"/>
  <c r="I136" i="16"/>
  <c r="I137" i="16"/>
  <c r="I138" i="16"/>
  <c r="I139" i="16"/>
  <c r="H139" i="16"/>
  <c r="H140" i="16"/>
  <c r="I140" i="16"/>
  <c r="H141" i="16"/>
  <c r="I141" i="16"/>
  <c r="I142" i="16"/>
  <c r="H142" i="16"/>
  <c r="I143" i="16"/>
  <c r="H143" i="16"/>
  <c r="H144" i="16"/>
  <c r="I144" i="16"/>
  <c r="H145" i="16"/>
  <c r="I145" i="16"/>
  <c r="I146" i="16"/>
  <c r="H146" i="16"/>
  <c r="I147" i="16"/>
  <c r="H147" i="16"/>
  <c r="H148" i="16"/>
  <c r="I148" i="16"/>
  <c r="H149" i="16"/>
  <c r="I149" i="16"/>
  <c r="I150" i="16"/>
  <c r="H150" i="16"/>
  <c r="I151" i="16"/>
  <c r="H151" i="16"/>
  <c r="H152" i="16"/>
  <c r="I152" i="16"/>
  <c r="H153" i="16"/>
  <c r="I153" i="16"/>
  <c r="I154" i="16"/>
  <c r="H154" i="16"/>
  <c r="I155" i="16"/>
  <c r="H155" i="16"/>
  <c r="H156" i="16"/>
  <c r="I156" i="16"/>
  <c r="H157" i="16"/>
  <c r="I157" i="16"/>
  <c r="I158" i="16"/>
  <c r="H158" i="16"/>
  <c r="H159" i="16"/>
  <c r="I159" i="16"/>
  <c r="H160" i="16"/>
  <c r="I160" i="16"/>
  <c r="I161" i="16"/>
  <c r="H161" i="16"/>
  <c r="H162" i="16"/>
  <c r="I162" i="16"/>
  <c r="I163" i="16"/>
  <c r="H163" i="16"/>
  <c r="H164" i="16"/>
  <c r="I164" i="16"/>
  <c r="H165" i="16"/>
  <c r="I165" i="16"/>
  <c r="H166" i="16"/>
  <c r="I166" i="16"/>
  <c r="I167" i="16"/>
  <c r="H167" i="16"/>
  <c r="H168" i="16"/>
  <c r="I168" i="16"/>
  <c r="H169" i="16"/>
  <c r="I169" i="16"/>
  <c r="H170" i="16"/>
  <c r="I170" i="16"/>
  <c r="J139" i="16"/>
  <c r="J140" i="16"/>
  <c r="J141" i="16"/>
  <c r="J142" i="16"/>
  <c r="J143" i="16"/>
  <c r="J144" i="16"/>
  <c r="J145" i="16"/>
  <c r="J146" i="16"/>
  <c r="J147" i="16"/>
  <c r="J148" i="16"/>
  <c r="J149" i="16"/>
  <c r="J150" i="16"/>
  <c r="J151" i="16"/>
  <c r="J152" i="16"/>
  <c r="J153" i="16"/>
  <c r="J154" i="16"/>
  <c r="J155" i="16"/>
  <c r="J156" i="16"/>
  <c r="J157" i="16"/>
  <c r="J158" i="16"/>
  <c r="J159" i="16"/>
  <c r="J160" i="16"/>
  <c r="J161" i="16"/>
  <c r="J162" i="16"/>
  <c r="J163" i="16"/>
  <c r="J164" i="16"/>
  <c r="J165" i="16"/>
  <c r="J166" i="16"/>
  <c r="J167" i="16"/>
  <c r="J168" i="16"/>
  <c r="J169" i="16"/>
  <c r="J170" i="16"/>
  <c r="M139" i="16"/>
  <c r="M140" i="16"/>
  <c r="M141" i="16"/>
  <c r="M142" i="16"/>
  <c r="M143" i="16"/>
  <c r="M144" i="16"/>
  <c r="M145" i="16"/>
  <c r="M146" i="16"/>
  <c r="M147" i="16"/>
  <c r="M148" i="16"/>
  <c r="M149" i="16"/>
  <c r="M150" i="16"/>
  <c r="M151" i="16"/>
  <c r="M152" i="16"/>
  <c r="M153" i="16"/>
  <c r="M154" i="16"/>
  <c r="M155" i="16"/>
  <c r="M156" i="16"/>
  <c r="M157" i="16"/>
  <c r="M158" i="16"/>
  <c r="M159" i="16"/>
  <c r="M160" i="16"/>
  <c r="M161" i="16"/>
  <c r="M162" i="16"/>
  <c r="M163" i="16"/>
  <c r="M164" i="16"/>
  <c r="M165" i="16"/>
  <c r="M166" i="16"/>
  <c r="M167" i="16"/>
  <c r="M168" i="16"/>
  <c r="M169" i="16"/>
  <c r="M170" i="16"/>
  <c r="E208" i="16"/>
  <c r="AH635" i="12" s="1"/>
  <c r="E212" i="16"/>
  <c r="AL635" i="12" s="1"/>
  <c r="E207" i="16"/>
  <c r="AG635" i="12" s="1"/>
  <c r="E211" i="16"/>
  <c r="AK635" i="12" s="1"/>
  <c r="E210" i="16"/>
  <c r="AJ635" i="12" s="1"/>
  <c r="E213" i="16"/>
  <c r="AM635" i="12" s="1"/>
  <c r="E206" i="16"/>
  <c r="AF635" i="12" s="1"/>
  <c r="E209" i="16"/>
  <c r="AI635" i="12" s="1"/>
  <c r="E215" i="16"/>
  <c r="AO635" i="12" s="1"/>
  <c r="E214" i="16"/>
  <c r="AN635" i="12" s="1"/>
  <c r="E216" i="16"/>
  <c r="AP635" i="12" s="1"/>
  <c r="E217" i="16"/>
  <c r="AQ635" i="12" s="1"/>
  <c r="E218" i="16"/>
  <c r="AR635" i="12" s="1"/>
  <c r="E219" i="16"/>
  <c r="AS635" i="12" s="1"/>
  <c r="E220" i="16"/>
  <c r="AT635" i="12" s="1"/>
  <c r="E221" i="16"/>
  <c r="AU635" i="12" s="1"/>
  <c r="E222" i="16"/>
  <c r="AV635" i="12" s="1"/>
  <c r="E223" i="16"/>
  <c r="AW635" i="12" s="1"/>
  <c r="E224" i="16"/>
  <c r="AX635" i="12" s="1"/>
  <c r="E225" i="16"/>
  <c r="AY635" i="12" s="1"/>
  <c r="E226" i="16"/>
  <c r="AZ635" i="12" s="1"/>
  <c r="E227" i="16"/>
  <c r="BA635" i="12" s="1"/>
  <c r="E228" i="16"/>
  <c r="BB635" i="12" s="1"/>
  <c r="E229" i="16"/>
  <c r="BC635" i="12" s="1"/>
  <c r="E230" i="16"/>
  <c r="BD635" i="12" s="1"/>
  <c r="E231" i="16"/>
  <c r="BE635" i="12" s="1"/>
  <c r="E232" i="16"/>
  <c r="BF635" i="12" s="1"/>
  <c r="E233" i="16"/>
  <c r="BG635" i="12" s="1"/>
  <c r="E234" i="16"/>
  <c r="BH635" i="12" s="1"/>
  <c r="E235" i="16"/>
  <c r="BI635" i="12" s="1"/>
  <c r="E236" i="16"/>
  <c r="BJ635" i="12" s="1"/>
  <c r="E237" i="16"/>
  <c r="BK635" i="12" s="1"/>
  <c r="J206" i="16"/>
  <c r="J207" i="16"/>
  <c r="J208" i="16"/>
  <c r="J209" i="16"/>
  <c r="J210" i="16"/>
  <c r="J211" i="16"/>
  <c r="J212" i="16"/>
  <c r="J213" i="16"/>
  <c r="J214" i="16"/>
  <c r="J215" i="16"/>
  <c r="J216" i="16"/>
  <c r="J217" i="16"/>
  <c r="J218" i="16"/>
  <c r="J219" i="16"/>
  <c r="J220" i="16"/>
  <c r="J221" i="16"/>
  <c r="J222" i="16"/>
  <c r="J223" i="16"/>
  <c r="J224" i="16"/>
  <c r="J225" i="16"/>
  <c r="J226" i="16"/>
  <c r="J227" i="16"/>
  <c r="J228" i="16"/>
  <c r="J229" i="16"/>
  <c r="J230" i="16"/>
  <c r="J231" i="16"/>
  <c r="J232" i="16"/>
  <c r="J233" i="16"/>
  <c r="J234" i="16"/>
  <c r="J235" i="16"/>
  <c r="J236" i="16"/>
  <c r="J237" i="16"/>
  <c r="B33" i="14" a="1"/>
  <c r="J7" i="14"/>
  <c r="G5" i="14"/>
  <c r="J5" i="14"/>
  <c r="M7" i="14"/>
  <c r="G4" i="14"/>
  <c r="J4" i="14"/>
  <c r="G7" i="14"/>
  <c r="W444" i="12"/>
  <c r="L193" i="16"/>
  <c r="L197" i="16" s="1"/>
  <c r="W140" i="12" s="1"/>
  <c r="J6" i="14"/>
  <c r="I500" i="12"/>
  <c r="I547" i="12" s="1"/>
  <c r="I13" i="12" s="1"/>
  <c r="I677" i="12" s="1"/>
  <c r="I680" i="12" s="1"/>
  <c r="M6" i="14"/>
  <c r="M500" i="12"/>
  <c r="M547" i="12" s="1"/>
  <c r="M13" i="12" s="1"/>
  <c r="M677" i="12" s="1"/>
  <c r="M680" i="12" s="1"/>
  <c r="B27" i="14" a="1"/>
  <c r="C27" i="14" s="1"/>
  <c r="B30" i="14" a="1"/>
  <c r="C30" i="14" s="1"/>
  <c r="G679" i="12"/>
  <c r="I679" i="12"/>
  <c r="G627" i="12"/>
  <c r="N651" i="12" s="1"/>
  <c r="N14" i="12" s="1"/>
  <c r="J679" i="12"/>
  <c r="K263" i="12"/>
  <c r="L263" i="12"/>
  <c r="J263" i="12"/>
  <c r="C31" i="14"/>
  <c r="H500" i="12"/>
  <c r="H547" i="12" s="1"/>
  <c r="H13" i="12" s="1"/>
  <c r="H677" i="12" s="1"/>
  <c r="H680" i="12" s="1"/>
  <c r="H682" i="12" s="1"/>
  <c r="H15" i="12" s="1"/>
  <c r="D421" i="12"/>
  <c r="V436" i="12" s="1"/>
  <c r="G421" i="12"/>
  <c r="G54" i="12" s="1"/>
  <c r="M421" i="12"/>
  <c r="M54" i="12" s="1"/>
  <c r="L421" i="12"/>
  <c r="L54" i="12" s="1"/>
  <c r="N421" i="12"/>
  <c r="N54" i="12" s="1"/>
  <c r="I421" i="12"/>
  <c r="I54" i="12" s="1"/>
  <c r="K421" i="12"/>
  <c r="K54" i="12" s="1"/>
  <c r="J421" i="12"/>
  <c r="J54" i="12" s="1"/>
  <c r="H421" i="12"/>
  <c r="H54" i="12" s="1"/>
  <c r="M263" i="12"/>
  <c r="N263" i="12"/>
  <c r="G577" i="12"/>
  <c r="G56" i="12" s="1"/>
  <c r="K500" i="12"/>
  <c r="K547" i="12" s="1"/>
  <c r="K13" i="12" s="1"/>
  <c r="K677" i="12" s="1"/>
  <c r="K680" i="12" s="1"/>
  <c r="J500" i="12"/>
  <c r="J547" i="12" s="1"/>
  <c r="J13" i="12" s="1"/>
  <c r="J677" i="12" s="1"/>
  <c r="J680" i="12" s="1"/>
  <c r="G500" i="12"/>
  <c r="G547" i="12" s="1"/>
  <c r="G13" i="12" s="1"/>
  <c r="G677" i="12" s="1"/>
  <c r="G680" i="12" s="1"/>
  <c r="H263" i="12"/>
  <c r="G263" i="12"/>
  <c r="L500" i="12"/>
  <c r="L547" i="12" s="1"/>
  <c r="L13" i="12" s="1"/>
  <c r="L677" i="12" s="1"/>
  <c r="L680" i="12" s="1"/>
  <c r="N500" i="12"/>
  <c r="N547" i="12" s="1"/>
  <c r="N13" i="12" s="1"/>
  <c r="N677" i="12" s="1"/>
  <c r="N680" i="12" s="1"/>
  <c r="I263" i="12"/>
  <c r="D263" i="12"/>
  <c r="V311" i="12" s="1"/>
  <c r="H651" i="12"/>
  <c r="H14" i="12" s="1"/>
  <c r="D651" i="12"/>
  <c r="V654" i="12" s="1"/>
  <c r="J577" i="12"/>
  <c r="J56" i="12" s="1"/>
  <c r="L679" i="12"/>
  <c r="K679" i="12"/>
  <c r="H577" i="12"/>
  <c r="H56" i="12" s="1"/>
  <c r="M679" i="12"/>
  <c r="N679" i="12"/>
  <c r="W318" i="12"/>
  <c r="M125" i="16"/>
  <c r="M132" i="16" s="1"/>
  <c r="W433" i="12"/>
  <c r="W319" i="12"/>
  <c r="S193" i="16"/>
  <c r="S198" i="16" s="1"/>
  <c r="W335" i="12"/>
  <c r="E193" i="16"/>
  <c r="E200" i="16" s="1"/>
  <c r="Z635" i="12" s="1"/>
  <c r="W340" i="12"/>
  <c r="W337" i="12"/>
  <c r="W428" i="12"/>
  <c r="W434" i="12"/>
  <c r="W309" i="12"/>
  <c r="W427" i="12"/>
  <c r="W432" i="12"/>
  <c r="W429" i="12"/>
  <c r="W657" i="12"/>
  <c r="W303" i="12"/>
  <c r="W334" i="12"/>
  <c r="W658" i="12"/>
  <c r="W662" i="12"/>
  <c r="W659" i="12"/>
  <c r="W656" i="12"/>
  <c r="W661" i="12"/>
  <c r="W307" i="12"/>
  <c r="W339" i="12"/>
  <c r="W315" i="12"/>
  <c r="W336" i="12"/>
  <c r="W660" i="12"/>
  <c r="W313" i="12"/>
  <c r="W305" i="12"/>
  <c r="W430" i="12"/>
  <c r="W333" i="12"/>
  <c r="W320" i="12"/>
  <c r="W314" i="12"/>
  <c r="W317" i="12"/>
  <c r="C13" i="16"/>
  <c r="Q190" i="16"/>
  <c r="Z689" i="12"/>
  <c r="Y504" i="12"/>
  <c r="V63" i="13"/>
  <c r="W531" i="12"/>
  <c r="W532" i="12"/>
  <c r="Y392" i="12"/>
  <c r="W443" i="12"/>
  <c r="S12" i="15"/>
  <c r="Q12" i="15"/>
  <c r="V7" i="15"/>
  <c r="R7" i="15"/>
  <c r="N7" i="15"/>
  <c r="Y361" i="12"/>
  <c r="B8" i="14"/>
  <c r="E8" i="14" s="1"/>
  <c r="V749" i="12"/>
  <c r="V656" i="12"/>
  <c r="V582" i="12"/>
  <c r="V713" i="12"/>
  <c r="V691" i="12"/>
  <c r="H649" i="12"/>
  <c r="V453" i="12"/>
  <c r="H575" i="12"/>
  <c r="V538" i="12"/>
  <c r="V702" i="12"/>
  <c r="H675" i="12"/>
  <c r="H740" i="12" s="1"/>
  <c r="V314" i="12"/>
  <c r="V439" i="12"/>
  <c r="V527" i="12"/>
  <c r="V324" i="12"/>
  <c r="V428" i="12"/>
  <c r="V303" i="12"/>
  <c r="V334" i="12"/>
  <c r="V113" i="12"/>
  <c r="V92" i="12"/>
  <c r="V103" i="12"/>
  <c r="V80" i="12"/>
  <c r="V146" i="12"/>
  <c r="W442" i="12"/>
  <c r="V752" i="12"/>
  <c r="K675" i="12"/>
  <c r="K740" i="12" s="1"/>
  <c r="K575" i="12"/>
  <c r="V716" i="12"/>
  <c r="V705" i="12"/>
  <c r="V659" i="12"/>
  <c r="K649" i="12"/>
  <c r="V585" i="12"/>
  <c r="V694" i="12"/>
  <c r="V530" i="12"/>
  <c r="V337" i="12"/>
  <c r="V306" i="12"/>
  <c r="V431" i="12"/>
  <c r="V327" i="12"/>
  <c r="V442" i="12"/>
  <c r="V456" i="12"/>
  <c r="V317" i="12"/>
  <c r="V541" i="12"/>
  <c r="V149" i="12"/>
  <c r="V106" i="12"/>
  <c r="V83" i="12"/>
  <c r="V116" i="12"/>
  <c r="V95" i="12"/>
  <c r="O74" i="15"/>
  <c r="N41" i="15"/>
  <c r="X93" i="15"/>
  <c r="S31" i="15"/>
  <c r="O7" i="15"/>
  <c r="B36" i="14"/>
  <c r="C36" i="14"/>
  <c r="C28" i="14"/>
  <c r="B28" i="14"/>
  <c r="S60" i="15"/>
  <c r="S41" i="15"/>
  <c r="S40" i="15"/>
  <c r="C33" i="14"/>
  <c r="B33" i="14"/>
  <c r="U49" i="13"/>
  <c r="N74" i="15"/>
  <c r="Y580" i="12"/>
  <c r="W530" i="12"/>
  <c r="W529" i="12"/>
  <c r="Y301" i="12"/>
  <c r="J195" i="16"/>
  <c r="J193" i="16"/>
  <c r="J200" i="16" s="1"/>
  <c r="Y451" i="12"/>
  <c r="W440" i="12"/>
  <c r="Y426" i="12"/>
  <c r="W445" i="12"/>
  <c r="Q31" i="15"/>
  <c r="V12" i="15"/>
  <c r="R12" i="15"/>
  <c r="N12" i="15"/>
  <c r="Z273" i="12"/>
  <c r="M296" i="12"/>
  <c r="I296" i="12"/>
  <c r="L296" i="12"/>
  <c r="H296" i="12"/>
  <c r="G296" i="12"/>
  <c r="N296" i="12"/>
  <c r="J296" i="12"/>
  <c r="K296" i="12"/>
  <c r="I227" i="12"/>
  <c r="J227" i="12" s="1"/>
  <c r="I225" i="12"/>
  <c r="J225" i="12" s="1"/>
  <c r="I226" i="12"/>
  <c r="J226" i="12" s="1"/>
  <c r="N577" i="12"/>
  <c r="C26" i="11"/>
  <c r="D1" i="9"/>
  <c r="L577" i="12"/>
  <c r="E129" i="6"/>
  <c r="E95" i="6"/>
  <c r="E76" i="6"/>
  <c r="W438" i="12"/>
  <c r="W304" i="12"/>
  <c r="H125" i="16"/>
  <c r="H130" i="16" s="1"/>
  <c r="J130" i="16" s="1"/>
  <c r="O73" i="15"/>
  <c r="P73" i="15"/>
  <c r="B34" i="14"/>
  <c r="C34" i="14"/>
  <c r="C37" i="14"/>
  <c r="B37" i="14"/>
  <c r="Z736" i="12"/>
  <c r="V74" i="15"/>
  <c r="N73" i="15"/>
  <c r="Y731" i="12"/>
  <c r="Z711" i="12"/>
  <c r="W528" i="12"/>
  <c r="Y558" i="12"/>
  <c r="W527" i="12"/>
  <c r="I577" i="12"/>
  <c r="Z685" i="12"/>
  <c r="Y413" i="12"/>
  <c r="H358" i="12"/>
  <c r="W439" i="12"/>
  <c r="Q8" i="15"/>
  <c r="V31" i="15"/>
  <c r="R31" i="15"/>
  <c r="N31" i="15"/>
  <c r="BH238" i="12"/>
  <c r="BD238" i="12"/>
  <c r="AZ238" i="12"/>
  <c r="AV238" i="12"/>
  <c r="BK238" i="12"/>
  <c r="BG238" i="12"/>
  <c r="BC238" i="12"/>
  <c r="AY238" i="12"/>
  <c r="AU238" i="12"/>
  <c r="BE238" i="12"/>
  <c r="AW238" i="12"/>
  <c r="AQ238" i="12"/>
  <c r="AM238" i="12"/>
  <c r="AI238" i="12"/>
  <c r="AE238" i="12"/>
  <c r="AA238" i="12"/>
  <c r="W238" i="12"/>
  <c r="BJ238" i="12"/>
  <c r="BB238" i="12"/>
  <c r="AT238" i="12"/>
  <c r="AP238" i="12"/>
  <c r="AL238" i="12"/>
  <c r="AH238" i="12"/>
  <c r="AD238" i="12"/>
  <c r="Z238" i="12"/>
  <c r="BI238" i="12"/>
  <c r="BA238" i="12"/>
  <c r="AS238" i="12"/>
  <c r="AO238" i="12"/>
  <c r="AK238" i="12"/>
  <c r="AG238" i="12"/>
  <c r="AC238" i="12"/>
  <c r="Y238" i="12"/>
  <c r="BF238" i="12"/>
  <c r="AX238" i="12"/>
  <c r="AR238" i="12"/>
  <c r="AN238" i="12"/>
  <c r="AJ238" i="12"/>
  <c r="AF238" i="12"/>
  <c r="AB238" i="12"/>
  <c r="X238" i="12"/>
  <c r="Z729" i="12"/>
  <c r="Z730" i="12" s="1"/>
  <c r="Z123" i="12" s="1"/>
  <c r="Z614" i="12"/>
  <c r="AA9" i="12"/>
  <c r="F190" i="16"/>
  <c r="J163" i="12"/>
  <c r="G190" i="12" s="1"/>
  <c r="V751" i="12"/>
  <c r="V715" i="12"/>
  <c r="V658" i="12"/>
  <c r="V584" i="12"/>
  <c r="V693" i="12"/>
  <c r="J675" i="12"/>
  <c r="J740" i="12" s="1"/>
  <c r="J575" i="12"/>
  <c r="V455" i="12"/>
  <c r="V704" i="12"/>
  <c r="J649" i="12"/>
  <c r="V540" i="12"/>
  <c r="V316" i="12"/>
  <c r="V529" i="12"/>
  <c r="V441" i="12"/>
  <c r="V336" i="12"/>
  <c r="V430" i="12"/>
  <c r="V326" i="12"/>
  <c r="V305" i="12"/>
  <c r="V115" i="12"/>
  <c r="V94" i="12"/>
  <c r="V148" i="12"/>
  <c r="V105" i="12"/>
  <c r="V82" i="12"/>
  <c r="M577" i="12"/>
  <c r="V753" i="12"/>
  <c r="V717" i="12"/>
  <c r="V660" i="12"/>
  <c r="V586" i="12"/>
  <c r="V695" i="12"/>
  <c r="L649" i="12"/>
  <c r="V706" i="12"/>
  <c r="L575" i="12"/>
  <c r="V457" i="12"/>
  <c r="L675" i="12"/>
  <c r="L740" i="12" s="1"/>
  <c r="V542" i="12"/>
  <c r="V531" i="12"/>
  <c r="V318" i="12"/>
  <c r="V443" i="12"/>
  <c r="V328" i="12"/>
  <c r="V432" i="12"/>
  <c r="V307" i="12"/>
  <c r="V338" i="12"/>
  <c r="V117" i="12"/>
  <c r="V150" i="12"/>
  <c r="V96" i="12"/>
  <c r="V107" i="12"/>
  <c r="V84" i="12"/>
  <c r="W306" i="12"/>
  <c r="W302" i="12"/>
  <c r="B75" i="16"/>
  <c r="C66" i="16"/>
  <c r="V748" i="12"/>
  <c r="G675" i="12"/>
  <c r="G740" i="12" s="1"/>
  <c r="G575" i="12"/>
  <c r="V701" i="12"/>
  <c r="V712" i="12"/>
  <c r="V655" i="12"/>
  <c r="G649" i="12"/>
  <c r="V581" i="12"/>
  <c r="V526" i="12"/>
  <c r="V690" i="12"/>
  <c r="V537" i="12"/>
  <c r="V333" i="12"/>
  <c r="V302" i="12"/>
  <c r="V452" i="12"/>
  <c r="V427" i="12"/>
  <c r="V323" i="12"/>
  <c r="V438" i="12"/>
  <c r="V313" i="12"/>
  <c r="V145" i="12"/>
  <c r="V102" i="12"/>
  <c r="V79" i="12"/>
  <c r="V112" i="12"/>
  <c r="V91" i="12"/>
  <c r="C15" i="16"/>
  <c r="C16" i="16" s="1"/>
  <c r="F69" i="16"/>
  <c r="B22" i="16"/>
  <c r="P93" i="15"/>
  <c r="N34" i="15"/>
  <c r="W557" i="12"/>
  <c r="W60" i="15"/>
  <c r="W41" i="15"/>
  <c r="W40" i="15"/>
  <c r="O60" i="15"/>
  <c r="O41" i="15"/>
  <c r="O40" i="15"/>
  <c r="W22" i="13"/>
  <c r="Y747" i="12"/>
  <c r="W526" i="12"/>
  <c r="Y654" i="12"/>
  <c r="AB700" i="12"/>
  <c r="Z631" i="12"/>
  <c r="Z536" i="12"/>
  <c r="W375" i="12"/>
  <c r="Y312" i="12"/>
  <c r="AA166" i="12"/>
  <c r="V755" i="12"/>
  <c r="V719" i="12"/>
  <c r="V662" i="12"/>
  <c r="V588" i="12"/>
  <c r="V708" i="12"/>
  <c r="V697" i="12"/>
  <c r="N675" i="12"/>
  <c r="N740" i="12" s="1"/>
  <c r="N575" i="12"/>
  <c r="N649" i="12"/>
  <c r="V459" i="12"/>
  <c r="V544" i="12"/>
  <c r="V320" i="12"/>
  <c r="V445" i="12"/>
  <c r="V340" i="12"/>
  <c r="V533" i="12"/>
  <c r="V434" i="12"/>
  <c r="V330" i="12"/>
  <c r="V309" i="12"/>
  <c r="V152" i="12"/>
  <c r="V119" i="12"/>
  <c r="V98" i="12"/>
  <c r="V109" i="12"/>
  <c r="V86" i="12"/>
  <c r="V754" i="12"/>
  <c r="V718" i="12"/>
  <c r="M649" i="12"/>
  <c r="V707" i="12"/>
  <c r="M675" i="12"/>
  <c r="M740" i="12" s="1"/>
  <c r="V661" i="12"/>
  <c r="V587" i="12"/>
  <c r="M575" i="12"/>
  <c r="V532" i="12"/>
  <c r="V458" i="12"/>
  <c r="V339" i="12"/>
  <c r="V308" i="12"/>
  <c r="V696" i="12"/>
  <c r="V543" i="12"/>
  <c r="V433" i="12"/>
  <c r="V329" i="12"/>
  <c r="V444" i="12"/>
  <c r="V319" i="12"/>
  <c r="V151" i="12"/>
  <c r="V108" i="12"/>
  <c r="V85" i="12"/>
  <c r="V118" i="12"/>
  <c r="V97" i="12"/>
  <c r="V750" i="12"/>
  <c r="I649" i="12"/>
  <c r="V703" i="12"/>
  <c r="V714" i="12"/>
  <c r="I675" i="12"/>
  <c r="I740" i="12" s="1"/>
  <c r="V657" i="12"/>
  <c r="V583" i="12"/>
  <c r="I575" i="12"/>
  <c r="V692" i="12"/>
  <c r="V528" i="12"/>
  <c r="V335" i="12"/>
  <c r="V304" i="12"/>
  <c r="V454" i="12"/>
  <c r="V429" i="12"/>
  <c r="V325" i="12"/>
  <c r="V539" i="12"/>
  <c r="V440" i="12"/>
  <c r="V315" i="12"/>
  <c r="V147" i="12"/>
  <c r="V104" i="12"/>
  <c r="V81" i="12"/>
  <c r="V114" i="12"/>
  <c r="V93" i="12"/>
  <c r="J125" i="16"/>
  <c r="K577" i="12"/>
  <c r="G121" i="3"/>
  <c r="B651" i="12" l="1"/>
  <c r="B40" i="10" s="1"/>
  <c r="I651" i="12"/>
  <c r="I14" i="12" s="1"/>
  <c r="M651" i="12"/>
  <c r="M14" i="12" s="1"/>
  <c r="AA76" i="6"/>
  <c r="AB41" i="6"/>
  <c r="AA95" i="6"/>
  <c r="Z47" i="6"/>
  <c r="E109" i="6"/>
  <c r="E103" i="6"/>
  <c r="E47" i="6"/>
  <c r="B27" i="7" s="1"/>
  <c r="E85" i="6"/>
  <c r="S201" i="16"/>
  <c r="S204" i="16"/>
  <c r="S205" i="16"/>
  <c r="S200" i="16"/>
  <c r="S203" i="16"/>
  <c r="S202" i="16"/>
  <c r="S199" i="16"/>
  <c r="S197" i="16"/>
  <c r="L204" i="16"/>
  <c r="AD140" i="12" s="1"/>
  <c r="L200" i="16"/>
  <c r="Z140" i="12" s="1"/>
  <c r="L203" i="16"/>
  <c r="AC140" i="12" s="1"/>
  <c r="L205" i="16"/>
  <c r="AE140" i="12" s="1"/>
  <c r="L199" i="16"/>
  <c r="Y140" i="12" s="1"/>
  <c r="L202" i="16"/>
  <c r="AB140" i="12" s="1"/>
  <c r="L201" i="16"/>
  <c r="AA140" i="12" s="1"/>
  <c r="L198" i="16"/>
  <c r="X140" i="12" s="1"/>
  <c r="M138" i="16"/>
  <c r="M134" i="16"/>
  <c r="M130" i="16"/>
  <c r="W581" i="12" s="1"/>
  <c r="H135" i="16"/>
  <c r="J135" i="16" s="1"/>
  <c r="M137" i="16"/>
  <c r="M133" i="16"/>
  <c r="H137" i="16"/>
  <c r="J137" i="16" s="1"/>
  <c r="H133" i="16"/>
  <c r="J133" i="16" s="1"/>
  <c r="H131" i="16"/>
  <c r="J131" i="16" s="1"/>
  <c r="M136" i="16"/>
  <c r="M131" i="16"/>
  <c r="X584" i="12" s="1"/>
  <c r="H138" i="16"/>
  <c r="J138" i="16" s="1"/>
  <c r="H134" i="16"/>
  <c r="J134" i="16" s="1"/>
  <c r="H132" i="16"/>
  <c r="J132" i="16" s="1"/>
  <c r="M135" i="16"/>
  <c r="H136" i="16"/>
  <c r="J136" i="16" s="1"/>
  <c r="J203" i="16"/>
  <c r="J199" i="16"/>
  <c r="Y396" i="12" s="1"/>
  <c r="E201" i="16"/>
  <c r="AA635" i="12" s="1"/>
  <c r="E205" i="16"/>
  <c r="AE635" i="12" s="1"/>
  <c r="J202" i="16"/>
  <c r="J198" i="16"/>
  <c r="X396" i="12" s="1"/>
  <c r="E197" i="16"/>
  <c r="W635" i="12" s="1"/>
  <c r="J205" i="16"/>
  <c r="J201" i="16"/>
  <c r="J197" i="16"/>
  <c r="W396" i="12" s="1"/>
  <c r="E198" i="16"/>
  <c r="X635" i="12" s="1"/>
  <c r="E203" i="16"/>
  <c r="AC635" i="12" s="1"/>
  <c r="E204" i="16"/>
  <c r="AD635" i="12" s="1"/>
  <c r="J204" i="16"/>
  <c r="E202" i="16"/>
  <c r="AB635" i="12" s="1"/>
  <c r="E199" i="16"/>
  <c r="Y635" i="12" s="1"/>
  <c r="E54" i="12"/>
  <c r="L651" i="12"/>
  <c r="L14" i="12" s="1"/>
  <c r="J651" i="12"/>
  <c r="J14" i="12" s="1"/>
  <c r="G651" i="12"/>
  <c r="G14" i="12" s="1"/>
  <c r="K651" i="12"/>
  <c r="K14" i="12" s="1"/>
  <c r="B27" i="14"/>
  <c r="B30" i="14"/>
  <c r="I682" i="12"/>
  <c r="I15" i="12" s="1"/>
  <c r="M682" i="12"/>
  <c r="M15" i="12" s="1"/>
  <c r="E30" i="10"/>
  <c r="E22" i="10"/>
  <c r="G682" i="12"/>
  <c r="G15" i="12" s="1"/>
  <c r="K682" i="12"/>
  <c r="K15" i="12" s="1"/>
  <c r="J682" i="12"/>
  <c r="J15" i="12" s="1"/>
  <c r="N682" i="12"/>
  <c r="N15" i="12" s="1"/>
  <c r="E40" i="10"/>
  <c r="L682" i="12"/>
  <c r="L15" i="12" s="1"/>
  <c r="C21" i="16"/>
  <c r="H121" i="3"/>
  <c r="H46" i="4"/>
  <c r="AA631" i="12"/>
  <c r="Z747" i="12"/>
  <c r="M56" i="12"/>
  <c r="H195" i="16"/>
  <c r="H193" i="16"/>
  <c r="AA711" i="12"/>
  <c r="Z731" i="12"/>
  <c r="AA736" i="12"/>
  <c r="O190" i="16"/>
  <c r="Z451" i="12"/>
  <c r="V49" i="13"/>
  <c r="B7" i="14"/>
  <c r="E7" i="14" s="1"/>
  <c r="Z392" i="12"/>
  <c r="W63" i="13"/>
  <c r="AA689" i="12"/>
  <c r="K56" i="12"/>
  <c r="AB166" i="12"/>
  <c r="Z654" i="12"/>
  <c r="X22" i="13"/>
  <c r="K94" i="4"/>
  <c r="L96" i="4"/>
  <c r="I94" i="4"/>
  <c r="J94" i="4"/>
  <c r="O94" i="4"/>
  <c r="H94" i="4"/>
  <c r="F19" i="13" s="1"/>
  <c r="M94" i="4"/>
  <c r="N94" i="4"/>
  <c r="K96" i="4"/>
  <c r="L94" i="4"/>
  <c r="I96" i="4"/>
  <c r="J96" i="4"/>
  <c r="O96" i="4"/>
  <c r="H96" i="4"/>
  <c r="M96" i="4"/>
  <c r="N96" i="4"/>
  <c r="L261" i="12"/>
  <c r="H261" i="12"/>
  <c r="K261" i="12"/>
  <c r="G261" i="12"/>
  <c r="I261" i="12"/>
  <c r="N261" i="12"/>
  <c r="D261" i="12"/>
  <c r="M261" i="12"/>
  <c r="J261" i="12"/>
  <c r="J358" i="12"/>
  <c r="G382" i="12" s="1"/>
  <c r="W377" i="12"/>
  <c r="I56" i="12"/>
  <c r="F129" i="6"/>
  <c r="Z301" i="12"/>
  <c r="E9" i="14"/>
  <c r="T8" i="14"/>
  <c r="R8" i="14"/>
  <c r="Z504" i="12"/>
  <c r="Z312" i="12"/>
  <c r="B23" i="16"/>
  <c r="C22" i="16"/>
  <c r="B76" i="16"/>
  <c r="Z413" i="12"/>
  <c r="AA685" i="12"/>
  <c r="L56" i="12"/>
  <c r="N56" i="12"/>
  <c r="N190" i="16"/>
  <c r="AA273" i="12"/>
  <c r="Z426" i="12"/>
  <c r="Z580" i="12"/>
  <c r="Z361" i="12"/>
  <c r="G190" i="16"/>
  <c r="F68" i="16"/>
  <c r="F70" i="16" s="1"/>
  <c r="C20" i="16"/>
  <c r="AA536" i="12"/>
  <c r="AC700" i="12"/>
  <c r="AA729" i="12"/>
  <c r="AA730" i="12" s="1"/>
  <c r="AA123" i="12" s="1"/>
  <c r="AA614" i="12"/>
  <c r="AB9" i="12"/>
  <c r="Z558" i="12"/>
  <c r="C2" i="9"/>
  <c r="B1" i="7"/>
  <c r="M190" i="16"/>
  <c r="I229" i="12"/>
  <c r="T197" i="16" l="1"/>
  <c r="T237" i="16"/>
  <c r="AB76" i="6"/>
  <c r="AC41" i="6"/>
  <c r="AB95" i="6"/>
  <c r="AA47" i="6"/>
  <c r="W586" i="12"/>
  <c r="T199" i="16"/>
  <c r="W587" i="12"/>
  <c r="T204" i="16"/>
  <c r="T203" i="16"/>
  <c r="T198" i="16"/>
  <c r="T205" i="16"/>
  <c r="T206" i="16"/>
  <c r="T208" i="16"/>
  <c r="T215" i="16"/>
  <c r="T218" i="16"/>
  <c r="T222" i="16"/>
  <c r="T226" i="16"/>
  <c r="T230" i="16"/>
  <c r="T234" i="16"/>
  <c r="T210" i="16"/>
  <c r="T212" i="16"/>
  <c r="T214" i="16"/>
  <c r="T219" i="16"/>
  <c r="T223" i="16"/>
  <c r="T227" i="16"/>
  <c r="T231" i="16"/>
  <c r="T235" i="16"/>
  <c r="T209" i="16"/>
  <c r="T207" i="16"/>
  <c r="T216" i="16"/>
  <c r="T220" i="16"/>
  <c r="T224" i="16"/>
  <c r="T228" i="16"/>
  <c r="T232" i="16"/>
  <c r="T236" i="16"/>
  <c r="T213" i="16"/>
  <c r="T211" i="16"/>
  <c r="T217" i="16"/>
  <c r="T221" i="16"/>
  <c r="T225" i="16"/>
  <c r="T229" i="16"/>
  <c r="T233" i="16"/>
  <c r="W582" i="12"/>
  <c r="W583" i="12"/>
  <c r="W585" i="12"/>
  <c r="W584" i="12"/>
  <c r="W588" i="12"/>
  <c r="H197" i="16"/>
  <c r="W366" i="12" s="1"/>
  <c r="H198" i="16"/>
  <c r="X366" i="12" s="1"/>
  <c r="H204" i="16"/>
  <c r="H202" i="16"/>
  <c r="H199" i="16"/>
  <c r="Y366" i="12" s="1"/>
  <c r="H201" i="16"/>
  <c r="H205" i="16"/>
  <c r="H203" i="16"/>
  <c r="H200" i="16"/>
  <c r="Z366" i="12" s="1"/>
  <c r="T201" i="16"/>
  <c r="T200" i="16"/>
  <c r="T202" i="16"/>
  <c r="Z584" i="12"/>
  <c r="W458" i="12"/>
  <c r="W453" i="12"/>
  <c r="W457" i="12"/>
  <c r="W459" i="12"/>
  <c r="W456" i="12"/>
  <c r="W414" i="12"/>
  <c r="W124" i="12" s="1"/>
  <c r="E110" i="6" s="1"/>
  <c r="W454" i="12"/>
  <c r="W737" i="12"/>
  <c r="W125" i="12" s="1"/>
  <c r="E108" i="6" s="1"/>
  <c r="W455" i="12"/>
  <c r="S64" i="13"/>
  <c r="E114" i="6" s="1"/>
  <c r="W452" i="12"/>
  <c r="C65" i="16"/>
  <c r="E44" i="4"/>
  <c r="Y584" i="12"/>
  <c r="W150" i="12"/>
  <c r="X150" i="12"/>
  <c r="X145" i="12"/>
  <c r="X148" i="12"/>
  <c r="X151" i="12"/>
  <c r="X146" i="12"/>
  <c r="X149" i="12"/>
  <c r="X152" i="12"/>
  <c r="X147" i="12"/>
  <c r="U64" i="13"/>
  <c r="Y737" i="12"/>
  <c r="Y125" i="12" s="1"/>
  <c r="X581" i="12"/>
  <c r="Y581" i="12" s="1"/>
  <c r="X586" i="12"/>
  <c r="Y586" i="12" s="1"/>
  <c r="X587" i="12"/>
  <c r="X588" i="12"/>
  <c r="Y588" i="12" s="1"/>
  <c r="X585" i="12"/>
  <c r="Y585" i="12" s="1"/>
  <c r="X582" i="12"/>
  <c r="Y582" i="12" s="1"/>
  <c r="X583" i="12"/>
  <c r="Y583" i="12"/>
  <c r="Y587" i="12"/>
  <c r="Y455" i="12"/>
  <c r="Y414" i="12"/>
  <c r="Y124" i="12" s="1"/>
  <c r="Y453" i="12"/>
  <c r="Y365" i="12"/>
  <c r="B77" i="16"/>
  <c r="G129" i="6"/>
  <c r="V300" i="12"/>
  <c r="E21" i="10"/>
  <c r="H27" i="10" s="1"/>
  <c r="AB689" i="12"/>
  <c r="AB729" i="12"/>
  <c r="AB730" i="12" s="1"/>
  <c r="AB123" i="12" s="1"/>
  <c r="AB614" i="12"/>
  <c r="AC9" i="12"/>
  <c r="AB273" i="12"/>
  <c r="K19" i="13"/>
  <c r="L742" i="12"/>
  <c r="L32" i="12" s="1"/>
  <c r="L33" i="12" s="1"/>
  <c r="L35" i="12" s="1"/>
  <c r="AA731" i="12"/>
  <c r="AB711" i="12"/>
  <c r="AA426" i="12"/>
  <c r="AA312" i="12"/>
  <c r="G19" i="13"/>
  <c r="H742" i="12"/>
  <c r="H32" i="12" s="1"/>
  <c r="H33" i="12" s="1"/>
  <c r="H35" i="12" s="1"/>
  <c r="G723" i="12"/>
  <c r="G43" i="12" s="1"/>
  <c r="E123" i="6" s="1"/>
  <c r="B21" i="7" s="1"/>
  <c r="Y22" i="13"/>
  <c r="AC166" i="12"/>
  <c r="W365" i="12"/>
  <c r="W364" i="12"/>
  <c r="W395" i="12"/>
  <c r="W633" i="12"/>
  <c r="W634" i="12"/>
  <c r="W394" i="12"/>
  <c r="AB536" i="12"/>
  <c r="Y152" i="12"/>
  <c r="Y150" i="12"/>
  <c r="Y148" i="12"/>
  <c r="Y146" i="12"/>
  <c r="Y151" i="12"/>
  <c r="Y149" i="12"/>
  <c r="Y147" i="12"/>
  <c r="Y145" i="12"/>
  <c r="J19" i="13"/>
  <c r="K742" i="12"/>
  <c r="K32" i="12" s="1"/>
  <c r="K33" i="12" s="1"/>
  <c r="K35" i="12" s="1"/>
  <c r="G742" i="12"/>
  <c r="G32" i="12" s="1"/>
  <c r="G33" i="12" s="1"/>
  <c r="G35" i="12" s="1"/>
  <c r="F472" i="12"/>
  <c r="E475" i="12" s="1"/>
  <c r="Y457" i="12"/>
  <c r="AA747" i="12"/>
  <c r="C1" i="7"/>
  <c r="D1" i="7" s="1"/>
  <c r="E1" i="7" s="1"/>
  <c r="F1" i="7" s="1"/>
  <c r="G1" i="7" s="1"/>
  <c r="H1" i="7" s="1"/>
  <c r="I1" i="7" s="1"/>
  <c r="J1" i="7" s="1"/>
  <c r="K1" i="7" s="1"/>
  <c r="L1" i="7" s="1"/>
  <c r="M1" i="7" s="1"/>
  <c r="N1" i="7" s="1"/>
  <c r="O1" i="7" s="1"/>
  <c r="P1" i="7" s="1"/>
  <c r="Q1" i="7" s="1"/>
  <c r="R1" i="7" s="1"/>
  <c r="S1" i="7" s="1"/>
  <c r="T1" i="7" s="1"/>
  <c r="U1" i="7" s="1"/>
  <c r="V1" i="7" s="1"/>
  <c r="W1" i="7" s="1"/>
  <c r="X1" i="7" s="1"/>
  <c r="Y1" i="7" s="1"/>
  <c r="Z1" i="7" s="1"/>
  <c r="AA1" i="7" s="1"/>
  <c r="AB1" i="7" s="1"/>
  <c r="AC1" i="7" s="1"/>
  <c r="AD1" i="7" s="1"/>
  <c r="AE1" i="7" s="1"/>
  <c r="AF1" i="7" s="1"/>
  <c r="AG1" i="7" s="1"/>
  <c r="AH1" i="7" s="1"/>
  <c r="AI1" i="7" s="1"/>
  <c r="AJ1" i="7" s="1"/>
  <c r="AK1" i="7" s="1"/>
  <c r="AL1" i="7" s="1"/>
  <c r="AM1" i="7" s="1"/>
  <c r="AN1" i="7" s="1"/>
  <c r="AO1" i="7" s="1"/>
  <c r="AP1" i="7" s="1"/>
  <c r="AQ1" i="7" s="1"/>
  <c r="AA361" i="12"/>
  <c r="Z396" i="12"/>
  <c r="AA413" i="12"/>
  <c r="AA504" i="12"/>
  <c r="K419" i="12"/>
  <c r="K53" i="12" s="1"/>
  <c r="K58" i="12" s="1"/>
  <c r="K60" i="12" s="1"/>
  <c r="G419" i="12"/>
  <c r="G53" i="12" s="1"/>
  <c r="G58" i="12" s="1"/>
  <c r="G60" i="12" s="1"/>
  <c r="N419" i="12"/>
  <c r="N53" i="12" s="1"/>
  <c r="N58" i="12" s="1"/>
  <c r="N60" i="12" s="1"/>
  <c r="J419" i="12"/>
  <c r="J53" i="12" s="1"/>
  <c r="J58" i="12" s="1"/>
  <c r="J60" i="12" s="1"/>
  <c r="D419" i="12"/>
  <c r="E29" i="10" s="1"/>
  <c r="I419" i="12"/>
  <c r="I53" i="12" s="1"/>
  <c r="I58" i="12" s="1"/>
  <c r="I60" i="12" s="1"/>
  <c r="H419" i="12"/>
  <c r="H53" i="12" s="1"/>
  <c r="H58" i="12" s="1"/>
  <c r="H60" i="12" s="1"/>
  <c r="M419" i="12"/>
  <c r="M53" i="12" s="1"/>
  <c r="M58" i="12" s="1"/>
  <c r="M60" i="12" s="1"/>
  <c r="B419" i="12"/>
  <c r="B29" i="10" s="1"/>
  <c r="L419" i="12"/>
  <c r="L53" i="12" s="1"/>
  <c r="L58" i="12" s="1"/>
  <c r="L60" i="12" s="1"/>
  <c r="M19" i="13"/>
  <c r="N742" i="12"/>
  <c r="N32" i="12" s="1"/>
  <c r="N33" i="12" s="1"/>
  <c r="N35" i="12" s="1"/>
  <c r="I19" i="13"/>
  <c r="J742" i="12"/>
  <c r="J32" i="12" s="1"/>
  <c r="J33" i="12" s="1"/>
  <c r="J35" i="12" s="1"/>
  <c r="AA654" i="12"/>
  <c r="X63" i="13"/>
  <c r="X737" i="12"/>
  <c r="X125" i="12" s="1"/>
  <c r="X456" i="12"/>
  <c r="X452" i="12"/>
  <c r="T64" i="13"/>
  <c r="X454" i="12"/>
  <c r="X459" i="12"/>
  <c r="X457" i="12"/>
  <c r="X453" i="12"/>
  <c r="X414" i="12"/>
  <c r="X124" i="12" s="1"/>
  <c r="X458" i="12"/>
  <c r="X455" i="12"/>
  <c r="Y452" i="12"/>
  <c r="Y458" i="12"/>
  <c r="Y459" i="12"/>
  <c r="AD700" i="12"/>
  <c r="AB685" i="12"/>
  <c r="B6" i="14"/>
  <c r="E6" i="14" s="1"/>
  <c r="AA392" i="12"/>
  <c r="T7" i="14"/>
  <c r="R7" i="14"/>
  <c r="AA451" i="12"/>
  <c r="AB736" i="12"/>
  <c r="N230" i="12"/>
  <c r="F95" i="6"/>
  <c r="F76" i="6"/>
  <c r="AA558" i="12"/>
  <c r="AA580" i="12"/>
  <c r="C23" i="16"/>
  <c r="B24" i="16"/>
  <c r="R9" i="14"/>
  <c r="E10" i="14"/>
  <c r="T9" i="14"/>
  <c r="AA301" i="12"/>
  <c r="L19" i="13"/>
  <c r="M742" i="12"/>
  <c r="M32" i="12" s="1"/>
  <c r="M33" i="12" s="1"/>
  <c r="M35" i="12" s="1"/>
  <c r="H19" i="13"/>
  <c r="I742" i="12"/>
  <c r="I32" i="12" s="1"/>
  <c r="I33" i="12" s="1"/>
  <c r="I35" i="12" s="1"/>
  <c r="W49" i="13"/>
  <c r="Y454" i="12"/>
  <c r="Y456" i="12"/>
  <c r="AB631" i="12"/>
  <c r="C67" i="16"/>
  <c r="C70" i="16" s="1"/>
  <c r="F103" i="6" l="1"/>
  <c r="AD41" i="6"/>
  <c r="AC76" i="6"/>
  <c r="AC95" i="6"/>
  <c r="AB47" i="6"/>
  <c r="F108" i="6"/>
  <c r="F109" i="6"/>
  <c r="F110" i="6"/>
  <c r="F114" i="6"/>
  <c r="F47" i="6"/>
  <c r="C27" i="7" s="1"/>
  <c r="W147" i="12"/>
  <c r="W146" i="12"/>
  <c r="W152" i="12"/>
  <c r="W149" i="12"/>
  <c r="W148" i="12"/>
  <c r="W151" i="12"/>
  <c r="W145" i="12"/>
  <c r="Z455" i="12"/>
  <c r="Y395" i="12"/>
  <c r="Z585" i="12"/>
  <c r="Z454" i="12"/>
  <c r="BA15" i="6" a="1"/>
  <c r="BA50" i="6" s="1"/>
  <c r="Z633" i="12"/>
  <c r="Z365" i="12"/>
  <c r="Z394" i="12"/>
  <c r="Z634" i="12"/>
  <c r="Z737" i="12"/>
  <c r="Z125" i="12" s="1"/>
  <c r="Z414" i="12"/>
  <c r="Z124" i="12" s="1"/>
  <c r="Y633" i="12"/>
  <c r="Y364" i="12"/>
  <c r="Y368" i="12" s="1"/>
  <c r="Z452" i="12"/>
  <c r="Z457" i="12"/>
  <c r="Z456" i="12"/>
  <c r="Z459" i="12"/>
  <c r="Y394" i="12"/>
  <c r="Z586" i="12"/>
  <c r="Z458" i="12"/>
  <c r="Z453" i="12"/>
  <c r="V64" i="13"/>
  <c r="Y634" i="12"/>
  <c r="C76" i="16"/>
  <c r="C77" i="16"/>
  <c r="C75" i="16"/>
  <c r="AC631" i="12"/>
  <c r="X49" i="13"/>
  <c r="AD166" i="12"/>
  <c r="Z22" i="13"/>
  <c r="C24" i="16"/>
  <c r="B25" i="16"/>
  <c r="AB580" i="12"/>
  <c r="Z587" i="12"/>
  <c r="Z588" i="12"/>
  <c r="AC736" i="12"/>
  <c r="AC685" i="12"/>
  <c r="G62" i="12"/>
  <c r="Z364" i="12"/>
  <c r="G483" i="12"/>
  <c r="G42" i="12" s="1"/>
  <c r="F475" i="12"/>
  <c r="G485" i="12" s="1"/>
  <c r="G66" i="12" s="1"/>
  <c r="E115" i="6" s="1"/>
  <c r="AC536" i="12"/>
  <c r="W637" i="12"/>
  <c r="W640" i="12" s="1"/>
  <c r="AB504" i="12"/>
  <c r="AB747" i="12"/>
  <c r="G37" i="12"/>
  <c r="AB312" i="12"/>
  <c r="AC729" i="12"/>
  <c r="AC730" i="12" s="1"/>
  <c r="AC614" i="12"/>
  <c r="AD9" i="12"/>
  <c r="AC689" i="12"/>
  <c r="H129" i="6"/>
  <c r="B78" i="16"/>
  <c r="AB301" i="12"/>
  <c r="E11" i="14"/>
  <c r="T10" i="14"/>
  <c r="R10" i="14"/>
  <c r="Z581" i="12"/>
  <c r="AA581" i="12" s="1"/>
  <c r="Z582" i="12"/>
  <c r="Z395" i="12"/>
  <c r="AB654" i="12"/>
  <c r="V425" i="12"/>
  <c r="E53" i="12"/>
  <c r="Z151" i="12"/>
  <c r="Z149" i="12"/>
  <c r="Z147" i="12"/>
  <c r="Z145" i="12"/>
  <c r="Z150" i="12"/>
  <c r="Z148" i="12"/>
  <c r="Z146" i="12"/>
  <c r="Z152" i="12"/>
  <c r="AB361" i="12"/>
  <c r="AB426" i="12"/>
  <c r="AB731" i="12"/>
  <c r="AC711" i="12"/>
  <c r="AC273" i="12"/>
  <c r="K265" i="12"/>
  <c r="K298" i="12" s="1"/>
  <c r="K12" i="12" s="1"/>
  <c r="K17" i="12" s="1"/>
  <c r="K18" i="12" s="1"/>
  <c r="G265" i="12"/>
  <c r="G298" i="12" s="1"/>
  <c r="G12" i="12" s="1"/>
  <c r="G17" i="12" s="1"/>
  <c r="G18" i="12" s="1"/>
  <c r="N265" i="12"/>
  <c r="N298" i="12" s="1"/>
  <c r="N12" i="12" s="1"/>
  <c r="N17" i="12" s="1"/>
  <c r="N18" i="12" s="1"/>
  <c r="J265" i="12"/>
  <c r="J298" i="12" s="1"/>
  <c r="J12" i="12" s="1"/>
  <c r="J17" i="12" s="1"/>
  <c r="J18" i="12" s="1"/>
  <c r="H265" i="12"/>
  <c r="H298" i="12" s="1"/>
  <c r="H12" i="12" s="1"/>
  <c r="H17" i="12" s="1"/>
  <c r="H18" i="12" s="1"/>
  <c r="M265" i="12"/>
  <c r="M298" i="12" s="1"/>
  <c r="M12" i="12" s="1"/>
  <c r="M17" i="12" s="1"/>
  <c r="M18" i="12" s="1"/>
  <c r="L265" i="12"/>
  <c r="L298" i="12" s="1"/>
  <c r="L12" i="12" s="1"/>
  <c r="L17" i="12" s="1"/>
  <c r="L18" i="12" s="1"/>
  <c r="I265" i="12"/>
  <c r="I298" i="12" s="1"/>
  <c r="I12" i="12" s="1"/>
  <c r="I17" i="12" s="1"/>
  <c r="I18" i="12" s="1"/>
  <c r="AB392" i="12"/>
  <c r="R6" i="14"/>
  <c r="T6" i="14"/>
  <c r="Z583" i="12"/>
  <c r="AB558" i="12"/>
  <c r="AB451" i="12"/>
  <c r="B5" i="14"/>
  <c r="E5" i="14" s="1"/>
  <c r="E4" i="14"/>
  <c r="AE700" i="12"/>
  <c r="X633" i="12"/>
  <c r="X394" i="12"/>
  <c r="X364" i="12"/>
  <c r="X634" i="12"/>
  <c r="X395" i="12"/>
  <c r="X365" i="12"/>
  <c r="Y63" i="13"/>
  <c r="AB413" i="12"/>
  <c r="AA366" i="12"/>
  <c r="AA396" i="12"/>
  <c r="W398" i="12"/>
  <c r="W401" i="12" s="1"/>
  <c r="W368" i="12"/>
  <c r="W369" i="12" s="1"/>
  <c r="AC47" i="6" l="1"/>
  <c r="AD76" i="6"/>
  <c r="AE41" i="6"/>
  <c r="AD95" i="6"/>
  <c r="G9" i="14"/>
  <c r="M9" i="14"/>
  <c r="M10" i="14" s="1"/>
  <c r="M11" i="14" s="1"/>
  <c r="J9" i="14"/>
  <c r="H9" i="14"/>
  <c r="AC123" i="12"/>
  <c r="B10" i="7" s="1"/>
  <c r="G68" i="12"/>
  <c r="AA458" i="12"/>
  <c r="Y398" i="12"/>
  <c r="Y401" i="12" s="1"/>
  <c r="AA455" i="12"/>
  <c r="AA457" i="12"/>
  <c r="AA452" i="12"/>
  <c r="AA414" i="12"/>
  <c r="AA124" i="12" s="1"/>
  <c r="AA453" i="12"/>
  <c r="AA454" i="12"/>
  <c r="AA456" i="12"/>
  <c r="Z398" i="12"/>
  <c r="Z401" i="12" s="1"/>
  <c r="AA459" i="12"/>
  <c r="AA633" i="12"/>
  <c r="AA634" i="12"/>
  <c r="BA28" i="6"/>
  <c r="BA23" i="6"/>
  <c r="BA55" i="6"/>
  <c r="AN29" i="7" s="1"/>
  <c r="BA40" i="6"/>
  <c r="BA35" i="6"/>
  <c r="BA21" i="6"/>
  <c r="BA37" i="6"/>
  <c r="BA53" i="6"/>
  <c r="AN26" i="7" s="1"/>
  <c r="BA26" i="6"/>
  <c r="BA42" i="6"/>
  <c r="BA20" i="6"/>
  <c r="BA47" i="6"/>
  <c r="AN27" i="7" s="1"/>
  <c r="BA32" i="6"/>
  <c r="BA17" i="6"/>
  <c r="BA33" i="6"/>
  <c r="BA49" i="6"/>
  <c r="AN25" i="7" s="1"/>
  <c r="BA22" i="6"/>
  <c r="BA38" i="6"/>
  <c r="BA54" i="6"/>
  <c r="AN28" i="7" s="1"/>
  <c r="BA36" i="6"/>
  <c r="BA31" i="6"/>
  <c r="BA16" i="6"/>
  <c r="BA48" i="6"/>
  <c r="BA43" i="6"/>
  <c r="BA25" i="6"/>
  <c r="BA41" i="6"/>
  <c r="BA15" i="6"/>
  <c r="BA30" i="6"/>
  <c r="BA46" i="6"/>
  <c r="BA52" i="6"/>
  <c r="BA27" i="6"/>
  <c r="BA44" i="6"/>
  <c r="BA39" i="6"/>
  <c r="BA24" i="6"/>
  <c r="BA19" i="6"/>
  <c r="BA51" i="6"/>
  <c r="BA29" i="6"/>
  <c r="BA45" i="6"/>
  <c r="BA18" i="6"/>
  <c r="BA34" i="6"/>
  <c r="Y637" i="12"/>
  <c r="Y639" i="12" s="1"/>
  <c r="S6" i="14"/>
  <c r="Y370" i="12"/>
  <c r="Y371" i="12"/>
  <c r="Y372" i="12"/>
  <c r="Y369" i="12"/>
  <c r="W370" i="12"/>
  <c r="AA394" i="12"/>
  <c r="AA364" i="12"/>
  <c r="W399" i="12"/>
  <c r="AA395" i="12"/>
  <c r="AA365" i="12"/>
  <c r="W638" i="12"/>
  <c r="Z637" i="12"/>
  <c r="AA151" i="12"/>
  <c r="AA149" i="12"/>
  <c r="AA147" i="12"/>
  <c r="AA145" i="12"/>
  <c r="AA152" i="12"/>
  <c r="AA150" i="12"/>
  <c r="AA148" i="12"/>
  <c r="AA146" i="12"/>
  <c r="AC413" i="12"/>
  <c r="X398" i="12"/>
  <c r="X401" i="12" s="1"/>
  <c r="X405" i="12" s="1"/>
  <c r="S8" i="14"/>
  <c r="U8" i="14"/>
  <c r="S9" i="14"/>
  <c r="AC426" i="12"/>
  <c r="AA737" i="12"/>
  <c r="AA125" i="12" s="1"/>
  <c r="W64" i="13"/>
  <c r="T11" i="14"/>
  <c r="U11" i="14" s="1"/>
  <c r="E12" i="14"/>
  <c r="R11" i="14"/>
  <c r="S11" i="14" s="1"/>
  <c r="AD689" i="12"/>
  <c r="E124" i="6"/>
  <c r="B22" i="7" s="1"/>
  <c r="AD536" i="12"/>
  <c r="E122" i="6"/>
  <c r="B20" i="7" s="1"/>
  <c r="G47" i="12"/>
  <c r="G49" i="12" s="1"/>
  <c r="Z368" i="12"/>
  <c r="Z370" i="12" s="1"/>
  <c r="AA584" i="12"/>
  <c r="AA583" i="12"/>
  <c r="F65" i="16"/>
  <c r="AB366" i="12"/>
  <c r="AB396" i="12"/>
  <c r="X637" i="12"/>
  <c r="X640" i="12" s="1"/>
  <c r="X644" i="12" s="1"/>
  <c r="T5" i="14"/>
  <c r="U5" i="14" s="1"/>
  <c r="R5" i="14"/>
  <c r="S5" i="14" s="1"/>
  <c r="U6" i="14"/>
  <c r="G95" i="6"/>
  <c r="G76" i="6"/>
  <c r="AC301" i="12"/>
  <c r="I129" i="6"/>
  <c r="AD729" i="12"/>
  <c r="AD730" i="12" s="1"/>
  <c r="AD123" i="12" s="1"/>
  <c r="C10" i="7" s="1"/>
  <c r="AD614" i="12"/>
  <c r="AE9" i="12"/>
  <c r="AC747" i="12"/>
  <c r="AC504" i="12"/>
  <c r="U7" i="14"/>
  <c r="AA586" i="12"/>
  <c r="AA585" i="12"/>
  <c r="AE166" i="12"/>
  <c r="Y49" i="13"/>
  <c r="Z63" i="13"/>
  <c r="W372" i="12"/>
  <c r="AF700" i="12"/>
  <c r="AC558" i="12"/>
  <c r="AC392" i="12"/>
  <c r="G20" i="12"/>
  <c r="AD273" i="12"/>
  <c r="AC361" i="12"/>
  <c r="AC654" i="12"/>
  <c r="AB585" i="12"/>
  <c r="S10" i="14"/>
  <c r="AC312" i="12"/>
  <c r="W639" i="12"/>
  <c r="AD736" i="12"/>
  <c r="AA588" i="12"/>
  <c r="AC580" i="12"/>
  <c r="AA587" i="12"/>
  <c r="U9" i="14"/>
  <c r="AA22" i="13"/>
  <c r="W371" i="12"/>
  <c r="X368" i="12"/>
  <c r="X370" i="12" s="1"/>
  <c r="AC451" i="12"/>
  <c r="S7" i="14"/>
  <c r="AD711" i="12"/>
  <c r="AC731" i="12"/>
  <c r="W400" i="12"/>
  <c r="U10" i="14"/>
  <c r="B79" i="16"/>
  <c r="B11" i="7"/>
  <c r="AD685" i="12"/>
  <c r="AA582" i="12"/>
  <c r="B26" i="16"/>
  <c r="C25" i="16"/>
  <c r="AD631" i="12"/>
  <c r="C78" i="16"/>
  <c r="X8" i="14"/>
  <c r="W6" i="14"/>
  <c r="W8" i="14"/>
  <c r="W7" i="14"/>
  <c r="X6" i="14"/>
  <c r="W5" i="14"/>
  <c r="X7" i="14"/>
  <c r="X5" i="14"/>
  <c r="G103" i="6" l="1"/>
  <c r="AE76" i="6"/>
  <c r="AF41" i="6"/>
  <c r="AE95" i="6"/>
  <c r="AD47" i="6"/>
  <c r="G108" i="6"/>
  <c r="G109" i="6"/>
  <c r="G110" i="6"/>
  <c r="G114" i="6"/>
  <c r="B16" i="7"/>
  <c r="B18" i="7" s="1"/>
  <c r="G47" i="6"/>
  <c r="D27" i="7" s="1"/>
  <c r="Z8" i="14"/>
  <c r="AC8" i="14" s="1"/>
  <c r="Z6" i="14"/>
  <c r="AC6" i="14" s="1"/>
  <c r="Z7" i="14"/>
  <c r="AC7" i="14" s="1"/>
  <c r="Z5" i="14"/>
  <c r="AC5" i="14" s="1"/>
  <c r="X64" i="13"/>
  <c r="M12" i="14"/>
  <c r="G10" i="14"/>
  <c r="J10" i="14"/>
  <c r="G11" i="14"/>
  <c r="Y400" i="12"/>
  <c r="Y405" i="12"/>
  <c r="Z405" i="12" s="1"/>
  <c r="Y399" i="12"/>
  <c r="X375" i="12"/>
  <c r="Y375" i="12" s="1"/>
  <c r="Z375" i="12" s="1"/>
  <c r="Z400" i="12"/>
  <c r="Z399" i="12"/>
  <c r="AA398" i="12"/>
  <c r="AA399" i="12" s="1"/>
  <c r="X639" i="12"/>
  <c r="X643" i="12" s="1"/>
  <c r="Y643" i="12" s="1"/>
  <c r="AA637" i="12"/>
  <c r="AA638" i="12" s="1"/>
  <c r="AB454" i="12"/>
  <c r="X400" i="12"/>
  <c r="X404" i="12" s="1"/>
  <c r="H11" i="14"/>
  <c r="AA368" i="12"/>
  <c r="AA369" i="12" s="1"/>
  <c r="AB584" i="12"/>
  <c r="AB457" i="12"/>
  <c r="AB459" i="12"/>
  <c r="AB456" i="12"/>
  <c r="AB737" i="12"/>
  <c r="AB125" i="12" s="1"/>
  <c r="AB453" i="12"/>
  <c r="AB586" i="12"/>
  <c r="AB452" i="12"/>
  <c r="AB455" i="12"/>
  <c r="AB458" i="12"/>
  <c r="AB582" i="12"/>
  <c r="AB581" i="12"/>
  <c r="AB583" i="12"/>
  <c r="Y640" i="12"/>
  <c r="Y644" i="12" s="1"/>
  <c r="Y638" i="12"/>
  <c r="AB587" i="12"/>
  <c r="X638" i="12"/>
  <c r="X642" i="12" s="1"/>
  <c r="X399" i="12"/>
  <c r="X403" i="12" s="1"/>
  <c r="Y403" i="12" s="1"/>
  <c r="Z640" i="12"/>
  <c r="Z638" i="12"/>
  <c r="AB588" i="12"/>
  <c r="AC588" i="12" s="1"/>
  <c r="B23" i="7"/>
  <c r="Z639" i="12"/>
  <c r="AA5" i="14"/>
  <c r="AA7" i="14"/>
  <c r="AA6" i="14"/>
  <c r="AA8" i="14"/>
  <c r="AE631" i="12"/>
  <c r="AE685" i="12"/>
  <c r="AD451" i="12"/>
  <c r="X369" i="12"/>
  <c r="X374" i="12" s="1"/>
  <c r="X372" i="12"/>
  <c r="X377" i="12" s="1"/>
  <c r="Y377" i="12" s="1"/>
  <c r="AD580" i="12"/>
  <c r="AD312" i="12"/>
  <c r="Z49" i="13"/>
  <c r="Z369" i="12"/>
  <c r="Z371" i="12"/>
  <c r="Z372" i="12"/>
  <c r="AE536" i="12"/>
  <c r="AD426" i="12"/>
  <c r="R4" i="14"/>
  <c r="S4" i="14" s="1"/>
  <c r="O9" i="14"/>
  <c r="O10" i="14" s="1"/>
  <c r="T4" i="14"/>
  <c r="U4" i="14" s="1"/>
  <c r="K9" i="14"/>
  <c r="H10" i="14"/>
  <c r="AB414" i="12"/>
  <c r="AB124" i="12" s="1"/>
  <c r="B27" i="16"/>
  <c r="C26" i="16"/>
  <c r="B80" i="16"/>
  <c r="C79" i="16"/>
  <c r="AD361" i="12"/>
  <c r="AD392" i="12"/>
  <c r="AD558" i="12"/>
  <c r="AD747" i="12"/>
  <c r="AE689" i="12"/>
  <c r="E13" i="14"/>
  <c r="R12" i="14"/>
  <c r="S12" i="14" s="1"/>
  <c r="T12" i="14"/>
  <c r="U12" i="14" s="1"/>
  <c r="H12" i="14"/>
  <c r="G12" i="14"/>
  <c r="AD413" i="12"/>
  <c r="AB22" i="13"/>
  <c r="AD654" i="12"/>
  <c r="AE273" i="12"/>
  <c r="J129" i="6"/>
  <c r="AB152" i="12"/>
  <c r="AB150" i="12"/>
  <c r="AB148" i="12"/>
  <c r="AB146" i="12"/>
  <c r="AB145" i="12"/>
  <c r="AB151" i="12"/>
  <c r="AB149" i="12"/>
  <c r="AB147" i="12"/>
  <c r="AE711" i="12"/>
  <c r="AD731" i="12"/>
  <c r="AE736" i="12"/>
  <c r="AG700" i="12"/>
  <c r="AA63" i="13"/>
  <c r="AF166" i="12"/>
  <c r="AD504" i="12"/>
  <c r="AE614" i="12"/>
  <c r="AE729" i="12"/>
  <c r="AE730" i="12" s="1"/>
  <c r="AE123" i="12" s="1"/>
  <c r="AF9" i="12"/>
  <c r="AD301" i="12"/>
  <c r="AC366" i="12"/>
  <c r="AC396" i="12"/>
  <c r="X371" i="12"/>
  <c r="X376" i="12" s="1"/>
  <c r="Y376" i="12" s="1"/>
  <c r="X9" i="14"/>
  <c r="W9" i="14"/>
  <c r="W4" i="14"/>
  <c r="X4" i="14"/>
  <c r="D10" i="7" l="1"/>
  <c r="AF76" i="6"/>
  <c r="AG41" i="6"/>
  <c r="AF95" i="6"/>
  <c r="AE47" i="6"/>
  <c r="C16" i="7"/>
  <c r="C18" i="7" s="1"/>
  <c r="Z4" i="14"/>
  <c r="AC4" i="14" s="1"/>
  <c r="Z9" i="14"/>
  <c r="AC9" i="14" s="1"/>
  <c r="AC737" i="12"/>
  <c r="AC125" i="12" s="1"/>
  <c r="M13" i="14"/>
  <c r="Y404" i="12"/>
  <c r="Y407" i="12" s="1"/>
  <c r="G69" i="12"/>
  <c r="AA639" i="12"/>
  <c r="Z376" i="12"/>
  <c r="AA401" i="12"/>
  <c r="AA405" i="12" s="1"/>
  <c r="AA400" i="12"/>
  <c r="AA371" i="12"/>
  <c r="AA640" i="12"/>
  <c r="AA372" i="12"/>
  <c r="Y642" i="12"/>
  <c r="Y647" i="12" s="1"/>
  <c r="Y660" i="12" s="1"/>
  <c r="AA370" i="12"/>
  <c r="AA375" i="12" s="1"/>
  <c r="Z377" i="12"/>
  <c r="Z643" i="12"/>
  <c r="AC414" i="12"/>
  <c r="X647" i="12"/>
  <c r="X658" i="12" s="1"/>
  <c r="X407" i="12"/>
  <c r="X440" i="12" s="1"/>
  <c r="Z644" i="12"/>
  <c r="O11" i="14"/>
  <c r="O12" i="14" s="1"/>
  <c r="O13" i="14" s="1"/>
  <c r="J11" i="14"/>
  <c r="J12" i="14" s="1"/>
  <c r="AA4" i="14"/>
  <c r="AA9" i="14"/>
  <c r="AE504" i="12"/>
  <c r="AF689" i="12"/>
  <c r="AE747" i="12"/>
  <c r="AC583" i="12"/>
  <c r="AC582" i="12"/>
  <c r="AE580" i="12"/>
  <c r="AE451" i="12"/>
  <c r="AC458" i="12"/>
  <c r="AC459" i="12"/>
  <c r="AH8" i="14"/>
  <c r="AD8" i="14"/>
  <c r="AF8" i="14" s="1"/>
  <c r="AF729" i="12"/>
  <c r="AF730" i="12" s="1"/>
  <c r="AF123" i="12" s="1"/>
  <c r="AF614" i="12"/>
  <c r="AG9" i="12"/>
  <c r="AG166" i="12"/>
  <c r="AE731" i="12"/>
  <c r="AF711" i="12"/>
  <c r="Z403" i="12"/>
  <c r="K129" i="6"/>
  <c r="AC22" i="13"/>
  <c r="AE413" i="12"/>
  <c r="AE558" i="12"/>
  <c r="AE392" i="12"/>
  <c r="C27" i="16"/>
  <c r="B28" i="16"/>
  <c r="Y64" i="13"/>
  <c r="B15" i="7" s="1"/>
  <c r="AC585" i="12"/>
  <c r="AC584" i="12"/>
  <c r="AD584" i="12" s="1"/>
  <c r="AC452" i="12"/>
  <c r="AC454" i="12"/>
  <c r="AD6" i="14"/>
  <c r="AF6" i="14" s="1"/>
  <c r="F83" i="6" s="1"/>
  <c r="AH6" i="14"/>
  <c r="F113" i="6" s="1"/>
  <c r="AC152" i="12"/>
  <c r="AC150" i="12"/>
  <c r="AC148" i="12"/>
  <c r="AC146" i="12"/>
  <c r="AC151" i="12"/>
  <c r="AC149" i="12"/>
  <c r="AC147" i="12"/>
  <c r="AC145" i="12"/>
  <c r="AE301" i="12"/>
  <c r="AF736" i="12"/>
  <c r="AF273" i="12"/>
  <c r="AE361" i="12"/>
  <c r="AD459" i="12"/>
  <c r="B81" i="16"/>
  <c r="C80" i="16"/>
  <c r="K10" i="14"/>
  <c r="AE426" i="12"/>
  <c r="AB394" i="12"/>
  <c r="AB634" i="12"/>
  <c r="AB365" i="12"/>
  <c r="AB633" i="12"/>
  <c r="AB395" i="12"/>
  <c r="AB364" i="12"/>
  <c r="AC587" i="12"/>
  <c r="AC586" i="12"/>
  <c r="AC453" i="12"/>
  <c r="AC455" i="12"/>
  <c r="AF685" i="12"/>
  <c r="AF631" i="12"/>
  <c r="AH7" i="14"/>
  <c r="G113" i="6" s="1"/>
  <c r="AD7" i="14"/>
  <c r="AF7" i="14" s="1"/>
  <c r="G83" i="6" s="1"/>
  <c r="AD366" i="12"/>
  <c r="AD396" i="12"/>
  <c r="AB63" i="13"/>
  <c r="AH700" i="12"/>
  <c r="AE654" i="12"/>
  <c r="T13" i="14"/>
  <c r="U13" i="14" s="1"/>
  <c r="R13" i="14"/>
  <c r="S13" i="14" s="1"/>
  <c r="E14" i="14"/>
  <c r="G13" i="14"/>
  <c r="H13" i="14"/>
  <c r="AF536" i="12"/>
  <c r="H95" i="6"/>
  <c r="H76" i="6"/>
  <c r="AA49" i="13"/>
  <c r="AE312" i="12"/>
  <c r="AC581" i="12"/>
  <c r="Y374" i="12"/>
  <c r="Y379" i="12" s="1"/>
  <c r="X379" i="12"/>
  <c r="AC456" i="12"/>
  <c r="AC457" i="12"/>
  <c r="AH5" i="14"/>
  <c r="E113" i="6" s="1"/>
  <c r="AD5" i="14"/>
  <c r="AF5" i="14" s="1"/>
  <c r="X11" i="14"/>
  <c r="W10" i="14"/>
  <c r="W11" i="14"/>
  <c r="X10" i="14"/>
  <c r="H103" i="6" l="1"/>
  <c r="AH41" i="6"/>
  <c r="AG76" i="6"/>
  <c r="AG95" i="6"/>
  <c r="AF47" i="6"/>
  <c r="H108" i="6"/>
  <c r="H109" i="6"/>
  <c r="E10" i="7" s="1"/>
  <c r="H110" i="6"/>
  <c r="H113" i="6"/>
  <c r="E14" i="7" s="1"/>
  <c r="H114" i="6"/>
  <c r="D16" i="7"/>
  <c r="D18" i="7" s="1"/>
  <c r="B9" i="7"/>
  <c r="H47" i="6"/>
  <c r="E27" i="7" s="1"/>
  <c r="H83" i="6"/>
  <c r="Z10" i="14"/>
  <c r="AC10" i="14" s="1"/>
  <c r="AE396" i="12"/>
  <c r="Z404" i="12"/>
  <c r="AA404" i="12" s="1"/>
  <c r="D14" i="7"/>
  <c r="C14" i="7"/>
  <c r="M14" i="14"/>
  <c r="AC124" i="12"/>
  <c r="G67" i="12"/>
  <c r="G71" i="12" s="1"/>
  <c r="G73" i="12" s="1"/>
  <c r="AA643" i="12"/>
  <c r="AA644" i="12"/>
  <c r="AA376" i="12"/>
  <c r="Z642" i="12"/>
  <c r="AA642" i="12" s="1"/>
  <c r="Y662" i="12"/>
  <c r="X444" i="12"/>
  <c r="X439" i="12"/>
  <c r="Y439" i="12" s="1"/>
  <c r="Y655" i="12"/>
  <c r="AA377" i="12"/>
  <c r="X441" i="12"/>
  <c r="X445" i="12"/>
  <c r="X659" i="12"/>
  <c r="X655" i="12"/>
  <c r="X656" i="12"/>
  <c r="X660" i="12"/>
  <c r="X661" i="12"/>
  <c r="X657" i="12"/>
  <c r="X662" i="12"/>
  <c r="Y445" i="12"/>
  <c r="Y444" i="12"/>
  <c r="Y440" i="12"/>
  <c r="Y441" i="12"/>
  <c r="X442" i="12"/>
  <c r="Y442" i="12" s="1"/>
  <c r="X438" i="12"/>
  <c r="Y438" i="12" s="1"/>
  <c r="Y661" i="12"/>
  <c r="Y658" i="12"/>
  <c r="X443" i="12"/>
  <c r="Y443" i="12" s="1"/>
  <c r="Y657" i="12"/>
  <c r="Y656" i="12"/>
  <c r="Y659" i="12"/>
  <c r="O14" i="14"/>
  <c r="AA10" i="14"/>
  <c r="Z374" i="12"/>
  <c r="Z379" i="12" s="1"/>
  <c r="AG631" i="12"/>
  <c r="AB398" i="12"/>
  <c r="AB401" i="12" s="1"/>
  <c r="AB405" i="12" s="1"/>
  <c r="AF392" i="12"/>
  <c r="AF413" i="12"/>
  <c r="AA403" i="12"/>
  <c r="AH166" i="12"/>
  <c r="AD456" i="12"/>
  <c r="AD458" i="12"/>
  <c r="AD585" i="12"/>
  <c r="AD586" i="12"/>
  <c r="AF747" i="12"/>
  <c r="AB49" i="13"/>
  <c r="AF654" i="12"/>
  <c r="AI700" i="12"/>
  <c r="AD151" i="12"/>
  <c r="AD149" i="12"/>
  <c r="AD147" i="12"/>
  <c r="AD145" i="12"/>
  <c r="AD148" i="12"/>
  <c r="AD146" i="12"/>
  <c r="AD152" i="12"/>
  <c r="AD150" i="12"/>
  <c r="AG685" i="12"/>
  <c r="AB637" i="12"/>
  <c r="AB640" i="12" s="1"/>
  <c r="B82" i="16"/>
  <c r="C81" i="16"/>
  <c r="AD737" i="12"/>
  <c r="AD125" i="12" s="1"/>
  <c r="C9" i="7" s="1"/>
  <c r="Z64" i="13"/>
  <c r="C15" i="7" s="1"/>
  <c r="AG273" i="12"/>
  <c r="AF301" i="12"/>
  <c r="AC633" i="12"/>
  <c r="AC365" i="12"/>
  <c r="AC394" i="12"/>
  <c r="AC634" i="12"/>
  <c r="AC395" i="12"/>
  <c r="AC364" i="12"/>
  <c r="AD414" i="12"/>
  <c r="AD124" i="12" s="1"/>
  <c r="AF731" i="12"/>
  <c r="AG711" i="12"/>
  <c r="AG729" i="12"/>
  <c r="AG730" i="12" s="1"/>
  <c r="AG123" i="12" s="1"/>
  <c r="AG614" i="12"/>
  <c r="AH9" i="12"/>
  <c r="AF451" i="12"/>
  <c r="AD453" i="12"/>
  <c r="AF580" i="12"/>
  <c r="AD587" i="12"/>
  <c r="AD588" i="12"/>
  <c r="AG689" i="12"/>
  <c r="J13" i="14"/>
  <c r="J14" i="14" s="1"/>
  <c r="AF312" i="12"/>
  <c r="R14" i="14"/>
  <c r="S14" i="14" s="1"/>
  <c r="E15" i="14"/>
  <c r="T14" i="14"/>
  <c r="U14" i="14" s="1"/>
  <c r="H14" i="14"/>
  <c r="G14" i="14"/>
  <c r="AC63" i="13"/>
  <c r="AE366" i="12"/>
  <c r="AF558" i="12"/>
  <c r="AD454" i="12"/>
  <c r="AD455" i="12"/>
  <c r="AD581" i="12"/>
  <c r="AE581" i="12" s="1"/>
  <c r="AD582" i="12"/>
  <c r="AF504" i="12"/>
  <c r="K11" i="14"/>
  <c r="AA11" i="14" s="1"/>
  <c r="AD9" i="14"/>
  <c r="AF9" i="14" s="1"/>
  <c r="AH9" i="14"/>
  <c r="X430" i="12"/>
  <c r="Y430" i="12" s="1"/>
  <c r="X431" i="12"/>
  <c r="Y431" i="12" s="1"/>
  <c r="X433" i="12"/>
  <c r="Y433" i="12" s="1"/>
  <c r="X428" i="12"/>
  <c r="Y428" i="12" s="1"/>
  <c r="X427" i="12"/>
  <c r="Y427" i="12" s="1"/>
  <c r="X429" i="12"/>
  <c r="Y429" i="12" s="1"/>
  <c r="X434" i="12"/>
  <c r="Y434" i="12" s="1"/>
  <c r="X432" i="12"/>
  <c r="Y432" i="12" s="1"/>
  <c r="AG536" i="12"/>
  <c r="AB368" i="12"/>
  <c r="AB371" i="12" s="1"/>
  <c r="AF426" i="12"/>
  <c r="AF361" i="12"/>
  <c r="AG736" i="12"/>
  <c r="C28" i="16"/>
  <c r="B29" i="16"/>
  <c r="AD22" i="13"/>
  <c r="L129" i="6"/>
  <c r="AD452" i="12"/>
  <c r="AD457" i="12"/>
  <c r="AD583" i="12"/>
  <c r="AD4" i="14"/>
  <c r="AF4" i="14" s="1"/>
  <c r="AH4" i="14"/>
  <c r="B14" i="7" s="1"/>
  <c r="X12" i="14"/>
  <c r="X13" i="14"/>
  <c r="W12" i="14"/>
  <c r="X14" i="14"/>
  <c r="W13" i="14"/>
  <c r="W14" i="14"/>
  <c r="AG47" i="6" l="1"/>
  <c r="AH76" i="6"/>
  <c r="AI41" i="6"/>
  <c r="AJ41" i="6" s="1"/>
  <c r="AH95" i="6"/>
  <c r="E16" i="7"/>
  <c r="E18" i="7" s="1"/>
  <c r="C3" i="7"/>
  <c r="E3" i="7"/>
  <c r="D3" i="7"/>
  <c r="Z11" i="14"/>
  <c r="AC11" i="14" s="1"/>
  <c r="Z407" i="12"/>
  <c r="Z438" i="12" s="1"/>
  <c r="AA64" i="13"/>
  <c r="D15" i="7" s="1"/>
  <c r="AF366" i="12"/>
  <c r="M15" i="14"/>
  <c r="AB644" i="12"/>
  <c r="AA647" i="12"/>
  <c r="AA655" i="12" s="1"/>
  <c r="AA407" i="12"/>
  <c r="Z647" i="12"/>
  <c r="Z656" i="12" s="1"/>
  <c r="AE586" i="12"/>
  <c r="AB376" i="12"/>
  <c r="AE583" i="12"/>
  <c r="AE582" i="12"/>
  <c r="AE585" i="12"/>
  <c r="AE584" i="12"/>
  <c r="AB639" i="12"/>
  <c r="AB643" i="12" s="1"/>
  <c r="AE587" i="12"/>
  <c r="AF587" i="12" s="1"/>
  <c r="AE588" i="12"/>
  <c r="AE453" i="12"/>
  <c r="AE458" i="12"/>
  <c r="AE455" i="12"/>
  <c r="AE459" i="12"/>
  <c r="AE454" i="12"/>
  <c r="AE452" i="12"/>
  <c r="AE394" i="12"/>
  <c r="AE456" i="12"/>
  <c r="AB400" i="12"/>
  <c r="AB404" i="12" s="1"/>
  <c r="AE457" i="12"/>
  <c r="AB638" i="12"/>
  <c r="AB642" i="12" s="1"/>
  <c r="Z431" i="12"/>
  <c r="Z429" i="12"/>
  <c r="Z433" i="12"/>
  <c r="Z430" i="12"/>
  <c r="Z428" i="12"/>
  <c r="Z427" i="12"/>
  <c r="Z434" i="12"/>
  <c r="Z432" i="12"/>
  <c r="AD11" i="14"/>
  <c r="AE22" i="13"/>
  <c r="AD12" i="13"/>
  <c r="AH736" i="12"/>
  <c r="AB370" i="12"/>
  <c r="AB375" i="12" s="1"/>
  <c r="AG312" i="12"/>
  <c r="AH689" i="12"/>
  <c r="AH729" i="12"/>
  <c r="AH730" i="12" s="1"/>
  <c r="AH123" i="12" s="1"/>
  <c r="AH614" i="12"/>
  <c r="AI9" i="12"/>
  <c r="AH711" i="12"/>
  <c r="AG731" i="12"/>
  <c r="AC637" i="12"/>
  <c r="AC640" i="12" s="1"/>
  <c r="AH273" i="12"/>
  <c r="AH685" i="12"/>
  <c r="AG747" i="12"/>
  <c r="AD394" i="12"/>
  <c r="AD365" i="12"/>
  <c r="AD395" i="12"/>
  <c r="AD634" i="12"/>
  <c r="AD364" i="12"/>
  <c r="AD633" i="12"/>
  <c r="AB399" i="12"/>
  <c r="AB403" i="12" s="1"/>
  <c r="B30" i="16"/>
  <c r="C29" i="16"/>
  <c r="AG361" i="12"/>
  <c r="AG426" i="12"/>
  <c r="AE151" i="12"/>
  <c r="AE149" i="12"/>
  <c r="AE147" i="12"/>
  <c r="AE145" i="12"/>
  <c r="AE152" i="12"/>
  <c r="AE150" i="12"/>
  <c r="AE148" i="12"/>
  <c r="AE146" i="12"/>
  <c r="AD63" i="13"/>
  <c r="AG580" i="12"/>
  <c r="J15" i="14"/>
  <c r="AF454" i="12"/>
  <c r="I95" i="6"/>
  <c r="I76" i="6"/>
  <c r="AE737" i="12"/>
  <c r="AE125" i="12" s="1"/>
  <c r="D9" i="7" s="1"/>
  <c r="AH536" i="12"/>
  <c r="AF396" i="12"/>
  <c r="E16" i="14"/>
  <c r="R15" i="14"/>
  <c r="S15" i="14" s="1"/>
  <c r="T15" i="14"/>
  <c r="U15" i="14" s="1"/>
  <c r="G15" i="14"/>
  <c r="H15" i="14"/>
  <c r="AC398" i="12"/>
  <c r="AC401" i="12" s="1"/>
  <c r="AC405" i="12" s="1"/>
  <c r="O15" i="14"/>
  <c r="AJ700" i="12"/>
  <c r="AC49" i="13"/>
  <c r="AI166" i="12"/>
  <c r="AG413" i="12"/>
  <c r="AH631" i="12"/>
  <c r="M129" i="6"/>
  <c r="AB369" i="12"/>
  <c r="AB372" i="12"/>
  <c r="AB377" i="12" s="1"/>
  <c r="K12" i="14"/>
  <c r="AA12" i="14" s="1"/>
  <c r="AG504" i="12"/>
  <c r="AG558" i="12"/>
  <c r="AG451" i="12"/>
  <c r="AC368" i="12"/>
  <c r="AC370" i="12" s="1"/>
  <c r="AG301" i="12"/>
  <c r="B83" i="16"/>
  <c r="C82" i="16"/>
  <c r="AG654" i="12"/>
  <c r="AE414" i="12"/>
  <c r="AE124" i="12" s="1"/>
  <c r="AG392" i="12"/>
  <c r="AA374" i="12"/>
  <c r="AH10" i="14"/>
  <c r="AD10" i="14"/>
  <c r="AF10" i="14" s="1"/>
  <c r="W15" i="14"/>
  <c r="X15" i="14"/>
  <c r="I103" i="6" l="1"/>
  <c r="AJ76" i="6"/>
  <c r="AK41" i="6"/>
  <c r="AJ95" i="6"/>
  <c r="AI76" i="6"/>
  <c r="AI95" i="6"/>
  <c r="AH47" i="6"/>
  <c r="I109" i="6"/>
  <c r="F10" i="7" s="1"/>
  <c r="I114" i="6"/>
  <c r="I108" i="6"/>
  <c r="I110" i="6"/>
  <c r="I113" i="6"/>
  <c r="F14" i="7" s="1"/>
  <c r="I47" i="6"/>
  <c r="F27" i="7" s="1"/>
  <c r="I83" i="6"/>
  <c r="Z440" i="12"/>
  <c r="AA440" i="12" s="1"/>
  <c r="AH11" i="14"/>
  <c r="Z439" i="12"/>
  <c r="AA439" i="12" s="1"/>
  <c r="Z445" i="12"/>
  <c r="AA445" i="12" s="1"/>
  <c r="AF11" i="14"/>
  <c r="Z444" i="12"/>
  <c r="AA444" i="12" s="1"/>
  <c r="Z443" i="12"/>
  <c r="AA443" i="12" s="1"/>
  <c r="Z12" i="14"/>
  <c r="AC12" i="14" s="1"/>
  <c r="Z442" i="12"/>
  <c r="AA442" i="12" s="1"/>
  <c r="Z441" i="12"/>
  <c r="AA441" i="12" s="1"/>
  <c r="M16" i="14"/>
  <c r="AA658" i="12"/>
  <c r="AC644" i="12"/>
  <c r="AA662" i="12"/>
  <c r="AA659" i="12"/>
  <c r="AA438" i="12"/>
  <c r="AA660" i="12"/>
  <c r="AA656" i="12"/>
  <c r="AA657" i="12"/>
  <c r="AA661" i="12"/>
  <c r="Z658" i="12"/>
  <c r="Z661" i="12"/>
  <c r="Z662" i="12"/>
  <c r="Z659" i="12"/>
  <c r="Z660" i="12"/>
  <c r="Z655" i="12"/>
  <c r="Z657" i="12"/>
  <c r="AE395" i="12"/>
  <c r="AE398" i="12" s="1"/>
  <c r="AE401" i="12" s="1"/>
  <c r="AF457" i="12"/>
  <c r="O16" i="14"/>
  <c r="AF459" i="12"/>
  <c r="AF455" i="12"/>
  <c r="AF456" i="12"/>
  <c r="AB647" i="12"/>
  <c r="AB656" i="12" s="1"/>
  <c r="AF453" i="12"/>
  <c r="AF458" i="12"/>
  <c r="AF414" i="12"/>
  <c r="AF124" i="12" s="1"/>
  <c r="J16" i="14"/>
  <c r="AC639" i="12"/>
  <c r="AC643" i="12" s="1"/>
  <c r="AE633" i="12"/>
  <c r="AE634" i="12"/>
  <c r="AE365" i="12"/>
  <c r="AE364" i="12"/>
  <c r="AF452" i="12"/>
  <c r="AF586" i="12"/>
  <c r="AF583" i="12"/>
  <c r="AD12" i="14"/>
  <c r="AH654" i="12"/>
  <c r="AH558" i="12"/>
  <c r="N129" i="6"/>
  <c r="AH413" i="12"/>
  <c r="AD49" i="13"/>
  <c r="AB64" i="13"/>
  <c r="E15" i="7" s="1"/>
  <c r="AF737" i="12"/>
  <c r="AF125" i="12" s="1"/>
  <c r="E9" i="7" s="1"/>
  <c r="AF584" i="12"/>
  <c r="AG584" i="12" s="1"/>
  <c r="AF581" i="12"/>
  <c r="AH426" i="12"/>
  <c r="B31" i="16"/>
  <c r="C30" i="16"/>
  <c r="AH737" i="12"/>
  <c r="AH125" i="12" s="1"/>
  <c r="AI736" i="12"/>
  <c r="AC369" i="12"/>
  <c r="AC372" i="12"/>
  <c r="AC377" i="12" s="1"/>
  <c r="AK700" i="12"/>
  <c r="AF152" i="12"/>
  <c r="AF150" i="12"/>
  <c r="AF148" i="12"/>
  <c r="AF146" i="12"/>
  <c r="AF151" i="12"/>
  <c r="AF149" i="12"/>
  <c r="AF147" i="12"/>
  <c r="AF145" i="12"/>
  <c r="AG396" i="12"/>
  <c r="AG366" i="12"/>
  <c r="AD637" i="12"/>
  <c r="AD640" i="12" s="1"/>
  <c r="AH747" i="12"/>
  <c r="AI685" i="12"/>
  <c r="AI273" i="12"/>
  <c r="AI711" i="12"/>
  <c r="AH731" i="12"/>
  <c r="AC375" i="12"/>
  <c r="AB374" i="12"/>
  <c r="AH451" i="12"/>
  <c r="AH504" i="12"/>
  <c r="AJ166" i="12"/>
  <c r="AC399" i="12"/>
  <c r="AC403" i="12" s="1"/>
  <c r="AI536" i="12"/>
  <c r="K13" i="14"/>
  <c r="Z13" i="14" s="1"/>
  <c r="AC13" i="14" s="1"/>
  <c r="AG453" i="12"/>
  <c r="AF588" i="12"/>
  <c r="AF585" i="12"/>
  <c r="AE63" i="13"/>
  <c r="AD64" i="13"/>
  <c r="AH361" i="12"/>
  <c r="AD368" i="12"/>
  <c r="AD371" i="12" s="1"/>
  <c r="AD398" i="12"/>
  <c r="AD401" i="12" s="1"/>
  <c r="AD405" i="12" s="1"/>
  <c r="AB407" i="12"/>
  <c r="AC638" i="12"/>
  <c r="AC642" i="12" s="1"/>
  <c r="AI614" i="12"/>
  <c r="AI729" i="12"/>
  <c r="AI730" i="12" s="1"/>
  <c r="AI123" i="12" s="1"/>
  <c r="AJ9" i="12"/>
  <c r="AI689" i="12"/>
  <c r="AF22" i="13"/>
  <c r="AE12" i="13"/>
  <c r="AA379" i="12"/>
  <c r="AH392" i="12"/>
  <c r="B84" i="16"/>
  <c r="C83" i="16"/>
  <c r="AH301" i="12"/>
  <c r="AC371" i="12"/>
  <c r="AC376" i="12" s="1"/>
  <c r="AI631" i="12"/>
  <c r="T16" i="14"/>
  <c r="U16" i="14" s="1"/>
  <c r="E17" i="14"/>
  <c r="R16" i="14"/>
  <c r="S16" i="14" s="1"/>
  <c r="G16" i="14"/>
  <c r="H16" i="14"/>
  <c r="AF582" i="12"/>
  <c r="AH580" i="12"/>
  <c r="AC400" i="12"/>
  <c r="AC404" i="12" s="1"/>
  <c r="AH312" i="12"/>
  <c r="X16" i="14"/>
  <c r="W16" i="14"/>
  <c r="AK76" i="6" l="1"/>
  <c r="AL41" i="6"/>
  <c r="AK95" i="6"/>
  <c r="AJ47" i="6"/>
  <c r="W27" i="7" s="1"/>
  <c r="AI47" i="6"/>
  <c r="F16" i="7"/>
  <c r="F18" i="7" s="1"/>
  <c r="F3" i="7"/>
  <c r="AF12" i="14"/>
  <c r="AB655" i="12"/>
  <c r="AH12" i="14"/>
  <c r="AH633" i="12"/>
  <c r="AH396" i="12"/>
  <c r="AH366" i="12"/>
  <c r="M17" i="14"/>
  <c r="AD644" i="12"/>
  <c r="O17" i="14"/>
  <c r="AB662" i="12"/>
  <c r="AB659" i="12"/>
  <c r="AB661" i="12"/>
  <c r="AB657" i="12"/>
  <c r="AB658" i="12"/>
  <c r="AE405" i="12"/>
  <c r="AB660" i="12"/>
  <c r="AG737" i="12"/>
  <c r="AG125" i="12" s="1"/>
  <c r="F9" i="7" s="1"/>
  <c r="AG633" i="12"/>
  <c r="AG587" i="12"/>
  <c r="AH587" i="12" s="1"/>
  <c r="AG588" i="12"/>
  <c r="AH588" i="12" s="1"/>
  <c r="AE368" i="12"/>
  <c r="AE370" i="12" s="1"/>
  <c r="AE637" i="12"/>
  <c r="AC64" i="13"/>
  <c r="F15" i="7" s="1"/>
  <c r="AG455" i="12"/>
  <c r="AD638" i="12"/>
  <c r="AD642" i="12" s="1"/>
  <c r="AD639" i="12"/>
  <c r="AD643" i="12" s="1"/>
  <c r="AG585" i="12"/>
  <c r="AH585" i="12" s="1"/>
  <c r="AG586" i="12"/>
  <c r="AH586" i="12" s="1"/>
  <c r="AG581" i="12"/>
  <c r="AH581" i="12" s="1"/>
  <c r="AG582" i="12"/>
  <c r="AH582" i="12" s="1"/>
  <c r="AE399" i="12"/>
  <c r="AG583" i="12"/>
  <c r="AH583" i="12" s="1"/>
  <c r="AC647" i="12"/>
  <c r="AC407" i="12"/>
  <c r="AA431" i="12"/>
  <c r="AA434" i="12"/>
  <c r="AA432" i="12"/>
  <c r="AA429" i="12"/>
  <c r="AA430" i="12"/>
  <c r="AA428" i="12"/>
  <c r="AA427" i="12"/>
  <c r="AA433" i="12"/>
  <c r="AA13" i="14"/>
  <c r="K14" i="14"/>
  <c r="AH459" i="12"/>
  <c r="AH457" i="12"/>
  <c r="AH455" i="12"/>
  <c r="AH453" i="12"/>
  <c r="AH456" i="12"/>
  <c r="AH454" i="12"/>
  <c r="AH452" i="12"/>
  <c r="AH458" i="12"/>
  <c r="AI451" i="12"/>
  <c r="AC374" i="12"/>
  <c r="AI426" i="12"/>
  <c r="AE49" i="13"/>
  <c r="R17" i="14"/>
  <c r="S17" i="14" s="1"/>
  <c r="E18" i="14"/>
  <c r="T17" i="14"/>
  <c r="U17" i="14" s="1"/>
  <c r="G17" i="14"/>
  <c r="H17" i="14"/>
  <c r="AJ689" i="12"/>
  <c r="AD399" i="12"/>
  <c r="AD403" i="12" s="1"/>
  <c r="AE64" i="13"/>
  <c r="AF63" i="13"/>
  <c r="AJ536" i="12"/>
  <c r="AI504" i="12"/>
  <c r="AG454" i="12"/>
  <c r="AG457" i="12"/>
  <c r="AJ685" i="12"/>
  <c r="AI737" i="12"/>
  <c r="AI125" i="12" s="1"/>
  <c r="AJ736" i="12"/>
  <c r="O129" i="6"/>
  <c r="AI654" i="12"/>
  <c r="J95" i="6"/>
  <c r="J76" i="6"/>
  <c r="AH584" i="12"/>
  <c r="AI580" i="12"/>
  <c r="AD376" i="12"/>
  <c r="B85" i="16"/>
  <c r="C84" i="16"/>
  <c r="AI392" i="12"/>
  <c r="AJ729" i="12"/>
  <c r="AJ730" i="12" s="1"/>
  <c r="AJ123" i="12" s="1"/>
  <c r="AJ614" i="12"/>
  <c r="AK9" i="12"/>
  <c r="AG452" i="12"/>
  <c r="AG456" i="12"/>
  <c r="AG459" i="12"/>
  <c r="AI747" i="12"/>
  <c r="J17" i="14"/>
  <c r="AG414" i="12"/>
  <c r="AG124" i="12" s="1"/>
  <c r="AE400" i="12"/>
  <c r="AF12" i="13"/>
  <c r="AG22" i="13"/>
  <c r="AB444" i="12"/>
  <c r="AB443" i="12"/>
  <c r="AB445" i="12"/>
  <c r="AB442" i="12"/>
  <c r="AB439" i="12"/>
  <c r="AB441" i="12"/>
  <c r="AB440" i="12"/>
  <c r="AB438" i="12"/>
  <c r="AD369" i="12"/>
  <c r="AD372" i="12"/>
  <c r="AD377" i="12" s="1"/>
  <c r="AK166" i="12"/>
  <c r="AI312" i="12"/>
  <c r="AJ631" i="12"/>
  <c r="AI301" i="12"/>
  <c r="AD370" i="12"/>
  <c r="AD375" i="12" s="1"/>
  <c r="AI361" i="12"/>
  <c r="AG458" i="12"/>
  <c r="AB379" i="12"/>
  <c r="AI731" i="12"/>
  <c r="AJ711" i="12"/>
  <c r="AJ273" i="12"/>
  <c r="AF365" i="12"/>
  <c r="AF633" i="12"/>
  <c r="AF394" i="12"/>
  <c r="AF634" i="12"/>
  <c r="AF364" i="12"/>
  <c r="AF395" i="12"/>
  <c r="AG152" i="12"/>
  <c r="AG150" i="12"/>
  <c r="AG148" i="12"/>
  <c r="AG146" i="12"/>
  <c r="AG151" i="12"/>
  <c r="AG149" i="12"/>
  <c r="AG147" i="12"/>
  <c r="AG145" i="12"/>
  <c r="AL700" i="12"/>
  <c r="AD400" i="12"/>
  <c r="AD404" i="12" s="1"/>
  <c r="C31" i="16"/>
  <c r="B32" i="16"/>
  <c r="AH414" i="12"/>
  <c r="AH124" i="12" s="1"/>
  <c r="AI413" i="12"/>
  <c r="AI558" i="12"/>
  <c r="X17" i="14"/>
  <c r="W17" i="14"/>
  <c r="J103" i="6" l="1"/>
  <c r="AL76" i="6"/>
  <c r="AM41" i="6"/>
  <c r="AL95" i="6"/>
  <c r="AK47" i="6"/>
  <c r="X27" i="7" s="1"/>
  <c r="J108" i="6"/>
  <c r="G9" i="7" s="1"/>
  <c r="J109" i="6"/>
  <c r="G10" i="7" s="1"/>
  <c r="J110" i="6"/>
  <c r="J113" i="6"/>
  <c r="G14" i="7" s="1"/>
  <c r="J114" i="6"/>
  <c r="G15" i="7" s="1"/>
  <c r="J47" i="6"/>
  <c r="G27" i="7" s="1"/>
  <c r="J83" i="6"/>
  <c r="K15" i="14"/>
  <c r="Z15" i="14" s="1"/>
  <c r="AC15" i="14" s="1"/>
  <c r="Z14" i="14"/>
  <c r="AC14" i="14" s="1"/>
  <c r="AI366" i="12"/>
  <c r="AI396" i="12"/>
  <c r="M18" i="14"/>
  <c r="AD647" i="12"/>
  <c r="AD657" i="12" s="1"/>
  <c r="AG394" i="12"/>
  <c r="AH634" i="12"/>
  <c r="AH637" i="12" s="1"/>
  <c r="AH638" i="12" s="1"/>
  <c r="AH394" i="12"/>
  <c r="AH365" i="12"/>
  <c r="AH395" i="12"/>
  <c r="AH364" i="12"/>
  <c r="AG364" i="12"/>
  <c r="AG365" i="12"/>
  <c r="AG634" i="12"/>
  <c r="AG637" i="12" s="1"/>
  <c r="AG395" i="12"/>
  <c r="AE375" i="12"/>
  <c r="J18" i="14"/>
  <c r="AE639" i="12"/>
  <c r="AE643" i="12" s="1"/>
  <c r="AE640" i="12"/>
  <c r="AE644" i="12" s="1"/>
  <c r="AE638" i="12"/>
  <c r="AE642" i="12" s="1"/>
  <c r="AE371" i="12"/>
  <c r="AE376" i="12" s="1"/>
  <c r="AE372" i="12"/>
  <c r="AE377" i="12" s="1"/>
  <c r="AE369" i="12"/>
  <c r="AE404" i="12"/>
  <c r="AE403" i="12"/>
  <c r="AD407" i="12"/>
  <c r="AI414" i="12"/>
  <c r="AI124" i="12" s="1"/>
  <c r="AJ413" i="12"/>
  <c r="AF398" i="12"/>
  <c r="AF401" i="12" s="1"/>
  <c r="AF405" i="12" s="1"/>
  <c r="AJ361" i="12"/>
  <c r="AJ301" i="12"/>
  <c r="B86" i="16"/>
  <c r="C85" i="16"/>
  <c r="AH151" i="12"/>
  <c r="AH149" i="12"/>
  <c r="AH147" i="12"/>
  <c r="AH145" i="12"/>
  <c r="AH146" i="12"/>
  <c r="AH152" i="12"/>
  <c r="AH150" i="12"/>
  <c r="AH148" i="12"/>
  <c r="P129" i="6"/>
  <c r="AJ504" i="12"/>
  <c r="AI633" i="12"/>
  <c r="AF49" i="13"/>
  <c r="AJ426" i="12"/>
  <c r="AD374" i="12"/>
  <c r="AD379" i="12" s="1"/>
  <c r="AA15" i="14"/>
  <c r="AF637" i="12"/>
  <c r="AF640" i="12" s="1"/>
  <c r="AK273" i="12"/>
  <c r="AJ312" i="12"/>
  <c r="AH22" i="13"/>
  <c r="AG12" i="13"/>
  <c r="AK729" i="12"/>
  <c r="AK730" i="12" s="1"/>
  <c r="AK123" i="12" s="1"/>
  <c r="AK614" i="12"/>
  <c r="AL9" i="12"/>
  <c r="T18" i="14"/>
  <c r="U18" i="14" s="1"/>
  <c r="E19" i="14"/>
  <c r="R18" i="14"/>
  <c r="S18" i="14" s="1"/>
  <c r="G18" i="14"/>
  <c r="H18" i="14"/>
  <c r="AC379" i="12"/>
  <c r="AH13" i="14"/>
  <c r="AD13" i="14"/>
  <c r="AF13" i="14" s="1"/>
  <c r="AJ558" i="12"/>
  <c r="AM700" i="12"/>
  <c r="AF368" i="12"/>
  <c r="AF370" i="12" s="1"/>
  <c r="AB434" i="12"/>
  <c r="AB432" i="12"/>
  <c r="AB430" i="12"/>
  <c r="AB433" i="12"/>
  <c r="AB427" i="12"/>
  <c r="AB428" i="12"/>
  <c r="AB429" i="12"/>
  <c r="AB431" i="12"/>
  <c r="AK631" i="12"/>
  <c r="AL166" i="12"/>
  <c r="AJ747" i="12"/>
  <c r="AI587" i="12"/>
  <c r="AI585" i="12"/>
  <c r="AI583" i="12"/>
  <c r="AI581" i="12"/>
  <c r="AJ580" i="12"/>
  <c r="AI582" i="12"/>
  <c r="AI588" i="12"/>
  <c r="AI586" i="12"/>
  <c r="AI584" i="12"/>
  <c r="AJ654" i="12"/>
  <c r="AJ737" i="12"/>
  <c r="AJ125" i="12" s="1"/>
  <c r="AK736" i="12"/>
  <c r="AK685" i="12"/>
  <c r="AK536" i="12"/>
  <c r="AF64" i="13"/>
  <c r="AG63" i="13"/>
  <c r="AI458" i="12"/>
  <c r="AI456" i="12"/>
  <c r="AI452" i="12"/>
  <c r="AI459" i="12"/>
  <c r="AI455" i="12"/>
  <c r="AJ451" i="12"/>
  <c r="AI457" i="12"/>
  <c r="AI454" i="12"/>
  <c r="AI453" i="12"/>
  <c r="AC438" i="12"/>
  <c r="AC441" i="12"/>
  <c r="AC439" i="12"/>
  <c r="AC444" i="12"/>
  <c r="AC442" i="12"/>
  <c r="AC440" i="12"/>
  <c r="AC445" i="12"/>
  <c r="AC443" i="12"/>
  <c r="AC656" i="12"/>
  <c r="AC659" i="12"/>
  <c r="AC662" i="12"/>
  <c r="AC657" i="12"/>
  <c r="AC660" i="12"/>
  <c r="AC655" i="12"/>
  <c r="AC658" i="12"/>
  <c r="AC661" i="12"/>
  <c r="O18" i="14"/>
  <c r="C32" i="16"/>
  <c r="B33" i="16"/>
  <c r="AJ731" i="12"/>
  <c r="AK711" i="12"/>
  <c r="AJ392" i="12"/>
  <c r="AK689" i="12"/>
  <c r="AA14" i="14"/>
  <c r="W18" i="14"/>
  <c r="X18" i="14"/>
  <c r="K16" i="14" l="1"/>
  <c r="Z16" i="14" s="1"/>
  <c r="AC16" i="14" s="1"/>
  <c r="AN41" i="6"/>
  <c r="AM76" i="6"/>
  <c r="AM95" i="6"/>
  <c r="AL47" i="6"/>
  <c r="Y27" i="7" s="1"/>
  <c r="G16" i="7"/>
  <c r="G18" i="7" s="1"/>
  <c r="G3" i="7"/>
  <c r="AJ633" i="12"/>
  <c r="AJ396" i="12"/>
  <c r="AJ366" i="12"/>
  <c r="M19" i="14"/>
  <c r="AD662" i="12"/>
  <c r="AD658" i="12"/>
  <c r="AG398" i="12"/>
  <c r="AG399" i="12" s="1"/>
  <c r="AD659" i="12"/>
  <c r="AD655" i="12"/>
  <c r="AD660" i="12"/>
  <c r="AD656" i="12"/>
  <c r="AD661" i="12"/>
  <c r="AH368" i="12"/>
  <c r="AH372" i="12" s="1"/>
  <c r="AF375" i="12"/>
  <c r="AH398" i="12"/>
  <c r="AH401" i="12" s="1"/>
  <c r="AH639" i="12"/>
  <c r="AG368" i="12"/>
  <c r="AG370" i="12" s="1"/>
  <c r="AF644" i="12"/>
  <c r="AE647" i="12"/>
  <c r="AE662" i="12" s="1"/>
  <c r="AE407" i="12"/>
  <c r="AI394" i="12"/>
  <c r="AI395" i="12"/>
  <c r="J19" i="14"/>
  <c r="O19" i="14"/>
  <c r="AH640" i="12"/>
  <c r="AI364" i="12"/>
  <c r="AK392" i="12"/>
  <c r="AK731" i="12"/>
  <c r="AL711" i="12"/>
  <c r="AD15" i="14"/>
  <c r="AF15" i="14" s="1"/>
  <c r="AH15" i="14"/>
  <c r="AD14" i="14"/>
  <c r="AF14" i="14" s="1"/>
  <c r="AH14" i="14"/>
  <c r="AF639" i="12"/>
  <c r="AF643" i="12" s="1"/>
  <c r="AG64" i="13"/>
  <c r="AH63" i="13"/>
  <c r="AL536" i="12"/>
  <c r="AK747" i="12"/>
  <c r="AF371" i="12"/>
  <c r="AF376" i="12" s="1"/>
  <c r="AN700" i="12"/>
  <c r="AK558" i="12"/>
  <c r="AK312" i="12"/>
  <c r="AF638" i="12"/>
  <c r="AF642" i="12" s="1"/>
  <c r="AI151" i="12"/>
  <c r="AI149" i="12"/>
  <c r="AI147" i="12"/>
  <c r="AI145" i="12"/>
  <c r="AI152" i="12"/>
  <c r="AI150" i="12"/>
  <c r="AI148" i="12"/>
  <c r="AI146" i="12"/>
  <c r="B87" i="16"/>
  <c r="C86" i="16"/>
  <c r="AK301" i="12"/>
  <c r="AI365" i="12"/>
  <c r="AD441" i="12"/>
  <c r="AD439" i="12"/>
  <c r="AD445" i="12"/>
  <c r="AD442" i="12"/>
  <c r="AD444" i="12"/>
  <c r="AD443" i="12"/>
  <c r="AD438" i="12"/>
  <c r="AD440" i="12"/>
  <c r="AK737" i="12"/>
  <c r="AK125" i="12" s="1"/>
  <c r="AL736" i="12"/>
  <c r="AL729" i="12"/>
  <c r="AL730" i="12" s="1"/>
  <c r="AL123" i="12" s="1"/>
  <c r="AL614" i="12"/>
  <c r="AM9" i="12"/>
  <c r="AL273" i="12"/>
  <c r="AG49" i="13"/>
  <c r="AK504" i="12"/>
  <c r="AL689" i="12"/>
  <c r="AL685" i="12"/>
  <c r="AK654" i="12"/>
  <c r="R19" i="14"/>
  <c r="S19" i="14" s="1"/>
  <c r="E20" i="14"/>
  <c r="T19" i="14"/>
  <c r="U19" i="14" s="1"/>
  <c r="G19" i="14"/>
  <c r="H19" i="14"/>
  <c r="AF400" i="12"/>
  <c r="AF404" i="12" s="1"/>
  <c r="AE374" i="12"/>
  <c r="Q129" i="6"/>
  <c r="AK361" i="12"/>
  <c r="AI634" i="12"/>
  <c r="K95" i="6"/>
  <c r="K76" i="6"/>
  <c r="B34" i="16"/>
  <c r="C33" i="16"/>
  <c r="AJ458" i="12"/>
  <c r="AJ456" i="12"/>
  <c r="AJ454" i="12"/>
  <c r="AJ459" i="12"/>
  <c r="AJ455" i="12"/>
  <c r="AK451" i="12"/>
  <c r="AJ453" i="12"/>
  <c r="AJ452" i="12"/>
  <c r="AJ457" i="12"/>
  <c r="AJ587" i="12"/>
  <c r="AJ585" i="12"/>
  <c r="AJ583" i="12"/>
  <c r="AJ581" i="12"/>
  <c r="AK580" i="12"/>
  <c r="AJ588" i="12"/>
  <c r="AJ586" i="12"/>
  <c r="AJ584" i="12"/>
  <c r="AJ582" i="12"/>
  <c r="AM166" i="12"/>
  <c r="AL631" i="12"/>
  <c r="AF369" i="12"/>
  <c r="AF372" i="12"/>
  <c r="AF377" i="12" s="1"/>
  <c r="AC428" i="12"/>
  <c r="AD428" i="12" s="1"/>
  <c r="AC434" i="12"/>
  <c r="AD434" i="12" s="1"/>
  <c r="AC433" i="12"/>
  <c r="AD433" i="12" s="1"/>
  <c r="AC431" i="12"/>
  <c r="AD431" i="12" s="1"/>
  <c r="AC432" i="12"/>
  <c r="AD432" i="12" s="1"/>
  <c r="AC429" i="12"/>
  <c r="AD429" i="12" s="1"/>
  <c r="AC427" i="12"/>
  <c r="AD427" i="12" s="1"/>
  <c r="AC430" i="12"/>
  <c r="AD430" i="12" s="1"/>
  <c r="AI22" i="13"/>
  <c r="AH12" i="13"/>
  <c r="AK426" i="12"/>
  <c r="AG640" i="12"/>
  <c r="AG638" i="12"/>
  <c r="AG639" i="12"/>
  <c r="AF399" i="12"/>
  <c r="AF403" i="12" s="1"/>
  <c r="AK413" i="12"/>
  <c r="AJ414" i="12"/>
  <c r="AJ124" i="12" s="1"/>
  <c r="W19" i="14"/>
  <c r="X19" i="14"/>
  <c r="K17" i="14" l="1"/>
  <c r="Z17" i="14" s="1"/>
  <c r="AC17" i="14" s="1"/>
  <c r="AA16" i="14"/>
  <c r="AH16" i="14" s="1"/>
  <c r="K103" i="6"/>
  <c r="AM47" i="6"/>
  <c r="Z27" i="7" s="1"/>
  <c r="AN76" i="6"/>
  <c r="AO41" i="6"/>
  <c r="AN95" i="6"/>
  <c r="K108" i="6"/>
  <c r="H9" i="7" s="1"/>
  <c r="K109" i="6"/>
  <c r="H10" i="7" s="1"/>
  <c r="K110" i="6"/>
  <c r="K113" i="6"/>
  <c r="H14" i="7" s="1"/>
  <c r="K114" i="6"/>
  <c r="H15" i="7" s="1"/>
  <c r="K47" i="6"/>
  <c r="H27" i="7" s="1"/>
  <c r="K83" i="6"/>
  <c r="AK366" i="12"/>
  <c r="AK396" i="12"/>
  <c r="M20" i="14"/>
  <c r="AE441" i="12"/>
  <c r="AG400" i="12"/>
  <c r="AG404" i="12" s="1"/>
  <c r="AG401" i="12"/>
  <c r="AG405" i="12" s="1"/>
  <c r="AH405" i="12" s="1"/>
  <c r="AJ634" i="12"/>
  <c r="AJ637" i="12" s="1"/>
  <c r="AJ638" i="12" s="1"/>
  <c r="AG372" i="12"/>
  <c r="AG377" i="12" s="1"/>
  <c r="AH377" i="12" s="1"/>
  <c r="AH370" i="12"/>
  <c r="AH371" i="12"/>
  <c r="AG375" i="12"/>
  <c r="AE443" i="12"/>
  <c r="AH369" i="12"/>
  <c r="AG644" i="12"/>
  <c r="AH644" i="12" s="1"/>
  <c r="AH400" i="12"/>
  <c r="AE442" i="12"/>
  <c r="AG371" i="12"/>
  <c r="AG376" i="12" s="1"/>
  <c r="J20" i="14"/>
  <c r="AE656" i="12"/>
  <c r="AJ364" i="12"/>
  <c r="AJ365" i="12"/>
  <c r="AG369" i="12"/>
  <c r="AH399" i="12"/>
  <c r="AI398" i="12"/>
  <c r="AI400" i="12" s="1"/>
  <c r="AE444" i="12"/>
  <c r="AE657" i="12"/>
  <c r="AE660" i="12"/>
  <c r="AE661" i="12"/>
  <c r="AE438" i="12"/>
  <c r="AE440" i="12"/>
  <c r="AE439" i="12"/>
  <c r="AE655" i="12"/>
  <c r="AE659" i="12"/>
  <c r="AE445" i="12"/>
  <c r="AE658" i="12"/>
  <c r="AF647" i="12"/>
  <c r="AF662" i="12" s="1"/>
  <c r="O20" i="14"/>
  <c r="AJ394" i="12"/>
  <c r="AG403" i="12"/>
  <c r="AF407" i="12"/>
  <c r="AJ152" i="12"/>
  <c r="AJ150" i="12"/>
  <c r="AJ148" i="12"/>
  <c r="AJ146" i="12"/>
  <c r="AJ149" i="12"/>
  <c r="AJ147" i="12"/>
  <c r="AJ145" i="12"/>
  <c r="AJ151" i="12"/>
  <c r="AL580" i="12"/>
  <c r="AK588" i="12"/>
  <c r="AK586" i="12"/>
  <c r="AK584" i="12"/>
  <c r="AK582" i="12"/>
  <c r="AK585" i="12"/>
  <c r="AK583" i="12"/>
  <c r="AK581" i="12"/>
  <c r="AK587" i="12"/>
  <c r="AK459" i="12"/>
  <c r="AK457" i="12"/>
  <c r="AK455" i="12"/>
  <c r="AK458" i="12"/>
  <c r="AK453" i="12"/>
  <c r="AK454" i="12"/>
  <c r="AK452" i="12"/>
  <c r="AK456" i="12"/>
  <c r="AL451" i="12"/>
  <c r="AG642" i="12"/>
  <c r="AH49" i="13"/>
  <c r="AL301" i="12"/>
  <c r="AO700" i="12"/>
  <c r="AI63" i="13"/>
  <c r="AH64" i="13"/>
  <c r="AL426" i="12"/>
  <c r="AL361" i="12"/>
  <c r="R129" i="6"/>
  <c r="R20" i="14"/>
  <c r="S20" i="14" s="1"/>
  <c r="E21" i="14"/>
  <c r="T20" i="14"/>
  <c r="U20" i="14" s="1"/>
  <c r="G20" i="14"/>
  <c r="H20" i="14"/>
  <c r="AM685" i="12"/>
  <c r="B88" i="16"/>
  <c r="C87" i="16"/>
  <c r="AL312" i="12"/>
  <c r="AM711" i="12"/>
  <c r="AL731" i="12"/>
  <c r="AN166" i="12"/>
  <c r="B35" i="16"/>
  <c r="C34" i="16"/>
  <c r="AI637" i="12"/>
  <c r="AF374" i="12"/>
  <c r="AF379" i="12" s="1"/>
  <c r="AL654" i="12"/>
  <c r="AK414" i="12"/>
  <c r="AK124" i="12" s="1"/>
  <c r="AL413" i="12"/>
  <c r="AJ22" i="13"/>
  <c r="AI12" i="13"/>
  <c r="AM631" i="12"/>
  <c r="AK633" i="12"/>
  <c r="AL504" i="12"/>
  <c r="AM729" i="12"/>
  <c r="AM730" i="12" s="1"/>
  <c r="AM123" i="12" s="1"/>
  <c r="AM614" i="12"/>
  <c r="AN9" i="12"/>
  <c r="AL558" i="12"/>
  <c r="AL747" i="12"/>
  <c r="AG643" i="12"/>
  <c r="AH643" i="12" s="1"/>
  <c r="AL392" i="12"/>
  <c r="AE379" i="12"/>
  <c r="AM689" i="12"/>
  <c r="AM273" i="12"/>
  <c r="AL737" i="12"/>
  <c r="AL125" i="12" s="1"/>
  <c r="AM736" i="12"/>
  <c r="AM536" i="12"/>
  <c r="AJ395" i="12"/>
  <c r="AI368" i="12"/>
  <c r="X20" i="14"/>
  <c r="W20" i="14"/>
  <c r="AD16" i="14" l="1"/>
  <c r="AF16" i="14" s="1"/>
  <c r="K18" i="14"/>
  <c r="Z18" i="14" s="1"/>
  <c r="AC18" i="14" s="1"/>
  <c r="AA17" i="14"/>
  <c r="AD17" i="14" s="1"/>
  <c r="AF17" i="14" s="1"/>
  <c r="AN47" i="6"/>
  <c r="AA27" i="7" s="1"/>
  <c r="AO76" i="6"/>
  <c r="AP41" i="6"/>
  <c r="AO95" i="6"/>
  <c r="H16" i="7"/>
  <c r="H18" i="7" s="1"/>
  <c r="H3" i="7"/>
  <c r="AA18" i="14"/>
  <c r="AD18" i="14" s="1"/>
  <c r="AL396" i="12"/>
  <c r="AL366" i="12"/>
  <c r="M21" i="14"/>
  <c r="AH375" i="12"/>
  <c r="AH404" i="12"/>
  <c r="AI404" i="12" s="1"/>
  <c r="AH376" i="12"/>
  <c r="AK394" i="12"/>
  <c r="AI399" i="12"/>
  <c r="J21" i="14"/>
  <c r="AJ368" i="12"/>
  <c r="AJ371" i="12" s="1"/>
  <c r="AF655" i="12"/>
  <c r="AI401" i="12"/>
  <c r="AI405" i="12" s="1"/>
  <c r="AF659" i="12"/>
  <c r="AF661" i="12"/>
  <c r="AF657" i="12"/>
  <c r="AF656" i="12"/>
  <c r="AF660" i="12"/>
  <c r="AF658" i="12"/>
  <c r="AJ398" i="12"/>
  <c r="AJ399" i="12" s="1"/>
  <c r="O21" i="14"/>
  <c r="AG647" i="12"/>
  <c r="AG661" i="12" s="1"/>
  <c r="AI369" i="12"/>
  <c r="AI372" i="12"/>
  <c r="AI377" i="12" s="1"/>
  <c r="AI370" i="12"/>
  <c r="AM558" i="12"/>
  <c r="AN631" i="12"/>
  <c r="AK634" i="12"/>
  <c r="AK637" i="12" s="1"/>
  <c r="AK638" i="12" s="1"/>
  <c r="AL588" i="12"/>
  <c r="AL586" i="12"/>
  <c r="AL584" i="12"/>
  <c r="AL582" i="12"/>
  <c r="AL587" i="12"/>
  <c r="AL585" i="12"/>
  <c r="AL583" i="12"/>
  <c r="AL581" i="12"/>
  <c r="AM580" i="12"/>
  <c r="AM737" i="12"/>
  <c r="AM125" i="12" s="1"/>
  <c r="AN736" i="12"/>
  <c r="AN729" i="12"/>
  <c r="AN730" i="12" s="1"/>
  <c r="AN123" i="12" s="1"/>
  <c r="AN614" i="12"/>
  <c r="AO9" i="12"/>
  <c r="AK152" i="12"/>
  <c r="AK150" i="12"/>
  <c r="AK148" i="12"/>
  <c r="AK146" i="12"/>
  <c r="AK151" i="12"/>
  <c r="AK149" i="12"/>
  <c r="AK147" i="12"/>
  <c r="AK145" i="12"/>
  <c r="AK365" i="12"/>
  <c r="AM426" i="12"/>
  <c r="AI49" i="13"/>
  <c r="L95" i="6"/>
  <c r="L76" i="6"/>
  <c r="AJ640" i="12"/>
  <c r="AJ639" i="12"/>
  <c r="AE429" i="12"/>
  <c r="AF429" i="12" s="1"/>
  <c r="AE428" i="12"/>
  <c r="AF428" i="12" s="1"/>
  <c r="AE430" i="12"/>
  <c r="AF430" i="12" s="1"/>
  <c r="AE427" i="12"/>
  <c r="AF427" i="12" s="1"/>
  <c r="AE433" i="12"/>
  <c r="AF433" i="12" s="1"/>
  <c r="AE431" i="12"/>
  <c r="AF431" i="12" s="1"/>
  <c r="AE432" i="12"/>
  <c r="AF432" i="12" s="1"/>
  <c r="AE434" i="12"/>
  <c r="AF434" i="12" s="1"/>
  <c r="AM747" i="12"/>
  <c r="AJ12" i="13"/>
  <c r="AK22" i="13"/>
  <c r="AI371" i="12"/>
  <c r="AI64" i="13"/>
  <c r="AJ63" i="13"/>
  <c r="AP700" i="12"/>
  <c r="AM301" i="12"/>
  <c r="AH642" i="12"/>
  <c r="AH647" i="12" s="1"/>
  <c r="K19" i="14"/>
  <c r="Z19" i="14" s="1"/>
  <c r="AC19" i="14" s="1"/>
  <c r="AF444" i="12"/>
  <c r="AF445" i="12"/>
  <c r="AF443" i="12"/>
  <c r="AF442" i="12"/>
  <c r="AF441" i="12"/>
  <c r="AF439" i="12"/>
  <c r="AF440" i="12"/>
  <c r="AF438" i="12"/>
  <c r="AN536" i="12"/>
  <c r="AN689" i="12"/>
  <c r="AI638" i="12"/>
  <c r="AI640" i="12"/>
  <c r="AI644" i="12" s="1"/>
  <c r="AM312" i="12"/>
  <c r="AN685" i="12"/>
  <c r="AM361" i="12"/>
  <c r="AH403" i="12"/>
  <c r="AM504" i="12"/>
  <c r="AL633" i="12"/>
  <c r="AM654" i="12"/>
  <c r="AI639" i="12"/>
  <c r="AI643" i="12" s="1"/>
  <c r="AM731" i="12"/>
  <c r="AN711" i="12"/>
  <c r="B89" i="16"/>
  <c r="C88" i="16"/>
  <c r="E22" i="14"/>
  <c r="T21" i="14"/>
  <c r="U21" i="14" s="1"/>
  <c r="R21" i="14"/>
  <c r="S21" i="14" s="1"/>
  <c r="G21" i="14"/>
  <c r="H21" i="14"/>
  <c r="S129" i="6"/>
  <c r="AN273" i="12"/>
  <c r="AK395" i="12"/>
  <c r="AM392" i="12"/>
  <c r="AL414" i="12"/>
  <c r="AL124" i="12" s="1"/>
  <c r="AM413" i="12"/>
  <c r="AG374" i="12"/>
  <c r="AG379" i="12" s="1"/>
  <c r="C35" i="16"/>
  <c r="B36" i="16"/>
  <c r="AO166" i="12"/>
  <c r="AK364" i="12"/>
  <c r="AL459" i="12"/>
  <c r="AL457" i="12"/>
  <c r="AL455" i="12"/>
  <c r="AL453" i="12"/>
  <c r="AL458" i="12"/>
  <c r="AL454" i="12"/>
  <c r="AL452" i="12"/>
  <c r="AL456" i="12"/>
  <c r="AM451" i="12"/>
  <c r="AG407" i="12"/>
  <c r="X21" i="14"/>
  <c r="W21" i="14"/>
  <c r="AH17" i="14" l="1"/>
  <c r="L103" i="6"/>
  <c r="AP76" i="6"/>
  <c r="AQ41" i="6"/>
  <c r="AP95" i="6"/>
  <c r="AO47" i="6"/>
  <c r="AB27" i="7" s="1"/>
  <c r="L108" i="6"/>
  <c r="I9" i="7" s="1"/>
  <c r="L109" i="6"/>
  <c r="I10" i="7" s="1"/>
  <c r="L110" i="6"/>
  <c r="L113" i="6"/>
  <c r="I14" i="7" s="1"/>
  <c r="L114" i="6"/>
  <c r="I15" i="7" s="1"/>
  <c r="L47" i="6"/>
  <c r="I27" i="7" s="1"/>
  <c r="L83" i="6"/>
  <c r="AH18" i="14"/>
  <c r="AF18" i="14"/>
  <c r="AM633" i="12"/>
  <c r="AM396" i="12"/>
  <c r="AM366" i="12"/>
  <c r="M22" i="14"/>
  <c r="AI376" i="12"/>
  <c r="AJ376" i="12" s="1"/>
  <c r="AI375" i="12"/>
  <c r="AJ372" i="12"/>
  <c r="AJ377" i="12" s="1"/>
  <c r="AK398" i="12"/>
  <c r="AK401" i="12" s="1"/>
  <c r="AJ369" i="12"/>
  <c r="AJ370" i="12"/>
  <c r="O22" i="14"/>
  <c r="J22" i="14"/>
  <c r="AL394" i="12"/>
  <c r="AG656" i="12"/>
  <c r="AG659" i="12"/>
  <c r="AG660" i="12"/>
  <c r="AG655" i="12"/>
  <c r="AJ401" i="12"/>
  <c r="AJ405" i="12" s="1"/>
  <c r="AG662" i="12"/>
  <c r="AG658" i="12"/>
  <c r="AJ644" i="12"/>
  <c r="AJ400" i="12"/>
  <c r="AJ404" i="12" s="1"/>
  <c r="AG657" i="12"/>
  <c r="AL364" i="12"/>
  <c r="AL395" i="12"/>
  <c r="AL634" i="12"/>
  <c r="AL637" i="12" s="1"/>
  <c r="AM458" i="12"/>
  <c r="AM456" i="12"/>
  <c r="AM454" i="12"/>
  <c r="AM453" i="12"/>
  <c r="AM452" i="12"/>
  <c r="AM457" i="12"/>
  <c r="AN451" i="12"/>
  <c r="AM455" i="12"/>
  <c r="AM459" i="12"/>
  <c r="AO273" i="12"/>
  <c r="AN504" i="12"/>
  <c r="AO685" i="12"/>
  <c r="AH656" i="12"/>
  <c r="AH655" i="12"/>
  <c r="AH662" i="12"/>
  <c r="AH661" i="12"/>
  <c r="AH660" i="12"/>
  <c r="AH659" i="12"/>
  <c r="AH658" i="12"/>
  <c r="AH657" i="12"/>
  <c r="AN737" i="12"/>
  <c r="AN125" i="12" s="1"/>
  <c r="AO736" i="12"/>
  <c r="AK368" i="12"/>
  <c r="AM414" i="12"/>
  <c r="AM124" i="12" s="1"/>
  <c r="AN413" i="12"/>
  <c r="AK640" i="12"/>
  <c r="AJ643" i="12"/>
  <c r="B90" i="16"/>
  <c r="C89" i="16"/>
  <c r="AL365" i="12"/>
  <c r="AO689" i="12"/>
  <c r="AQ700" i="12"/>
  <c r="AL151" i="12"/>
  <c r="AL149" i="12"/>
  <c r="AL147" i="12"/>
  <c r="AL145" i="12"/>
  <c r="AL152" i="12"/>
  <c r="AL150" i="12"/>
  <c r="AL148" i="12"/>
  <c r="AL146" i="12"/>
  <c r="AM587" i="12"/>
  <c r="AM585" i="12"/>
  <c r="AM583" i="12"/>
  <c r="AM581" i="12"/>
  <c r="AN580" i="12"/>
  <c r="AM588" i="12"/>
  <c r="AM586" i="12"/>
  <c r="AM584" i="12"/>
  <c r="AM582" i="12"/>
  <c r="AG432" i="12"/>
  <c r="AG427" i="12"/>
  <c r="AG433" i="12"/>
  <c r="AG430" i="12"/>
  <c r="AG429" i="12"/>
  <c r="AG428" i="12"/>
  <c r="AG434" i="12"/>
  <c r="AG431" i="12"/>
  <c r="AI403" i="12"/>
  <c r="K20" i="14"/>
  <c r="Z20" i="14" s="1"/>
  <c r="AC20" i="14" s="1"/>
  <c r="AA19" i="14"/>
  <c r="AO729" i="12"/>
  <c r="AO730" i="12" s="1"/>
  <c r="AO123" i="12" s="1"/>
  <c r="AO614" i="12"/>
  <c r="AP9" i="12"/>
  <c r="C36" i="16"/>
  <c r="B37" i="16"/>
  <c r="AN392" i="12"/>
  <c r="T129" i="6"/>
  <c r="AN301" i="12"/>
  <c r="AL22" i="13"/>
  <c r="AK12" i="13"/>
  <c r="AN747" i="12"/>
  <c r="AO631" i="12"/>
  <c r="AG442" i="12"/>
  <c r="AG440" i="12"/>
  <c r="AG443" i="12"/>
  <c r="AG438" i="12"/>
  <c r="AG439" i="12"/>
  <c r="AG445" i="12"/>
  <c r="AG444" i="12"/>
  <c r="AG441" i="12"/>
  <c r="AP166" i="12"/>
  <c r="AH374" i="12"/>
  <c r="AH379" i="12" s="1"/>
  <c r="T22" i="14"/>
  <c r="U22" i="14" s="1"/>
  <c r="R22" i="14"/>
  <c r="S22" i="14" s="1"/>
  <c r="E23" i="14"/>
  <c r="G22" i="14"/>
  <c r="H22" i="14"/>
  <c r="AN731" i="12"/>
  <c r="AO711" i="12"/>
  <c r="AN654" i="12"/>
  <c r="AH407" i="12"/>
  <c r="AN361" i="12"/>
  <c r="AN312" i="12"/>
  <c r="AO536" i="12"/>
  <c r="AI642" i="12"/>
  <c r="AJ64" i="13"/>
  <c r="AK63" i="13"/>
  <c r="AJ49" i="13"/>
  <c r="AN426" i="12"/>
  <c r="AK639" i="12"/>
  <c r="AN558" i="12"/>
  <c r="X22" i="14"/>
  <c r="W22" i="14"/>
  <c r="AR41" i="6" l="1"/>
  <c r="AQ95" i="6"/>
  <c r="AQ76" i="6"/>
  <c r="AP47" i="6"/>
  <c r="AC27" i="7" s="1"/>
  <c r="I16" i="7"/>
  <c r="I18" i="7" s="1"/>
  <c r="I3" i="7"/>
  <c r="AN366" i="12"/>
  <c r="AN396" i="12"/>
  <c r="M23" i="14"/>
  <c r="AH445" i="12"/>
  <c r="AH440" i="12"/>
  <c r="AH439" i="12"/>
  <c r="AH442" i="12"/>
  <c r="AH441" i="12"/>
  <c r="AH438" i="12"/>
  <c r="AH444" i="12"/>
  <c r="AH443" i="12"/>
  <c r="AK644" i="12"/>
  <c r="AK399" i="12"/>
  <c r="AJ375" i="12"/>
  <c r="AK400" i="12"/>
  <c r="AK404" i="12" s="1"/>
  <c r="AK405" i="12"/>
  <c r="AL368" i="12"/>
  <c r="AL370" i="12" s="1"/>
  <c r="AM395" i="12"/>
  <c r="AM634" i="12"/>
  <c r="AM637" i="12" s="1"/>
  <c r="AM638" i="12" s="1"/>
  <c r="AM364" i="12"/>
  <c r="AM365" i="12"/>
  <c r="AM394" i="12"/>
  <c r="AL398" i="12"/>
  <c r="AL401" i="12" s="1"/>
  <c r="AL639" i="12"/>
  <c r="AL638" i="12"/>
  <c r="AL640" i="12"/>
  <c r="AK49" i="13"/>
  <c r="AJ642" i="12"/>
  <c r="AJ647" i="12" s="1"/>
  <c r="R23" i="14"/>
  <c r="S23" i="14" s="1"/>
  <c r="E24" i="14"/>
  <c r="T23" i="14"/>
  <c r="U23" i="14" s="1"/>
  <c r="G23" i="14"/>
  <c r="H23" i="14"/>
  <c r="AA20" i="14"/>
  <c r="AH433" i="12"/>
  <c r="AR700" i="12"/>
  <c r="B91" i="16"/>
  <c r="C90" i="16"/>
  <c r="AP273" i="12"/>
  <c r="AK64" i="13"/>
  <c r="AL63" i="13"/>
  <c r="AO312" i="12"/>
  <c r="AO731" i="12"/>
  <c r="AP711" i="12"/>
  <c r="J23" i="14"/>
  <c r="AQ166" i="12"/>
  <c r="AO301" i="12"/>
  <c r="U129" i="6"/>
  <c r="AP729" i="12"/>
  <c r="AP730" i="12" s="1"/>
  <c r="AP123" i="12" s="1"/>
  <c r="AP614" i="12"/>
  <c r="AQ9" i="12"/>
  <c r="AJ403" i="12"/>
  <c r="AH428" i="12"/>
  <c r="AH427" i="12"/>
  <c r="AO413" i="12"/>
  <c r="AN414" i="12"/>
  <c r="AN124" i="12" s="1"/>
  <c r="AK369" i="12"/>
  <c r="AK372" i="12"/>
  <c r="AK377" i="12" s="1"/>
  <c r="AO737" i="12"/>
  <c r="AO125" i="12" s="1"/>
  <c r="AP736" i="12"/>
  <c r="AO361" i="12"/>
  <c r="AI374" i="12"/>
  <c r="AI379" i="12" s="1"/>
  <c r="AP631" i="12"/>
  <c r="B38" i="16"/>
  <c r="C37" i="16"/>
  <c r="AH434" i="12"/>
  <c r="AM151" i="12"/>
  <c r="AM149" i="12"/>
  <c r="AM147" i="12"/>
  <c r="AM145" i="12"/>
  <c r="AM152" i="12"/>
  <c r="AM150" i="12"/>
  <c r="AM148" i="12"/>
  <c r="AM146" i="12"/>
  <c r="AO558" i="12"/>
  <c r="O23" i="14"/>
  <c r="K21" i="14"/>
  <c r="Z21" i="14" s="1"/>
  <c r="AC21" i="14" s="1"/>
  <c r="AO747" i="12"/>
  <c r="AI407" i="12"/>
  <c r="AH429" i="12"/>
  <c r="AH432" i="12"/>
  <c r="AK371" i="12"/>
  <c r="AK376" i="12" s="1"/>
  <c r="AK643" i="12"/>
  <c r="AK370" i="12"/>
  <c r="AP685" i="12"/>
  <c r="AO426" i="12"/>
  <c r="AI647" i="12"/>
  <c r="AP536" i="12"/>
  <c r="AO654" i="12"/>
  <c r="M95" i="6"/>
  <c r="M76" i="6"/>
  <c r="AM22" i="13"/>
  <c r="AL12" i="13"/>
  <c r="AO392" i="12"/>
  <c r="AD19" i="14"/>
  <c r="AF19" i="14" s="1"/>
  <c r="AH19" i="14"/>
  <c r="AH431" i="12"/>
  <c r="AH430" i="12"/>
  <c r="AN587" i="12"/>
  <c r="AN585" i="12"/>
  <c r="AN583" i="12"/>
  <c r="AN581" i="12"/>
  <c r="AO580" i="12"/>
  <c r="AN588" i="12"/>
  <c r="AN586" i="12"/>
  <c r="AN584" i="12"/>
  <c r="AN582" i="12"/>
  <c r="AP689" i="12"/>
  <c r="AO504" i="12"/>
  <c r="AN633" i="12"/>
  <c r="AN458" i="12"/>
  <c r="AN456" i="12"/>
  <c r="AN454" i="12"/>
  <c r="AN457" i="12"/>
  <c r="AO451" i="12"/>
  <c r="AN453" i="12"/>
  <c r="AN452" i="12"/>
  <c r="AN459" i="12"/>
  <c r="AN455" i="12"/>
  <c r="X23" i="14"/>
  <c r="W23" i="14"/>
  <c r="O24" i="14" l="1"/>
  <c r="M103" i="6"/>
  <c r="AQ47" i="6"/>
  <c r="AD27" i="7" s="1"/>
  <c r="AR76" i="6"/>
  <c r="AS41" i="6"/>
  <c r="AR95" i="6"/>
  <c r="M108" i="6"/>
  <c r="J9" i="7" s="1"/>
  <c r="M110" i="6"/>
  <c r="M113" i="6"/>
  <c r="J14" i="7" s="1"/>
  <c r="M114" i="6"/>
  <c r="J15" i="7" s="1"/>
  <c r="M109" i="6"/>
  <c r="M47" i="6"/>
  <c r="J27" i="7" s="1"/>
  <c r="M83" i="6"/>
  <c r="AO366" i="12"/>
  <c r="AO396" i="12"/>
  <c r="AK375" i="12"/>
  <c r="AL375" i="12" s="1"/>
  <c r="AI445" i="12"/>
  <c r="M24" i="14"/>
  <c r="AM398" i="12"/>
  <c r="AM400" i="12" s="1"/>
  <c r="AI443" i="12"/>
  <c r="AI440" i="12"/>
  <c r="AL644" i="12"/>
  <c r="AI444" i="12"/>
  <c r="AI442" i="12"/>
  <c r="AI438" i="12"/>
  <c r="AI439" i="12"/>
  <c r="AI441" i="12"/>
  <c r="AL405" i="12"/>
  <c r="AL369" i="12"/>
  <c r="AL371" i="12"/>
  <c r="AL376" i="12" s="1"/>
  <c r="J24" i="14"/>
  <c r="AL372" i="12"/>
  <c r="AL377" i="12" s="1"/>
  <c r="AL643" i="12"/>
  <c r="AL399" i="12"/>
  <c r="AM368" i="12"/>
  <c r="AM370" i="12" s="1"/>
  <c r="AM640" i="12"/>
  <c r="AL400" i="12"/>
  <c r="AL404" i="12" s="1"/>
  <c r="AM639" i="12"/>
  <c r="AJ659" i="12"/>
  <c r="AJ662" i="12"/>
  <c r="AJ657" i="12"/>
  <c r="AJ660" i="12"/>
  <c r="AJ656" i="12"/>
  <c r="AJ655" i="12"/>
  <c r="AJ658" i="12"/>
  <c r="AJ661" i="12"/>
  <c r="AQ689" i="12"/>
  <c r="AI431" i="12"/>
  <c r="AN22" i="13"/>
  <c r="AM12" i="13"/>
  <c r="J10" i="7"/>
  <c r="AI655" i="12"/>
  <c r="AI662" i="12"/>
  <c r="AI656" i="12"/>
  <c r="AI661" i="12"/>
  <c r="AI660" i="12"/>
  <c r="AI657" i="12"/>
  <c r="AI659" i="12"/>
  <c r="AI658" i="12"/>
  <c r="AQ685" i="12"/>
  <c r="AI429" i="12"/>
  <c r="AP558" i="12"/>
  <c r="AQ631" i="12"/>
  <c r="AN364" i="12"/>
  <c r="AN634" i="12"/>
  <c r="AN637" i="12" s="1"/>
  <c r="AP737" i="12"/>
  <c r="AP125" i="12" s="1"/>
  <c r="AQ736" i="12"/>
  <c r="AI428" i="12"/>
  <c r="AQ729" i="12"/>
  <c r="AQ730" i="12" s="1"/>
  <c r="AQ123" i="12" s="1"/>
  <c r="AQ614" i="12"/>
  <c r="AR9" i="12"/>
  <c r="V129" i="6"/>
  <c r="AP312" i="12"/>
  <c r="AQ273" i="12"/>
  <c r="AD20" i="14"/>
  <c r="AF20" i="14" s="1"/>
  <c r="AH20" i="14"/>
  <c r="R24" i="14"/>
  <c r="S24" i="14" s="1"/>
  <c r="E25" i="14"/>
  <c r="T24" i="14"/>
  <c r="U24" i="14" s="1"/>
  <c r="H24" i="14"/>
  <c r="G24" i="14"/>
  <c r="AL49" i="13"/>
  <c r="AO459" i="12"/>
  <c r="AO457" i="12"/>
  <c r="AO455" i="12"/>
  <c r="AO456" i="12"/>
  <c r="AO458" i="12"/>
  <c r="AO454" i="12"/>
  <c r="AP451" i="12"/>
  <c r="AO453" i="12"/>
  <c r="AO452" i="12"/>
  <c r="AI430" i="12"/>
  <c r="AN395" i="12"/>
  <c r="AP426" i="12"/>
  <c r="AI432" i="12"/>
  <c r="AI434" i="12"/>
  <c r="B39" i="16"/>
  <c r="C38" i="16"/>
  <c r="AJ374" i="12"/>
  <c r="AJ379" i="12" s="1"/>
  <c r="AP413" i="12"/>
  <c r="AO414" i="12"/>
  <c r="AO124" i="12" s="1"/>
  <c r="AI427" i="12"/>
  <c r="AQ711" i="12"/>
  <c r="AP731" i="12"/>
  <c r="AM63" i="13"/>
  <c r="AL64" i="13"/>
  <c r="B92" i="16"/>
  <c r="C91" i="16"/>
  <c r="AS700" i="12"/>
  <c r="AI433" i="12"/>
  <c r="AO365" i="12"/>
  <c r="AP504" i="12"/>
  <c r="AN394" i="12"/>
  <c r="AP654" i="12"/>
  <c r="AA21" i="14"/>
  <c r="AP361" i="12"/>
  <c r="AN152" i="12"/>
  <c r="AN150" i="12"/>
  <c r="AN148" i="12"/>
  <c r="AN146" i="12"/>
  <c r="AN147" i="12"/>
  <c r="AN145" i="12"/>
  <c r="AN151" i="12"/>
  <c r="AN149" i="12"/>
  <c r="AK403" i="12"/>
  <c r="AK407" i="12" s="1"/>
  <c r="AP580" i="12"/>
  <c r="AO588" i="12"/>
  <c r="AO586" i="12"/>
  <c r="AO584" i="12"/>
  <c r="AO582" i="12"/>
  <c r="AO583" i="12"/>
  <c r="AO581" i="12"/>
  <c r="AO587" i="12"/>
  <c r="AO585" i="12"/>
  <c r="AP392" i="12"/>
  <c r="AQ536" i="12"/>
  <c r="AP747" i="12"/>
  <c r="AN365" i="12"/>
  <c r="AJ407" i="12"/>
  <c r="AP301" i="12"/>
  <c r="AR166" i="12"/>
  <c r="K22" i="14"/>
  <c r="Z22" i="14" s="1"/>
  <c r="AC22" i="14" s="1"/>
  <c r="AK642" i="12"/>
  <c r="AK647" i="12" s="1"/>
  <c r="X24" i="14"/>
  <c r="W24" i="14"/>
  <c r="AS76" i="6" l="1"/>
  <c r="AS95" i="6"/>
  <c r="AR47" i="6"/>
  <c r="AE27" i="7" s="1"/>
  <c r="J16" i="7"/>
  <c r="J18" i="7" s="1"/>
  <c r="J3" i="7"/>
  <c r="AP634" i="12"/>
  <c r="AP396" i="12"/>
  <c r="AP366" i="12"/>
  <c r="AJ445" i="12"/>
  <c r="AK445" i="12" s="1"/>
  <c r="AM399" i="12"/>
  <c r="M25" i="14"/>
  <c r="AM404" i="12"/>
  <c r="AM401" i="12"/>
  <c r="AM405" i="12" s="1"/>
  <c r="AM644" i="12"/>
  <c r="AJ439" i="12"/>
  <c r="AK439" i="12" s="1"/>
  <c r="AJ440" i="12"/>
  <c r="AK440" i="12" s="1"/>
  <c r="AJ441" i="12"/>
  <c r="AK441" i="12" s="1"/>
  <c r="AJ444" i="12"/>
  <c r="AK444" i="12" s="1"/>
  <c r="AJ438" i="12"/>
  <c r="AK438" i="12" s="1"/>
  <c r="AJ443" i="12"/>
  <c r="AK443" i="12" s="1"/>
  <c r="AJ442" i="12"/>
  <c r="AK442" i="12" s="1"/>
  <c r="J25" i="14"/>
  <c r="AM375" i="12"/>
  <c r="AM643" i="12"/>
  <c r="AM372" i="12"/>
  <c r="AM377" i="12" s="1"/>
  <c r="AM369" i="12"/>
  <c r="AM371" i="12"/>
  <c r="AM376" i="12" s="1"/>
  <c r="O25" i="14"/>
  <c r="AO394" i="12"/>
  <c r="AN640" i="12"/>
  <c r="AN638" i="12"/>
  <c r="AA22" i="14"/>
  <c r="AQ301" i="12"/>
  <c r="AO633" i="12"/>
  <c r="AQ747" i="12"/>
  <c r="AR536" i="12"/>
  <c r="AO152" i="12"/>
  <c r="AO150" i="12"/>
  <c r="AO148" i="12"/>
  <c r="AO146" i="12"/>
  <c r="AO151" i="12"/>
  <c r="AO149" i="12"/>
  <c r="AO147" i="12"/>
  <c r="AO145" i="12"/>
  <c r="AQ361" i="12"/>
  <c r="AO634" i="12"/>
  <c r="B93" i="16"/>
  <c r="C92" i="16"/>
  <c r="AQ731" i="12"/>
  <c r="AR711" i="12"/>
  <c r="AP414" i="12"/>
  <c r="AP124" i="12" s="1"/>
  <c r="AQ413" i="12"/>
  <c r="AJ432" i="12"/>
  <c r="AM49" i="13"/>
  <c r="AR273" i="12"/>
  <c r="W129" i="6"/>
  <c r="AQ737" i="12"/>
  <c r="AQ125" i="12" s="1"/>
  <c r="AR736" i="12"/>
  <c r="AN368" i="12"/>
  <c r="AN370" i="12" s="1"/>
  <c r="AR631" i="12"/>
  <c r="AJ429" i="12"/>
  <c r="AN12" i="13"/>
  <c r="AO22" i="13"/>
  <c r="AO395" i="12"/>
  <c r="AP588" i="12"/>
  <c r="AP586" i="12"/>
  <c r="AP584" i="12"/>
  <c r="AP582" i="12"/>
  <c r="AP587" i="12"/>
  <c r="AP585" i="12"/>
  <c r="AP583" i="12"/>
  <c r="AP581" i="12"/>
  <c r="AQ580" i="12"/>
  <c r="AO364" i="12"/>
  <c r="AT700" i="12"/>
  <c r="AJ427" i="12"/>
  <c r="C39" i="16"/>
  <c r="B40" i="16"/>
  <c r="D38" i="16" s="1"/>
  <c r="C148" i="16" s="1"/>
  <c r="AJ430" i="12"/>
  <c r="AP459" i="12"/>
  <c r="AP457" i="12"/>
  <c r="AP455" i="12"/>
  <c r="AP453" i="12"/>
  <c r="AP456" i="12"/>
  <c r="AP452" i="12"/>
  <c r="AP458" i="12"/>
  <c r="AQ451" i="12"/>
  <c r="AP454" i="12"/>
  <c r="E26" i="14"/>
  <c r="T25" i="14"/>
  <c r="U25" i="14" s="1"/>
  <c r="R25" i="14"/>
  <c r="S25" i="14" s="1"/>
  <c r="H25" i="14"/>
  <c r="G25" i="14"/>
  <c r="AQ312" i="12"/>
  <c r="AR689" i="12"/>
  <c r="AL642" i="12"/>
  <c r="AL647" i="12" s="1"/>
  <c r="AS166" i="12"/>
  <c r="AL403" i="12"/>
  <c r="AL407" i="12" s="1"/>
  <c r="K23" i="14"/>
  <c r="AN398" i="12"/>
  <c r="AN401" i="12" s="1"/>
  <c r="AQ504" i="12"/>
  <c r="AM64" i="13"/>
  <c r="AN63" i="13"/>
  <c r="AK374" i="12"/>
  <c r="AK379" i="12" s="1"/>
  <c r="AQ426" i="12"/>
  <c r="AR729" i="12"/>
  <c r="AR730" i="12" s="1"/>
  <c r="AR123" i="12" s="1"/>
  <c r="Z109" i="6" s="1"/>
  <c r="AR614" i="12"/>
  <c r="AS9" i="12"/>
  <c r="AJ428" i="12"/>
  <c r="N95" i="6"/>
  <c r="N76" i="6"/>
  <c r="AK660" i="12"/>
  <c r="AK659" i="12"/>
  <c r="AK655" i="12"/>
  <c r="AK662" i="12"/>
  <c r="AK661" i="12"/>
  <c r="AK658" i="12"/>
  <c r="AK657" i="12"/>
  <c r="AK656" i="12"/>
  <c r="AQ392" i="12"/>
  <c r="AH21" i="14"/>
  <c r="AD21" i="14"/>
  <c r="AF21" i="14" s="1"/>
  <c r="AQ654" i="12"/>
  <c r="AJ433" i="12"/>
  <c r="AJ434" i="12"/>
  <c r="AN639" i="12"/>
  <c r="AQ558" i="12"/>
  <c r="AR685" i="12"/>
  <c r="AJ431" i="12"/>
  <c r="X25" i="14"/>
  <c r="W25" i="14"/>
  <c r="N103" i="6" l="1"/>
  <c r="AS47" i="6"/>
  <c r="AF27" i="7" s="1"/>
  <c r="N108" i="6"/>
  <c r="N109" i="6"/>
  <c r="K10" i="7" s="1"/>
  <c r="N110" i="6"/>
  <c r="N113" i="6"/>
  <c r="N114" i="6"/>
  <c r="K15" i="7" s="1"/>
  <c r="N83" i="6"/>
  <c r="N47" i="6"/>
  <c r="K27" i="7" s="1"/>
  <c r="AA23" i="14"/>
  <c r="AD23" i="14" s="1"/>
  <c r="Z23" i="14"/>
  <c r="AC23" i="14" s="1"/>
  <c r="C215" i="16"/>
  <c r="D39" i="16"/>
  <c r="C149" i="16" s="1"/>
  <c r="AM33" i="13"/>
  <c r="AQ366" i="12"/>
  <c r="AQ396" i="12"/>
  <c r="AL445" i="12"/>
  <c r="M26" i="14"/>
  <c r="AN644" i="12"/>
  <c r="AN405" i="12"/>
  <c r="AL442" i="12"/>
  <c r="AL440" i="12"/>
  <c r="AL444" i="12"/>
  <c r="AL439" i="12"/>
  <c r="AL441" i="12"/>
  <c r="AL438" i="12"/>
  <c r="AL443" i="12"/>
  <c r="AN375" i="12"/>
  <c r="AN643" i="12"/>
  <c r="AN371" i="12"/>
  <c r="AN376" i="12" s="1"/>
  <c r="AP394" i="12"/>
  <c r="AO398" i="12"/>
  <c r="AO401" i="12" s="1"/>
  <c r="O26" i="14"/>
  <c r="AN400" i="12"/>
  <c r="AN404" i="12" s="1"/>
  <c r="AN399" i="12"/>
  <c r="J26" i="14"/>
  <c r="AK57" i="13"/>
  <c r="AK56" i="13"/>
  <c r="AO753" i="12"/>
  <c r="AO755" i="12"/>
  <c r="AK55" i="13"/>
  <c r="AK54" i="13"/>
  <c r="AO751" i="12"/>
  <c r="AO750" i="12"/>
  <c r="AK53" i="13"/>
  <c r="AK52" i="13"/>
  <c r="AO749" i="12"/>
  <c r="AO748" i="12"/>
  <c r="AK51" i="13"/>
  <c r="AK50" i="13"/>
  <c r="AO752" i="12"/>
  <c r="AO754" i="12"/>
  <c r="AR737" i="12"/>
  <c r="AR125" i="12" s="1"/>
  <c r="Z108" i="6" s="1"/>
  <c r="AS736" i="12"/>
  <c r="AP364" i="12"/>
  <c r="AO637" i="12"/>
  <c r="AO640" i="12" s="1"/>
  <c r="AK434" i="12"/>
  <c r="AT166" i="12"/>
  <c r="AL662" i="12"/>
  <c r="AL661" i="12"/>
  <c r="AL657" i="12"/>
  <c r="AL660" i="12"/>
  <c r="AL659" i="12"/>
  <c r="AL658" i="12"/>
  <c r="AL656" i="12"/>
  <c r="AL655" i="12"/>
  <c r="AR558" i="12"/>
  <c r="AR654" i="12"/>
  <c r="AR392" i="12"/>
  <c r="K14" i="7"/>
  <c r="K9" i="7"/>
  <c r="AK428" i="12"/>
  <c r="AS689" i="12"/>
  <c r="AK430" i="12"/>
  <c r="S33" i="13"/>
  <c r="E111" i="6" s="1"/>
  <c r="T33" i="13"/>
  <c r="U33" i="13"/>
  <c r="V33" i="13"/>
  <c r="W33" i="13"/>
  <c r="X33" i="13"/>
  <c r="Y33" i="13"/>
  <c r="Z33" i="13"/>
  <c r="AA33" i="13"/>
  <c r="AB33" i="13"/>
  <c r="N111" i="6" s="1"/>
  <c r="K13" i="7" s="1"/>
  <c r="AC33" i="13"/>
  <c r="AD33" i="13"/>
  <c r="AE33" i="13"/>
  <c r="AH33" i="13"/>
  <c r="AJ33" i="13"/>
  <c r="AS631" i="12"/>
  <c r="AK432" i="12"/>
  <c r="AR731" i="12"/>
  <c r="Z103" i="6" s="1"/>
  <c r="AS711" i="12"/>
  <c r="B94" i="16"/>
  <c r="C93" i="16"/>
  <c r="AQ395" i="12"/>
  <c r="AR361" i="12"/>
  <c r="AR301" i="12"/>
  <c r="AQ458" i="12"/>
  <c r="AQ456" i="12"/>
  <c r="AQ452" i="12"/>
  <c r="AQ459" i="12"/>
  <c r="AQ455" i="12"/>
  <c r="AQ454" i="12"/>
  <c r="AQ453" i="12"/>
  <c r="AR451" i="12"/>
  <c r="AQ457" i="12"/>
  <c r="AP151" i="12"/>
  <c r="AP149" i="12"/>
  <c r="AP147" i="12"/>
  <c r="AP145" i="12"/>
  <c r="AP150" i="12"/>
  <c r="AP148" i="12"/>
  <c r="AP146" i="12"/>
  <c r="AP152" i="12"/>
  <c r="AR426" i="12"/>
  <c r="AL374" i="12"/>
  <c r="AR312" i="12"/>
  <c r="E27" i="14"/>
  <c r="T26" i="14"/>
  <c r="U26" i="14" s="1"/>
  <c r="R26" i="14"/>
  <c r="S26" i="14" s="1"/>
  <c r="H26" i="14"/>
  <c r="G26" i="14"/>
  <c r="AU700" i="12"/>
  <c r="AQ587" i="12"/>
  <c r="AQ585" i="12"/>
  <c r="AQ583" i="12"/>
  <c r="AQ581" i="12"/>
  <c r="AR580" i="12"/>
  <c r="AQ586" i="12"/>
  <c r="AQ584" i="12"/>
  <c r="AQ582" i="12"/>
  <c r="AQ588" i="12"/>
  <c r="AP22" i="13"/>
  <c r="AO12" i="13"/>
  <c r="AK429" i="12"/>
  <c r="AS536" i="12"/>
  <c r="K24" i="14"/>
  <c r="C40" i="16"/>
  <c r="D40" i="16" s="1"/>
  <c r="C150" i="16" s="1"/>
  <c r="B41" i="16"/>
  <c r="F10" i="16"/>
  <c r="D21" i="16"/>
  <c r="C131" i="16" s="1"/>
  <c r="D20" i="16"/>
  <c r="C130" i="16" s="1"/>
  <c r="D22" i="16"/>
  <c r="C132" i="16" s="1"/>
  <c r="D23" i="16"/>
  <c r="C133" i="16" s="1"/>
  <c r="D24" i="16"/>
  <c r="C134" i="16" s="1"/>
  <c r="D25" i="16"/>
  <c r="C135" i="16" s="1"/>
  <c r="D26" i="16"/>
  <c r="C136" i="16" s="1"/>
  <c r="D27" i="16"/>
  <c r="C137" i="16" s="1"/>
  <c r="D28" i="16"/>
  <c r="C138" i="16" s="1"/>
  <c r="D29" i="16"/>
  <c r="C139" i="16" s="1"/>
  <c r="D30" i="16"/>
  <c r="C140" i="16" s="1"/>
  <c r="D31" i="16"/>
  <c r="C141" i="16" s="1"/>
  <c r="D32" i="16"/>
  <c r="C142" i="16" s="1"/>
  <c r="D33" i="16"/>
  <c r="C143" i="16" s="1"/>
  <c r="D34" i="16"/>
  <c r="C144" i="16" s="1"/>
  <c r="D35" i="16"/>
  <c r="C145" i="16" s="1"/>
  <c r="D36" i="16"/>
  <c r="C146" i="16" s="1"/>
  <c r="D37" i="16"/>
  <c r="C147" i="16" s="1"/>
  <c r="AK431" i="12"/>
  <c r="AS685" i="12"/>
  <c r="AK433" i="12"/>
  <c r="AP395" i="12"/>
  <c r="AS729" i="12"/>
  <c r="AS730" i="12" s="1"/>
  <c r="AS123" i="12" s="1"/>
  <c r="AA109" i="6" s="1"/>
  <c r="AS614" i="12"/>
  <c r="AT9" i="12"/>
  <c r="AN64" i="13"/>
  <c r="Z114" i="6" s="1"/>
  <c r="AO63" i="13"/>
  <c r="AR504" i="12"/>
  <c r="AM403" i="12"/>
  <c r="AM407" i="12" s="1"/>
  <c r="AM642" i="12"/>
  <c r="AP633" i="12"/>
  <c r="AK427" i="12"/>
  <c r="AO368" i="12"/>
  <c r="AO370" i="12" s="1"/>
  <c r="AN369" i="12"/>
  <c r="AN372" i="12"/>
  <c r="AN377" i="12" s="1"/>
  <c r="X129" i="6"/>
  <c r="AS273" i="12"/>
  <c r="AN49" i="13"/>
  <c r="AQ414" i="12"/>
  <c r="AQ124" i="12" s="1"/>
  <c r="AR413" i="12"/>
  <c r="AP365" i="12"/>
  <c r="AR747" i="12"/>
  <c r="AH22" i="14"/>
  <c r="AD22" i="14"/>
  <c r="AF22" i="14" s="1"/>
  <c r="X26" i="14"/>
  <c r="W26" i="14"/>
  <c r="M111" i="6" l="1"/>
  <c r="J13" i="7" s="1"/>
  <c r="I111" i="6"/>
  <c r="F13" i="7" s="1"/>
  <c r="L111" i="6"/>
  <c r="I13" i="7" s="1"/>
  <c r="H111" i="6"/>
  <c r="E13" i="7" s="1"/>
  <c r="K111" i="6"/>
  <c r="H13" i="7" s="1"/>
  <c r="G111" i="6"/>
  <c r="D13" i="7" s="1"/>
  <c r="J111" i="6"/>
  <c r="G13" i="7" s="1"/>
  <c r="F111" i="6"/>
  <c r="C13" i="7" s="1"/>
  <c r="K16" i="7"/>
  <c r="K18" i="7" s="1"/>
  <c r="B13" i="7"/>
  <c r="K3" i="7"/>
  <c r="AF23" i="14"/>
  <c r="AO405" i="12"/>
  <c r="AH23" i="14"/>
  <c r="AA24" i="14"/>
  <c r="AD24" i="14" s="1"/>
  <c r="Z24" i="14"/>
  <c r="AC24" i="14" s="1"/>
  <c r="AL53" i="13"/>
  <c r="AL57" i="13"/>
  <c r="AL55" i="13"/>
  <c r="AL50" i="13"/>
  <c r="AL54" i="13"/>
  <c r="AL51" i="13"/>
  <c r="AL52" i="13"/>
  <c r="AL56" i="13"/>
  <c r="AP754" i="12"/>
  <c r="C206" i="16"/>
  <c r="C202" i="16"/>
  <c r="C197" i="16"/>
  <c r="C209" i="16"/>
  <c r="C201" i="16"/>
  <c r="C214" i="16"/>
  <c r="C212" i="16"/>
  <c r="C208" i="16"/>
  <c r="C204" i="16"/>
  <c r="C200" i="16"/>
  <c r="AP748" i="12"/>
  <c r="AP750" i="12"/>
  <c r="AP752" i="12"/>
  <c r="C210" i="16"/>
  <c r="C217" i="16"/>
  <c r="C205" i="16"/>
  <c r="C198" i="16"/>
  <c r="C216" i="16"/>
  <c r="C213" i="16"/>
  <c r="C211" i="16"/>
  <c r="C207" i="16"/>
  <c r="C203" i="16"/>
  <c r="C199" i="16"/>
  <c r="AP749" i="12"/>
  <c r="AP751" i="12"/>
  <c r="AP753" i="12"/>
  <c r="AP755" i="12"/>
  <c r="AM445" i="12"/>
  <c r="AR396" i="12"/>
  <c r="AR366" i="12"/>
  <c r="AO644" i="12"/>
  <c r="M27" i="14"/>
  <c r="AM444" i="12"/>
  <c r="AM443" i="12"/>
  <c r="AM441" i="12"/>
  <c r="AM442" i="12"/>
  <c r="AM438" i="12"/>
  <c r="AM440" i="12"/>
  <c r="AM439" i="12"/>
  <c r="AO375" i="12"/>
  <c r="AO399" i="12"/>
  <c r="O27" i="14"/>
  <c r="AO400" i="12"/>
  <c r="AO404" i="12" s="1"/>
  <c r="J27" i="14"/>
  <c r="AO639" i="12"/>
  <c r="AO643" i="12" s="1"/>
  <c r="AK58" i="13"/>
  <c r="AM52" i="13"/>
  <c r="AM51" i="13"/>
  <c r="AQ754" i="12"/>
  <c r="AM54" i="13"/>
  <c r="AM53" i="13"/>
  <c r="AQ749" i="12"/>
  <c r="AM50" i="13"/>
  <c r="AM57" i="13"/>
  <c r="AQ752" i="12"/>
  <c r="AQ753" i="12"/>
  <c r="AQ748" i="12"/>
  <c r="AM56" i="13"/>
  <c r="AM55" i="13"/>
  <c r="AQ750" i="12"/>
  <c r="AQ751" i="12"/>
  <c r="AQ755" i="12"/>
  <c r="AO49" i="13"/>
  <c r="AP637" i="12"/>
  <c r="AP638" i="12" s="1"/>
  <c r="AJ748" i="12"/>
  <c r="AJ102" i="12" s="1"/>
  <c r="AJ112" i="12" s="1"/>
  <c r="AJ751" i="12"/>
  <c r="AJ105" i="12" s="1"/>
  <c r="AJ115" i="12" s="1"/>
  <c r="AF52" i="13"/>
  <c r="AF57" i="13"/>
  <c r="AJ754" i="12"/>
  <c r="AJ108" i="12" s="1"/>
  <c r="AJ118" i="12" s="1"/>
  <c r="AJ749" i="12"/>
  <c r="AJ103" i="12" s="1"/>
  <c r="AJ113" i="12" s="1"/>
  <c r="AF50" i="13"/>
  <c r="AF55" i="13"/>
  <c r="AJ750" i="12"/>
  <c r="AJ104" i="12" s="1"/>
  <c r="AJ114" i="12" s="1"/>
  <c r="AF54" i="13"/>
  <c r="AJ752" i="12"/>
  <c r="AJ106" i="12" s="1"/>
  <c r="AJ116" i="12" s="1"/>
  <c r="AJ755" i="12"/>
  <c r="AJ109" i="12" s="1"/>
  <c r="AJ119" i="12" s="1"/>
  <c r="AF56" i="13"/>
  <c r="AF53" i="13"/>
  <c r="AJ753" i="12"/>
  <c r="AJ107" i="12" s="1"/>
  <c r="AJ117" i="12" s="1"/>
  <c r="AF51" i="13"/>
  <c r="AT536" i="12"/>
  <c r="AV700" i="12"/>
  <c r="AT689" i="12"/>
  <c r="AN642" i="12"/>
  <c r="AN647" i="12" s="1"/>
  <c r="AS504" i="12"/>
  <c r="AT729" i="12"/>
  <c r="AT730" i="12" s="1"/>
  <c r="AT123" i="12" s="1"/>
  <c r="AB109" i="6" s="1"/>
  <c r="AT614" i="12"/>
  <c r="AU9" i="12"/>
  <c r="AT685" i="12"/>
  <c r="AM755" i="12"/>
  <c r="AM748" i="12"/>
  <c r="AM751" i="12"/>
  <c r="AI52" i="13"/>
  <c r="AI53" i="13"/>
  <c r="AM754" i="12"/>
  <c r="AI50" i="13"/>
  <c r="AI51" i="13"/>
  <c r="AM750" i="12"/>
  <c r="AM753" i="12"/>
  <c r="AI54" i="13"/>
  <c r="AM752" i="12"/>
  <c r="AM749" i="12"/>
  <c r="AI56" i="13"/>
  <c r="AI57" i="13"/>
  <c r="AI55" i="13"/>
  <c r="AE52" i="13"/>
  <c r="AE55" i="13"/>
  <c r="AI750" i="12"/>
  <c r="AI104" i="12" s="1"/>
  <c r="AI114" i="12" s="1"/>
  <c r="AI749" i="12"/>
  <c r="AI103" i="12" s="1"/>
  <c r="AI113" i="12" s="1"/>
  <c r="AE50" i="13"/>
  <c r="AE53" i="13"/>
  <c r="AI748" i="12"/>
  <c r="AI102" i="12" s="1"/>
  <c r="AI112" i="12" s="1"/>
  <c r="AI755" i="12"/>
  <c r="AI109" i="12" s="1"/>
  <c r="AI119" i="12" s="1"/>
  <c r="AE57" i="13"/>
  <c r="AI751" i="12"/>
  <c r="AI105" i="12" s="1"/>
  <c r="AI115" i="12" s="1"/>
  <c r="AE56" i="13"/>
  <c r="AE51" i="13"/>
  <c r="AI754" i="12"/>
  <c r="AI108" i="12" s="1"/>
  <c r="AI118" i="12" s="1"/>
  <c r="AI753" i="12"/>
  <c r="AI107" i="12" s="1"/>
  <c r="AI117" i="12" s="1"/>
  <c r="AE54" i="13"/>
  <c r="AI752" i="12"/>
  <c r="AI106" i="12" s="1"/>
  <c r="AI116" i="12" s="1"/>
  <c r="AC57" i="13"/>
  <c r="AC52" i="13"/>
  <c r="AG751" i="12"/>
  <c r="AG105" i="12" s="1"/>
  <c r="AG115" i="12" s="1"/>
  <c r="AG752" i="12"/>
  <c r="AG106" i="12" s="1"/>
  <c r="AG116" i="12" s="1"/>
  <c r="AC55" i="13"/>
  <c r="AC50" i="13"/>
  <c r="AG749" i="12"/>
  <c r="AG103" i="12" s="1"/>
  <c r="AG113" i="12" s="1"/>
  <c r="AG750" i="12"/>
  <c r="AG104" i="12" s="1"/>
  <c r="AG114" i="12" s="1"/>
  <c r="AG753" i="12"/>
  <c r="AG107" i="12" s="1"/>
  <c r="AG117" i="12" s="1"/>
  <c r="AC53" i="13"/>
  <c r="AC56" i="13"/>
  <c r="AG755" i="12"/>
  <c r="AG109" i="12" s="1"/>
  <c r="AG119" i="12" s="1"/>
  <c r="AG748" i="12"/>
  <c r="AG102" i="12" s="1"/>
  <c r="AG112" i="12" s="1"/>
  <c r="AC51" i="13"/>
  <c r="AC54" i="13"/>
  <c r="AG754" i="12"/>
  <c r="AG108" i="12" s="1"/>
  <c r="AG118" i="12" s="1"/>
  <c r="T52" i="13"/>
  <c r="T57" i="13"/>
  <c r="X752" i="12"/>
  <c r="X106" i="12" s="1"/>
  <c r="X116" i="12" s="1"/>
  <c r="X755" i="12"/>
  <c r="X109" i="12" s="1"/>
  <c r="X119" i="12" s="1"/>
  <c r="T50" i="13"/>
  <c r="T55" i="13"/>
  <c r="X750" i="12"/>
  <c r="X104" i="12" s="1"/>
  <c r="X114" i="12" s="1"/>
  <c r="X753" i="12"/>
  <c r="X107" i="12" s="1"/>
  <c r="X117" i="12" s="1"/>
  <c r="T56" i="13"/>
  <c r="T53" i="13"/>
  <c r="X748" i="12"/>
  <c r="X102" i="12" s="1"/>
  <c r="X112" i="12" s="1"/>
  <c r="X751" i="12"/>
  <c r="X105" i="12" s="1"/>
  <c r="X115" i="12" s="1"/>
  <c r="T54" i="13"/>
  <c r="T51" i="13"/>
  <c r="X754" i="12"/>
  <c r="X108" i="12" s="1"/>
  <c r="X118" i="12" s="1"/>
  <c r="X749" i="12"/>
  <c r="X103" i="12" s="1"/>
  <c r="X113" i="12" s="1"/>
  <c r="AS312" i="12"/>
  <c r="AS426" i="12"/>
  <c r="AQ364" i="12"/>
  <c r="AR634" i="12"/>
  <c r="AQ151" i="12"/>
  <c r="AQ149" i="12"/>
  <c r="AQ147" i="12"/>
  <c r="AQ145" i="12"/>
  <c r="AQ152" i="12"/>
  <c r="AQ150" i="12"/>
  <c r="AQ148" i="12"/>
  <c r="AQ146" i="12"/>
  <c r="O95" i="6"/>
  <c r="O76" i="6"/>
  <c r="AS392" i="12"/>
  <c r="AS558" i="12"/>
  <c r="AN403" i="12"/>
  <c r="AJ52" i="13"/>
  <c r="AJ57" i="13"/>
  <c r="AN754" i="12"/>
  <c r="AJ50" i="13"/>
  <c r="AJ55" i="13"/>
  <c r="AN752" i="12"/>
  <c r="AN753" i="12"/>
  <c r="AJ56" i="13"/>
  <c r="AJ53" i="13"/>
  <c r="AN750" i="12"/>
  <c r="AN751" i="12"/>
  <c r="AJ54" i="13"/>
  <c r="AJ51" i="13"/>
  <c r="AN755" i="12"/>
  <c r="AN748" i="12"/>
  <c r="AN749" i="12"/>
  <c r="AH55" i="13"/>
  <c r="AH54" i="13"/>
  <c r="AL751" i="12"/>
  <c r="AL750" i="12"/>
  <c r="AH51" i="13"/>
  <c r="AH50" i="13"/>
  <c r="AL755" i="12"/>
  <c r="AL754" i="12"/>
  <c r="AH56" i="13"/>
  <c r="AL753" i="12"/>
  <c r="AH53" i="13"/>
  <c r="AH52" i="13"/>
  <c r="AL749" i="12"/>
  <c r="AL748" i="12"/>
  <c r="AH57" i="13"/>
  <c r="AL752" i="12"/>
  <c r="AD53" i="13"/>
  <c r="AD52" i="13"/>
  <c r="AH749" i="12"/>
  <c r="AH103" i="12" s="1"/>
  <c r="AH113" i="12" s="1"/>
  <c r="AH748" i="12"/>
  <c r="AH102" i="12" s="1"/>
  <c r="AH112" i="12" s="1"/>
  <c r="AD51" i="13"/>
  <c r="AD50" i="13"/>
  <c r="AH755" i="12"/>
  <c r="AH109" i="12" s="1"/>
  <c r="AH119" i="12" s="1"/>
  <c r="AH754" i="12"/>
  <c r="AH108" i="12" s="1"/>
  <c r="AH118" i="12" s="1"/>
  <c r="AD57" i="13"/>
  <c r="AD56" i="13"/>
  <c r="AH753" i="12"/>
  <c r="AH107" i="12" s="1"/>
  <c r="AH117" i="12" s="1"/>
  <c r="AH752" i="12"/>
  <c r="AH106" i="12" s="1"/>
  <c r="AH116" i="12" s="1"/>
  <c r="AD55" i="13"/>
  <c r="AD54" i="13"/>
  <c r="AH751" i="12"/>
  <c r="AH105" i="12" s="1"/>
  <c r="AH115" i="12" s="1"/>
  <c r="AH750" i="12"/>
  <c r="AH104" i="12" s="1"/>
  <c r="AH114" i="12" s="1"/>
  <c r="AD753" i="12"/>
  <c r="AD107" i="12" s="1"/>
  <c r="AD117" i="12" s="1"/>
  <c r="AD752" i="12"/>
  <c r="AD106" i="12" s="1"/>
  <c r="AD116" i="12" s="1"/>
  <c r="Z53" i="13"/>
  <c r="Z52" i="13"/>
  <c r="AD751" i="12"/>
  <c r="AD105" i="12" s="1"/>
  <c r="AD115" i="12" s="1"/>
  <c r="AD750" i="12"/>
  <c r="AD104" i="12" s="1"/>
  <c r="AD114" i="12" s="1"/>
  <c r="Z51" i="13"/>
  <c r="Z50" i="13"/>
  <c r="AD749" i="12"/>
  <c r="AD103" i="12" s="1"/>
  <c r="AD113" i="12" s="1"/>
  <c r="AD748" i="12"/>
  <c r="AD102" i="12" s="1"/>
  <c r="AD112" i="12" s="1"/>
  <c r="Z57" i="13"/>
  <c r="Z56" i="13"/>
  <c r="AD755" i="12"/>
  <c r="AD109" i="12" s="1"/>
  <c r="AD119" i="12" s="1"/>
  <c r="AD754" i="12"/>
  <c r="AD108" i="12" s="1"/>
  <c r="AD118" i="12" s="1"/>
  <c r="Z55" i="13"/>
  <c r="Z54" i="13"/>
  <c r="Z753" i="12"/>
  <c r="Z107" i="12" s="1"/>
  <c r="Z117" i="12" s="1"/>
  <c r="Z752" i="12"/>
  <c r="Z106" i="12" s="1"/>
  <c r="Z116" i="12" s="1"/>
  <c r="V55" i="13"/>
  <c r="V54" i="13"/>
  <c r="V57" i="13"/>
  <c r="Z751" i="12"/>
  <c r="Z105" i="12" s="1"/>
  <c r="Z115" i="12" s="1"/>
  <c r="Z750" i="12"/>
  <c r="Z104" i="12" s="1"/>
  <c r="Z114" i="12" s="1"/>
  <c r="V53" i="13"/>
  <c r="V52" i="13"/>
  <c r="Z755" i="12"/>
  <c r="Z109" i="12" s="1"/>
  <c r="Z119" i="12" s="1"/>
  <c r="V56" i="13"/>
  <c r="Z749" i="12"/>
  <c r="Z103" i="12" s="1"/>
  <c r="Z113" i="12" s="1"/>
  <c r="Z748" i="12"/>
  <c r="Z102" i="12" s="1"/>
  <c r="Z112" i="12" s="1"/>
  <c r="V51" i="13"/>
  <c r="V50" i="13"/>
  <c r="Z754" i="12"/>
  <c r="Z108" i="12" s="1"/>
  <c r="Z118" i="12" s="1"/>
  <c r="AT631" i="12"/>
  <c r="AP368" i="12"/>
  <c r="AP370" i="12" s="1"/>
  <c r="AS413" i="12"/>
  <c r="AR414" i="12"/>
  <c r="AR124" i="12" s="1"/>
  <c r="Z110" i="6" s="1"/>
  <c r="AT273" i="12"/>
  <c r="Y129" i="6"/>
  <c r="Z129" i="6" s="1"/>
  <c r="AM647" i="12"/>
  <c r="AG55" i="13"/>
  <c r="AG56" i="13"/>
  <c r="AK751" i="12"/>
  <c r="AK105" i="12" s="1"/>
  <c r="AK115" i="12" s="1"/>
  <c r="AK750" i="12"/>
  <c r="AK104" i="12" s="1"/>
  <c r="AK114" i="12" s="1"/>
  <c r="AG51" i="13"/>
  <c r="AG50" i="13"/>
  <c r="AK753" i="12"/>
  <c r="AK107" i="12" s="1"/>
  <c r="AK117" i="12" s="1"/>
  <c r="AG53" i="13"/>
  <c r="AG54" i="13"/>
  <c r="AK749" i="12"/>
  <c r="AK103" i="12" s="1"/>
  <c r="AK113" i="12" s="1"/>
  <c r="AK748" i="12"/>
  <c r="AK102" i="12" s="1"/>
  <c r="AK112" i="12" s="1"/>
  <c r="AG52" i="13"/>
  <c r="AK755" i="12"/>
  <c r="AK109" i="12" s="1"/>
  <c r="AK119" i="12" s="1"/>
  <c r="AK754" i="12"/>
  <c r="AK108" i="12" s="1"/>
  <c r="AK118" i="12" s="1"/>
  <c r="AG57" i="13"/>
  <c r="AK752" i="12"/>
  <c r="AK106" i="12" s="1"/>
  <c r="AK116" i="12" s="1"/>
  <c r="AE752" i="12"/>
  <c r="AE106" i="12" s="1"/>
  <c r="AE116" i="12" s="1"/>
  <c r="AE753" i="12"/>
  <c r="AE107" i="12" s="1"/>
  <c r="AE117" i="12" s="1"/>
  <c r="AA56" i="13"/>
  <c r="AA53" i="13"/>
  <c r="AE750" i="12"/>
  <c r="AE104" i="12" s="1"/>
  <c r="AE114" i="12" s="1"/>
  <c r="AE751" i="12"/>
  <c r="AE105" i="12" s="1"/>
  <c r="AE115" i="12" s="1"/>
  <c r="AA54" i="13"/>
  <c r="AA51" i="13"/>
  <c r="AE748" i="12"/>
  <c r="AE102" i="12" s="1"/>
  <c r="AE112" i="12" s="1"/>
  <c r="AE749" i="12"/>
  <c r="AE103" i="12" s="1"/>
  <c r="AE113" i="12" s="1"/>
  <c r="AA52" i="13"/>
  <c r="AA57" i="13"/>
  <c r="AE754" i="12"/>
  <c r="AE108" i="12" s="1"/>
  <c r="AE118" i="12" s="1"/>
  <c r="AE755" i="12"/>
  <c r="AE109" i="12" s="1"/>
  <c r="AE119" i="12" s="1"/>
  <c r="AA50" i="13"/>
  <c r="AA55" i="13"/>
  <c r="Y51" i="13"/>
  <c r="Y56" i="13"/>
  <c r="AC755" i="12"/>
  <c r="AC109" i="12" s="1"/>
  <c r="AC119" i="12" s="1"/>
  <c r="AC750" i="12"/>
  <c r="AC104" i="12" s="1"/>
  <c r="AC114" i="12" s="1"/>
  <c r="Y57" i="13"/>
  <c r="Y54" i="13"/>
  <c r="AC753" i="12"/>
  <c r="AC107" i="12" s="1"/>
  <c r="AC117" i="12" s="1"/>
  <c r="AC748" i="12"/>
  <c r="AC102" i="12" s="1"/>
  <c r="AC112" i="12" s="1"/>
  <c r="Y55" i="13"/>
  <c r="Y52" i="13"/>
  <c r="AC751" i="12"/>
  <c r="AC105" i="12" s="1"/>
  <c r="AC115" i="12" s="1"/>
  <c r="AC754" i="12"/>
  <c r="AC108" i="12" s="1"/>
  <c r="AC118" i="12" s="1"/>
  <c r="Y53" i="13"/>
  <c r="Y50" i="13"/>
  <c r="AC749" i="12"/>
  <c r="AC103" i="12" s="1"/>
  <c r="AC113" i="12" s="1"/>
  <c r="AC752" i="12"/>
  <c r="AC106" i="12" s="1"/>
  <c r="AC116" i="12" s="1"/>
  <c r="W50" i="13"/>
  <c r="W57" i="13"/>
  <c r="AA750" i="12"/>
  <c r="AA104" i="12" s="1"/>
  <c r="AA114" i="12" s="1"/>
  <c r="AA753" i="12"/>
  <c r="AA107" i="12" s="1"/>
  <c r="AA117" i="12" s="1"/>
  <c r="W56" i="13"/>
  <c r="W55" i="13"/>
  <c r="AA748" i="12"/>
  <c r="AA102" i="12" s="1"/>
  <c r="AA112" i="12" s="1"/>
  <c r="AA751" i="12"/>
  <c r="AA105" i="12" s="1"/>
  <c r="AA115" i="12" s="1"/>
  <c r="W54" i="13"/>
  <c r="W53" i="13"/>
  <c r="AA754" i="12"/>
  <c r="AA108" i="12" s="1"/>
  <c r="AA118" i="12" s="1"/>
  <c r="AA749" i="12"/>
  <c r="AA103" i="12" s="1"/>
  <c r="AA113" i="12" s="1"/>
  <c r="W52" i="13"/>
  <c r="W51" i="13"/>
  <c r="AA752" i="12"/>
  <c r="AA106" i="12" s="1"/>
  <c r="AA116" i="12" s="1"/>
  <c r="AA755" i="12"/>
  <c r="AA109" i="12" s="1"/>
  <c r="AA119" i="12" s="1"/>
  <c r="Y753" i="12"/>
  <c r="Y107" i="12" s="1"/>
  <c r="Y117" i="12" s="1"/>
  <c r="Y750" i="12"/>
  <c r="Y104" i="12" s="1"/>
  <c r="Y114" i="12" s="1"/>
  <c r="U51" i="13"/>
  <c r="U50" i="13"/>
  <c r="U55" i="13"/>
  <c r="Y755" i="12"/>
  <c r="Y109" i="12" s="1"/>
  <c r="Y119" i="12" s="1"/>
  <c r="Y752" i="12"/>
  <c r="Y106" i="12" s="1"/>
  <c r="Y116" i="12" s="1"/>
  <c r="Y751" i="12"/>
  <c r="Y105" i="12" s="1"/>
  <c r="Y115" i="12" s="1"/>
  <c r="Y748" i="12"/>
  <c r="Y102" i="12" s="1"/>
  <c r="Y112" i="12" s="1"/>
  <c r="U57" i="13"/>
  <c r="U56" i="13"/>
  <c r="Y749" i="12"/>
  <c r="Y103" i="12" s="1"/>
  <c r="Y113" i="12" s="1"/>
  <c r="Y754" i="12"/>
  <c r="Y108" i="12" s="1"/>
  <c r="Y118" i="12" s="1"/>
  <c r="U54" i="13"/>
  <c r="U53" i="13"/>
  <c r="U52" i="13"/>
  <c r="AQ22" i="13"/>
  <c r="AP12" i="13"/>
  <c r="E28" i="14"/>
  <c r="T27" i="14"/>
  <c r="U27" i="14" s="1"/>
  <c r="R27" i="14"/>
  <c r="S27" i="14" s="1"/>
  <c r="G27" i="14"/>
  <c r="H27" i="14"/>
  <c r="AQ365" i="12"/>
  <c r="AS731" i="12"/>
  <c r="AA103" i="6" s="1"/>
  <c r="AT711" i="12"/>
  <c r="K25" i="14"/>
  <c r="Z25" i="14" s="1"/>
  <c r="AC25" i="14" s="1"/>
  <c r="AQ394" i="12"/>
  <c r="AS654" i="12"/>
  <c r="AT736" i="12"/>
  <c r="AS737" i="12"/>
  <c r="AS125" i="12" s="1"/>
  <c r="AA108" i="6" s="1"/>
  <c r="AP398" i="12"/>
  <c r="AP400" i="12" s="1"/>
  <c r="AM374" i="12"/>
  <c r="AM379" i="12" s="1"/>
  <c r="AR458" i="12"/>
  <c r="AR456" i="12"/>
  <c r="AR454" i="12"/>
  <c r="AR452" i="12"/>
  <c r="AR459" i="12"/>
  <c r="AR455" i="12"/>
  <c r="AR453" i="12"/>
  <c r="AS451" i="12"/>
  <c r="AR457" i="12"/>
  <c r="AU166" i="12"/>
  <c r="AS747" i="12"/>
  <c r="AQ633" i="12"/>
  <c r="AO369" i="12"/>
  <c r="AO372" i="12"/>
  <c r="AO377" i="12" s="1"/>
  <c r="AO371" i="12"/>
  <c r="AO376" i="12" s="1"/>
  <c r="AO64" i="13"/>
  <c r="AA114" i="6" s="1"/>
  <c r="AP63" i="13"/>
  <c r="AF750" i="12"/>
  <c r="AF104" i="12" s="1"/>
  <c r="AF114" i="12" s="1"/>
  <c r="AF753" i="12"/>
  <c r="AF107" i="12" s="1"/>
  <c r="AF117" i="12" s="1"/>
  <c r="AB52" i="13"/>
  <c r="AB57" i="13"/>
  <c r="AF748" i="12"/>
  <c r="AF102" i="12" s="1"/>
  <c r="AF112" i="12" s="1"/>
  <c r="AF751" i="12"/>
  <c r="AF105" i="12" s="1"/>
  <c r="AF115" i="12" s="1"/>
  <c r="AB50" i="13"/>
  <c r="AB55" i="13"/>
  <c r="AF754" i="12"/>
  <c r="AF108" i="12" s="1"/>
  <c r="AF118" i="12" s="1"/>
  <c r="AF749" i="12"/>
  <c r="AF103" i="12" s="1"/>
  <c r="AF113" i="12" s="1"/>
  <c r="AB56" i="13"/>
  <c r="AB53" i="13"/>
  <c r="AF752" i="12"/>
  <c r="AF106" i="12" s="1"/>
  <c r="AF116" i="12" s="1"/>
  <c r="AF755" i="12"/>
  <c r="AF109" i="12" s="1"/>
  <c r="AF119" i="12" s="1"/>
  <c r="AB54" i="13"/>
  <c r="AB51" i="13"/>
  <c r="AB750" i="12"/>
  <c r="AB104" i="12" s="1"/>
  <c r="AB114" i="12" s="1"/>
  <c r="AB753" i="12"/>
  <c r="AB107" i="12" s="1"/>
  <c r="AB117" i="12" s="1"/>
  <c r="X52" i="13"/>
  <c r="X57" i="13"/>
  <c r="AB748" i="12"/>
  <c r="AB102" i="12" s="1"/>
  <c r="AB112" i="12" s="1"/>
  <c r="AB751" i="12"/>
  <c r="AB105" i="12" s="1"/>
  <c r="AB115" i="12" s="1"/>
  <c r="X50" i="13"/>
  <c r="X55" i="13"/>
  <c r="AB754" i="12"/>
  <c r="AB108" i="12" s="1"/>
  <c r="AB118" i="12" s="1"/>
  <c r="AB749" i="12"/>
  <c r="AB103" i="12" s="1"/>
  <c r="AB113" i="12" s="1"/>
  <c r="X56" i="13"/>
  <c r="X53" i="13"/>
  <c r="AB752" i="12"/>
  <c r="AB106" i="12" s="1"/>
  <c r="AB116" i="12" s="1"/>
  <c r="AB755" i="12"/>
  <c r="AB109" i="12" s="1"/>
  <c r="AB119" i="12" s="1"/>
  <c r="X54" i="13"/>
  <c r="X51" i="13"/>
  <c r="S51" i="13"/>
  <c r="W749" i="12"/>
  <c r="W103" i="12" s="1"/>
  <c r="W113" i="12" s="1"/>
  <c r="W329" i="12"/>
  <c r="W325" i="12"/>
  <c r="W754" i="12"/>
  <c r="W108" i="12" s="1"/>
  <c r="W118" i="12" s="1"/>
  <c r="S50" i="13"/>
  <c r="S53" i="13"/>
  <c r="W751" i="12"/>
  <c r="W105" i="12" s="1"/>
  <c r="W115" i="12" s="1"/>
  <c r="W327" i="12"/>
  <c r="W752" i="12"/>
  <c r="W106" i="12" s="1"/>
  <c r="W116" i="12" s="1"/>
  <c r="W755" i="12"/>
  <c r="W109" i="12" s="1"/>
  <c r="W119" i="12" s="1"/>
  <c r="S56" i="13"/>
  <c r="S55" i="13"/>
  <c r="W750" i="12"/>
  <c r="W104" i="12" s="1"/>
  <c r="W114" i="12" s="1"/>
  <c r="S54" i="13"/>
  <c r="W753" i="12"/>
  <c r="W107" i="12" s="1"/>
  <c r="W117" i="12" s="1"/>
  <c r="W326" i="12"/>
  <c r="W323" i="12"/>
  <c r="W559" i="12" s="1"/>
  <c r="W748" i="12"/>
  <c r="S52" i="13"/>
  <c r="S57" i="13"/>
  <c r="W328" i="12"/>
  <c r="W330" i="12"/>
  <c r="W324" i="12"/>
  <c r="B42" i="16"/>
  <c r="C41" i="16"/>
  <c r="D41" i="16" s="1"/>
  <c r="C151" i="16" s="1"/>
  <c r="AR587" i="12"/>
  <c r="AR585" i="12"/>
  <c r="AR583" i="12"/>
  <c r="AR581" i="12"/>
  <c r="AS580" i="12"/>
  <c r="AR588" i="12"/>
  <c r="AR586" i="12"/>
  <c r="AR584" i="12"/>
  <c r="AR582" i="12"/>
  <c r="AL379" i="12"/>
  <c r="AL431" i="12" s="1"/>
  <c r="AS301" i="12"/>
  <c r="AS361" i="12"/>
  <c r="AQ634" i="12"/>
  <c r="B95" i="16"/>
  <c r="C94" i="16"/>
  <c r="AO638" i="12"/>
  <c r="X27" i="14"/>
  <c r="W27" i="14"/>
  <c r="O103" i="6" l="1"/>
  <c r="AA129" i="6"/>
  <c r="O108" i="6"/>
  <c r="L9" i="7" s="1"/>
  <c r="O109" i="6"/>
  <c r="L10" i="7" s="1"/>
  <c r="O110" i="6"/>
  <c r="O111" i="6"/>
  <c r="L13" i="7" s="1"/>
  <c r="O113" i="6"/>
  <c r="O114" i="6"/>
  <c r="L15" i="7" s="1"/>
  <c r="O83" i="6"/>
  <c r="O47" i="6"/>
  <c r="L27" i="7" s="1"/>
  <c r="AF24" i="14"/>
  <c r="AH24" i="14"/>
  <c r="AL58" i="13"/>
  <c r="C218" i="16"/>
  <c r="AS366" i="12"/>
  <c r="AS396" i="12"/>
  <c r="M28" i="14"/>
  <c r="N29" i="14" s="1"/>
  <c r="J28" i="14"/>
  <c r="AL427" i="12"/>
  <c r="AL102" i="12" s="1"/>
  <c r="AL112" i="12" s="1"/>
  <c r="AL432" i="12"/>
  <c r="AL107" i="12" s="1"/>
  <c r="AL117" i="12" s="1"/>
  <c r="AL428" i="12"/>
  <c r="AL103" i="12" s="1"/>
  <c r="AL113" i="12" s="1"/>
  <c r="AL430" i="12"/>
  <c r="AM430" i="12" s="1"/>
  <c r="AL429" i="12"/>
  <c r="AL104" i="12" s="1"/>
  <c r="AL114" i="12" s="1"/>
  <c r="AL433" i="12"/>
  <c r="AL108" i="12" s="1"/>
  <c r="AL118" i="12" s="1"/>
  <c r="AL434" i="12"/>
  <c r="AM434" i="12" s="1"/>
  <c r="AP375" i="12"/>
  <c r="AP404" i="12"/>
  <c r="AR394" i="12"/>
  <c r="AR633" i="12"/>
  <c r="AR637" i="12" s="1"/>
  <c r="AA58" i="13"/>
  <c r="M84" i="6" s="1"/>
  <c r="AK120" i="12"/>
  <c r="D94" i="16"/>
  <c r="D149" i="16" s="1"/>
  <c r="V58" i="13"/>
  <c r="H84" i="6" s="1"/>
  <c r="AF58" i="13"/>
  <c r="AF120" i="12"/>
  <c r="N107" i="6" s="1"/>
  <c r="AR749" i="12"/>
  <c r="AT747" i="12"/>
  <c r="AR754" i="12"/>
  <c r="AQ398" i="12"/>
  <c r="AQ399" i="12" s="1"/>
  <c r="T28" i="14"/>
  <c r="U28" i="14" s="1"/>
  <c r="R28" i="14"/>
  <c r="S28" i="14" s="1"/>
  <c r="E29" i="14"/>
  <c r="G28" i="14"/>
  <c r="H28" i="14"/>
  <c r="Y120" i="12"/>
  <c r="G107" i="6" s="1"/>
  <c r="AA120" i="12"/>
  <c r="I107" i="6" s="1"/>
  <c r="L14" i="7"/>
  <c r="T58" i="13"/>
  <c r="F84" i="6" s="1"/>
  <c r="AE58" i="13"/>
  <c r="AI58" i="13"/>
  <c r="AN655" i="12"/>
  <c r="AN658" i="12"/>
  <c r="AN661" i="12"/>
  <c r="AN656" i="12"/>
  <c r="AN659" i="12"/>
  <c r="AN662" i="12"/>
  <c r="AN657" i="12"/>
  <c r="AN660" i="12"/>
  <c r="AR152" i="12"/>
  <c r="AR150" i="12"/>
  <c r="AR148" i="12"/>
  <c r="AR146" i="12"/>
  <c r="AR145" i="12"/>
  <c r="AR151" i="12"/>
  <c r="AR149" i="12"/>
  <c r="AR147" i="12"/>
  <c r="AN53" i="13"/>
  <c r="AN56" i="13"/>
  <c r="AT361" i="12"/>
  <c r="B43" i="16"/>
  <c r="C42" i="16"/>
  <c r="D42" i="16" s="1"/>
  <c r="C152" i="16" s="1"/>
  <c r="AB120" i="12"/>
  <c r="J107" i="6" s="1"/>
  <c r="AQ63" i="13"/>
  <c r="AP64" i="13"/>
  <c r="AB114" i="6" s="1"/>
  <c r="AR751" i="12"/>
  <c r="AR748" i="12"/>
  <c r="AA25" i="14"/>
  <c r="K26" i="14"/>
  <c r="Z26" i="14" s="1"/>
  <c r="AC26" i="14" s="1"/>
  <c r="U58" i="13"/>
  <c r="G84" i="6" s="1"/>
  <c r="AG58" i="13"/>
  <c r="Z58" i="13"/>
  <c r="L84" i="6" s="1"/>
  <c r="AD58" i="13"/>
  <c r="AT558" i="12"/>
  <c r="AR395" i="12"/>
  <c r="AS633" i="12"/>
  <c r="AC58" i="13"/>
  <c r="AU685" i="12"/>
  <c r="AT504" i="12"/>
  <c r="AU689" i="12"/>
  <c r="AU536" i="12"/>
  <c r="AN55" i="13"/>
  <c r="AN50" i="13"/>
  <c r="AR364" i="12"/>
  <c r="AT580" i="12"/>
  <c r="AS588" i="12"/>
  <c r="AS586" i="12"/>
  <c r="AS584" i="12"/>
  <c r="AS582" i="12"/>
  <c r="AS581" i="12"/>
  <c r="AS587" i="12"/>
  <c r="AS585" i="12"/>
  <c r="AS583" i="12"/>
  <c r="AB58" i="13"/>
  <c r="N84" i="6" s="1"/>
  <c r="AQ637" i="12"/>
  <c r="AQ640" i="12" s="1"/>
  <c r="AR753" i="12"/>
  <c r="AR750" i="12"/>
  <c r="AS459" i="12"/>
  <c r="AS457" i="12"/>
  <c r="AS455" i="12"/>
  <c r="AS454" i="12"/>
  <c r="AS458" i="12"/>
  <c r="AS456" i="12"/>
  <c r="AS453" i="12"/>
  <c r="AS452" i="12"/>
  <c r="AT451" i="12"/>
  <c r="AU711" i="12"/>
  <c r="AT731" i="12"/>
  <c r="AB103" i="6" s="1"/>
  <c r="AR22" i="13"/>
  <c r="AQ12" i="13"/>
  <c r="W58" i="13"/>
  <c r="I84" i="6" s="1"/>
  <c r="AE120" i="12"/>
  <c r="M107" i="6" s="1"/>
  <c r="AM661" i="12"/>
  <c r="AM658" i="12"/>
  <c r="AM659" i="12"/>
  <c r="AM656" i="12"/>
  <c r="AM660" i="12"/>
  <c r="AM657" i="12"/>
  <c r="AM662" i="12"/>
  <c r="AM655" i="12"/>
  <c r="AU273" i="12"/>
  <c r="AS414" i="12"/>
  <c r="AS124" i="12" s="1"/>
  <c r="AA110" i="6" s="1"/>
  <c r="AT413" i="12"/>
  <c r="AP369" i="12"/>
  <c r="AP372" i="12"/>
  <c r="AP377" i="12" s="1"/>
  <c r="AU631" i="12"/>
  <c r="Z120" i="12"/>
  <c r="H107" i="6" s="1"/>
  <c r="AO403" i="12"/>
  <c r="AO407" i="12" s="1"/>
  <c r="AQ368" i="12"/>
  <c r="AQ370" i="12" s="1"/>
  <c r="AT426" i="12"/>
  <c r="X120" i="12"/>
  <c r="F107" i="6" s="1"/>
  <c r="AG120" i="12"/>
  <c r="O107" i="6" s="1"/>
  <c r="AI120" i="12"/>
  <c r="AJ120" i="12"/>
  <c r="AM431" i="12"/>
  <c r="AL106" i="12"/>
  <c r="AL116" i="12" s="1"/>
  <c r="AP639" i="12"/>
  <c r="AP643" i="12" s="1"/>
  <c r="AP640" i="12"/>
  <c r="AP644" i="12" s="1"/>
  <c r="AN57" i="13"/>
  <c r="AN52" i="13"/>
  <c r="AM58" i="13"/>
  <c r="S58" i="13"/>
  <c r="AP399" i="12"/>
  <c r="AP401" i="12"/>
  <c r="AP405" i="12" s="1"/>
  <c r="AT737" i="12"/>
  <c r="AT125" i="12" s="1"/>
  <c r="AB108" i="6" s="1"/>
  <c r="AU736" i="12"/>
  <c r="O28" i="14"/>
  <c r="P29" i="14" s="1"/>
  <c r="AC120" i="12"/>
  <c r="K107" i="6" s="1"/>
  <c r="B96" i="16"/>
  <c r="C95" i="16"/>
  <c r="D95" i="16" s="1"/>
  <c r="D150" i="16" s="1"/>
  <c r="D77" i="16"/>
  <c r="D132" i="16" s="1"/>
  <c r="D75" i="16"/>
  <c r="D130" i="16" s="1"/>
  <c r="D76" i="16"/>
  <c r="D131" i="16" s="1"/>
  <c r="D79" i="16"/>
  <c r="D134" i="16" s="1"/>
  <c r="D78" i="16"/>
  <c r="D133" i="16" s="1"/>
  <c r="D80" i="16"/>
  <c r="D135" i="16" s="1"/>
  <c r="D81" i="16"/>
  <c r="D136" i="16" s="1"/>
  <c r="D82" i="16"/>
  <c r="D137" i="16" s="1"/>
  <c r="D83" i="16"/>
  <c r="D138" i="16" s="1"/>
  <c r="D84" i="16"/>
  <c r="D139" i="16" s="1"/>
  <c r="D86" i="16"/>
  <c r="D141" i="16" s="1"/>
  <c r="D85" i="16"/>
  <c r="D140" i="16" s="1"/>
  <c r="D87" i="16"/>
  <c r="D142" i="16" s="1"/>
  <c r="D88" i="16"/>
  <c r="D143" i="16" s="1"/>
  <c r="D89" i="16"/>
  <c r="D144" i="16" s="1"/>
  <c r="D90" i="16"/>
  <c r="D145" i="16" s="1"/>
  <c r="D91" i="16"/>
  <c r="D146" i="16" s="1"/>
  <c r="D92" i="16"/>
  <c r="D147" i="16" s="1"/>
  <c r="D93" i="16"/>
  <c r="D148" i="16" s="1"/>
  <c r="AR365" i="12"/>
  <c r="AT301" i="12"/>
  <c r="X58" i="13"/>
  <c r="J84" i="6" s="1"/>
  <c r="AR755" i="12"/>
  <c r="AR752" i="12"/>
  <c r="AV166" i="12"/>
  <c r="AN374" i="12"/>
  <c r="AN379" i="12" s="1"/>
  <c r="AT654" i="12"/>
  <c r="Y58" i="13"/>
  <c r="K84" i="6" s="1"/>
  <c r="AD120" i="12"/>
  <c r="L107" i="6" s="1"/>
  <c r="AH120" i="12"/>
  <c r="AH58" i="13"/>
  <c r="AJ58" i="13"/>
  <c r="AN407" i="12"/>
  <c r="AN445" i="12" s="1"/>
  <c r="AT392" i="12"/>
  <c r="AT312" i="12"/>
  <c r="AU614" i="12"/>
  <c r="AU729" i="12"/>
  <c r="AU730" i="12" s="1"/>
  <c r="AU123" i="12" s="1"/>
  <c r="AC109" i="6" s="1"/>
  <c r="AV9" i="12"/>
  <c r="AO642" i="12"/>
  <c r="AO647" i="12" s="1"/>
  <c r="AP371" i="12"/>
  <c r="AP376" i="12" s="1"/>
  <c r="AW700" i="12"/>
  <c r="AN51" i="13"/>
  <c r="AP49" i="13"/>
  <c r="AN54" i="13"/>
  <c r="W28" i="14"/>
  <c r="X28" i="14"/>
  <c r="AB129" i="6" l="1"/>
  <c r="L16" i="7"/>
  <c r="L18" i="7" s="1"/>
  <c r="O84" i="6"/>
  <c r="L4" i="7" s="1"/>
  <c r="L3" i="7"/>
  <c r="D215" i="16"/>
  <c r="D208" i="16"/>
  <c r="D198" i="16"/>
  <c r="D210" i="16"/>
  <c r="D202" i="16"/>
  <c r="D197" i="16"/>
  <c r="D213" i="16"/>
  <c r="D209" i="16"/>
  <c r="D205" i="16"/>
  <c r="D200" i="16"/>
  <c r="D199" i="16"/>
  <c r="D211" i="16"/>
  <c r="D203" i="16"/>
  <c r="D214" i="16"/>
  <c r="D206" i="16"/>
  <c r="C219" i="16"/>
  <c r="D216" i="16"/>
  <c r="D212" i="16"/>
  <c r="D207" i="16"/>
  <c r="D204" i="16"/>
  <c r="D201" i="16"/>
  <c r="D217" i="16"/>
  <c r="AT396" i="12"/>
  <c r="AT366" i="12"/>
  <c r="AM427" i="12"/>
  <c r="AM102" i="12" s="1"/>
  <c r="AM112" i="12" s="1"/>
  <c r="AM433" i="12"/>
  <c r="AM108" i="12" s="1"/>
  <c r="AM118" i="12" s="1"/>
  <c r="AM432" i="12"/>
  <c r="AN432" i="12" s="1"/>
  <c r="J29" i="14"/>
  <c r="AM428" i="12"/>
  <c r="AM103" i="12" s="1"/>
  <c r="AM113" i="12" s="1"/>
  <c r="AL109" i="12"/>
  <c r="AL119" i="12" s="1"/>
  <c r="AQ375" i="12"/>
  <c r="AL105" i="12"/>
  <c r="AL115" i="12" s="1"/>
  <c r="AO445" i="12"/>
  <c r="AN442" i="12"/>
  <c r="AO442" i="12" s="1"/>
  <c r="AN443" i="12"/>
  <c r="AO443" i="12" s="1"/>
  <c r="AN440" i="12"/>
  <c r="AO440" i="12" s="1"/>
  <c r="AN444" i="12"/>
  <c r="AO444" i="12" s="1"/>
  <c r="AN441" i="12"/>
  <c r="AO441" i="12" s="1"/>
  <c r="AN438" i="12"/>
  <c r="AO438" i="12" s="1"/>
  <c r="AN439" i="12"/>
  <c r="AO439" i="12" s="1"/>
  <c r="AM429" i="12"/>
  <c r="AM104" i="12" s="1"/>
  <c r="AM114" i="12" s="1"/>
  <c r="AS395" i="12"/>
  <c r="AR398" i="12"/>
  <c r="AR401" i="12" s="1"/>
  <c r="AQ638" i="12"/>
  <c r="AR639" i="12"/>
  <c r="AR638" i="12"/>
  <c r="AS394" i="12"/>
  <c r="AR640" i="12"/>
  <c r="AS364" i="12"/>
  <c r="AS634" i="12"/>
  <c r="AQ644" i="12"/>
  <c r="AO656" i="12"/>
  <c r="AO661" i="12"/>
  <c r="AO662" i="12"/>
  <c r="AO659" i="12"/>
  <c r="AO660" i="12"/>
  <c r="AO657" i="12"/>
  <c r="AO658" i="12"/>
  <c r="AO655" i="12"/>
  <c r="AS753" i="12"/>
  <c r="AS748" i="12"/>
  <c r="AO55" i="13"/>
  <c r="AO52" i="13"/>
  <c r="AS751" i="12"/>
  <c r="AS754" i="12"/>
  <c r="AO53" i="13"/>
  <c r="AO50" i="13"/>
  <c r="AS749" i="12"/>
  <c r="AS752" i="12"/>
  <c r="AO51" i="13"/>
  <c r="AO56" i="13"/>
  <c r="AS755" i="12"/>
  <c r="AS750" i="12"/>
  <c r="AO57" i="13"/>
  <c r="AO54" i="13"/>
  <c r="AU392" i="12"/>
  <c r="AO374" i="12"/>
  <c r="AO379" i="12" s="1"/>
  <c r="AW166" i="12"/>
  <c r="AU301" i="12"/>
  <c r="H8" i="7"/>
  <c r="AN431" i="12"/>
  <c r="AM106" i="12"/>
  <c r="AM116" i="12" s="1"/>
  <c r="E8" i="7"/>
  <c r="AV631" i="12"/>
  <c r="AT588" i="12"/>
  <c r="AT586" i="12"/>
  <c r="AT584" i="12"/>
  <c r="AT582" i="12"/>
  <c r="AT587" i="12"/>
  <c r="AT585" i="12"/>
  <c r="AT583" i="12"/>
  <c r="AT581" i="12"/>
  <c r="AU580" i="12"/>
  <c r="AN58" i="13"/>
  <c r="Z84" i="6" s="1"/>
  <c r="AV685" i="12"/>
  <c r="P95" i="6"/>
  <c r="P76" i="6"/>
  <c r="AQ49" i="13"/>
  <c r="AP642" i="12"/>
  <c r="AP647" i="12" s="1"/>
  <c r="AU312" i="12"/>
  <c r="AN434" i="12"/>
  <c r="AM109" i="12"/>
  <c r="AM119" i="12" s="1"/>
  <c r="AU654" i="12"/>
  <c r="O29" i="14"/>
  <c r="P28" i="14"/>
  <c r="AU426" i="12"/>
  <c r="AT414" i="12"/>
  <c r="AT124" i="12" s="1"/>
  <c r="AB110" i="6" s="1"/>
  <c r="AU413" i="12"/>
  <c r="J8" i="7"/>
  <c r="AR12" i="13"/>
  <c r="AS22" i="13"/>
  <c r="AU731" i="12"/>
  <c r="AC103" i="6" s="1"/>
  <c r="AV711" i="12"/>
  <c r="AR368" i="12"/>
  <c r="AR371" i="12" s="1"/>
  <c r="AV689" i="12"/>
  <c r="D4" i="7"/>
  <c r="AS365" i="12"/>
  <c r="AU361" i="12"/>
  <c r="AQ371" i="12"/>
  <c r="AQ376" i="12" s="1"/>
  <c r="AU747" i="12"/>
  <c r="AQ639" i="12"/>
  <c r="AQ643" i="12" s="1"/>
  <c r="AV729" i="12"/>
  <c r="AV730" i="12" s="1"/>
  <c r="AV123" i="12" s="1"/>
  <c r="AD109" i="6" s="1"/>
  <c r="AV614" i="12"/>
  <c r="AW9" i="12"/>
  <c r="AU737" i="12"/>
  <c r="AU125" i="12" s="1"/>
  <c r="AC108" i="6" s="1"/>
  <c r="AV736" i="12"/>
  <c r="AV273" i="12"/>
  <c r="AU504" i="12"/>
  <c r="AU558" i="12"/>
  <c r="AA26" i="14"/>
  <c r="K27" i="14"/>
  <c r="R29" i="14"/>
  <c r="S29" i="14" s="1"/>
  <c r="E30" i="14"/>
  <c r="T29" i="14"/>
  <c r="U29" i="14" s="1"/>
  <c r="H29" i="14"/>
  <c r="G29" i="14"/>
  <c r="AX700" i="12"/>
  <c r="AS152" i="12"/>
  <c r="AS150" i="12"/>
  <c r="AS148" i="12"/>
  <c r="AS146" i="12"/>
  <c r="AS151" i="12"/>
  <c r="AS149" i="12"/>
  <c r="AS147" i="12"/>
  <c r="AS145" i="12"/>
  <c r="I8" i="7"/>
  <c r="G4" i="7"/>
  <c r="B97" i="16"/>
  <c r="C96" i="16"/>
  <c r="D96" i="16" s="1"/>
  <c r="D151" i="16" s="1"/>
  <c r="AQ369" i="12"/>
  <c r="AQ372" i="12"/>
  <c r="AQ377" i="12" s="1"/>
  <c r="AP403" i="12"/>
  <c r="AP407" i="12" s="1"/>
  <c r="N28" i="14"/>
  <c r="M30" i="14" s="1"/>
  <c r="AN430" i="12"/>
  <c r="AM105" i="12"/>
  <c r="AM115" i="12" s="1"/>
  <c r="AT459" i="12"/>
  <c r="AT457" i="12"/>
  <c r="AT455" i="12"/>
  <c r="AT453" i="12"/>
  <c r="AT458" i="12"/>
  <c r="AT452" i="12"/>
  <c r="AU451" i="12"/>
  <c r="AT454" i="12"/>
  <c r="AT456" i="12"/>
  <c r="AV536" i="12"/>
  <c r="AT633" i="12"/>
  <c r="AH25" i="14"/>
  <c r="AD25" i="14"/>
  <c r="AF25" i="14" s="1"/>
  <c r="AQ64" i="13"/>
  <c r="AC114" i="6" s="1"/>
  <c r="AR63" i="13"/>
  <c r="C43" i="16"/>
  <c r="D43" i="16" s="1"/>
  <c r="C153" i="16" s="1"/>
  <c r="B44" i="16"/>
  <c r="AQ401" i="12"/>
  <c r="AQ405" i="12" s="1"/>
  <c r="AQ400" i="12"/>
  <c r="AQ404" i="12" s="1"/>
  <c r="P103" i="6" l="1"/>
  <c r="P107" i="6"/>
  <c r="M8" i="7" s="1"/>
  <c r="AC129" i="6"/>
  <c r="P108" i="6"/>
  <c r="M9" i="7" s="1"/>
  <c r="P109" i="6"/>
  <c r="M10" i="7" s="1"/>
  <c r="P110" i="6"/>
  <c r="P111" i="6"/>
  <c r="M13" i="7" s="1"/>
  <c r="P113" i="6"/>
  <c r="M14" i="7" s="1"/>
  <c r="P114" i="6"/>
  <c r="M15" i="7" s="1"/>
  <c r="AN427" i="12"/>
  <c r="AO427" i="12" s="1"/>
  <c r="C8" i="7"/>
  <c r="G8" i="7"/>
  <c r="D8" i="7"/>
  <c r="F8" i="7"/>
  <c r="P47" i="6"/>
  <c r="M27" i="7" s="1"/>
  <c r="P84" i="6"/>
  <c r="M4" i="7" s="1"/>
  <c r="P83" i="6"/>
  <c r="E4" i="7"/>
  <c r="H4" i="7"/>
  <c r="K4" i="7"/>
  <c r="C4" i="7"/>
  <c r="F4" i="7"/>
  <c r="I4" i="7"/>
  <c r="J4" i="7"/>
  <c r="AA27" i="14"/>
  <c r="AD27" i="14" s="1"/>
  <c r="Z27" i="14"/>
  <c r="AC27" i="14" s="1"/>
  <c r="D218" i="16"/>
  <c r="AN433" i="12"/>
  <c r="AO433" i="12" s="1"/>
  <c r="C220" i="16"/>
  <c r="AU396" i="12"/>
  <c r="AU366" i="12"/>
  <c r="AU633" i="12"/>
  <c r="AM107" i="12"/>
  <c r="AM117" i="12" s="1"/>
  <c r="AM120" i="12" s="1"/>
  <c r="AN428" i="12"/>
  <c r="AN103" i="12" s="1"/>
  <c r="AN113" i="12" s="1"/>
  <c r="J30" i="14"/>
  <c r="AL120" i="12"/>
  <c r="AN429" i="12"/>
  <c r="AO429" i="12" s="1"/>
  <c r="AP445" i="12"/>
  <c r="AP439" i="12"/>
  <c r="AP444" i="12"/>
  <c r="AP438" i="12"/>
  <c r="AP440" i="12"/>
  <c r="AP443" i="12"/>
  <c r="AP441" i="12"/>
  <c r="AP442" i="12"/>
  <c r="AS398" i="12"/>
  <c r="AS400" i="12" s="1"/>
  <c r="AR400" i="12"/>
  <c r="AR404" i="12" s="1"/>
  <c r="AR399" i="12"/>
  <c r="AR643" i="12"/>
  <c r="AR644" i="12"/>
  <c r="AR405" i="12"/>
  <c r="AS637" i="12"/>
  <c r="AS368" i="12"/>
  <c r="AS369" i="12" s="1"/>
  <c r="AR370" i="12"/>
  <c r="AR375" i="12" s="1"/>
  <c r="K28" i="14"/>
  <c r="AR376" i="12"/>
  <c r="AR64" i="13"/>
  <c r="AD114" i="6" s="1"/>
  <c r="AS63" i="13"/>
  <c r="AU458" i="12"/>
  <c r="AU456" i="12"/>
  <c r="AU457" i="12"/>
  <c r="AU452" i="12"/>
  <c r="AV451" i="12"/>
  <c r="AU459" i="12"/>
  <c r="AU454" i="12"/>
  <c r="AU453" i="12"/>
  <c r="AU455" i="12"/>
  <c r="AO430" i="12"/>
  <c r="AN105" i="12"/>
  <c r="AN115" i="12" s="1"/>
  <c r="AP33" i="13"/>
  <c r="AB111" i="6" s="1"/>
  <c r="AT748" i="12"/>
  <c r="AT749" i="12"/>
  <c r="AT365" i="12"/>
  <c r="AT634" i="12"/>
  <c r="AT637" i="12" s="1"/>
  <c r="AT22" i="13"/>
  <c r="AS12" i="13"/>
  <c r="AV312" i="12"/>
  <c r="AP54" i="13"/>
  <c r="AP55" i="13"/>
  <c r="AW685" i="12"/>
  <c r="AO431" i="12"/>
  <c r="AN106" i="12"/>
  <c r="AN116" i="12" s="1"/>
  <c r="AT395" i="12"/>
  <c r="C44" i="16"/>
  <c r="D44" i="16" s="1"/>
  <c r="C154" i="16" s="1"/>
  <c r="B45" i="16"/>
  <c r="AY700" i="12"/>
  <c r="E31" i="14"/>
  <c r="T30" i="14"/>
  <c r="U30" i="14" s="1"/>
  <c r="R30" i="14"/>
  <c r="S30" i="14" s="1"/>
  <c r="H30" i="14"/>
  <c r="G30" i="14"/>
  <c r="AW273" i="12"/>
  <c r="AT750" i="12"/>
  <c r="AT751" i="12"/>
  <c r="AT364" i="12"/>
  <c r="AV731" i="12"/>
  <c r="AD103" i="6" s="1"/>
  <c r="AW711" i="12"/>
  <c r="AV654" i="12"/>
  <c r="AR49" i="13"/>
  <c r="AP56" i="13"/>
  <c r="AP57" i="13"/>
  <c r="AX166" i="12"/>
  <c r="AT394" i="12"/>
  <c r="N27" i="14"/>
  <c r="AQ403" i="12"/>
  <c r="AQ407" i="12" s="1"/>
  <c r="AH26" i="14"/>
  <c r="Z113" i="6" s="1"/>
  <c r="AD26" i="14"/>
  <c r="AF26" i="14" s="1"/>
  <c r="Z83" i="6" s="1"/>
  <c r="AV737" i="12"/>
  <c r="AV125" i="12" s="1"/>
  <c r="AD108" i="6" s="1"/>
  <c r="AW736" i="12"/>
  <c r="AT151" i="12"/>
  <c r="AT149" i="12"/>
  <c r="AT147" i="12"/>
  <c r="AT145" i="12"/>
  <c r="AT148" i="12"/>
  <c r="AT146" i="12"/>
  <c r="AT152" i="12"/>
  <c r="AT150" i="12"/>
  <c r="AT752" i="12"/>
  <c r="AT753" i="12"/>
  <c r="AV361" i="12"/>
  <c r="AW689" i="12"/>
  <c r="AU414" i="12"/>
  <c r="AU124" i="12" s="1"/>
  <c r="AC110" i="6" s="1"/>
  <c r="AV413" i="12"/>
  <c r="AV426" i="12"/>
  <c r="O30" i="14"/>
  <c r="P27" i="14"/>
  <c r="AQ642" i="12"/>
  <c r="AQ647" i="12" s="1"/>
  <c r="AP50" i="13"/>
  <c r="AP51" i="13"/>
  <c r="AW631" i="12"/>
  <c r="AP374" i="12"/>
  <c r="AV392" i="12"/>
  <c r="AW536" i="12"/>
  <c r="B98" i="16"/>
  <c r="C97" i="16"/>
  <c r="D97" i="16" s="1"/>
  <c r="D152" i="16" s="1"/>
  <c r="AV558" i="12"/>
  <c r="AV504" i="12"/>
  <c r="AO432" i="12"/>
  <c r="AN107" i="12"/>
  <c r="AN117" i="12" s="1"/>
  <c r="AW729" i="12"/>
  <c r="AW730" i="12" s="1"/>
  <c r="AW123" i="12" s="1"/>
  <c r="AE109" i="6" s="1"/>
  <c r="AW614" i="12"/>
  <c r="AX9" i="12"/>
  <c r="AV747" i="12"/>
  <c r="AT754" i="12"/>
  <c r="AT755" i="12"/>
  <c r="AR372" i="12"/>
  <c r="AR377" i="12" s="1"/>
  <c r="AR369" i="12"/>
  <c r="AO434" i="12"/>
  <c r="AN109" i="12"/>
  <c r="AN119" i="12" s="1"/>
  <c r="AP658" i="12"/>
  <c r="AP657" i="12"/>
  <c r="AP656" i="12"/>
  <c r="AP655" i="12"/>
  <c r="AP662" i="12"/>
  <c r="AP661" i="12"/>
  <c r="AP660" i="12"/>
  <c r="AP659" i="12"/>
  <c r="AP52" i="13"/>
  <c r="AP53" i="13"/>
  <c r="AU587" i="12"/>
  <c r="AU585" i="12"/>
  <c r="AU583" i="12"/>
  <c r="AU581" i="12"/>
  <c r="AV580" i="12"/>
  <c r="AU584" i="12"/>
  <c r="AU582" i="12"/>
  <c r="AU588" i="12"/>
  <c r="AU586" i="12"/>
  <c r="AV301" i="12"/>
  <c r="AO58" i="13"/>
  <c r="AA84" i="6" s="1"/>
  <c r="AN102" i="12" l="1"/>
  <c r="AN112" i="12" s="1"/>
  <c r="AD129" i="6"/>
  <c r="L8" i="7"/>
  <c r="M16" i="7"/>
  <c r="M18" i="7" s="1"/>
  <c r="K8" i="7"/>
  <c r="M3" i="7"/>
  <c r="AH27" i="14"/>
  <c r="AA113" i="6" s="1"/>
  <c r="AF27" i="14"/>
  <c r="AA83" i="6" s="1"/>
  <c r="AA28" i="14"/>
  <c r="AD28" i="14" s="1"/>
  <c r="Z28" i="14"/>
  <c r="AC28" i="14" s="1"/>
  <c r="AN108" i="12"/>
  <c r="AN118" i="12" s="1"/>
  <c r="C221" i="16"/>
  <c r="D219" i="16"/>
  <c r="AQ33" i="13"/>
  <c r="AC111" i="6" s="1"/>
  <c r="AV396" i="12"/>
  <c r="AV366" i="12"/>
  <c r="AO428" i="12"/>
  <c r="AO103" i="12" s="1"/>
  <c r="AO113" i="12" s="1"/>
  <c r="M31" i="14"/>
  <c r="M29" i="14"/>
  <c r="AN104" i="12"/>
  <c r="AN114" i="12" s="1"/>
  <c r="J31" i="14"/>
  <c r="AQ445" i="12"/>
  <c r="AQ443" i="12"/>
  <c r="AQ439" i="12"/>
  <c r="AQ440" i="12"/>
  <c r="AQ442" i="12"/>
  <c r="AQ438" i="12"/>
  <c r="AQ441" i="12"/>
  <c r="AQ444" i="12"/>
  <c r="AS399" i="12"/>
  <c r="AS401" i="12"/>
  <c r="AS405" i="12" s="1"/>
  <c r="AU634" i="12"/>
  <c r="AU637" i="12" s="1"/>
  <c r="AU638" i="12" s="1"/>
  <c r="AS404" i="12"/>
  <c r="AU394" i="12"/>
  <c r="AU364" i="12"/>
  <c r="AU365" i="12"/>
  <c r="AS371" i="12"/>
  <c r="AS376" i="12" s="1"/>
  <c r="AS372" i="12"/>
  <c r="AS377" i="12" s="1"/>
  <c r="AS370" i="12"/>
  <c r="AS375" i="12" s="1"/>
  <c r="AS640" i="12"/>
  <c r="AS644" i="12" s="1"/>
  <c r="AS638" i="12"/>
  <c r="AS639" i="12"/>
  <c r="AS643" i="12" s="1"/>
  <c r="AU395" i="12"/>
  <c r="AQ50" i="13"/>
  <c r="AQ53" i="13"/>
  <c r="AU752" i="12"/>
  <c r="AU753" i="12"/>
  <c r="AQ56" i="13"/>
  <c r="AQ51" i="13"/>
  <c r="AU750" i="12"/>
  <c r="AU751" i="12"/>
  <c r="AQ54" i="13"/>
  <c r="AQ57" i="13"/>
  <c r="AU755" i="12"/>
  <c r="AU748" i="12"/>
  <c r="AU749" i="12"/>
  <c r="AQ52" i="13"/>
  <c r="AQ55" i="13"/>
  <c r="AU754" i="12"/>
  <c r="K29" i="14"/>
  <c r="K30" i="14" s="1"/>
  <c r="AT640" i="12"/>
  <c r="AT638" i="12"/>
  <c r="AQ655" i="12"/>
  <c r="AQ658" i="12"/>
  <c r="AQ657" i="12"/>
  <c r="AQ660" i="12"/>
  <c r="AQ661" i="12"/>
  <c r="AQ656" i="12"/>
  <c r="AQ659" i="12"/>
  <c r="AQ662" i="12"/>
  <c r="Q95" i="6"/>
  <c r="Q76" i="6"/>
  <c r="AO109" i="12"/>
  <c r="AO119" i="12" s="1"/>
  <c r="AX729" i="12"/>
  <c r="AX730" i="12" s="1"/>
  <c r="AX123" i="12" s="1"/>
  <c r="AF109" i="6" s="1"/>
  <c r="AX614" i="12"/>
  <c r="AY9" i="12"/>
  <c r="AO107" i="12"/>
  <c r="AO117" i="12" s="1"/>
  <c r="B99" i="16"/>
  <c r="C98" i="16"/>
  <c r="D98" i="16" s="1"/>
  <c r="D153" i="16" s="1"/>
  <c r="AX536" i="12"/>
  <c r="AX631" i="12"/>
  <c r="AW426" i="12"/>
  <c r="AW361" i="12"/>
  <c r="AX736" i="12"/>
  <c r="AW737" i="12"/>
  <c r="AW125" i="12" s="1"/>
  <c r="AE108" i="6" s="1"/>
  <c r="N26" i="14"/>
  <c r="M32" i="14" s="1"/>
  <c r="AW654" i="12"/>
  <c r="AZ700" i="12"/>
  <c r="AW312" i="12"/>
  <c r="AU22" i="13"/>
  <c r="AT12" i="13"/>
  <c r="AV458" i="12"/>
  <c r="AV456" i="12"/>
  <c r="AV454" i="12"/>
  <c r="AV452" i="12"/>
  <c r="AV457" i="12"/>
  <c r="AW451" i="12"/>
  <c r="AV453" i="12"/>
  <c r="AV455" i="12"/>
  <c r="AV459" i="12"/>
  <c r="AW504" i="12"/>
  <c r="AW558" i="12"/>
  <c r="AW392" i="12"/>
  <c r="AR642" i="12"/>
  <c r="AW413" i="12"/>
  <c r="AV414" i="12"/>
  <c r="AV124" i="12" s="1"/>
  <c r="AD110" i="6" s="1"/>
  <c r="AX689" i="12"/>
  <c r="AT398" i="12"/>
  <c r="AT401" i="12" s="1"/>
  <c r="AT368" i="12"/>
  <c r="AT370" i="12" s="1"/>
  <c r="AO104" i="12"/>
  <c r="AO114" i="12" s="1"/>
  <c r="AO106" i="12"/>
  <c r="AO116" i="12" s="1"/>
  <c r="AT639" i="12"/>
  <c r="AS64" i="13"/>
  <c r="AE114" i="6" s="1"/>
  <c r="AT63" i="13"/>
  <c r="AW301" i="12"/>
  <c r="AW747" i="12"/>
  <c r="AQ374" i="12"/>
  <c r="AQ379" i="12" s="1"/>
  <c r="O31" i="14"/>
  <c r="P26" i="14"/>
  <c r="AO102" i="12"/>
  <c r="AO112" i="12" s="1"/>
  <c r="AS49" i="13"/>
  <c r="AU151" i="12"/>
  <c r="AU149" i="12"/>
  <c r="AU147" i="12"/>
  <c r="AU145" i="12"/>
  <c r="AU152" i="12"/>
  <c r="AU150" i="12"/>
  <c r="AU148" i="12"/>
  <c r="AU146" i="12"/>
  <c r="AV633" i="12"/>
  <c r="AO105" i="12"/>
  <c r="AO115" i="12" s="1"/>
  <c r="AV587" i="12"/>
  <c r="AV585" i="12"/>
  <c r="AV583" i="12"/>
  <c r="AV581" i="12"/>
  <c r="AW580" i="12"/>
  <c r="AV588" i="12"/>
  <c r="AV586" i="12"/>
  <c r="AV584" i="12"/>
  <c r="AV582" i="12"/>
  <c r="AP379" i="12"/>
  <c r="AP434" i="12" s="1"/>
  <c r="AP58" i="13"/>
  <c r="AB84" i="6" s="1"/>
  <c r="AR403" i="12"/>
  <c r="AO108" i="12"/>
  <c r="AO118" i="12" s="1"/>
  <c r="AY166" i="12"/>
  <c r="AX711" i="12"/>
  <c r="AW731" i="12"/>
  <c r="AE103" i="6" s="1"/>
  <c r="AX273" i="12"/>
  <c r="R31" i="14"/>
  <c r="S31" i="14" s="1"/>
  <c r="E32" i="14"/>
  <c r="T31" i="14"/>
  <c r="U31" i="14" s="1"/>
  <c r="G31" i="14"/>
  <c r="H31" i="14"/>
  <c r="B46" i="16"/>
  <c r="C45" i="16"/>
  <c r="D45" i="16" s="1"/>
  <c r="C155" i="16" s="1"/>
  <c r="AX685" i="12"/>
  <c r="W30" i="14"/>
  <c r="X31" i="14"/>
  <c r="W29" i="14"/>
  <c r="W31" i="14"/>
  <c r="X30" i="14"/>
  <c r="X29" i="14"/>
  <c r="Q103" i="6" l="1"/>
  <c r="Q107" i="6"/>
  <c r="N8" i="7" s="1"/>
  <c r="AE129" i="6"/>
  <c r="Q108" i="6"/>
  <c r="N9" i="7" s="1"/>
  <c r="Q110" i="6"/>
  <c r="Q111" i="6"/>
  <c r="N13" i="7" s="1"/>
  <c r="Q113" i="6"/>
  <c r="N14" i="7" s="1"/>
  <c r="Q109" i="6"/>
  <c r="N10" i="7" s="1"/>
  <c r="Q114" i="6"/>
  <c r="N15" i="7" s="1"/>
  <c r="Q47" i="6"/>
  <c r="N27" i="7" s="1"/>
  <c r="Q84" i="6"/>
  <c r="N4" i="7" s="1"/>
  <c r="Q83" i="6"/>
  <c r="AF28" i="14"/>
  <c r="AB83" i="6" s="1"/>
  <c r="AH28" i="14"/>
  <c r="AB113" i="6" s="1"/>
  <c r="Z30" i="14"/>
  <c r="AC30" i="14" s="1"/>
  <c r="Z29" i="14"/>
  <c r="AC29" i="14" s="1"/>
  <c r="AN120" i="12"/>
  <c r="C222" i="16"/>
  <c r="D220" i="16"/>
  <c r="AW366" i="12"/>
  <c r="AW365" i="12"/>
  <c r="AW396" i="12"/>
  <c r="AA30" i="14"/>
  <c r="J32" i="14"/>
  <c r="AP433" i="12"/>
  <c r="AP108" i="12" s="1"/>
  <c r="AP118" i="12" s="1"/>
  <c r="AP427" i="12"/>
  <c r="AP102" i="12" s="1"/>
  <c r="AP112" i="12" s="1"/>
  <c r="AP432" i="12"/>
  <c r="AQ432" i="12" s="1"/>
  <c r="AP430" i="12"/>
  <c r="AP105" i="12" s="1"/>
  <c r="AP115" i="12" s="1"/>
  <c r="AP431" i="12"/>
  <c r="AP106" i="12" s="1"/>
  <c r="AP116" i="12" s="1"/>
  <c r="AP429" i="12"/>
  <c r="AQ429" i="12" s="1"/>
  <c r="AP428" i="12"/>
  <c r="AP103" i="12" s="1"/>
  <c r="AP113" i="12" s="1"/>
  <c r="AT405" i="12"/>
  <c r="AU639" i="12"/>
  <c r="AU398" i="12"/>
  <c r="AU401" i="12" s="1"/>
  <c r="AU368" i="12"/>
  <c r="AU371" i="12" s="1"/>
  <c r="AT644" i="12"/>
  <c r="AT375" i="12"/>
  <c r="AT400" i="12"/>
  <c r="AT404" i="12" s="1"/>
  <c r="AT371" i="12"/>
  <c r="AT376" i="12" s="1"/>
  <c r="AT643" i="12"/>
  <c r="AA29" i="14"/>
  <c r="AD29" i="14" s="1"/>
  <c r="AQ58" i="13"/>
  <c r="AC84" i="6" s="1"/>
  <c r="K31" i="14"/>
  <c r="K32" i="14" s="1"/>
  <c r="AU640" i="12"/>
  <c r="AV755" i="12"/>
  <c r="AV748" i="12"/>
  <c r="AV749" i="12"/>
  <c r="AR52" i="13"/>
  <c r="AR57" i="13"/>
  <c r="AV754" i="12"/>
  <c r="AR50" i="13"/>
  <c r="AR55" i="13"/>
  <c r="AV752" i="12"/>
  <c r="AV753" i="12"/>
  <c r="AR56" i="13"/>
  <c r="AR53" i="13"/>
  <c r="AV750" i="12"/>
  <c r="AV751" i="12"/>
  <c r="AR54" i="13"/>
  <c r="AR51" i="13"/>
  <c r="AY273" i="12"/>
  <c r="AY711" i="12"/>
  <c r="AX731" i="12"/>
  <c r="AF103" i="6" s="1"/>
  <c r="AX580" i="12"/>
  <c r="AW588" i="12"/>
  <c r="AW586" i="12"/>
  <c r="AW584" i="12"/>
  <c r="AW582" i="12"/>
  <c r="AW587" i="12"/>
  <c r="AW585" i="12"/>
  <c r="AW583" i="12"/>
  <c r="AW581" i="12"/>
  <c r="AT49" i="13"/>
  <c r="AX413" i="12"/>
  <c r="AW414" i="12"/>
  <c r="AW124" i="12" s="1"/>
  <c r="AE110" i="6" s="1"/>
  <c r="AX558" i="12"/>
  <c r="AV22" i="13"/>
  <c r="AU12" i="13"/>
  <c r="AX312" i="12"/>
  <c r="BA700" i="12"/>
  <c r="AX737" i="12"/>
  <c r="AX125" i="12" s="1"/>
  <c r="AF108" i="6" s="1"/>
  <c r="AY736" i="12"/>
  <c r="AY631" i="12"/>
  <c r="AY536" i="12"/>
  <c r="E33" i="14"/>
  <c r="T32" i="14"/>
  <c r="U32" i="14" s="1"/>
  <c r="R32" i="14"/>
  <c r="S32" i="14" s="1"/>
  <c r="H32" i="14"/>
  <c r="G32" i="14"/>
  <c r="AS403" i="12"/>
  <c r="AS407" i="12" s="1"/>
  <c r="AU63" i="13"/>
  <c r="AT64" i="13"/>
  <c r="AF114" i="6" s="1"/>
  <c r="AS642" i="12"/>
  <c r="AS647" i="12" s="1"/>
  <c r="AV394" i="12"/>
  <c r="AV364" i="12"/>
  <c r="AV634" i="12"/>
  <c r="AV637" i="12" s="1"/>
  <c r="AV638" i="12" s="1"/>
  <c r="AX361" i="12"/>
  <c r="AX426" i="12"/>
  <c r="AY685" i="12"/>
  <c r="AZ166" i="12"/>
  <c r="AR407" i="12"/>
  <c r="AO120" i="12"/>
  <c r="AR374" i="12"/>
  <c r="AR379" i="12" s="1"/>
  <c r="AX747" i="12"/>
  <c r="AX301" i="12"/>
  <c r="AV152" i="12"/>
  <c r="AV150" i="12"/>
  <c r="AV148" i="12"/>
  <c r="AV146" i="12"/>
  <c r="AV151" i="12"/>
  <c r="AV149" i="12"/>
  <c r="AV147" i="12"/>
  <c r="AV145" i="12"/>
  <c r="AT399" i="12"/>
  <c r="AY689" i="12"/>
  <c r="AR647" i="12"/>
  <c r="AX392" i="12"/>
  <c r="AX504" i="12"/>
  <c r="AW459" i="12"/>
  <c r="AW457" i="12"/>
  <c r="AW455" i="12"/>
  <c r="AW453" i="12"/>
  <c r="AW452" i="12"/>
  <c r="AW456" i="12"/>
  <c r="AW454" i="12"/>
  <c r="AX451" i="12"/>
  <c r="AW458" i="12"/>
  <c r="N25" i="14"/>
  <c r="M33" i="14" s="1"/>
  <c r="AV365" i="12"/>
  <c r="B47" i="16"/>
  <c r="C46" i="16"/>
  <c r="D46" i="16" s="1"/>
  <c r="C156" i="16" s="1"/>
  <c r="P25" i="14"/>
  <c r="O32" i="14"/>
  <c r="AT369" i="12"/>
  <c r="AT372" i="12"/>
  <c r="AT377" i="12" s="1"/>
  <c r="AV395" i="12"/>
  <c r="AX654" i="12"/>
  <c r="B100" i="16"/>
  <c r="C99" i="16"/>
  <c r="D99" i="16" s="1"/>
  <c r="D154" i="16" s="1"/>
  <c r="AY614" i="12"/>
  <c r="AY729" i="12"/>
  <c r="AY730" i="12" s="1"/>
  <c r="AY123" i="12" s="1"/>
  <c r="AG109" i="6" s="1"/>
  <c r="AZ9" i="12"/>
  <c r="AQ434" i="12"/>
  <c r="AP109" i="12"/>
  <c r="AP119" i="12" s="1"/>
  <c r="X32" i="14"/>
  <c r="W32" i="14"/>
  <c r="AF129" i="6" l="1"/>
  <c r="N16" i="7"/>
  <c r="N18" i="7" s="1"/>
  <c r="N3" i="7"/>
  <c r="Z31" i="14"/>
  <c r="AC31" i="14" s="1"/>
  <c r="AF29" i="14"/>
  <c r="AC83" i="6" s="1"/>
  <c r="AH30" i="14"/>
  <c r="AD113" i="6" s="1"/>
  <c r="Z32" i="14"/>
  <c r="AC32" i="14" s="1"/>
  <c r="D221" i="16"/>
  <c r="C223" i="16"/>
  <c r="AS51" i="13"/>
  <c r="AQ431" i="12"/>
  <c r="AR431" i="12" s="1"/>
  <c r="AX366" i="12"/>
  <c r="AS33" i="13"/>
  <c r="AE111" i="6" s="1"/>
  <c r="AW633" i="12"/>
  <c r="AX396" i="12"/>
  <c r="AD30" i="14"/>
  <c r="AF30" i="14" s="1"/>
  <c r="AD83" i="6" s="1"/>
  <c r="AQ433" i="12"/>
  <c r="AR433" i="12" s="1"/>
  <c r="J33" i="14"/>
  <c r="AP104" i="12"/>
  <c r="AP114" i="12" s="1"/>
  <c r="AQ427" i="12"/>
  <c r="AQ102" i="12" s="1"/>
  <c r="AQ112" i="12" s="1"/>
  <c r="AQ428" i="12"/>
  <c r="AR428" i="12" s="1"/>
  <c r="AQ430" i="12"/>
  <c r="AR430" i="12" s="1"/>
  <c r="AP107" i="12"/>
  <c r="AP117" i="12" s="1"/>
  <c r="AR444" i="12"/>
  <c r="AS444" i="12" s="1"/>
  <c r="AR439" i="12"/>
  <c r="AS439" i="12" s="1"/>
  <c r="AR440" i="12"/>
  <c r="AS440" i="12" s="1"/>
  <c r="AR445" i="12"/>
  <c r="AS445" i="12" s="1"/>
  <c r="AR438" i="12"/>
  <c r="AS438" i="12" s="1"/>
  <c r="AR441" i="12"/>
  <c r="AS441" i="12" s="1"/>
  <c r="AR443" i="12"/>
  <c r="AS443" i="12" s="1"/>
  <c r="AR442" i="12"/>
  <c r="AS442" i="12" s="1"/>
  <c r="AU405" i="12"/>
  <c r="AU400" i="12"/>
  <c r="AU404" i="12" s="1"/>
  <c r="AU399" i="12"/>
  <c r="AU644" i="12"/>
  <c r="AU372" i="12"/>
  <c r="AU377" i="12" s="1"/>
  <c r="AU643" i="12"/>
  <c r="AU369" i="12"/>
  <c r="AU370" i="12"/>
  <c r="AU375" i="12" s="1"/>
  <c r="AU376" i="12"/>
  <c r="AH29" i="14"/>
  <c r="AC113" i="6" s="1"/>
  <c r="K33" i="14"/>
  <c r="AA31" i="14"/>
  <c r="AD31" i="14" s="1"/>
  <c r="AA32" i="14"/>
  <c r="AS660" i="12"/>
  <c r="AS655" i="12"/>
  <c r="AS658" i="12"/>
  <c r="AS661" i="12"/>
  <c r="AS656" i="12"/>
  <c r="AS659" i="12"/>
  <c r="AS662" i="12"/>
  <c r="AS657" i="12"/>
  <c r="AR434" i="12"/>
  <c r="AQ109" i="12"/>
  <c r="AQ119" i="12" s="1"/>
  <c r="AW394" i="12"/>
  <c r="AY392" i="12"/>
  <c r="AY301" i="12"/>
  <c r="AW748" i="12"/>
  <c r="AW753" i="12"/>
  <c r="AR432" i="12"/>
  <c r="AQ107" i="12"/>
  <c r="AQ117" i="12" s="1"/>
  <c r="AY426" i="12"/>
  <c r="AV398" i="12"/>
  <c r="AV401" i="12" s="1"/>
  <c r="R33" i="14"/>
  <c r="S33" i="14" s="1"/>
  <c r="E34" i="14"/>
  <c r="T33" i="14"/>
  <c r="U33" i="14" s="1"/>
  <c r="H33" i="14"/>
  <c r="G33" i="14"/>
  <c r="BB700" i="12"/>
  <c r="AV12" i="13"/>
  <c r="AW22" i="13"/>
  <c r="AS52" i="13"/>
  <c r="AS57" i="13"/>
  <c r="AV640" i="12"/>
  <c r="AR429" i="12"/>
  <c r="AQ104" i="12"/>
  <c r="AQ114" i="12" s="1"/>
  <c r="O33" i="14"/>
  <c r="P24" i="14"/>
  <c r="N24" i="14"/>
  <c r="M34" i="14" s="1"/>
  <c r="AX459" i="12"/>
  <c r="AX457" i="12"/>
  <c r="AX455" i="12"/>
  <c r="AX453" i="12"/>
  <c r="AX456" i="12"/>
  <c r="AX454" i="12"/>
  <c r="AX452" i="12"/>
  <c r="AX458" i="12"/>
  <c r="AY451" i="12"/>
  <c r="AY504" i="12"/>
  <c r="AW750" i="12"/>
  <c r="AW755" i="12"/>
  <c r="AY747" i="12"/>
  <c r="AW634" i="12"/>
  <c r="AV639" i="12"/>
  <c r="AW152" i="12"/>
  <c r="AW150" i="12"/>
  <c r="AW148" i="12"/>
  <c r="AW146" i="12"/>
  <c r="AW151" i="12"/>
  <c r="AW149" i="12"/>
  <c r="AW147" i="12"/>
  <c r="AW145" i="12"/>
  <c r="AT403" i="12"/>
  <c r="AT407" i="12" s="1"/>
  <c r="AY312" i="12"/>
  <c r="AX414" i="12"/>
  <c r="AX124" i="12" s="1"/>
  <c r="AF110" i="6" s="1"/>
  <c r="AY413" i="12"/>
  <c r="AS54" i="13"/>
  <c r="AU49" i="13"/>
  <c r="AX588" i="12"/>
  <c r="AX586" i="12"/>
  <c r="AX584" i="12"/>
  <c r="AX582" i="12"/>
  <c r="AX587" i="12"/>
  <c r="AX585" i="12"/>
  <c r="AX583" i="12"/>
  <c r="AX581" i="12"/>
  <c r="AY580" i="12"/>
  <c r="AZ729" i="12"/>
  <c r="AZ730" i="12" s="1"/>
  <c r="AZ123" i="12" s="1"/>
  <c r="AH109" i="6" s="1"/>
  <c r="AZ614" i="12"/>
  <c r="BA9" i="12"/>
  <c r="AW395" i="12"/>
  <c r="AR661" i="12"/>
  <c r="AR656" i="12"/>
  <c r="AR657" i="12"/>
  <c r="AR660" i="12"/>
  <c r="AR659" i="12"/>
  <c r="AR662" i="12"/>
  <c r="AR655" i="12"/>
  <c r="AR658" i="12"/>
  <c r="AW752" i="12"/>
  <c r="AW749" i="12"/>
  <c r="R95" i="6"/>
  <c r="R76" i="6"/>
  <c r="AW364" i="12"/>
  <c r="AY361" i="12"/>
  <c r="AV368" i="12"/>
  <c r="AV370" i="12" s="1"/>
  <c r="AT642" i="12"/>
  <c r="AU64" i="13"/>
  <c r="AG114" i="6" s="1"/>
  <c r="AV63" i="13"/>
  <c r="AY737" i="12"/>
  <c r="AY125" i="12" s="1"/>
  <c r="AG108" i="6" s="1"/>
  <c r="AZ736" i="12"/>
  <c r="AY558" i="12"/>
  <c r="AS56" i="13"/>
  <c r="AS53" i="13"/>
  <c r="AR58" i="13"/>
  <c r="AD84" i="6" s="1"/>
  <c r="B101" i="16"/>
  <c r="C100" i="16"/>
  <c r="D100" i="16" s="1"/>
  <c r="D155" i="16" s="1"/>
  <c r="AY654" i="12"/>
  <c r="AX395" i="12"/>
  <c r="C47" i="16"/>
  <c r="D47" i="16" s="1"/>
  <c r="C157" i="16" s="1"/>
  <c r="B48" i="16"/>
  <c r="AZ689" i="12"/>
  <c r="AW754" i="12"/>
  <c r="AW751" i="12"/>
  <c r="AS374" i="12"/>
  <c r="BA166" i="12"/>
  <c r="AZ685" i="12"/>
  <c r="AZ536" i="12"/>
  <c r="AZ631" i="12"/>
  <c r="AS50" i="13"/>
  <c r="AS55" i="13"/>
  <c r="AY731" i="12"/>
  <c r="AG103" i="6" s="1"/>
  <c r="AZ711" i="12"/>
  <c r="AZ273" i="12"/>
  <c r="X33" i="14"/>
  <c r="W33" i="14"/>
  <c r="R103" i="6" l="1"/>
  <c r="R107" i="6"/>
  <c r="O8" i="7" s="1"/>
  <c r="AG129" i="6"/>
  <c r="R108" i="6"/>
  <c r="R109" i="6"/>
  <c r="O10" i="7" s="1"/>
  <c r="R110" i="6"/>
  <c r="R113" i="6"/>
  <c r="O14" i="7" s="1"/>
  <c r="R114" i="6"/>
  <c r="O15" i="7" s="1"/>
  <c r="R47" i="6"/>
  <c r="O27" i="7" s="1"/>
  <c r="R83" i="6"/>
  <c r="R84" i="6"/>
  <c r="O4" i="7" s="1"/>
  <c r="AF31" i="14"/>
  <c r="AE83" i="6" s="1"/>
  <c r="AW637" i="12"/>
  <c r="AW640" i="12" s="1"/>
  <c r="Z33" i="14"/>
  <c r="AC33" i="14" s="1"/>
  <c r="AQ106" i="12"/>
  <c r="AQ116" i="12" s="1"/>
  <c r="C224" i="16"/>
  <c r="D222" i="16"/>
  <c r="AY396" i="12"/>
  <c r="AY366" i="12"/>
  <c r="AT33" i="13"/>
  <c r="AF111" i="6" s="1"/>
  <c r="AQ108" i="12"/>
  <c r="AQ118" i="12" s="1"/>
  <c r="J34" i="14"/>
  <c r="AR427" i="12"/>
  <c r="AR102" i="12" s="1"/>
  <c r="AR112" i="12" s="1"/>
  <c r="AQ103" i="12"/>
  <c r="AQ113" i="12" s="1"/>
  <c r="AP120" i="12"/>
  <c r="AV405" i="12"/>
  <c r="AQ105" i="12"/>
  <c r="AQ115" i="12" s="1"/>
  <c r="AT443" i="12"/>
  <c r="AT438" i="12"/>
  <c r="AT441" i="12"/>
  <c r="AT444" i="12"/>
  <c r="AT439" i="12"/>
  <c r="AT440" i="12"/>
  <c r="AT445" i="12"/>
  <c r="AT442" i="12"/>
  <c r="AV644" i="12"/>
  <c r="AV643" i="12"/>
  <c r="AV375" i="12"/>
  <c r="K34" i="14"/>
  <c r="AH31" i="14"/>
  <c r="AE113" i="6" s="1"/>
  <c r="AV400" i="12"/>
  <c r="AV404" i="12" s="1"/>
  <c r="AA33" i="14"/>
  <c r="AX753" i="12"/>
  <c r="AX752" i="12"/>
  <c r="AT53" i="13"/>
  <c r="AT52" i="13"/>
  <c r="AX751" i="12"/>
  <c r="AX750" i="12"/>
  <c r="AT51" i="13"/>
  <c r="AT50" i="13"/>
  <c r="AX749" i="12"/>
  <c r="AX748" i="12"/>
  <c r="AT57" i="13"/>
  <c r="AT56" i="13"/>
  <c r="AX755" i="12"/>
  <c r="AX754" i="12"/>
  <c r="AT55" i="13"/>
  <c r="AT54" i="13"/>
  <c r="BA273" i="12"/>
  <c r="AU642" i="12"/>
  <c r="AU647" i="12" s="1"/>
  <c r="AW368" i="12"/>
  <c r="AW370" i="12" s="1"/>
  <c r="BA729" i="12"/>
  <c r="BA730" i="12" s="1"/>
  <c r="BA123" i="12" s="1"/>
  <c r="AI109" i="6" s="1"/>
  <c r="BA614" i="12"/>
  <c r="BB9" i="12"/>
  <c r="AV49" i="13"/>
  <c r="AZ312" i="12"/>
  <c r="AZ747" i="12"/>
  <c r="AR104" i="12"/>
  <c r="AR114" i="12" s="1"/>
  <c r="AR103" i="12"/>
  <c r="AR113" i="12" s="1"/>
  <c r="AX633" i="12"/>
  <c r="T34" i="14"/>
  <c r="U34" i="14" s="1"/>
  <c r="R34" i="14"/>
  <c r="S34" i="14" s="1"/>
  <c r="E35" i="14"/>
  <c r="G34" i="14"/>
  <c r="H34" i="14"/>
  <c r="AZ392" i="12"/>
  <c r="AR109" i="12"/>
  <c r="AR119" i="12" s="1"/>
  <c r="AS58" i="13"/>
  <c r="AE84" i="6" s="1"/>
  <c r="BA631" i="12"/>
  <c r="BB166" i="12"/>
  <c r="AT374" i="12"/>
  <c r="AT379" i="12" s="1"/>
  <c r="AY633" i="12"/>
  <c r="AZ737" i="12"/>
  <c r="AZ125" i="12" s="1"/>
  <c r="AH108" i="6" s="1"/>
  <c r="BA736" i="12"/>
  <c r="AT647" i="12"/>
  <c r="AX365" i="12"/>
  <c r="AX634" i="12"/>
  <c r="P23" i="14"/>
  <c r="O34" i="14"/>
  <c r="AZ731" i="12"/>
  <c r="AH103" i="6" s="1"/>
  <c r="BA711" i="12"/>
  <c r="BA536" i="12"/>
  <c r="BA685" i="12"/>
  <c r="AS379" i="12"/>
  <c r="AS432" i="12" s="1"/>
  <c r="C48" i="16"/>
  <c r="D48" i="16" s="1"/>
  <c r="C158" i="16" s="1"/>
  <c r="B49" i="16"/>
  <c r="B102" i="16"/>
  <c r="C101" i="16"/>
  <c r="D101" i="16" s="1"/>
  <c r="D156" i="16" s="1"/>
  <c r="AV64" i="13"/>
  <c r="AH114" i="6" s="1"/>
  <c r="AW63" i="13"/>
  <c r="AV369" i="12"/>
  <c r="AV372" i="12"/>
  <c r="AV377" i="12" s="1"/>
  <c r="AX364" i="12"/>
  <c r="O9" i="7"/>
  <c r="AR106" i="12"/>
  <c r="AR116" i="12" s="1"/>
  <c r="AS433" i="12"/>
  <c r="AR108" i="12"/>
  <c r="AR118" i="12" s="1"/>
  <c r="AU403" i="12"/>
  <c r="AU407" i="12" s="1"/>
  <c r="AY458" i="12"/>
  <c r="AY456" i="12"/>
  <c r="AY459" i="12"/>
  <c r="AY455" i="12"/>
  <c r="AZ451" i="12"/>
  <c r="AY457" i="12"/>
  <c r="AY454" i="12"/>
  <c r="AY453" i="12"/>
  <c r="AY452" i="12"/>
  <c r="AX22" i="13"/>
  <c r="AW12" i="13"/>
  <c r="AX151" i="12"/>
  <c r="AX149" i="12"/>
  <c r="AX147" i="12"/>
  <c r="AX145" i="12"/>
  <c r="AX146" i="12"/>
  <c r="AX152" i="12"/>
  <c r="AX150" i="12"/>
  <c r="AX148" i="12"/>
  <c r="AX394" i="12"/>
  <c r="AW398" i="12"/>
  <c r="AW401" i="12" s="1"/>
  <c r="BA689" i="12"/>
  <c r="AZ654" i="12"/>
  <c r="AZ558" i="12"/>
  <c r="AZ361" i="12"/>
  <c r="AY587" i="12"/>
  <c r="AY585" i="12"/>
  <c r="AY583" i="12"/>
  <c r="AY581" i="12"/>
  <c r="AZ580" i="12"/>
  <c r="AY582" i="12"/>
  <c r="AY588" i="12"/>
  <c r="AY586" i="12"/>
  <c r="AY584" i="12"/>
  <c r="AY414" i="12"/>
  <c r="AY124" i="12" s="1"/>
  <c r="AG110" i="6" s="1"/>
  <c r="AZ413" i="12"/>
  <c r="AZ504" i="12"/>
  <c r="N23" i="14"/>
  <c r="M35" i="14" s="1"/>
  <c r="BC700" i="12"/>
  <c r="AV399" i="12"/>
  <c r="AZ426" i="12"/>
  <c r="AR107" i="12"/>
  <c r="AR117" i="12" s="1"/>
  <c r="AR105" i="12"/>
  <c r="AR115" i="12" s="1"/>
  <c r="AZ301" i="12"/>
  <c r="AV371" i="12"/>
  <c r="AV376" i="12" s="1"/>
  <c r="AH32" i="14"/>
  <c r="AF113" i="6" s="1"/>
  <c r="AD32" i="14"/>
  <c r="AF32" i="14" s="1"/>
  <c r="AF83" i="6" s="1"/>
  <c r="X34" i="14"/>
  <c r="W34" i="14"/>
  <c r="AH129" i="6" l="1"/>
  <c r="O16" i="7"/>
  <c r="O18" i="7" s="1"/>
  <c r="O3" i="7"/>
  <c r="AW639" i="12"/>
  <c r="AW643" i="12" s="1"/>
  <c r="AW638" i="12"/>
  <c r="Z34" i="14"/>
  <c r="AC34" i="14" s="1"/>
  <c r="C225" i="16"/>
  <c r="D223" i="16"/>
  <c r="AZ396" i="12"/>
  <c r="AZ366" i="12"/>
  <c r="AU33" i="13"/>
  <c r="AG111" i="6" s="1"/>
  <c r="J35" i="14"/>
  <c r="AW405" i="12"/>
  <c r="AQ120" i="12"/>
  <c r="AS434" i="12"/>
  <c r="AT434" i="12" s="1"/>
  <c r="AU441" i="12"/>
  <c r="AU440" i="12"/>
  <c r="AU439" i="12"/>
  <c r="AU438" i="12"/>
  <c r="AU445" i="12"/>
  <c r="AU442" i="12"/>
  <c r="AU443" i="12"/>
  <c r="AU444" i="12"/>
  <c r="AS431" i="12"/>
  <c r="AT431" i="12" s="1"/>
  <c r="AS428" i="12"/>
  <c r="AS103" i="12" s="1"/>
  <c r="AS113" i="12" s="1"/>
  <c r="AS427" i="12"/>
  <c r="AT427" i="12" s="1"/>
  <c r="AS429" i="12"/>
  <c r="AT429" i="12" s="1"/>
  <c r="AS430" i="12"/>
  <c r="AT430" i="12" s="1"/>
  <c r="AW644" i="12"/>
  <c r="AW375" i="12"/>
  <c r="K35" i="14"/>
  <c r="AY395" i="12"/>
  <c r="AY364" i="12"/>
  <c r="AY634" i="12"/>
  <c r="AY637" i="12" s="1"/>
  <c r="AY639" i="12" s="1"/>
  <c r="AY365" i="12"/>
  <c r="AY394" i="12"/>
  <c r="AA34" i="14"/>
  <c r="AU56" i="13"/>
  <c r="AU51" i="13"/>
  <c r="AY752" i="12"/>
  <c r="AY751" i="12"/>
  <c r="AU54" i="13"/>
  <c r="AU57" i="13"/>
  <c r="AY750" i="12"/>
  <c r="AY749" i="12"/>
  <c r="AU52" i="13"/>
  <c r="AU55" i="13"/>
  <c r="AY755" i="12"/>
  <c r="AY748" i="12"/>
  <c r="AY753" i="12"/>
  <c r="AU50" i="13"/>
  <c r="AU53" i="13"/>
  <c r="AY754" i="12"/>
  <c r="BA426" i="12"/>
  <c r="BA504" i="12"/>
  <c r="BB689" i="12"/>
  <c r="AX398" i="12"/>
  <c r="AX399" i="12" s="1"/>
  <c r="AZ458" i="12"/>
  <c r="AZ456" i="12"/>
  <c r="AZ454" i="12"/>
  <c r="AZ452" i="12"/>
  <c r="AZ459" i="12"/>
  <c r="AZ455" i="12"/>
  <c r="BA451" i="12"/>
  <c r="AZ457" i="12"/>
  <c r="AZ453" i="12"/>
  <c r="AW400" i="12"/>
  <c r="AW404" i="12" s="1"/>
  <c r="B103" i="16"/>
  <c r="C102" i="16"/>
  <c r="D102" i="16" s="1"/>
  <c r="D157" i="16" s="1"/>
  <c r="AZ633" i="12"/>
  <c r="BC166" i="12"/>
  <c r="BB631" i="12"/>
  <c r="BA747" i="12"/>
  <c r="BB273" i="12"/>
  <c r="BA301" i="12"/>
  <c r="BD700" i="12"/>
  <c r="BA413" i="12"/>
  <c r="AZ414" i="12"/>
  <c r="AZ124" i="12" s="1"/>
  <c r="AH110" i="6" s="1"/>
  <c r="AY22" i="13"/>
  <c r="AX12" i="13"/>
  <c r="AW64" i="13"/>
  <c r="AI114" i="6" s="1"/>
  <c r="AX63" i="13"/>
  <c r="BB536" i="12"/>
  <c r="AR120" i="12"/>
  <c r="Z107" i="6" s="1"/>
  <c r="BA392" i="12"/>
  <c r="AX637" i="12"/>
  <c r="AX640" i="12" s="1"/>
  <c r="BA312" i="12"/>
  <c r="BB729" i="12"/>
  <c r="BB730" i="12" s="1"/>
  <c r="BB123" i="12" s="1"/>
  <c r="AJ109" i="6" s="1"/>
  <c r="W10" i="7" s="1"/>
  <c r="BB614" i="12"/>
  <c r="BC9" i="12"/>
  <c r="AW369" i="12"/>
  <c r="AW372" i="12"/>
  <c r="AW377" i="12" s="1"/>
  <c r="AW371" i="12"/>
  <c r="AW376" i="12" s="1"/>
  <c r="AT432" i="12"/>
  <c r="AS107" i="12"/>
  <c r="AS117" i="12" s="1"/>
  <c r="AW399" i="12"/>
  <c r="AT433" i="12"/>
  <c r="AS108" i="12"/>
  <c r="AS118" i="12" s="1"/>
  <c r="S95" i="6"/>
  <c r="S76" i="6"/>
  <c r="AX368" i="12"/>
  <c r="AX371" i="12" s="1"/>
  <c r="B50" i="16"/>
  <c r="C49" i="16"/>
  <c r="D49" i="16" s="1"/>
  <c r="C159" i="16" s="1"/>
  <c r="O35" i="14"/>
  <c r="P22" i="14"/>
  <c r="AT658" i="12"/>
  <c r="AT657" i="12"/>
  <c r="AT656" i="12"/>
  <c r="AT655" i="12"/>
  <c r="AT662" i="12"/>
  <c r="AT661" i="12"/>
  <c r="AT660" i="12"/>
  <c r="AT659" i="12"/>
  <c r="E36" i="14"/>
  <c r="T35" i="14"/>
  <c r="U35" i="14" s="1"/>
  <c r="R35" i="14"/>
  <c r="S35" i="14" s="1"/>
  <c r="G35" i="14"/>
  <c r="H35" i="14"/>
  <c r="AW49" i="13"/>
  <c r="AU659" i="12"/>
  <c r="AU660" i="12"/>
  <c r="AU657" i="12"/>
  <c r="AU658" i="12"/>
  <c r="AU655" i="12"/>
  <c r="AU656" i="12"/>
  <c r="AU661" i="12"/>
  <c r="AU662" i="12"/>
  <c r="N22" i="14"/>
  <c r="M36" i="14" s="1"/>
  <c r="AZ587" i="12"/>
  <c r="AZ585" i="12"/>
  <c r="AZ583" i="12"/>
  <c r="AZ581" i="12"/>
  <c r="BA580" i="12"/>
  <c r="AZ588" i="12"/>
  <c r="AZ586" i="12"/>
  <c r="AZ584" i="12"/>
  <c r="AZ582" i="12"/>
  <c r="BA361" i="12"/>
  <c r="BA558" i="12"/>
  <c r="BA654" i="12"/>
  <c r="AV403" i="12"/>
  <c r="BB685" i="12"/>
  <c r="BA731" i="12"/>
  <c r="AI103" i="6" s="1"/>
  <c r="BB711" i="12"/>
  <c r="AY151" i="12"/>
  <c r="AY149" i="12"/>
  <c r="AY147" i="12"/>
  <c r="AY145" i="12"/>
  <c r="AY152" i="12"/>
  <c r="AY150" i="12"/>
  <c r="AY148" i="12"/>
  <c r="AY146" i="12"/>
  <c r="BA737" i="12"/>
  <c r="BA125" i="12" s="1"/>
  <c r="AI108" i="6" s="1"/>
  <c r="BB736" i="12"/>
  <c r="AU374" i="12"/>
  <c r="AU379" i="12" s="1"/>
  <c r="AV642" i="12"/>
  <c r="AT58" i="13"/>
  <c r="AF84" i="6" s="1"/>
  <c r="AD33" i="14"/>
  <c r="AF33" i="14" s="1"/>
  <c r="AG83" i="6" s="1"/>
  <c r="AH33" i="14"/>
  <c r="AG113" i="6" s="1"/>
  <c r="X35" i="14"/>
  <c r="W35" i="14"/>
  <c r="S103" i="6" l="1"/>
  <c r="S107" i="6"/>
  <c r="P8" i="7" s="1"/>
  <c r="AI129" i="6"/>
  <c r="AJ129" i="6" s="1"/>
  <c r="S108" i="6"/>
  <c r="P9" i="7" s="1"/>
  <c r="S109" i="6"/>
  <c r="P10" i="7" s="1"/>
  <c r="S110" i="6"/>
  <c r="S113" i="6"/>
  <c r="P14" i="7" s="1"/>
  <c r="S114" i="6"/>
  <c r="P15" i="7" s="1"/>
  <c r="S47" i="6"/>
  <c r="S83" i="6"/>
  <c r="S84" i="6"/>
  <c r="P4" i="7" s="1"/>
  <c r="Z35" i="14"/>
  <c r="AC35" i="14" s="1"/>
  <c r="D224" i="16"/>
  <c r="C226" i="16"/>
  <c r="AV33" i="13"/>
  <c r="AH111" i="6" s="1"/>
  <c r="BA396" i="12"/>
  <c r="BA366" i="12"/>
  <c r="J36" i="14"/>
  <c r="AT428" i="12"/>
  <c r="AT103" i="12" s="1"/>
  <c r="AT113" i="12" s="1"/>
  <c r="AS105" i="12"/>
  <c r="AS115" i="12" s="1"/>
  <c r="AS106" i="12"/>
  <c r="AS116" i="12" s="1"/>
  <c r="AS104" i="12"/>
  <c r="AS114" i="12" s="1"/>
  <c r="AS102" i="12"/>
  <c r="AS112" i="12" s="1"/>
  <c r="AS109" i="12"/>
  <c r="AS119" i="12" s="1"/>
  <c r="P27" i="7"/>
  <c r="AX644" i="12"/>
  <c r="AY398" i="12"/>
  <c r="AY399" i="12" s="1"/>
  <c r="AY368" i="12"/>
  <c r="AY370" i="12" s="1"/>
  <c r="AZ634" i="12"/>
  <c r="AZ637" i="12" s="1"/>
  <c r="AZ640" i="12" s="1"/>
  <c r="K36" i="14"/>
  <c r="AZ365" i="12"/>
  <c r="AZ395" i="12"/>
  <c r="AZ364" i="12"/>
  <c r="AZ394" i="12"/>
  <c r="AU58" i="13"/>
  <c r="AG84" i="6" s="1"/>
  <c r="AZ754" i="12"/>
  <c r="AV50" i="13"/>
  <c r="AV53" i="13"/>
  <c r="AV56" i="13"/>
  <c r="AV51" i="13"/>
  <c r="AV54" i="13"/>
  <c r="AV57" i="13"/>
  <c r="AV52" i="13"/>
  <c r="AV55" i="13"/>
  <c r="AX638" i="12"/>
  <c r="AX376" i="12"/>
  <c r="AA35" i="14"/>
  <c r="AW642" i="12"/>
  <c r="AW647" i="12" s="1"/>
  <c r="P21" i="14"/>
  <c r="O36" i="14"/>
  <c r="B51" i="16"/>
  <c r="C50" i="16"/>
  <c r="D50" i="16" s="1"/>
  <c r="C160" i="16" s="1"/>
  <c r="AU432" i="12"/>
  <c r="AT107" i="12"/>
  <c r="AT117" i="12" s="1"/>
  <c r="BB312" i="12"/>
  <c r="AZ753" i="12"/>
  <c r="AZ750" i="12"/>
  <c r="AU434" i="12"/>
  <c r="AT109" i="12"/>
  <c r="AT119" i="12" s="1"/>
  <c r="BC631" i="12"/>
  <c r="AV647" i="12"/>
  <c r="BC711" i="12"/>
  <c r="BB731" i="12"/>
  <c r="AJ103" i="6" s="1"/>
  <c r="AU427" i="12"/>
  <c r="AT102" i="12"/>
  <c r="AT112" i="12" s="1"/>
  <c r="AW33" i="13"/>
  <c r="AI111" i="6" s="1"/>
  <c r="AX369" i="12"/>
  <c r="AX372" i="12"/>
  <c r="AX377" i="12" s="1"/>
  <c r="AU433" i="12"/>
  <c r="AT108" i="12"/>
  <c r="AT118" i="12" s="1"/>
  <c r="BC729" i="12"/>
  <c r="BC730" i="12" s="1"/>
  <c r="BC123" i="12" s="1"/>
  <c r="AK109" i="6" s="1"/>
  <c r="X10" i="7" s="1"/>
  <c r="BC614" i="12"/>
  <c r="BD9" i="12"/>
  <c r="AY638" i="12"/>
  <c r="AY640" i="12"/>
  <c r="AZ755" i="12"/>
  <c r="AZ752" i="12"/>
  <c r="BD166" i="12"/>
  <c r="BC689" i="12"/>
  <c r="BB504" i="12"/>
  <c r="AV374" i="12"/>
  <c r="AV379" i="12" s="1"/>
  <c r="AW403" i="12"/>
  <c r="AW407" i="12" s="1"/>
  <c r="BB654" i="12"/>
  <c r="BB558" i="12"/>
  <c r="BB361" i="12"/>
  <c r="BB580" i="12"/>
  <c r="BA588" i="12"/>
  <c r="BA586" i="12"/>
  <c r="BA584" i="12"/>
  <c r="BA582" i="12"/>
  <c r="BA585" i="12"/>
  <c r="BA583" i="12"/>
  <c r="BA581" i="12"/>
  <c r="BA587" i="12"/>
  <c r="AU430" i="12"/>
  <c r="AT105" i="12"/>
  <c r="AT115" i="12" s="1"/>
  <c r="AX49" i="13"/>
  <c r="AZ152" i="12"/>
  <c r="AZ150" i="12"/>
  <c r="AZ148" i="12"/>
  <c r="AZ146" i="12"/>
  <c r="AZ149" i="12"/>
  <c r="AZ147" i="12"/>
  <c r="AZ145" i="12"/>
  <c r="AZ151" i="12"/>
  <c r="AX370" i="12"/>
  <c r="AX375" i="12" s="1"/>
  <c r="AU431" i="12"/>
  <c r="AT106" i="12"/>
  <c r="AT116" i="12" s="1"/>
  <c r="BB392" i="12"/>
  <c r="BC536" i="12"/>
  <c r="AZ749" i="12"/>
  <c r="BB747" i="12"/>
  <c r="BA633" i="12"/>
  <c r="B104" i="16"/>
  <c r="C103" i="16"/>
  <c r="D103" i="16" s="1"/>
  <c r="D158" i="16" s="1"/>
  <c r="BA459" i="12"/>
  <c r="BA457" i="12"/>
  <c r="BA455" i="12"/>
  <c r="BA458" i="12"/>
  <c r="BA453" i="12"/>
  <c r="BA452" i="12"/>
  <c r="BA456" i="12"/>
  <c r="BB451" i="12"/>
  <c r="BA454" i="12"/>
  <c r="AU429" i="12"/>
  <c r="AT104" i="12"/>
  <c r="AT114" i="12" s="1"/>
  <c r="BB737" i="12"/>
  <c r="BB125" i="12" s="1"/>
  <c r="AJ108" i="6" s="1"/>
  <c r="W9" i="7" s="1"/>
  <c r="BC736" i="12"/>
  <c r="BC685" i="12"/>
  <c r="AV407" i="12"/>
  <c r="N21" i="14"/>
  <c r="M37" i="14" s="1"/>
  <c r="R36" i="14"/>
  <c r="S36" i="14" s="1"/>
  <c r="T36" i="14"/>
  <c r="U36" i="14" s="1"/>
  <c r="E37" i="14"/>
  <c r="G36" i="14"/>
  <c r="H36" i="14"/>
  <c r="AY63" i="13"/>
  <c r="AX64" i="13"/>
  <c r="AJ114" i="6" s="1"/>
  <c r="W15" i="7" s="1"/>
  <c r="AZ22" i="13"/>
  <c r="AY12" i="13"/>
  <c r="BA414" i="12"/>
  <c r="BA124" i="12" s="1"/>
  <c r="AI110" i="6" s="1"/>
  <c r="BB413" i="12"/>
  <c r="BE700" i="12"/>
  <c r="BB301" i="12"/>
  <c r="BC273" i="12"/>
  <c r="AZ751" i="12"/>
  <c r="AZ748" i="12"/>
  <c r="AX639" i="12"/>
  <c r="AX643" i="12" s="1"/>
  <c r="AY643" i="12" s="1"/>
  <c r="AX401" i="12"/>
  <c r="AX405" i="12" s="1"/>
  <c r="AX400" i="12"/>
  <c r="AX404" i="12" s="1"/>
  <c r="BB426" i="12"/>
  <c r="AH34" i="14"/>
  <c r="AH113" i="6" s="1"/>
  <c r="AD34" i="14"/>
  <c r="AF34" i="14" s="1"/>
  <c r="AH83" i="6" s="1"/>
  <c r="W36" i="14"/>
  <c r="X36" i="14"/>
  <c r="W16" i="7" l="1"/>
  <c r="W18" i="7" s="1"/>
  <c r="AK129" i="6"/>
  <c r="P16" i="7"/>
  <c r="P18" i="7" s="1"/>
  <c r="P3" i="7"/>
  <c r="Z36" i="14"/>
  <c r="AC36" i="14" s="1"/>
  <c r="D225" i="16"/>
  <c r="C227" i="16"/>
  <c r="BB366" i="12"/>
  <c r="BB396" i="12"/>
  <c r="AU428" i="12"/>
  <c r="AU103" i="12" s="1"/>
  <c r="AU113" i="12" s="1"/>
  <c r="J37" i="14"/>
  <c r="AS120" i="12"/>
  <c r="AA107" i="6" s="1"/>
  <c r="AV440" i="12"/>
  <c r="AW440" i="12" s="1"/>
  <c r="AX440" i="12" s="1"/>
  <c r="AY440" i="12" s="1"/>
  <c r="AZ440" i="12" s="1"/>
  <c r="BA440" i="12" s="1"/>
  <c r="BB440" i="12" s="1"/>
  <c r="AV443" i="12"/>
  <c r="AW443" i="12" s="1"/>
  <c r="AX443" i="12" s="1"/>
  <c r="AY443" i="12" s="1"/>
  <c r="AZ443" i="12" s="1"/>
  <c r="BA443" i="12" s="1"/>
  <c r="BB443" i="12" s="1"/>
  <c r="AV438" i="12"/>
  <c r="AW438" i="12" s="1"/>
  <c r="AX438" i="12" s="1"/>
  <c r="AY438" i="12" s="1"/>
  <c r="AZ438" i="12" s="1"/>
  <c r="BA438" i="12" s="1"/>
  <c r="BB438" i="12" s="1"/>
  <c r="AV439" i="12"/>
  <c r="AW439" i="12" s="1"/>
  <c r="AX439" i="12" s="1"/>
  <c r="AY439" i="12" s="1"/>
  <c r="AZ439" i="12" s="1"/>
  <c r="BA439" i="12" s="1"/>
  <c r="BB439" i="12" s="1"/>
  <c r="AV444" i="12"/>
  <c r="AW444" i="12" s="1"/>
  <c r="AX444" i="12" s="1"/>
  <c r="AY444" i="12" s="1"/>
  <c r="AZ444" i="12" s="1"/>
  <c r="BA444" i="12" s="1"/>
  <c r="BB444" i="12" s="1"/>
  <c r="AV445" i="12"/>
  <c r="AW445" i="12" s="1"/>
  <c r="AX445" i="12" s="1"/>
  <c r="AY445" i="12" s="1"/>
  <c r="AZ445" i="12" s="1"/>
  <c r="BA445" i="12" s="1"/>
  <c r="BB445" i="12" s="1"/>
  <c r="AV442" i="12"/>
  <c r="AW442" i="12" s="1"/>
  <c r="AX442" i="12" s="1"/>
  <c r="AY442" i="12" s="1"/>
  <c r="AZ442" i="12" s="1"/>
  <c r="BA442" i="12" s="1"/>
  <c r="BB442" i="12" s="1"/>
  <c r="AV441" i="12"/>
  <c r="AW441" i="12" s="1"/>
  <c r="AX441" i="12" s="1"/>
  <c r="AY441" i="12" s="1"/>
  <c r="AZ441" i="12" s="1"/>
  <c r="BA441" i="12" s="1"/>
  <c r="BB441" i="12" s="1"/>
  <c r="AY644" i="12"/>
  <c r="AZ644" i="12" s="1"/>
  <c r="AY401" i="12"/>
  <c r="AY405" i="12" s="1"/>
  <c r="AY371" i="12"/>
  <c r="AY376" i="12" s="1"/>
  <c r="AY369" i="12"/>
  <c r="AY400" i="12"/>
  <c r="AY404" i="12" s="1"/>
  <c r="AY372" i="12"/>
  <c r="AY377" i="12" s="1"/>
  <c r="AZ368" i="12"/>
  <c r="AZ370" i="12" s="1"/>
  <c r="K37" i="14"/>
  <c r="AZ398" i="12"/>
  <c r="AZ400" i="12" s="1"/>
  <c r="AY375" i="12"/>
  <c r="AZ638" i="12"/>
  <c r="AZ639" i="12"/>
  <c r="AZ643" i="12" s="1"/>
  <c r="AV58" i="13"/>
  <c r="AH84" i="6" s="1"/>
  <c r="AA36" i="14"/>
  <c r="AW656" i="12"/>
  <c r="AW657" i="12"/>
  <c r="AW662" i="12"/>
  <c r="AW655" i="12"/>
  <c r="AW660" i="12"/>
  <c r="AW661" i="12"/>
  <c r="AW658" i="12"/>
  <c r="AW659" i="12"/>
  <c r="AW53" i="13"/>
  <c r="AW54" i="13"/>
  <c r="BA754" i="12"/>
  <c r="AW51" i="13"/>
  <c r="AW52" i="13"/>
  <c r="BA753" i="12"/>
  <c r="BA752" i="12"/>
  <c r="AW57" i="13"/>
  <c r="AW50" i="13"/>
  <c r="BA751" i="12"/>
  <c r="BA750" i="12"/>
  <c r="AW55" i="13"/>
  <c r="AW56" i="13"/>
  <c r="BA755" i="12"/>
  <c r="BA749" i="12"/>
  <c r="BA748" i="12"/>
  <c r="T95" i="6"/>
  <c r="T76" i="6"/>
  <c r="AV429" i="12"/>
  <c r="AU104" i="12"/>
  <c r="AU114" i="12" s="1"/>
  <c r="B105" i="16"/>
  <c r="C104" i="16"/>
  <c r="D104" i="16" s="1"/>
  <c r="D159" i="16" s="1"/>
  <c r="BD536" i="12"/>
  <c r="BC361" i="12"/>
  <c r="BA634" i="12"/>
  <c r="BC558" i="12"/>
  <c r="BC504" i="12"/>
  <c r="AT120" i="12"/>
  <c r="AB107" i="6" s="1"/>
  <c r="BC312" i="12"/>
  <c r="C51" i="16"/>
  <c r="D51" i="16" s="1"/>
  <c r="C161" i="16" s="1"/>
  <c r="B52" i="16"/>
  <c r="BB414" i="12"/>
  <c r="BB124" i="12" s="1"/>
  <c r="AJ110" i="6" s="1"/>
  <c r="BC413" i="12"/>
  <c r="AZ12" i="13"/>
  <c r="BA22" i="13"/>
  <c r="AY64" i="13"/>
  <c r="AK114" i="6" s="1"/>
  <c r="X15" i="7" s="1"/>
  <c r="AZ63" i="13"/>
  <c r="BC737" i="12"/>
  <c r="BC125" i="12" s="1"/>
  <c r="AK108" i="6" s="1"/>
  <c r="X9" i="7" s="1"/>
  <c r="BD736" i="12"/>
  <c r="BB364" i="12"/>
  <c r="BA394" i="12"/>
  <c r="BC392" i="12"/>
  <c r="AV430" i="12"/>
  <c r="AU105" i="12"/>
  <c r="AU115" i="12" s="1"/>
  <c r="BA365" i="12"/>
  <c r="BD729" i="12"/>
  <c r="BD730" i="12" s="1"/>
  <c r="BD123" i="12" s="1"/>
  <c r="AL109" i="6" s="1"/>
  <c r="Y10" i="7" s="1"/>
  <c r="BD614" i="12"/>
  <c r="BE9" i="12"/>
  <c r="AV433" i="12"/>
  <c r="AU108" i="12"/>
  <c r="AU118" i="12" s="1"/>
  <c r="AV427" i="12"/>
  <c r="AU102" i="12"/>
  <c r="AU112" i="12" s="1"/>
  <c r="BD631" i="12"/>
  <c r="AV434" i="12"/>
  <c r="AU109" i="12"/>
  <c r="AU119" i="12" s="1"/>
  <c r="AX642" i="12"/>
  <c r="BC426" i="12"/>
  <c r="BD273" i="12"/>
  <c r="BC301" i="12"/>
  <c r="BD685" i="12"/>
  <c r="BB459" i="12"/>
  <c r="BB457" i="12"/>
  <c r="BB455" i="12"/>
  <c r="BB453" i="12"/>
  <c r="BB458" i="12"/>
  <c r="BB452" i="12"/>
  <c r="BB454" i="12"/>
  <c r="BB456" i="12"/>
  <c r="BC451" i="12"/>
  <c r="AY49" i="13"/>
  <c r="BC654" i="12"/>
  <c r="BD689" i="12"/>
  <c r="BE166" i="12"/>
  <c r="AV661" i="12"/>
  <c r="AV656" i="12"/>
  <c r="AV659" i="12"/>
  <c r="AV662" i="12"/>
  <c r="AV657" i="12"/>
  <c r="AV660" i="12"/>
  <c r="AV655" i="12"/>
  <c r="AV658" i="12"/>
  <c r="AV432" i="12"/>
  <c r="AU107" i="12"/>
  <c r="AU117" i="12" s="1"/>
  <c r="BF700" i="12"/>
  <c r="E38" i="14"/>
  <c r="T37" i="14"/>
  <c r="U37" i="14" s="1"/>
  <c r="R37" i="14"/>
  <c r="S37" i="14" s="1"/>
  <c r="G37" i="14"/>
  <c r="H37" i="14"/>
  <c r="N20" i="14"/>
  <c r="M38" i="14" s="1"/>
  <c r="BC747" i="12"/>
  <c r="BA395" i="12"/>
  <c r="AV431" i="12"/>
  <c r="AU106" i="12"/>
  <c r="AU116" i="12" s="1"/>
  <c r="BB588" i="12"/>
  <c r="BB586" i="12"/>
  <c r="BB584" i="12"/>
  <c r="BB582" i="12"/>
  <c r="BB587" i="12"/>
  <c r="BB585" i="12"/>
  <c r="BB583" i="12"/>
  <c r="BB581" i="12"/>
  <c r="BC580" i="12"/>
  <c r="BA364" i="12"/>
  <c r="AX403" i="12"/>
  <c r="AX407" i="12" s="1"/>
  <c r="AW374" i="12"/>
  <c r="BA152" i="12"/>
  <c r="BA150" i="12"/>
  <c r="BA148" i="12"/>
  <c r="BA146" i="12"/>
  <c r="BA151" i="12"/>
  <c r="BA149" i="12"/>
  <c r="BA147" i="12"/>
  <c r="BA145" i="12"/>
  <c r="BC731" i="12"/>
  <c r="AK103" i="6" s="1"/>
  <c r="BD711" i="12"/>
  <c r="O37" i="14"/>
  <c r="P20" i="14"/>
  <c r="AH35" i="14"/>
  <c r="AI113" i="6" s="1"/>
  <c r="AD35" i="14"/>
  <c r="AF35" i="14" s="1"/>
  <c r="AI83" i="6" s="1"/>
  <c r="X37" i="14"/>
  <c r="W37" i="14"/>
  <c r="T103" i="6" l="1"/>
  <c r="T107" i="6"/>
  <c r="Q8" i="7" s="1"/>
  <c r="X16" i="7"/>
  <c r="X18" i="7" s="1"/>
  <c r="AL129" i="6"/>
  <c r="T108" i="6"/>
  <c r="Q9" i="7" s="1"/>
  <c r="T109" i="6"/>
  <c r="Q10" i="7" s="1"/>
  <c r="T110" i="6"/>
  <c r="T111" i="6"/>
  <c r="Q13" i="7" s="1"/>
  <c r="T113" i="6"/>
  <c r="Q14" i="7" s="1"/>
  <c r="T114" i="6"/>
  <c r="Q15" i="7" s="1"/>
  <c r="T47" i="6"/>
  <c r="Q27" i="7" s="1"/>
  <c r="T84" i="6"/>
  <c r="Q4" i="7" s="1"/>
  <c r="T83" i="6"/>
  <c r="Z37" i="14"/>
  <c r="AC37" i="14" s="1"/>
  <c r="AV428" i="12"/>
  <c r="AW428" i="12" s="1"/>
  <c r="D226" i="16"/>
  <c r="C228" i="16"/>
  <c r="BC366" i="12"/>
  <c r="BC396" i="12"/>
  <c r="BC633" i="12"/>
  <c r="J38" i="14"/>
  <c r="AZ404" i="12"/>
  <c r="AZ372" i="12"/>
  <c r="AZ377" i="12" s="1"/>
  <c r="AZ371" i="12"/>
  <c r="AZ376" i="12" s="1"/>
  <c r="AZ369" i="12"/>
  <c r="AZ399" i="12"/>
  <c r="AZ401" i="12"/>
  <c r="AZ405" i="12" s="1"/>
  <c r="AZ375" i="12"/>
  <c r="K38" i="14"/>
  <c r="AX55" i="13"/>
  <c r="AX54" i="13"/>
  <c r="BB753" i="12"/>
  <c r="BB752" i="12"/>
  <c r="AX53" i="13"/>
  <c r="AX52" i="13"/>
  <c r="BB751" i="12"/>
  <c r="BB750" i="12"/>
  <c r="AX51" i="13"/>
  <c r="AX50" i="13"/>
  <c r="BB749" i="12"/>
  <c r="BB748" i="12"/>
  <c r="BB755" i="12"/>
  <c r="BB754" i="12"/>
  <c r="AX57" i="13"/>
  <c r="AX56" i="13"/>
  <c r="BB394" i="12"/>
  <c r="BB633" i="12"/>
  <c r="BB395" i="12"/>
  <c r="AX33" i="13"/>
  <c r="AJ111" i="6" s="1"/>
  <c r="W13" i="7" s="1"/>
  <c r="AA37" i="14"/>
  <c r="BD731" i="12"/>
  <c r="AL103" i="6" s="1"/>
  <c r="BE711" i="12"/>
  <c r="BD747" i="12"/>
  <c r="BC458" i="12"/>
  <c r="BC456" i="12"/>
  <c r="BC454" i="12"/>
  <c r="BC453" i="12"/>
  <c r="BC457" i="12"/>
  <c r="BD451" i="12"/>
  <c r="BC455" i="12"/>
  <c r="BC459" i="12"/>
  <c r="BC452" i="12"/>
  <c r="BE273" i="12"/>
  <c r="BE729" i="12"/>
  <c r="BE730" i="12" s="1"/>
  <c r="BE123" i="12" s="1"/>
  <c r="AM109" i="6" s="1"/>
  <c r="Z10" i="7" s="1"/>
  <c r="BE614" i="12"/>
  <c r="BF9" i="12"/>
  <c r="BD392" i="12"/>
  <c r="AZ64" i="13"/>
  <c r="AL114" i="6" s="1"/>
  <c r="Y15" i="7" s="1"/>
  <c r="BA63" i="13"/>
  <c r="BD312" i="12"/>
  <c r="BD504" i="12"/>
  <c r="BD558" i="12"/>
  <c r="BB365" i="12"/>
  <c r="BB368" i="12" s="1"/>
  <c r="BB634" i="12"/>
  <c r="AW429" i="12"/>
  <c r="AV104" i="12"/>
  <c r="AV114" i="12" s="1"/>
  <c r="AY403" i="12"/>
  <c r="AY407" i="12" s="1"/>
  <c r="BF166" i="12"/>
  <c r="BE689" i="12"/>
  <c r="BD654" i="12"/>
  <c r="BE685" i="12"/>
  <c r="AW434" i="12"/>
  <c r="AV109" i="12"/>
  <c r="AV119" i="12" s="1"/>
  <c r="C52" i="16"/>
  <c r="D52" i="16" s="1"/>
  <c r="C162" i="16" s="1"/>
  <c r="B53" i="16"/>
  <c r="BE536" i="12"/>
  <c r="AW58" i="13"/>
  <c r="AI84" i="6" s="1"/>
  <c r="O38" i="14"/>
  <c r="P19" i="14"/>
  <c r="AX374" i="12"/>
  <c r="AX379" i="12" s="1"/>
  <c r="BA368" i="12"/>
  <c r="N19" i="14"/>
  <c r="M39" i="14" s="1"/>
  <c r="R38" i="14"/>
  <c r="S38" i="14" s="1"/>
  <c r="E39" i="14"/>
  <c r="T38" i="14"/>
  <c r="U38" i="14" s="1"/>
  <c r="H38" i="14"/>
  <c r="G38" i="14"/>
  <c r="BG700" i="12"/>
  <c r="AW432" i="12"/>
  <c r="AV107" i="12"/>
  <c r="AV117" i="12" s="1"/>
  <c r="AZ49" i="13"/>
  <c r="AY642" i="12"/>
  <c r="AY647" i="12" s="1"/>
  <c r="AU120" i="12"/>
  <c r="AC107" i="6" s="1"/>
  <c r="AW433" i="12"/>
  <c r="AV108" i="12"/>
  <c r="AV118" i="12" s="1"/>
  <c r="AW430" i="12"/>
  <c r="AV105" i="12"/>
  <c r="AV115" i="12" s="1"/>
  <c r="BA398" i="12"/>
  <c r="BA401" i="12" s="1"/>
  <c r="BD737" i="12"/>
  <c r="BD125" i="12" s="1"/>
  <c r="AL108" i="6" s="1"/>
  <c r="Y9" i="7" s="1"/>
  <c r="BE736" i="12"/>
  <c r="BC414" i="12"/>
  <c r="BC124" i="12" s="1"/>
  <c r="AK110" i="6" s="1"/>
  <c r="BD413" i="12"/>
  <c r="B106" i="16"/>
  <c r="C105" i="16"/>
  <c r="D105" i="16" s="1"/>
  <c r="D160" i="16" s="1"/>
  <c r="BB151" i="12"/>
  <c r="BB149" i="12"/>
  <c r="BB147" i="12"/>
  <c r="BB145" i="12"/>
  <c r="BB152" i="12"/>
  <c r="BB150" i="12"/>
  <c r="BB148" i="12"/>
  <c r="BB146" i="12"/>
  <c r="AW379" i="12"/>
  <c r="BC587" i="12"/>
  <c r="BC585" i="12"/>
  <c r="BC583" i="12"/>
  <c r="BC581" i="12"/>
  <c r="BD580" i="12"/>
  <c r="BC588" i="12"/>
  <c r="BC586" i="12"/>
  <c r="BC584" i="12"/>
  <c r="BC582" i="12"/>
  <c r="AW431" i="12"/>
  <c r="AV106" i="12"/>
  <c r="AV116" i="12" s="1"/>
  <c r="BD301" i="12"/>
  <c r="BC445" i="12"/>
  <c r="BC443" i="12"/>
  <c r="BC441" i="12"/>
  <c r="BC439" i="12"/>
  <c r="BD426" i="12"/>
  <c r="BC444" i="12"/>
  <c r="BC440" i="12"/>
  <c r="BC442" i="12"/>
  <c r="BC438" i="12"/>
  <c r="AX647" i="12"/>
  <c r="BE631" i="12"/>
  <c r="AW427" i="12"/>
  <c r="AV102" i="12"/>
  <c r="AV112" i="12" s="1"/>
  <c r="BB22" i="13"/>
  <c r="BA12" i="13"/>
  <c r="BD361" i="12"/>
  <c r="BA637" i="12"/>
  <c r="BA639" i="12" s="1"/>
  <c r="BA643" i="12" s="1"/>
  <c r="AD36" i="14"/>
  <c r="AF36" i="14" s="1"/>
  <c r="AJ83" i="6" s="1"/>
  <c r="AH36" i="14"/>
  <c r="AJ113" i="6" s="1"/>
  <c r="W14" i="7" s="1"/>
  <c r="X38" i="14"/>
  <c r="W38" i="14"/>
  <c r="Y16" i="7" l="1"/>
  <c r="Y18" i="7" s="1"/>
  <c r="W3" i="7"/>
  <c r="AM129" i="6"/>
  <c r="Q16" i="7"/>
  <c r="Q18" i="7" s="1"/>
  <c r="Q3" i="7"/>
  <c r="Z38" i="14"/>
  <c r="AC38" i="14" s="1"/>
  <c r="AV103" i="12"/>
  <c r="AV113" i="12" s="1"/>
  <c r="AV120" i="12" s="1"/>
  <c r="AD107" i="6" s="1"/>
  <c r="C229" i="16"/>
  <c r="D227" i="16"/>
  <c r="BD366" i="12"/>
  <c r="BD396" i="12"/>
  <c r="AY33" i="13"/>
  <c r="AK111" i="6" s="1"/>
  <c r="X13" i="7" s="1"/>
  <c r="J39" i="14"/>
  <c r="BA405" i="12"/>
  <c r="K39" i="14"/>
  <c r="BB637" i="12"/>
  <c r="BB640" i="12" s="1"/>
  <c r="AX58" i="13"/>
  <c r="AJ84" i="6" s="1"/>
  <c r="W4" i="7" s="1"/>
  <c r="BB398" i="12"/>
  <c r="BB401" i="12" s="1"/>
  <c r="BC750" i="12"/>
  <c r="AY50" i="13"/>
  <c r="AY57" i="13"/>
  <c r="AY56" i="13"/>
  <c r="AY55" i="13"/>
  <c r="AY54" i="13"/>
  <c r="AY53" i="13"/>
  <c r="AY52" i="13"/>
  <c r="AY51" i="13"/>
  <c r="BC634" i="12"/>
  <c r="BC637" i="12" s="1"/>
  <c r="BC638" i="12" s="1"/>
  <c r="BC364" i="12"/>
  <c r="BB400" i="12"/>
  <c r="BC365" i="12"/>
  <c r="AA38" i="14"/>
  <c r="BB369" i="12"/>
  <c r="BB370" i="12"/>
  <c r="BB372" i="12"/>
  <c r="AY661" i="12"/>
  <c r="AY660" i="12"/>
  <c r="AY659" i="12"/>
  <c r="AY658" i="12"/>
  <c r="AY657" i="12"/>
  <c r="AY656" i="12"/>
  <c r="AY655" i="12"/>
  <c r="AY662" i="12"/>
  <c r="BE361" i="12"/>
  <c r="AX427" i="12"/>
  <c r="AW102" i="12"/>
  <c r="AW112" i="12" s="1"/>
  <c r="AX662" i="12"/>
  <c r="AX661" i="12"/>
  <c r="AX660" i="12"/>
  <c r="AX659" i="12"/>
  <c r="AX658" i="12"/>
  <c r="AX657" i="12"/>
  <c r="AX656" i="12"/>
  <c r="AX655" i="12"/>
  <c r="AX430" i="12"/>
  <c r="AW105" i="12"/>
  <c r="AW115" i="12" s="1"/>
  <c r="AX432" i="12"/>
  <c r="AW107" i="12"/>
  <c r="AW117" i="12" s="1"/>
  <c r="R39" i="14"/>
  <c r="S39" i="14" s="1"/>
  <c r="E40" i="14"/>
  <c r="T39" i="14"/>
  <c r="U39" i="14" s="1"/>
  <c r="G39" i="14"/>
  <c r="H39" i="14"/>
  <c r="BA372" i="12"/>
  <c r="BA377" i="12" s="1"/>
  <c r="BA369" i="12"/>
  <c r="BC151" i="12"/>
  <c r="BC149" i="12"/>
  <c r="BC147" i="12"/>
  <c r="BC145" i="12"/>
  <c r="BC152" i="12"/>
  <c r="BC150" i="12"/>
  <c r="BC148" i="12"/>
  <c r="BC146" i="12"/>
  <c r="BF689" i="12"/>
  <c r="BA400" i="12"/>
  <c r="BA404" i="12" s="1"/>
  <c r="BE312" i="12"/>
  <c r="BA64" i="13"/>
  <c r="AM114" i="6" s="1"/>
  <c r="Z15" i="7" s="1"/>
  <c r="BB63" i="13"/>
  <c r="BC753" i="12"/>
  <c r="BC22" i="13"/>
  <c r="BB12" i="13"/>
  <c r="BE426" i="12"/>
  <c r="BD444" i="12"/>
  <c r="BD442" i="12"/>
  <c r="BD440" i="12"/>
  <c r="BD438" i="12"/>
  <c r="BD445" i="12"/>
  <c r="BD441" i="12"/>
  <c r="BD443" i="12"/>
  <c r="BD439" i="12"/>
  <c r="AX431" i="12"/>
  <c r="AW106" i="12"/>
  <c r="AW116" i="12" s="1"/>
  <c r="U95" i="6"/>
  <c r="U76" i="6"/>
  <c r="BA49" i="13"/>
  <c r="BA370" i="12"/>
  <c r="BA375" i="12" s="1"/>
  <c r="BF536" i="12"/>
  <c r="AX428" i="12"/>
  <c r="AW103" i="12"/>
  <c r="AW113" i="12" s="1"/>
  <c r="BF685" i="12"/>
  <c r="BE504" i="12"/>
  <c r="BC395" i="12"/>
  <c r="BE392" i="12"/>
  <c r="BD458" i="12"/>
  <c r="BD456" i="12"/>
  <c r="BD454" i="12"/>
  <c r="BD452" i="12"/>
  <c r="BD457" i="12"/>
  <c r="BE451" i="12"/>
  <c r="BD459" i="12"/>
  <c r="BD453" i="12"/>
  <c r="BD455" i="12"/>
  <c r="BC749" i="12"/>
  <c r="BC752" i="12"/>
  <c r="BD634" i="12"/>
  <c r="BF631" i="12"/>
  <c r="BA399" i="12"/>
  <c r="BH700" i="12"/>
  <c r="P18" i="14"/>
  <c r="O39" i="14"/>
  <c r="AZ403" i="12"/>
  <c r="AZ407" i="12" s="1"/>
  <c r="AX429" i="12"/>
  <c r="AW104" i="12"/>
  <c r="AW114" i="12" s="1"/>
  <c r="BE558" i="12"/>
  <c r="BC394" i="12"/>
  <c r="BA371" i="12"/>
  <c r="BA376" i="12" s="1"/>
  <c r="BF273" i="12"/>
  <c r="BE747" i="12"/>
  <c r="BC754" i="12"/>
  <c r="BA638" i="12"/>
  <c r="BA640" i="12"/>
  <c r="BA644" i="12" s="1"/>
  <c r="BE301" i="12"/>
  <c r="BD587" i="12"/>
  <c r="BD585" i="12"/>
  <c r="BD583" i="12"/>
  <c r="BD581" i="12"/>
  <c r="BE580" i="12"/>
  <c r="BD588" i="12"/>
  <c r="BD586" i="12"/>
  <c r="BD584" i="12"/>
  <c r="BD582" i="12"/>
  <c r="B107" i="16"/>
  <c r="C106" i="16"/>
  <c r="D106" i="16" s="1"/>
  <c r="D161" i="16" s="1"/>
  <c r="BE413" i="12"/>
  <c r="BD414" i="12"/>
  <c r="BD124" i="12" s="1"/>
  <c r="AL110" i="6" s="1"/>
  <c r="BE737" i="12"/>
  <c r="BE125" i="12" s="1"/>
  <c r="AM108" i="6" s="1"/>
  <c r="Z9" i="7" s="1"/>
  <c r="BF736" i="12"/>
  <c r="AX433" i="12"/>
  <c r="AW108" i="12"/>
  <c r="AW118" i="12" s="1"/>
  <c r="AZ642" i="12"/>
  <c r="AZ647" i="12" s="1"/>
  <c r="N18" i="14"/>
  <c r="M40" i="14" s="1"/>
  <c r="AY374" i="12"/>
  <c r="AY379" i="12" s="1"/>
  <c r="B54" i="16"/>
  <c r="C53" i="16"/>
  <c r="D53" i="16" s="1"/>
  <c r="C163" i="16" s="1"/>
  <c r="AX434" i="12"/>
  <c r="AW109" i="12"/>
  <c r="AW119" i="12" s="1"/>
  <c r="BE654" i="12"/>
  <c r="BG166" i="12"/>
  <c r="BB371" i="12"/>
  <c r="BF729" i="12"/>
  <c r="BF730" i="12" s="1"/>
  <c r="BF123" i="12" s="1"/>
  <c r="AN109" i="6" s="1"/>
  <c r="AA10" i="7" s="1"/>
  <c r="BF614" i="12"/>
  <c r="BG9" i="12"/>
  <c r="BC751" i="12"/>
  <c r="BC748" i="12"/>
  <c r="BC755" i="12"/>
  <c r="BE731" i="12"/>
  <c r="AM103" i="6" s="1"/>
  <c r="BF711" i="12"/>
  <c r="AH37" i="14"/>
  <c r="AK113" i="6" s="1"/>
  <c r="X14" i="7" s="1"/>
  <c r="AD37" i="14"/>
  <c r="AF37" i="14" s="1"/>
  <c r="AK83" i="6" s="1"/>
  <c r="X39" i="14"/>
  <c r="W39" i="14"/>
  <c r="U103" i="6" l="1"/>
  <c r="U107" i="6"/>
  <c r="R8" i="7" s="1"/>
  <c r="X3" i="7"/>
  <c r="Z16" i="7"/>
  <c r="Z18" i="7" s="1"/>
  <c r="AN129" i="6"/>
  <c r="U109" i="6"/>
  <c r="R10" i="7" s="1"/>
  <c r="U114" i="6"/>
  <c r="R15" i="7" s="1"/>
  <c r="U108" i="6"/>
  <c r="R9" i="7" s="1"/>
  <c r="U110" i="6"/>
  <c r="U113" i="6"/>
  <c r="R14" i="7" s="1"/>
  <c r="U47" i="6"/>
  <c r="R27" i="7" s="1"/>
  <c r="U84" i="6"/>
  <c r="R4" i="7" s="1"/>
  <c r="U83" i="6"/>
  <c r="Z39" i="14"/>
  <c r="AC39" i="14" s="1"/>
  <c r="C230" i="16"/>
  <c r="D228" i="16"/>
  <c r="BE396" i="12"/>
  <c r="BE633" i="12"/>
  <c r="BE366" i="12"/>
  <c r="J40" i="14"/>
  <c r="BB405" i="12"/>
  <c r="BB638" i="12"/>
  <c r="K40" i="14"/>
  <c r="BB639" i="12"/>
  <c r="BB643" i="12" s="1"/>
  <c r="BB644" i="12"/>
  <c r="BC368" i="12"/>
  <c r="BC369" i="12" s="1"/>
  <c r="BB377" i="12"/>
  <c r="BC640" i="12"/>
  <c r="BC639" i="12"/>
  <c r="AY58" i="13"/>
  <c r="AK84" i="6" s="1"/>
  <c r="X4" i="7" s="1"/>
  <c r="BB399" i="12"/>
  <c r="BB404" i="12"/>
  <c r="BB375" i="12"/>
  <c r="AA39" i="14"/>
  <c r="AZ52" i="13"/>
  <c r="AZ57" i="13"/>
  <c r="BD748" i="12"/>
  <c r="BD751" i="12"/>
  <c r="AZ50" i="13"/>
  <c r="AZ55" i="13"/>
  <c r="BD754" i="12"/>
  <c r="BD755" i="12"/>
  <c r="BD749" i="12"/>
  <c r="AZ56" i="13"/>
  <c r="AZ53" i="13"/>
  <c r="BD752" i="12"/>
  <c r="AZ54" i="13"/>
  <c r="AZ51" i="13"/>
  <c r="BD750" i="12"/>
  <c r="BD753" i="12"/>
  <c r="BG729" i="12"/>
  <c r="BG730" i="12" s="1"/>
  <c r="BG123" i="12" s="1"/>
  <c r="AO109" i="6" s="1"/>
  <c r="AB10" i="7" s="1"/>
  <c r="BG614" i="12"/>
  <c r="BH9" i="12"/>
  <c r="BH166" i="12"/>
  <c r="B55" i="16"/>
  <c r="C54" i="16"/>
  <c r="D54" i="16" s="1"/>
  <c r="C164" i="16" s="1"/>
  <c r="AZ655" i="12"/>
  <c r="AZ658" i="12"/>
  <c r="AZ661" i="12"/>
  <c r="AZ656" i="12"/>
  <c r="AZ659" i="12"/>
  <c r="AZ662" i="12"/>
  <c r="AZ657" i="12"/>
  <c r="AZ660" i="12"/>
  <c r="BF737" i="12"/>
  <c r="BF125" i="12" s="1"/>
  <c r="AN108" i="6" s="1"/>
  <c r="AA9" i="7" s="1"/>
  <c r="BG736" i="12"/>
  <c r="BG273" i="12"/>
  <c r="BC398" i="12"/>
  <c r="BC401" i="12" s="1"/>
  <c r="BF558" i="12"/>
  <c r="BI700" i="12"/>
  <c r="BB49" i="13"/>
  <c r="BF312" i="12"/>
  <c r="AY432" i="12"/>
  <c r="AX107" i="12"/>
  <c r="AX117" i="12" s="1"/>
  <c r="BF654" i="12"/>
  <c r="BF580" i="12"/>
  <c r="BE588" i="12"/>
  <c r="BE586" i="12"/>
  <c r="BE584" i="12"/>
  <c r="BE582" i="12"/>
  <c r="BE583" i="12"/>
  <c r="BE581" i="12"/>
  <c r="BE587" i="12"/>
  <c r="BE585" i="12"/>
  <c r="BF747" i="12"/>
  <c r="AY429" i="12"/>
  <c r="AX104" i="12"/>
  <c r="AX114" i="12" s="1"/>
  <c r="BG631" i="12"/>
  <c r="BF392" i="12"/>
  <c r="AY428" i="12"/>
  <c r="AX103" i="12"/>
  <c r="AX113" i="12" s="1"/>
  <c r="BD152" i="12"/>
  <c r="BD150" i="12"/>
  <c r="BD148" i="12"/>
  <c r="BD146" i="12"/>
  <c r="BD147" i="12"/>
  <c r="BD145" i="12"/>
  <c r="BD151" i="12"/>
  <c r="BD149" i="12"/>
  <c r="BE444" i="12"/>
  <c r="BE442" i="12"/>
  <c r="BE440" i="12"/>
  <c r="BE438" i="12"/>
  <c r="BE443" i="12"/>
  <c r="BE439" i="12"/>
  <c r="BF426" i="12"/>
  <c r="BE445" i="12"/>
  <c r="BE441" i="12"/>
  <c r="T40" i="14"/>
  <c r="U40" i="14" s="1"/>
  <c r="R40" i="14"/>
  <c r="S40" i="14" s="1"/>
  <c r="E41" i="14"/>
  <c r="H40" i="14"/>
  <c r="G40" i="14"/>
  <c r="AW120" i="12"/>
  <c r="AE107" i="6" s="1"/>
  <c r="BF361" i="12"/>
  <c r="BG711" i="12"/>
  <c r="BF731" i="12"/>
  <c r="AN103" i="6" s="1"/>
  <c r="N17" i="14"/>
  <c r="M41" i="14" s="1"/>
  <c r="AY433" i="12"/>
  <c r="AX108" i="12"/>
  <c r="AX118" i="12" s="1"/>
  <c r="B108" i="16"/>
  <c r="C107" i="16"/>
  <c r="D107" i="16" s="1"/>
  <c r="D162" i="16" s="1"/>
  <c r="BF301" i="12"/>
  <c r="BD394" i="12"/>
  <c r="BD633" i="12"/>
  <c r="BC63" i="13"/>
  <c r="BB64" i="13"/>
  <c r="AN114" i="6" s="1"/>
  <c r="AA15" i="7" s="1"/>
  <c r="AY427" i="12"/>
  <c r="AX102" i="12"/>
  <c r="AX112" i="12" s="1"/>
  <c r="BD364" i="12"/>
  <c r="AY434" i="12"/>
  <c r="AX109" i="12"/>
  <c r="AX119" i="12" s="1"/>
  <c r="AZ374" i="12"/>
  <c r="BA642" i="12"/>
  <c r="BA647" i="12" s="1"/>
  <c r="BF413" i="12"/>
  <c r="BE414" i="12"/>
  <c r="BE124" i="12" s="1"/>
  <c r="AM110" i="6" s="1"/>
  <c r="BB376" i="12"/>
  <c r="BA403" i="12"/>
  <c r="BA407" i="12" s="1"/>
  <c r="P17" i="14"/>
  <c r="O40" i="14"/>
  <c r="BE459" i="12"/>
  <c r="BE457" i="12"/>
  <c r="BE455" i="12"/>
  <c r="BE456" i="12"/>
  <c r="BE458" i="12"/>
  <c r="BF451" i="12"/>
  <c r="BE453" i="12"/>
  <c r="BE452" i="12"/>
  <c r="BE454" i="12"/>
  <c r="BD395" i="12"/>
  <c r="BF504" i="12"/>
  <c r="BG685" i="12"/>
  <c r="BG536" i="12"/>
  <c r="AZ33" i="13"/>
  <c r="AL111" i="6" s="1"/>
  <c r="Y13" i="7" s="1"/>
  <c r="AY431" i="12"/>
  <c r="AX106" i="12"/>
  <c r="AX116" i="12" s="1"/>
  <c r="BD22" i="13"/>
  <c r="BC12" i="13"/>
  <c r="BG689" i="12"/>
  <c r="AY430" i="12"/>
  <c r="AX105" i="12"/>
  <c r="AX115" i="12" s="1"/>
  <c r="BD365" i="12"/>
  <c r="AD38" i="14"/>
  <c r="AF38" i="14" s="1"/>
  <c r="AL83" i="6" s="1"/>
  <c r="AH38" i="14"/>
  <c r="AL113" i="6" s="1"/>
  <c r="Y14" i="7" s="1"/>
  <c r="X40" i="14"/>
  <c r="W40" i="14"/>
  <c r="AO129" i="6" l="1"/>
  <c r="Y3" i="7"/>
  <c r="AA16" i="7"/>
  <c r="AA18" i="7" s="1"/>
  <c r="R16" i="7"/>
  <c r="R18" i="7" s="1"/>
  <c r="R3" i="7"/>
  <c r="Z40" i="14"/>
  <c r="AC40" i="14" s="1"/>
  <c r="C231" i="16"/>
  <c r="D229" i="16"/>
  <c r="BF366" i="12"/>
  <c r="BF633" i="12"/>
  <c r="BA33" i="13"/>
  <c r="AM111" i="6" s="1"/>
  <c r="Z13" i="7" s="1"/>
  <c r="BF396" i="12"/>
  <c r="J41" i="14"/>
  <c r="BC405" i="12"/>
  <c r="BC643" i="12"/>
  <c r="BC370" i="12"/>
  <c r="BC375" i="12" s="1"/>
  <c r="BC644" i="12"/>
  <c r="BC372" i="12"/>
  <c r="BC377" i="12" s="1"/>
  <c r="BC371" i="12"/>
  <c r="BC376" i="12" s="1"/>
  <c r="BC400" i="12"/>
  <c r="BC404" i="12" s="1"/>
  <c r="K41" i="14"/>
  <c r="BE394" i="12"/>
  <c r="BE364" i="12"/>
  <c r="BE395" i="12"/>
  <c r="BC399" i="12"/>
  <c r="BE365" i="12"/>
  <c r="BE634" i="12"/>
  <c r="BE637" i="12" s="1"/>
  <c r="AA40" i="14"/>
  <c r="BA55" i="13"/>
  <c r="BA54" i="13"/>
  <c r="BE751" i="12"/>
  <c r="BE748" i="12"/>
  <c r="BA53" i="13"/>
  <c r="BA52" i="13"/>
  <c r="BE755" i="12"/>
  <c r="BE749" i="12"/>
  <c r="BE754" i="12"/>
  <c r="BA51" i="13"/>
  <c r="BA50" i="13"/>
  <c r="BE752" i="12"/>
  <c r="BA57" i="13"/>
  <c r="BA56" i="13"/>
  <c r="BE753" i="12"/>
  <c r="BE750" i="12"/>
  <c r="AZ430" i="12"/>
  <c r="AY105" i="12"/>
  <c r="AY115" i="12" s="1"/>
  <c r="BD12" i="13"/>
  <c r="BE22" i="13"/>
  <c r="AZ431" i="12"/>
  <c r="AY106" i="12"/>
  <c r="AY116" i="12" s="1"/>
  <c r="BH685" i="12"/>
  <c r="BG504" i="12"/>
  <c r="BB642" i="12"/>
  <c r="BB647" i="12" s="1"/>
  <c r="AZ427" i="12"/>
  <c r="AY102" i="12"/>
  <c r="AY112" i="12" s="1"/>
  <c r="BG301" i="12"/>
  <c r="BG361" i="12"/>
  <c r="BH631" i="12"/>
  <c r="AZ429" i="12"/>
  <c r="AY104" i="12"/>
  <c r="AY114" i="12" s="1"/>
  <c r="BG654" i="12"/>
  <c r="BH689" i="12"/>
  <c r="BH536" i="12"/>
  <c r="O41" i="14"/>
  <c r="P16" i="14"/>
  <c r="BA658" i="12"/>
  <c r="BA657" i="12"/>
  <c r="BA656" i="12"/>
  <c r="BA655" i="12"/>
  <c r="BA662" i="12"/>
  <c r="BA661" i="12"/>
  <c r="BA660" i="12"/>
  <c r="BA659" i="12"/>
  <c r="AZ434" i="12"/>
  <c r="AY109" i="12"/>
  <c r="AY119" i="12" s="1"/>
  <c r="BD637" i="12"/>
  <c r="BD638" i="12" s="1"/>
  <c r="AZ433" i="12"/>
  <c r="AY108" i="12"/>
  <c r="AY118" i="12" s="1"/>
  <c r="E42" i="14"/>
  <c r="T41" i="14"/>
  <c r="U41" i="14" s="1"/>
  <c r="R41" i="14"/>
  <c r="S41" i="14" s="1"/>
  <c r="H41" i="14"/>
  <c r="G41" i="14"/>
  <c r="BF445" i="12"/>
  <c r="BF443" i="12"/>
  <c r="BF441" i="12"/>
  <c r="BF439" i="12"/>
  <c r="BF444" i="12"/>
  <c r="BF440" i="12"/>
  <c r="BG426" i="12"/>
  <c r="BF442" i="12"/>
  <c r="BF438" i="12"/>
  <c r="AZ428" i="12"/>
  <c r="AY103" i="12"/>
  <c r="AY113" i="12" s="1"/>
  <c r="BG747" i="12"/>
  <c r="BC49" i="13"/>
  <c r="BE152" i="12"/>
  <c r="BE150" i="12"/>
  <c r="BE148" i="12"/>
  <c r="BE146" i="12"/>
  <c r="BE151" i="12"/>
  <c r="BE149" i="12"/>
  <c r="BE147" i="12"/>
  <c r="BE145" i="12"/>
  <c r="BG558" i="12"/>
  <c r="BF459" i="12"/>
  <c r="BF457" i="12"/>
  <c r="BF455" i="12"/>
  <c r="BF453" i="12"/>
  <c r="BF456" i="12"/>
  <c r="BF452" i="12"/>
  <c r="BF454" i="12"/>
  <c r="BF458" i="12"/>
  <c r="BG451" i="12"/>
  <c r="BA374" i="12"/>
  <c r="BA379" i="12" s="1"/>
  <c r="BD368" i="12"/>
  <c r="BD370" i="12" s="1"/>
  <c r="BC64" i="13"/>
  <c r="AO114" i="6" s="1"/>
  <c r="AB15" i="7" s="1"/>
  <c r="BD63" i="13"/>
  <c r="V95" i="6"/>
  <c r="V76" i="6"/>
  <c r="BG731" i="12"/>
  <c r="AO103" i="6" s="1"/>
  <c r="BH711" i="12"/>
  <c r="BG392" i="12"/>
  <c r="BJ700" i="12"/>
  <c r="BH273" i="12"/>
  <c r="BH729" i="12"/>
  <c r="BH730" i="12" s="1"/>
  <c r="BH123" i="12" s="1"/>
  <c r="AP109" i="6" s="1"/>
  <c r="AC10" i="7" s="1"/>
  <c r="BH614" i="12"/>
  <c r="BI9" i="12"/>
  <c r="BB403" i="12"/>
  <c r="BF414" i="12"/>
  <c r="BF124" i="12" s="1"/>
  <c r="AN110" i="6" s="1"/>
  <c r="BG413" i="12"/>
  <c r="AZ379" i="12"/>
  <c r="AX120" i="12"/>
  <c r="AF107" i="6" s="1"/>
  <c r="BD398" i="12"/>
  <c r="BD401" i="12" s="1"/>
  <c r="B109" i="16"/>
  <c r="C108" i="16"/>
  <c r="D108" i="16" s="1"/>
  <c r="D163" i="16" s="1"/>
  <c r="N16" i="14"/>
  <c r="M42" i="14" s="1"/>
  <c r="BF588" i="12"/>
  <c r="BF586" i="12"/>
  <c r="BF584" i="12"/>
  <c r="BF582" i="12"/>
  <c r="BF587" i="12"/>
  <c r="BF585" i="12"/>
  <c r="BF583" i="12"/>
  <c r="BF581" i="12"/>
  <c r="BG580" i="12"/>
  <c r="AZ432" i="12"/>
  <c r="AY107" i="12"/>
  <c r="AY117" i="12" s="1"/>
  <c r="BG312" i="12"/>
  <c r="BG737" i="12"/>
  <c r="BG125" i="12" s="1"/>
  <c r="AO108" i="6" s="1"/>
  <c r="AB9" i="7" s="1"/>
  <c r="BH736" i="12"/>
  <c r="C55" i="16"/>
  <c r="D55" i="16" s="1"/>
  <c r="C165" i="16" s="1"/>
  <c r="B56" i="16"/>
  <c r="BI166" i="12"/>
  <c r="AZ58" i="13"/>
  <c r="AL84" i="6" s="1"/>
  <c r="Y4" i="7" s="1"/>
  <c r="AD39" i="14"/>
  <c r="AF39" i="14" s="1"/>
  <c r="AM83" i="6" s="1"/>
  <c r="AH39" i="14"/>
  <c r="AM113" i="6" s="1"/>
  <c r="Z14" i="7" s="1"/>
  <c r="W41" i="14"/>
  <c r="X41" i="14"/>
  <c r="V103" i="6" l="1"/>
  <c r="V107" i="6"/>
  <c r="AB16" i="7"/>
  <c r="AB18" i="7" s="1"/>
  <c r="Z3" i="7"/>
  <c r="AP129" i="6"/>
  <c r="V108" i="6"/>
  <c r="S9" i="7" s="1"/>
  <c r="V109" i="6"/>
  <c r="S10" i="7" s="1"/>
  <c r="V110" i="6"/>
  <c r="V111" i="6"/>
  <c r="S13" i="7" s="1"/>
  <c r="V113" i="6"/>
  <c r="S14" i="7" s="1"/>
  <c r="V114" i="6"/>
  <c r="S15" i="7" s="1"/>
  <c r="V47" i="6"/>
  <c r="S27" i="7" s="1"/>
  <c r="V84" i="6"/>
  <c r="S4" i="7" s="1"/>
  <c r="V83" i="6"/>
  <c r="Z41" i="14"/>
  <c r="AC41" i="14" s="1"/>
  <c r="C232" i="16"/>
  <c r="D230" i="16"/>
  <c r="BG366" i="12"/>
  <c r="BG396" i="12"/>
  <c r="BC33" i="13"/>
  <c r="AO111" i="6" s="1"/>
  <c r="AB13" i="7" s="1"/>
  <c r="J42" i="14"/>
  <c r="BD405" i="12"/>
  <c r="BD375" i="12"/>
  <c r="K42" i="14"/>
  <c r="BE398" i="12"/>
  <c r="BE401" i="12" s="1"/>
  <c r="BE638" i="12"/>
  <c r="BE640" i="12"/>
  <c r="BD399" i="12"/>
  <c r="BF395" i="12"/>
  <c r="BB33" i="13"/>
  <c r="AN111" i="6" s="1"/>
  <c r="AA13" i="7" s="1"/>
  <c r="BD400" i="12"/>
  <c r="BD404" i="12" s="1"/>
  <c r="BE639" i="12"/>
  <c r="BE368" i="12"/>
  <c r="BE370" i="12" s="1"/>
  <c r="AA41" i="14"/>
  <c r="BH312" i="12"/>
  <c r="BA432" i="12"/>
  <c r="AZ107" i="12"/>
  <c r="AZ117" i="12" s="1"/>
  <c r="BG364" i="12"/>
  <c r="BC403" i="12"/>
  <c r="BD64" i="13"/>
  <c r="AP114" i="6" s="1"/>
  <c r="AC15" i="7" s="1"/>
  <c r="BE63" i="13"/>
  <c r="BH558" i="12"/>
  <c r="BB50" i="13"/>
  <c r="BB51" i="13"/>
  <c r="BH747" i="12"/>
  <c r="BF754" i="12"/>
  <c r="BF755" i="12"/>
  <c r="BG445" i="12"/>
  <c r="BG443" i="12"/>
  <c r="BG441" i="12"/>
  <c r="BG439" i="12"/>
  <c r="BH426" i="12"/>
  <c r="BG442" i="12"/>
  <c r="BG438" i="12"/>
  <c r="BG440" i="12"/>
  <c r="BG444" i="12"/>
  <c r="BA429" i="12"/>
  <c r="AZ104" i="12"/>
  <c r="AZ114" i="12" s="1"/>
  <c r="BF365" i="12"/>
  <c r="BF634" i="12"/>
  <c r="BF637" i="12" s="1"/>
  <c r="BC642" i="12"/>
  <c r="BC647" i="12" s="1"/>
  <c r="BI685" i="12"/>
  <c r="C56" i="16"/>
  <c r="D56" i="16" s="1"/>
  <c r="C166" i="16" s="1"/>
  <c r="B57" i="16"/>
  <c r="N15" i="14"/>
  <c r="M43" i="14" s="1"/>
  <c r="B110" i="16"/>
  <c r="C109" i="16"/>
  <c r="D109" i="16" s="1"/>
  <c r="D164" i="16" s="1"/>
  <c r="BB407" i="12"/>
  <c r="BK700" i="12"/>
  <c r="BF394" i="12"/>
  <c r="BB374" i="12"/>
  <c r="BB379" i="12" s="1"/>
  <c r="BB52" i="13"/>
  <c r="BB53" i="13"/>
  <c r="BF748" i="12"/>
  <c r="BF749" i="12"/>
  <c r="R42" i="14"/>
  <c r="S42" i="14" s="1"/>
  <c r="E43" i="14"/>
  <c r="T42" i="14"/>
  <c r="U42" i="14" s="1"/>
  <c r="G42" i="14"/>
  <c r="H42" i="14"/>
  <c r="BA434" i="12"/>
  <c r="AZ109" i="12"/>
  <c r="AZ119" i="12" s="1"/>
  <c r="BI536" i="12"/>
  <c r="BF364" i="12"/>
  <c r="AY120" i="12"/>
  <c r="AG107" i="6" s="1"/>
  <c r="BB658" i="12"/>
  <c r="BB657" i="12"/>
  <c r="BB656" i="12"/>
  <c r="BB655" i="12"/>
  <c r="BB662" i="12"/>
  <c r="BB661" i="12"/>
  <c r="BB660" i="12"/>
  <c r="BB659" i="12"/>
  <c r="BH504" i="12"/>
  <c r="BA58" i="13"/>
  <c r="AM84" i="6" s="1"/>
  <c r="Z4" i="7" s="1"/>
  <c r="BG587" i="12"/>
  <c r="BG585" i="12"/>
  <c r="BG583" i="12"/>
  <c r="BG581" i="12"/>
  <c r="BH580" i="12"/>
  <c r="BG586" i="12"/>
  <c r="BG584" i="12"/>
  <c r="BG582" i="12"/>
  <c r="BG588" i="12"/>
  <c r="BG414" i="12"/>
  <c r="BG124" i="12" s="1"/>
  <c r="AO110" i="6" s="1"/>
  <c r="BH413" i="12"/>
  <c r="BI729" i="12"/>
  <c r="BI730" i="12" s="1"/>
  <c r="BI123" i="12" s="1"/>
  <c r="AQ109" i="6" s="1"/>
  <c r="AD10" i="7" s="1"/>
  <c r="BI614" i="12"/>
  <c r="BJ9" i="12"/>
  <c r="BI273" i="12"/>
  <c r="BF151" i="12"/>
  <c r="BF149" i="12"/>
  <c r="BF147" i="12"/>
  <c r="BF145" i="12"/>
  <c r="BF150" i="12"/>
  <c r="BF148" i="12"/>
  <c r="BF146" i="12"/>
  <c r="BF152" i="12"/>
  <c r="BH392" i="12"/>
  <c r="BH731" i="12"/>
  <c r="AP103" i="6" s="1"/>
  <c r="BI711" i="12"/>
  <c r="S8" i="7"/>
  <c r="BD369" i="12"/>
  <c r="BD372" i="12"/>
  <c r="BD377" i="12" s="1"/>
  <c r="BG458" i="12"/>
  <c r="BG456" i="12"/>
  <c r="BG454" i="12"/>
  <c r="BG452" i="12"/>
  <c r="BG459" i="12"/>
  <c r="BG455" i="12"/>
  <c r="BG453" i="12"/>
  <c r="BH451" i="12"/>
  <c r="BG457" i="12"/>
  <c r="BD371" i="12"/>
  <c r="BD376" i="12" s="1"/>
  <c r="BB54" i="13"/>
  <c r="BB55" i="13"/>
  <c r="BF750" i="12"/>
  <c r="BF751" i="12"/>
  <c r="BA428" i="12"/>
  <c r="AZ103" i="12"/>
  <c r="AZ113" i="12" s="1"/>
  <c r="BI689" i="12"/>
  <c r="BH654" i="12"/>
  <c r="BH361" i="12"/>
  <c r="BA427" i="12"/>
  <c r="AZ102" i="12"/>
  <c r="AZ112" i="12" s="1"/>
  <c r="BF22" i="13"/>
  <c r="BE12" i="13"/>
  <c r="BA430" i="12"/>
  <c r="AZ105" i="12"/>
  <c r="AZ115" i="12" s="1"/>
  <c r="BJ166" i="12"/>
  <c r="BH737" i="12"/>
  <c r="BH125" i="12" s="1"/>
  <c r="AP108" i="6" s="1"/>
  <c r="AC9" i="7" s="1"/>
  <c r="BI736" i="12"/>
  <c r="BD49" i="13"/>
  <c r="BB56" i="13"/>
  <c r="BB57" i="13"/>
  <c r="BF752" i="12"/>
  <c r="BF753" i="12"/>
  <c r="BA433" i="12"/>
  <c r="AZ108" i="12"/>
  <c r="AZ118" i="12" s="1"/>
  <c r="BD639" i="12"/>
  <c r="BD643" i="12" s="1"/>
  <c r="BD640" i="12"/>
  <c r="BD644" i="12" s="1"/>
  <c r="O42" i="14"/>
  <c r="P15" i="14"/>
  <c r="BI631" i="12"/>
  <c r="BH301" i="12"/>
  <c r="BA431" i="12"/>
  <c r="AZ106" i="12"/>
  <c r="AZ116" i="12" s="1"/>
  <c r="AH40" i="14"/>
  <c r="AN113" i="6" s="1"/>
  <c r="AA14" i="7" s="1"/>
  <c r="AD40" i="14"/>
  <c r="AF40" i="14" s="1"/>
  <c r="AN83" i="6" s="1"/>
  <c r="W42" i="14"/>
  <c r="X42" i="14"/>
  <c r="AA3" i="7" l="1"/>
  <c r="AC16" i="7"/>
  <c r="AC18" i="7" s="1"/>
  <c r="AQ129" i="6"/>
  <c r="S16" i="7"/>
  <c r="S18" i="7" s="1"/>
  <c r="S3" i="7"/>
  <c r="Z42" i="14"/>
  <c r="AC42" i="14" s="1"/>
  <c r="D231" i="16"/>
  <c r="C233" i="16"/>
  <c r="BH396" i="12"/>
  <c r="BH633" i="12"/>
  <c r="BH366" i="12"/>
  <c r="J43" i="14"/>
  <c r="BE405" i="12"/>
  <c r="BE399" i="12"/>
  <c r="BE375" i="12"/>
  <c r="BE400" i="12"/>
  <c r="BE404" i="12" s="1"/>
  <c r="K43" i="14"/>
  <c r="BG634" i="12"/>
  <c r="BE644" i="12"/>
  <c r="BG395" i="12"/>
  <c r="BG365" i="12"/>
  <c r="BG368" i="12" s="1"/>
  <c r="BG633" i="12"/>
  <c r="BG394" i="12"/>
  <c r="BE643" i="12"/>
  <c r="BE371" i="12"/>
  <c r="BE376" i="12" s="1"/>
  <c r="BE369" i="12"/>
  <c r="BE372" i="12"/>
  <c r="BE377" i="12" s="1"/>
  <c r="AA42" i="14"/>
  <c r="BC661" i="12"/>
  <c r="BC658" i="12"/>
  <c r="BC659" i="12"/>
  <c r="BC656" i="12"/>
  <c r="BC657" i="12"/>
  <c r="BC662" i="12"/>
  <c r="BC655" i="12"/>
  <c r="BC660" i="12"/>
  <c r="BG750" i="12"/>
  <c r="BG751" i="12"/>
  <c r="BC54" i="13"/>
  <c r="BC53" i="13"/>
  <c r="BG755" i="12"/>
  <c r="BG748" i="12"/>
  <c r="BG749" i="12"/>
  <c r="BC52" i="13"/>
  <c r="BC51" i="13"/>
  <c r="BG754" i="12"/>
  <c r="BC50" i="13"/>
  <c r="BC57" i="13"/>
  <c r="BG752" i="12"/>
  <c r="BG753" i="12"/>
  <c r="BC56" i="13"/>
  <c r="BC55" i="13"/>
  <c r="BF640" i="12"/>
  <c r="BF638" i="12"/>
  <c r="BB431" i="12"/>
  <c r="BA106" i="12"/>
  <c r="BA116" i="12" s="1"/>
  <c r="O43" i="14"/>
  <c r="P14" i="14"/>
  <c r="BK166" i="12"/>
  <c r="BG22" i="13"/>
  <c r="BG33" i="13" s="1"/>
  <c r="BF12" i="13"/>
  <c r="BH458" i="12"/>
  <c r="BH456" i="12"/>
  <c r="BH454" i="12"/>
  <c r="BH452" i="12"/>
  <c r="BH459" i="12"/>
  <c r="BH455" i="12"/>
  <c r="BH453" i="12"/>
  <c r="BI451" i="12"/>
  <c r="BH457" i="12"/>
  <c r="BJ711" i="12"/>
  <c r="BI731" i="12"/>
  <c r="AQ103" i="6" s="1"/>
  <c r="BI392" i="12"/>
  <c r="BF398" i="12"/>
  <c r="BF399" i="12" s="1"/>
  <c r="BB58" i="13"/>
  <c r="AN84" i="6" s="1"/>
  <c r="AA4" i="7" s="1"/>
  <c r="BD403" i="12"/>
  <c r="BD407" i="12" s="1"/>
  <c r="BB433" i="12"/>
  <c r="BA108" i="12"/>
  <c r="BA118" i="12" s="1"/>
  <c r="BI361" i="12"/>
  <c r="BI654" i="12"/>
  <c r="BJ273" i="12"/>
  <c r="BI413" i="12"/>
  <c r="BH414" i="12"/>
  <c r="BH124" i="12" s="1"/>
  <c r="AP110" i="6" s="1"/>
  <c r="BI504" i="12"/>
  <c r="BF368" i="12"/>
  <c r="BF371" i="12" s="1"/>
  <c r="BJ536" i="12"/>
  <c r="B111" i="16"/>
  <c r="C110" i="16"/>
  <c r="D110" i="16" s="1"/>
  <c r="D165" i="16" s="1"/>
  <c r="B58" i="16"/>
  <c r="C57" i="16"/>
  <c r="D57" i="16" s="1"/>
  <c r="C167" i="16" s="1"/>
  <c r="BI747" i="12"/>
  <c r="BI558" i="12"/>
  <c r="BE64" i="13"/>
  <c r="AQ114" i="6" s="1"/>
  <c r="AD15" i="7" s="1"/>
  <c r="BF63" i="13"/>
  <c r="BC407" i="12"/>
  <c r="BI301" i="12"/>
  <c r="BJ736" i="12"/>
  <c r="BI737" i="12"/>
  <c r="BI125" i="12" s="1"/>
  <c r="AQ108" i="6" s="1"/>
  <c r="AD9" i="7" s="1"/>
  <c r="AZ120" i="12"/>
  <c r="AH107" i="6" s="1"/>
  <c r="BJ689" i="12"/>
  <c r="BB428" i="12"/>
  <c r="BA103" i="12"/>
  <c r="BA113" i="12" s="1"/>
  <c r="BJ729" i="12"/>
  <c r="BJ730" i="12" s="1"/>
  <c r="BJ123" i="12" s="1"/>
  <c r="AR109" i="6" s="1"/>
  <c r="AE10" i="7" s="1"/>
  <c r="BJ614" i="12"/>
  <c r="BK9" i="12"/>
  <c r="R43" i="14"/>
  <c r="S43" i="14" s="1"/>
  <c r="E44" i="14"/>
  <c r="T43" i="14"/>
  <c r="U43" i="14" s="1"/>
  <c r="H43" i="14"/>
  <c r="G43" i="14"/>
  <c r="BD642" i="12"/>
  <c r="BD647" i="12" s="1"/>
  <c r="BB429" i="12"/>
  <c r="BA104" i="12"/>
  <c r="BA114" i="12" s="1"/>
  <c r="BB432" i="12"/>
  <c r="BA107" i="12"/>
  <c r="BA117" i="12" s="1"/>
  <c r="BI312" i="12"/>
  <c r="BJ631" i="12"/>
  <c r="BE49" i="13"/>
  <c r="BB430" i="12"/>
  <c r="BA105" i="12"/>
  <c r="BA115" i="12" s="1"/>
  <c r="BB427" i="12"/>
  <c r="BA102" i="12"/>
  <c r="BA112" i="12" s="1"/>
  <c r="W95" i="6"/>
  <c r="W76" i="6"/>
  <c r="BH587" i="12"/>
  <c r="BH585" i="12"/>
  <c r="BH583" i="12"/>
  <c r="BH581" i="12"/>
  <c r="BI580" i="12"/>
  <c r="BH588" i="12"/>
  <c r="BH586" i="12"/>
  <c r="BH584" i="12"/>
  <c r="BH582" i="12"/>
  <c r="BB434" i="12"/>
  <c r="BA109" i="12"/>
  <c r="BA119" i="12" s="1"/>
  <c r="BC374" i="12"/>
  <c r="BG151" i="12"/>
  <c r="BG149" i="12"/>
  <c r="BG147" i="12"/>
  <c r="BG145" i="12"/>
  <c r="BG152" i="12"/>
  <c r="BG150" i="12"/>
  <c r="BG148" i="12"/>
  <c r="BG146" i="12"/>
  <c r="N14" i="14"/>
  <c r="M44" i="14" s="1"/>
  <c r="BJ685" i="12"/>
  <c r="BF639" i="12"/>
  <c r="BI426" i="12"/>
  <c r="BH444" i="12"/>
  <c r="BH442" i="12"/>
  <c r="BH440" i="12"/>
  <c r="BH438" i="12"/>
  <c r="BH443" i="12"/>
  <c r="BH439" i="12"/>
  <c r="BH445" i="12"/>
  <c r="BH441" i="12"/>
  <c r="AH41" i="14"/>
  <c r="AO113" i="6" s="1"/>
  <c r="AB14" i="7" s="1"/>
  <c r="AD41" i="14"/>
  <c r="AF41" i="14" s="1"/>
  <c r="AO83" i="6" s="1"/>
  <c r="W43" i="14"/>
  <c r="X43" i="14"/>
  <c r="W103" i="6" l="1"/>
  <c r="W107" i="6"/>
  <c r="T8" i="7" s="1"/>
  <c r="AD16" i="7"/>
  <c r="AD18" i="7" s="1"/>
  <c r="AB3" i="7"/>
  <c r="AR129" i="6"/>
  <c r="W108" i="6"/>
  <c r="T9" i="7" s="1"/>
  <c r="W109" i="6"/>
  <c r="T10" i="7" s="1"/>
  <c r="W110" i="6"/>
  <c r="W113" i="6"/>
  <c r="T14" i="7" s="1"/>
  <c r="W114" i="6"/>
  <c r="T15" i="7" s="1"/>
  <c r="W47" i="6"/>
  <c r="T27" i="7" s="1"/>
  <c r="W83" i="6"/>
  <c r="W84" i="6"/>
  <c r="T4" i="7" s="1"/>
  <c r="Z43" i="14"/>
  <c r="AC43" i="14" s="1"/>
  <c r="D232" i="16"/>
  <c r="C234" i="16"/>
  <c r="BI396" i="12"/>
  <c r="BI366" i="12"/>
  <c r="BI633" i="12"/>
  <c r="J44" i="14"/>
  <c r="BG637" i="12"/>
  <c r="BG638" i="12" s="1"/>
  <c r="BF644" i="12"/>
  <c r="BG398" i="12"/>
  <c r="BG400" i="12" s="1"/>
  <c r="BF643" i="12"/>
  <c r="K44" i="14"/>
  <c r="BH364" i="12"/>
  <c r="BG369" i="12"/>
  <c r="BG371" i="12"/>
  <c r="BG370" i="12"/>
  <c r="BH750" i="12"/>
  <c r="BD50" i="13"/>
  <c r="BD51" i="13"/>
  <c r="BD57" i="13"/>
  <c r="BD54" i="13"/>
  <c r="BD53" i="13"/>
  <c r="BF376" i="12"/>
  <c r="BD55" i="13"/>
  <c r="BD52" i="13"/>
  <c r="BH753" i="12"/>
  <c r="BH749" i="12"/>
  <c r="BH754" i="12"/>
  <c r="BH365" i="12"/>
  <c r="BH634" i="12"/>
  <c r="BH637" i="12" s="1"/>
  <c r="BH748" i="12"/>
  <c r="BH751" i="12"/>
  <c r="BH752" i="12"/>
  <c r="BA120" i="12"/>
  <c r="AI107" i="6" s="1"/>
  <c r="BD56" i="13"/>
  <c r="BG372" i="12"/>
  <c r="AA43" i="14"/>
  <c r="N13" i="14"/>
  <c r="M45" i="14" s="1"/>
  <c r="BC434" i="12"/>
  <c r="BB109" i="12"/>
  <c r="BB119" i="12" s="1"/>
  <c r="BC429" i="12"/>
  <c r="BB104" i="12"/>
  <c r="BB114" i="12" s="1"/>
  <c r="BJ737" i="12"/>
  <c r="BJ125" i="12" s="1"/>
  <c r="AR108" i="6" s="1"/>
  <c r="AE9" i="7" s="1"/>
  <c r="BK736" i="12"/>
  <c r="BK737" i="12" s="1"/>
  <c r="BK125" i="12" s="1"/>
  <c r="AS108" i="6" s="1"/>
  <c r="AF9" i="7" s="1"/>
  <c r="BJ301" i="12"/>
  <c r="BJ558" i="12"/>
  <c r="BF370" i="12"/>
  <c r="BF375" i="12" s="1"/>
  <c r="BI414" i="12"/>
  <c r="BI124" i="12" s="1"/>
  <c r="AQ110" i="6" s="1"/>
  <c r="BJ413" i="12"/>
  <c r="BJ654" i="12"/>
  <c r="BH395" i="12"/>
  <c r="BK711" i="12"/>
  <c r="BJ731" i="12"/>
  <c r="AR103" i="6" s="1"/>
  <c r="BC431" i="12"/>
  <c r="BB106" i="12"/>
  <c r="BB116" i="12" s="1"/>
  <c r="BK685" i="12"/>
  <c r="BD374" i="12"/>
  <c r="BC430" i="12"/>
  <c r="BB105" i="12"/>
  <c r="BB115" i="12" s="1"/>
  <c r="BC432" i="12"/>
  <c r="BB107" i="12"/>
  <c r="BB117" i="12" s="1"/>
  <c r="T44" i="14"/>
  <c r="U44" i="14" s="1"/>
  <c r="R44" i="14"/>
  <c r="S44" i="14" s="1"/>
  <c r="E45" i="14"/>
  <c r="G44" i="14"/>
  <c r="H44" i="14"/>
  <c r="BC428" i="12"/>
  <c r="BB103" i="12"/>
  <c r="BB113" i="12" s="1"/>
  <c r="B112" i="16"/>
  <c r="C111" i="16"/>
  <c r="D111" i="16" s="1"/>
  <c r="D166" i="16" s="1"/>
  <c r="BF369" i="12"/>
  <c r="BF372" i="12"/>
  <c r="BF377" i="12" s="1"/>
  <c r="BJ504" i="12"/>
  <c r="BJ361" i="12"/>
  <c r="BH152" i="12"/>
  <c r="BH150" i="12"/>
  <c r="BH148" i="12"/>
  <c r="BH146" i="12"/>
  <c r="BH145" i="12"/>
  <c r="BH151" i="12"/>
  <c r="BH149" i="12"/>
  <c r="BH147" i="12"/>
  <c r="P13" i="14"/>
  <c r="O44" i="14"/>
  <c r="BC58" i="13"/>
  <c r="AO84" i="6" s="1"/>
  <c r="AB4" i="7" s="1"/>
  <c r="BC379" i="12"/>
  <c r="BJ580" i="12"/>
  <c r="BI588" i="12"/>
  <c r="BI586" i="12"/>
  <c r="BI584" i="12"/>
  <c r="BI582" i="12"/>
  <c r="BI581" i="12"/>
  <c r="BI587" i="12"/>
  <c r="BI585" i="12"/>
  <c r="BI583" i="12"/>
  <c r="BC427" i="12"/>
  <c r="BB102" i="12"/>
  <c r="BB112" i="12" s="1"/>
  <c r="BF49" i="13"/>
  <c r="BD657" i="12"/>
  <c r="BD660" i="12"/>
  <c r="BD655" i="12"/>
  <c r="BD658" i="12"/>
  <c r="BD661" i="12"/>
  <c r="BD656" i="12"/>
  <c r="BD659" i="12"/>
  <c r="BD662" i="12"/>
  <c r="BJ747" i="12"/>
  <c r="B59" i="16"/>
  <c r="C58" i="16"/>
  <c r="D58" i="16" s="1"/>
  <c r="C168" i="16" s="1"/>
  <c r="BK273" i="12"/>
  <c r="BE403" i="12"/>
  <c r="BE407" i="12" s="1"/>
  <c r="BJ392" i="12"/>
  <c r="BI444" i="12"/>
  <c r="BI442" i="12"/>
  <c r="BI440" i="12"/>
  <c r="BI438" i="12"/>
  <c r="BI445" i="12"/>
  <c r="BI441" i="12"/>
  <c r="BI443" i="12"/>
  <c r="BI439" i="12"/>
  <c r="BJ426" i="12"/>
  <c r="BK631" i="12"/>
  <c r="BJ312" i="12"/>
  <c r="BE642" i="12"/>
  <c r="BE647" i="12" s="1"/>
  <c r="BK614" i="12"/>
  <c r="BK729" i="12"/>
  <c r="BK730" i="12" s="1"/>
  <c r="BK123" i="12" s="1"/>
  <c r="AS109" i="6" s="1"/>
  <c r="AF10" i="7" s="1"/>
  <c r="L467" i="12"/>
  <c r="L468" i="12"/>
  <c r="L469" i="12"/>
  <c r="BK689" i="12"/>
  <c r="BG63" i="13"/>
  <c r="BG64" i="13" s="1"/>
  <c r="AS114" i="6" s="1"/>
  <c r="AF15" i="7" s="1"/>
  <c r="BF64" i="13"/>
  <c r="AR114" i="6" s="1"/>
  <c r="AE15" i="7" s="1"/>
  <c r="BH755" i="12"/>
  <c r="BK536" i="12"/>
  <c r="BC433" i="12"/>
  <c r="BB108" i="12"/>
  <c r="BB118" i="12" s="1"/>
  <c r="BD33" i="13"/>
  <c r="AP111" i="6" s="1"/>
  <c r="AC13" i="7" s="1"/>
  <c r="BF401" i="12"/>
  <c r="BF405" i="12" s="1"/>
  <c r="BF400" i="12"/>
  <c r="BF404" i="12" s="1"/>
  <c r="BH394" i="12"/>
  <c r="BI459" i="12"/>
  <c r="BI457" i="12"/>
  <c r="BI455" i="12"/>
  <c r="BI458" i="12"/>
  <c r="BI454" i="12"/>
  <c r="BI456" i="12"/>
  <c r="BI453" i="12"/>
  <c r="BI452" i="12"/>
  <c r="BJ451" i="12"/>
  <c r="BG12" i="13"/>
  <c r="AD42" i="14"/>
  <c r="AF42" i="14" s="1"/>
  <c r="AP83" i="6" s="1"/>
  <c r="AH42" i="14"/>
  <c r="AP113" i="6" s="1"/>
  <c r="AC14" i="7" s="1"/>
  <c r="X44" i="14"/>
  <c r="W44" i="14"/>
  <c r="AC3" i="7" l="1"/>
  <c r="AS129" i="6"/>
  <c r="AE16" i="7"/>
  <c r="AE18" i="7" s="1"/>
  <c r="T16" i="7"/>
  <c r="T18" i="7" s="1"/>
  <c r="T3" i="7"/>
  <c r="Z44" i="14"/>
  <c r="AC44" i="14" s="1"/>
  <c r="C235" i="16"/>
  <c r="D233" i="16"/>
  <c r="BJ396" i="12"/>
  <c r="BJ366" i="12"/>
  <c r="BE33" i="13"/>
  <c r="AQ111" i="6" s="1"/>
  <c r="AD13" i="7" s="1"/>
  <c r="BG639" i="12"/>
  <c r="BG643" i="12" s="1"/>
  <c r="BG640" i="12"/>
  <c r="BG644" i="12" s="1"/>
  <c r="J45" i="14"/>
  <c r="BG399" i="12"/>
  <c r="BG401" i="12"/>
  <c r="BG405" i="12" s="1"/>
  <c r="BG404" i="12"/>
  <c r="BI395" i="12"/>
  <c r="BH368" i="12"/>
  <c r="BH369" i="12" s="1"/>
  <c r="BI365" i="12"/>
  <c r="BI364" i="12"/>
  <c r="BI394" i="12"/>
  <c r="BI634" i="12"/>
  <c r="BI637" i="12" s="1"/>
  <c r="BI638" i="12" s="1"/>
  <c r="K45" i="14"/>
  <c r="BG376" i="12"/>
  <c r="BG375" i="12"/>
  <c r="BH638" i="12"/>
  <c r="BH640" i="12"/>
  <c r="BH639" i="12"/>
  <c r="BD58" i="13"/>
  <c r="AP84" i="6" s="1"/>
  <c r="AC4" i="7" s="1"/>
  <c r="BG377" i="12"/>
  <c r="BE51" i="13"/>
  <c r="AA44" i="14"/>
  <c r="BJ459" i="12"/>
  <c r="BJ457" i="12"/>
  <c r="BJ455" i="12"/>
  <c r="BJ453" i="12"/>
  <c r="BJ458" i="12"/>
  <c r="BJ454" i="12"/>
  <c r="BK451" i="12"/>
  <c r="BJ456" i="12"/>
  <c r="BJ452" i="12"/>
  <c r="BK312" i="12"/>
  <c r="X95" i="6"/>
  <c r="X76" i="6"/>
  <c r="BI754" i="12"/>
  <c r="BI751" i="12"/>
  <c r="BE56" i="13"/>
  <c r="BG49" i="13"/>
  <c r="O45" i="14"/>
  <c r="P12" i="14"/>
  <c r="BK504" i="12"/>
  <c r="E46" i="14"/>
  <c r="T45" i="14"/>
  <c r="U45" i="14" s="1"/>
  <c r="R45" i="14"/>
  <c r="S45" i="14" s="1"/>
  <c r="H45" i="14"/>
  <c r="G45" i="14"/>
  <c r="BD432" i="12"/>
  <c r="BC107" i="12"/>
  <c r="BC117" i="12" s="1"/>
  <c r="BD431" i="12"/>
  <c r="BC106" i="12"/>
  <c r="BC116" i="12" s="1"/>
  <c r="BK654" i="12"/>
  <c r="BH398" i="12"/>
  <c r="BH401" i="12" s="1"/>
  <c r="BI748" i="12"/>
  <c r="BI753" i="12"/>
  <c r="BE50" i="13"/>
  <c r="BE53" i="13"/>
  <c r="BJ588" i="12"/>
  <c r="BJ586" i="12"/>
  <c r="BJ584" i="12"/>
  <c r="BJ582" i="12"/>
  <c r="BJ587" i="12"/>
  <c r="BJ585" i="12"/>
  <c r="BJ583" i="12"/>
  <c r="BJ581" i="12"/>
  <c r="BK580" i="12"/>
  <c r="BK361" i="12"/>
  <c r="B113" i="16"/>
  <c r="C112" i="16"/>
  <c r="D112" i="16" s="1"/>
  <c r="D167" i="16" s="1"/>
  <c r="BE374" i="12"/>
  <c r="BE379" i="12" s="1"/>
  <c r="BK731" i="12"/>
  <c r="AS103" i="6" s="1"/>
  <c r="BI152" i="12"/>
  <c r="BI150" i="12"/>
  <c r="BI148" i="12"/>
  <c r="BI146" i="12"/>
  <c r="BI151" i="12"/>
  <c r="BI149" i="12"/>
  <c r="BI147" i="12"/>
  <c r="BI145" i="12"/>
  <c r="BJ633" i="12"/>
  <c r="BJ414" i="12"/>
  <c r="BJ124" i="12" s="1"/>
  <c r="AR110" i="6" s="1"/>
  <c r="BK413" i="12"/>
  <c r="BK414" i="12" s="1"/>
  <c r="BK124" i="12" s="1"/>
  <c r="AS110" i="6" s="1"/>
  <c r="BD433" i="12"/>
  <c r="BC108" i="12"/>
  <c r="BC118" i="12" s="1"/>
  <c r="BF642" i="12"/>
  <c r="BJ445" i="12"/>
  <c r="BJ443" i="12"/>
  <c r="BJ441" i="12"/>
  <c r="BJ439" i="12"/>
  <c r="BJ442" i="12"/>
  <c r="BJ438" i="12"/>
  <c r="BJ444" i="12"/>
  <c r="BJ440" i="12"/>
  <c r="BK426" i="12"/>
  <c r="BK392" i="12"/>
  <c r="C59" i="16"/>
  <c r="D59" i="16" s="1"/>
  <c r="C169" i="16" s="1"/>
  <c r="B60" i="16"/>
  <c r="P189" i="16" s="1"/>
  <c r="BI750" i="12"/>
  <c r="BK747" i="12"/>
  <c r="BE52" i="13"/>
  <c r="BE55" i="13"/>
  <c r="BB120" i="12"/>
  <c r="AJ107" i="6" s="1"/>
  <c r="W8" i="7" s="1"/>
  <c r="BD428" i="12"/>
  <c r="BC103" i="12"/>
  <c r="BC113" i="12" s="1"/>
  <c r="BD379" i="12"/>
  <c r="BK558" i="12"/>
  <c r="BK301" i="12"/>
  <c r="BD434" i="12"/>
  <c r="BC109" i="12"/>
  <c r="BC119" i="12" s="1"/>
  <c r="N12" i="14"/>
  <c r="M46" i="14" s="1"/>
  <c r="BE662" i="12"/>
  <c r="BE659" i="12"/>
  <c r="BE660" i="12"/>
  <c r="BE657" i="12"/>
  <c r="BE658" i="12"/>
  <c r="BE655" i="12"/>
  <c r="BE656" i="12"/>
  <c r="BE661" i="12"/>
  <c r="BF403" i="12"/>
  <c r="BF407" i="12" s="1"/>
  <c r="BI752" i="12"/>
  <c r="BI749" i="12"/>
  <c r="BI755" i="12"/>
  <c r="BE54" i="13"/>
  <c r="BE57" i="13"/>
  <c r="BD427" i="12"/>
  <c r="BC102" i="12"/>
  <c r="BC112" i="12" s="1"/>
  <c r="BD430" i="12"/>
  <c r="BC105" i="12"/>
  <c r="BC115" i="12" s="1"/>
  <c r="BD429" i="12"/>
  <c r="BC104" i="12"/>
  <c r="BC114" i="12" s="1"/>
  <c r="AD43" i="14"/>
  <c r="AF43" i="14" s="1"/>
  <c r="AQ83" i="6" s="1"/>
  <c r="AH43" i="14"/>
  <c r="AQ113" i="6" s="1"/>
  <c r="AD14" i="7" s="1"/>
  <c r="W45" i="14"/>
  <c r="X45" i="14"/>
  <c r="X103" i="6" l="1"/>
  <c r="X107" i="6"/>
  <c r="U8" i="7" s="1"/>
  <c r="AD3" i="7"/>
  <c r="AF16" i="7"/>
  <c r="AF18" i="7" s="1"/>
  <c r="X108" i="6"/>
  <c r="U9" i="7" s="1"/>
  <c r="X109" i="6"/>
  <c r="U10" i="7" s="1"/>
  <c r="X110" i="6"/>
  <c r="X113" i="6"/>
  <c r="U14" i="7" s="1"/>
  <c r="X114" i="6"/>
  <c r="U15" i="7" s="1"/>
  <c r="X47" i="6"/>
  <c r="U27" i="7" s="1"/>
  <c r="X84" i="6"/>
  <c r="U4" i="7" s="1"/>
  <c r="X83" i="6"/>
  <c r="Z45" i="14"/>
  <c r="AC45" i="14" s="1"/>
  <c r="C236" i="16"/>
  <c r="D234" i="16"/>
  <c r="P193" i="16"/>
  <c r="BK366" i="12"/>
  <c r="BK396" i="12"/>
  <c r="J46" i="14"/>
  <c r="BH644" i="12"/>
  <c r="BH643" i="12"/>
  <c r="BI398" i="12"/>
  <c r="BI401" i="12" s="1"/>
  <c r="BH370" i="12"/>
  <c r="BH375" i="12" s="1"/>
  <c r="BH372" i="12"/>
  <c r="BH377" i="12" s="1"/>
  <c r="BH371" i="12"/>
  <c r="BH376" i="12" s="1"/>
  <c r="BI368" i="12"/>
  <c r="BI369" i="12" s="1"/>
  <c r="K46" i="14"/>
  <c r="BH405" i="12"/>
  <c r="BH399" i="12"/>
  <c r="BH400" i="12"/>
  <c r="BH404" i="12" s="1"/>
  <c r="BI640" i="12"/>
  <c r="BI639" i="12"/>
  <c r="BJ395" i="12"/>
  <c r="BF57" i="13"/>
  <c r="BJ752" i="12"/>
  <c r="BJ750" i="12"/>
  <c r="BJ753" i="12"/>
  <c r="BJ751" i="12"/>
  <c r="BC120" i="12"/>
  <c r="AK107" i="6" s="1"/>
  <c r="X8" i="7" s="1"/>
  <c r="AA45" i="14"/>
  <c r="BE430" i="12"/>
  <c r="BD105" i="12"/>
  <c r="BD115" i="12" s="1"/>
  <c r="N11" i="14"/>
  <c r="N10" i="14" s="1"/>
  <c r="X189" i="16"/>
  <c r="N189" i="16"/>
  <c r="F189" i="16"/>
  <c r="W189" i="16"/>
  <c r="Q189" i="16"/>
  <c r="M189" i="16"/>
  <c r="I189" i="16"/>
  <c r="V189" i="16"/>
  <c r="O189" i="16"/>
  <c r="K189" i="16"/>
  <c r="K121" i="16"/>
  <c r="Y189" i="16"/>
  <c r="G189" i="16"/>
  <c r="U189" i="16"/>
  <c r="C60" i="16"/>
  <c r="D60" i="16" s="1"/>
  <c r="C170" i="16" s="1"/>
  <c r="E167" i="16" s="1"/>
  <c r="BK445" i="12"/>
  <c r="BK443" i="12"/>
  <c r="BK441" i="12"/>
  <c r="BK439" i="12"/>
  <c r="BK444" i="12"/>
  <c r="BK440" i="12"/>
  <c r="BK442" i="12"/>
  <c r="BK438" i="12"/>
  <c r="BE433" i="12"/>
  <c r="BD108" i="12"/>
  <c r="BD118" i="12" s="1"/>
  <c r="BE58" i="13"/>
  <c r="AQ84" i="6" s="1"/>
  <c r="AD4" i="7" s="1"/>
  <c r="BE431" i="12"/>
  <c r="BD106" i="12"/>
  <c r="BD116" i="12" s="1"/>
  <c r="BF52" i="13"/>
  <c r="BF53" i="13"/>
  <c r="BK458" i="12"/>
  <c r="BK456" i="12"/>
  <c r="BK454" i="12"/>
  <c r="BK457" i="12"/>
  <c r="BK452" i="12"/>
  <c r="BK459" i="12"/>
  <c r="BK455" i="12"/>
  <c r="BK453" i="12"/>
  <c r="BE427" i="12"/>
  <c r="BD102" i="12"/>
  <c r="BD112" i="12" s="1"/>
  <c r="BG403" i="12"/>
  <c r="BG407" i="12" s="1"/>
  <c r="BF33" i="13"/>
  <c r="AR111" i="6" s="1"/>
  <c r="AE13" i="7" s="1"/>
  <c r="BJ754" i="12"/>
  <c r="BJ755" i="12"/>
  <c r="BG642" i="12"/>
  <c r="BG647" i="12" s="1"/>
  <c r="BK395" i="12"/>
  <c r="BJ364" i="12"/>
  <c r="BJ634" i="12"/>
  <c r="BJ637" i="12" s="1"/>
  <c r="BE432" i="12"/>
  <c r="BD107" i="12"/>
  <c r="BD117" i="12" s="1"/>
  <c r="R46" i="14"/>
  <c r="S46" i="14" s="1"/>
  <c r="E47" i="14"/>
  <c r="T46" i="14"/>
  <c r="U46" i="14" s="1"/>
  <c r="G46" i="14"/>
  <c r="H46" i="14"/>
  <c r="BF54" i="13"/>
  <c r="BF55" i="13"/>
  <c r="BE429" i="12"/>
  <c r="BD104" i="12"/>
  <c r="BD114" i="12" s="1"/>
  <c r="BE434" i="12"/>
  <c r="BD109" i="12"/>
  <c r="BD119" i="12" s="1"/>
  <c r="BJ748" i="12"/>
  <c r="BJ749" i="12"/>
  <c r="BF647" i="12"/>
  <c r="BF374" i="12"/>
  <c r="BF379" i="12" s="1"/>
  <c r="B114" i="16"/>
  <c r="C113" i="16"/>
  <c r="D113" i="16" s="1"/>
  <c r="D168" i="16" s="1"/>
  <c r="BJ365" i="12"/>
  <c r="BK587" i="12"/>
  <c r="BK585" i="12"/>
  <c r="BK583" i="12"/>
  <c r="BK581" i="12"/>
  <c r="BK584" i="12"/>
  <c r="BK582" i="12"/>
  <c r="BK588" i="12"/>
  <c r="BK586" i="12"/>
  <c r="BF56" i="13"/>
  <c r="BJ151" i="12"/>
  <c r="BJ149" i="12"/>
  <c r="BJ147" i="12"/>
  <c r="BJ145" i="12"/>
  <c r="BJ148" i="12"/>
  <c r="BJ146" i="12"/>
  <c r="BJ152" i="12"/>
  <c r="BJ150" i="12"/>
  <c r="BE428" i="12"/>
  <c r="BD103" i="12"/>
  <c r="BD113" i="12" s="1"/>
  <c r="BJ394" i="12"/>
  <c r="O46" i="14"/>
  <c r="P11" i="14"/>
  <c r="BF50" i="13"/>
  <c r="BF51" i="13"/>
  <c r="AH44" i="14"/>
  <c r="AR113" i="6" s="1"/>
  <c r="AE14" i="7" s="1"/>
  <c r="AD44" i="14"/>
  <c r="AF44" i="14" s="1"/>
  <c r="AR83" i="6" s="1"/>
  <c r="W46" i="14"/>
  <c r="X46" i="14"/>
  <c r="AE3" i="7" l="1"/>
  <c r="U16" i="7"/>
  <c r="U18" i="7" s="1"/>
  <c r="U3" i="7"/>
  <c r="Z46" i="14"/>
  <c r="AC46" i="14" s="1"/>
  <c r="E168" i="16"/>
  <c r="E166" i="16"/>
  <c r="F167" i="16"/>
  <c r="F170" i="16"/>
  <c r="E170" i="16"/>
  <c r="E148" i="16"/>
  <c r="E133" i="16"/>
  <c r="F148" i="16"/>
  <c r="E131" i="16"/>
  <c r="E135" i="16"/>
  <c r="E146" i="16"/>
  <c r="E149" i="16"/>
  <c r="E139" i="16"/>
  <c r="E134" i="16"/>
  <c r="F131" i="16"/>
  <c r="F146" i="16"/>
  <c r="E142" i="16"/>
  <c r="F134" i="16"/>
  <c r="E130" i="16"/>
  <c r="E145" i="16"/>
  <c r="F151" i="16"/>
  <c r="F142" i="16"/>
  <c r="E150" i="16"/>
  <c r="E141" i="16"/>
  <c r="E137" i="16"/>
  <c r="E144" i="16"/>
  <c r="F130" i="16"/>
  <c r="F143" i="16"/>
  <c r="F144" i="16"/>
  <c r="F150" i="16"/>
  <c r="E140" i="16"/>
  <c r="E143" i="16"/>
  <c r="F136" i="16"/>
  <c r="F133" i="16"/>
  <c r="F140" i="16"/>
  <c r="E138" i="16"/>
  <c r="E147" i="16"/>
  <c r="F135" i="16"/>
  <c r="F152" i="16"/>
  <c r="F137" i="16"/>
  <c r="F145" i="16"/>
  <c r="F141" i="16"/>
  <c r="F132" i="16"/>
  <c r="E132" i="16"/>
  <c r="F139" i="16"/>
  <c r="E136" i="16"/>
  <c r="F147" i="16"/>
  <c r="F138" i="16"/>
  <c r="F149" i="16"/>
  <c r="E152" i="16"/>
  <c r="E151" i="16"/>
  <c r="F153" i="16"/>
  <c r="E153" i="16"/>
  <c r="F154" i="16"/>
  <c r="E155" i="16"/>
  <c r="E156" i="16"/>
  <c r="F155" i="16"/>
  <c r="E154" i="16"/>
  <c r="F156" i="16"/>
  <c r="F157" i="16"/>
  <c r="E158" i="16"/>
  <c r="E159" i="16"/>
  <c r="E157" i="16"/>
  <c r="F159" i="16"/>
  <c r="F158" i="16"/>
  <c r="E161" i="16"/>
  <c r="E160" i="16"/>
  <c r="F160" i="16"/>
  <c r="F161" i="16"/>
  <c r="E162" i="16"/>
  <c r="E163" i="16"/>
  <c r="F164" i="16"/>
  <c r="F162" i="16"/>
  <c r="F163" i="16"/>
  <c r="E164" i="16"/>
  <c r="F165" i="16"/>
  <c r="F168" i="16"/>
  <c r="E169" i="16"/>
  <c r="F166" i="16"/>
  <c r="E165" i="16"/>
  <c r="F169" i="16"/>
  <c r="D235" i="16"/>
  <c r="C237" i="16"/>
  <c r="P206" i="16"/>
  <c r="P201" i="16"/>
  <c r="P209" i="16"/>
  <c r="P213" i="16"/>
  <c r="P205" i="16"/>
  <c r="P217" i="16"/>
  <c r="P230" i="16"/>
  <c r="P232" i="16"/>
  <c r="P233" i="16"/>
  <c r="P236" i="16"/>
  <c r="P210" i="16"/>
  <c r="P197" i="16"/>
  <c r="P215" i="16"/>
  <c r="P219" i="16"/>
  <c r="P221" i="16"/>
  <c r="P222" i="16"/>
  <c r="P200" i="16"/>
  <c r="P204" i="16"/>
  <c r="P208" i="16"/>
  <c r="P212" i="16"/>
  <c r="P199" i="16"/>
  <c r="P203" i="16"/>
  <c r="P207" i="16"/>
  <c r="P211" i="16"/>
  <c r="P198" i="16"/>
  <c r="P220" i="16"/>
  <c r="P223" i="16"/>
  <c r="P225" i="16"/>
  <c r="P228" i="16"/>
  <c r="P234" i="16"/>
  <c r="P235" i="16"/>
  <c r="P214" i="16"/>
  <c r="P202" i="16"/>
  <c r="P216" i="16"/>
  <c r="P224" i="16"/>
  <c r="P226" i="16"/>
  <c r="P227" i="16"/>
  <c r="P237" i="16"/>
  <c r="P229" i="16"/>
  <c r="P218" i="16"/>
  <c r="P231" i="16"/>
  <c r="M47" i="14"/>
  <c r="J47" i="14"/>
  <c r="BI644" i="12"/>
  <c r="BI643" i="12"/>
  <c r="BI399" i="12"/>
  <c r="BI400" i="12"/>
  <c r="BI404" i="12" s="1"/>
  <c r="BI405" i="12"/>
  <c r="BI372" i="12"/>
  <c r="BI377" i="12" s="1"/>
  <c r="BI371" i="12"/>
  <c r="BI376" i="12" s="1"/>
  <c r="K47" i="14"/>
  <c r="BI370" i="12"/>
  <c r="BI375" i="12" s="1"/>
  <c r="BK633" i="12"/>
  <c r="BF58" i="13"/>
  <c r="AR84" i="6" s="1"/>
  <c r="AE4" i="7" s="1"/>
  <c r="AA46" i="14"/>
  <c r="BJ640" i="12"/>
  <c r="BJ638" i="12"/>
  <c r="BK754" i="12"/>
  <c r="BK753" i="12"/>
  <c r="BG56" i="13"/>
  <c r="BG51" i="13"/>
  <c r="BK752" i="12"/>
  <c r="BK751" i="12"/>
  <c r="BG54" i="13"/>
  <c r="BG57" i="13"/>
  <c r="BK750" i="12"/>
  <c r="BK749" i="12"/>
  <c r="BG52" i="13"/>
  <c r="BG55" i="13"/>
  <c r="BK755" i="12"/>
  <c r="BK748" i="12"/>
  <c r="BG50" i="13"/>
  <c r="BG53" i="13"/>
  <c r="P10" i="14"/>
  <c r="O48" i="14" s="1"/>
  <c r="O47" i="14"/>
  <c r="Y95" i="6"/>
  <c r="Y76" i="6"/>
  <c r="AU15" i="6" a="1"/>
  <c r="BK151" i="12"/>
  <c r="BK149" i="12"/>
  <c r="BK147" i="12"/>
  <c r="BK145" i="12"/>
  <c r="BK152" i="12"/>
  <c r="BK150" i="12"/>
  <c r="BK148" i="12"/>
  <c r="BK146" i="12"/>
  <c r="BF432" i="12"/>
  <c r="BE107" i="12"/>
  <c r="BE117" i="12" s="1"/>
  <c r="BJ368" i="12"/>
  <c r="BJ370" i="12" s="1"/>
  <c r="BD120" i="12"/>
  <c r="AL107" i="6" s="1"/>
  <c r="Y8" i="7" s="1"/>
  <c r="K125" i="16"/>
  <c r="Q193" i="16"/>
  <c r="X193" i="16"/>
  <c r="BF430" i="12"/>
  <c r="BE105" i="12"/>
  <c r="BE115" i="12" s="1"/>
  <c r="BF656" i="12"/>
  <c r="BF655" i="12"/>
  <c r="BF662" i="12"/>
  <c r="BF661" i="12"/>
  <c r="BF660" i="12"/>
  <c r="BF659" i="12"/>
  <c r="BF658" i="12"/>
  <c r="BF657" i="12"/>
  <c r="R47" i="14"/>
  <c r="S47" i="14" s="1"/>
  <c r="E48" i="14"/>
  <c r="T47" i="14"/>
  <c r="U47" i="14" s="1"/>
  <c r="G47" i="14"/>
  <c r="H47" i="14"/>
  <c r="BG657" i="12"/>
  <c r="BG660" i="12"/>
  <c r="BG655" i="12"/>
  <c r="BG658" i="12"/>
  <c r="BG661" i="12"/>
  <c r="BG656" i="12"/>
  <c r="BG659" i="12"/>
  <c r="BG662" i="12"/>
  <c r="BF427" i="12"/>
  <c r="BE102" i="12"/>
  <c r="BE112" i="12" s="1"/>
  <c r="BF431" i="12"/>
  <c r="BE106" i="12"/>
  <c r="BE116" i="12" s="1"/>
  <c r="BK364" i="12"/>
  <c r="BK394" i="12"/>
  <c r="U193" i="16"/>
  <c r="K193" i="16"/>
  <c r="V193" i="16"/>
  <c r="W193" i="16"/>
  <c r="BG374" i="12"/>
  <c r="BG379" i="12" s="1"/>
  <c r="BH642" i="12"/>
  <c r="BH647" i="12" s="1"/>
  <c r="BK365" i="12"/>
  <c r="BK634" i="12"/>
  <c r="BF433" i="12"/>
  <c r="BE108" i="12"/>
  <c r="BE118" i="12" s="1"/>
  <c r="G193" i="16"/>
  <c r="I193" i="16"/>
  <c r="F193" i="16"/>
  <c r="M48" i="14"/>
  <c r="BJ398" i="12"/>
  <c r="BJ399" i="12" s="1"/>
  <c r="BF428" i="12"/>
  <c r="BE103" i="12"/>
  <c r="BE113" i="12" s="1"/>
  <c r="B115" i="16"/>
  <c r="C114" i="16"/>
  <c r="D114" i="16" s="1"/>
  <c r="D169" i="16" s="1"/>
  <c r="BF434" i="12"/>
  <c r="BE109" i="12"/>
  <c r="BE119" i="12" s="1"/>
  <c r="BF429" i="12"/>
  <c r="BE104" i="12"/>
  <c r="BE114" i="12" s="1"/>
  <c r="BJ639" i="12"/>
  <c r="BH403" i="12"/>
  <c r="BH407" i="12" s="1"/>
  <c r="Y193" i="16"/>
  <c r="O193" i="16"/>
  <c r="M193" i="16"/>
  <c r="M197" i="16" s="1"/>
  <c r="N193" i="16"/>
  <c r="AH45" i="14"/>
  <c r="AS113" i="6" s="1"/>
  <c r="AF14" i="7" s="1"/>
  <c r="AD45" i="14"/>
  <c r="AF45" i="14" s="1"/>
  <c r="AS83" i="6" s="1"/>
  <c r="W47" i="14"/>
  <c r="X47" i="14"/>
  <c r="Y103" i="6" l="1"/>
  <c r="Y107" i="6"/>
  <c r="AS111" i="6"/>
  <c r="AF3" i="7"/>
  <c r="Y114" i="6"/>
  <c r="Y108" i="6"/>
  <c r="V9" i="7" s="1"/>
  <c r="Y109" i="6"/>
  <c r="V10" i="7" s="1"/>
  <c r="Y110" i="6"/>
  <c r="Y111" i="6"/>
  <c r="Y113" i="6"/>
  <c r="V14" i="7" s="1"/>
  <c r="Y84" i="6"/>
  <c r="V4" i="7" s="1"/>
  <c r="Y83" i="6"/>
  <c r="Y47" i="6"/>
  <c r="Z47" i="14"/>
  <c r="AC47" i="14" s="1"/>
  <c r="K132" i="16"/>
  <c r="L132" i="16" s="1"/>
  <c r="K131" i="16"/>
  <c r="L131" i="16" s="1"/>
  <c r="K130" i="16"/>
  <c r="L130" i="16" s="1"/>
  <c r="K133" i="16"/>
  <c r="L133" i="16" s="1"/>
  <c r="K134" i="16"/>
  <c r="L134" i="16" s="1"/>
  <c r="K135" i="16"/>
  <c r="L135" i="16" s="1"/>
  <c r="K136" i="16"/>
  <c r="L136" i="16" s="1"/>
  <c r="K137" i="16"/>
  <c r="L137" i="16" s="1"/>
  <c r="K138" i="16"/>
  <c r="L138" i="16" s="1"/>
  <c r="K139" i="16"/>
  <c r="L139" i="16" s="1"/>
  <c r="K140" i="16"/>
  <c r="L140" i="16" s="1"/>
  <c r="K141" i="16"/>
  <c r="L141" i="16" s="1"/>
  <c r="K142" i="16"/>
  <c r="L142" i="16" s="1"/>
  <c r="K143" i="16"/>
  <c r="L143" i="16" s="1"/>
  <c r="K144" i="16"/>
  <c r="L144" i="16" s="1"/>
  <c r="K145" i="16"/>
  <c r="L145" i="16" s="1"/>
  <c r="K146" i="16"/>
  <c r="L146" i="16" s="1"/>
  <c r="K147" i="16"/>
  <c r="L147" i="16" s="1"/>
  <c r="K148" i="16"/>
  <c r="L148" i="16" s="1"/>
  <c r="K149" i="16"/>
  <c r="L149" i="16" s="1"/>
  <c r="K150" i="16"/>
  <c r="L150" i="16" s="1"/>
  <c r="K151" i="16"/>
  <c r="L151" i="16" s="1"/>
  <c r="K152" i="16"/>
  <c r="L152" i="16" s="1"/>
  <c r="K153" i="16"/>
  <c r="L153" i="16" s="1"/>
  <c r="K154" i="16"/>
  <c r="L154" i="16" s="1"/>
  <c r="K155" i="16"/>
  <c r="L155" i="16" s="1"/>
  <c r="K156" i="16"/>
  <c r="L156" i="16" s="1"/>
  <c r="K157" i="16"/>
  <c r="L157" i="16" s="1"/>
  <c r="K158" i="16"/>
  <c r="L158" i="16" s="1"/>
  <c r="K159" i="16"/>
  <c r="L159" i="16" s="1"/>
  <c r="K160" i="16"/>
  <c r="L160" i="16" s="1"/>
  <c r="K161" i="16"/>
  <c r="L161" i="16" s="1"/>
  <c r="K162" i="16"/>
  <c r="L162" i="16" s="1"/>
  <c r="K163" i="16"/>
  <c r="L163" i="16" s="1"/>
  <c r="K164" i="16"/>
  <c r="L164" i="16" s="1"/>
  <c r="K165" i="16"/>
  <c r="L165" i="16" s="1"/>
  <c r="K166" i="16"/>
  <c r="L166" i="16" s="1"/>
  <c r="K167" i="16"/>
  <c r="L167" i="16" s="1"/>
  <c r="K168" i="16"/>
  <c r="L168" i="16" s="1"/>
  <c r="K169" i="16"/>
  <c r="L169" i="16" s="1"/>
  <c r="K170" i="16"/>
  <c r="L170" i="16" s="1"/>
  <c r="D236" i="16"/>
  <c r="F197" i="16"/>
  <c r="W171" i="12" s="1"/>
  <c r="F198" i="16"/>
  <c r="X171" i="12" s="1"/>
  <c r="F199" i="16"/>
  <c r="Y171" i="12" s="1"/>
  <c r="F200" i="16"/>
  <c r="Z171" i="12" s="1"/>
  <c r="F201" i="16"/>
  <c r="AA171" i="12" s="1"/>
  <c r="F202" i="16"/>
  <c r="AB171" i="12" s="1"/>
  <c r="F203" i="16"/>
  <c r="AC171" i="12" s="1"/>
  <c r="F204" i="16"/>
  <c r="AD171" i="12" s="1"/>
  <c r="F205" i="16"/>
  <c r="AE171" i="12" s="1"/>
  <c r="F206" i="16"/>
  <c r="AF171" i="12" s="1"/>
  <c r="F207" i="16"/>
  <c r="AG171" i="12" s="1"/>
  <c r="F208" i="16"/>
  <c r="AH171" i="12" s="1"/>
  <c r="F209" i="16"/>
  <c r="AI171" i="12" s="1"/>
  <c r="F210" i="16"/>
  <c r="AJ171" i="12" s="1"/>
  <c r="F211" i="16"/>
  <c r="AK171" i="12" s="1"/>
  <c r="F212" i="16"/>
  <c r="AL171" i="12" s="1"/>
  <c r="F213" i="16"/>
  <c r="AM171" i="12" s="1"/>
  <c r="F214" i="16"/>
  <c r="AN171" i="12" s="1"/>
  <c r="F216" i="16"/>
  <c r="AP171" i="12" s="1"/>
  <c r="F218" i="16"/>
  <c r="AR171" i="12" s="1"/>
  <c r="F220" i="16"/>
  <c r="AT171" i="12" s="1"/>
  <c r="F222" i="16"/>
  <c r="AV171" i="12" s="1"/>
  <c r="F225" i="16"/>
  <c r="AY171" i="12" s="1"/>
  <c r="F232" i="16"/>
  <c r="BF171" i="12" s="1"/>
  <c r="F233" i="16"/>
  <c r="BG171" i="12" s="1"/>
  <c r="F234" i="16"/>
  <c r="BH171" i="12" s="1"/>
  <c r="F235" i="16"/>
  <c r="BI171" i="12" s="1"/>
  <c r="F236" i="16"/>
  <c r="BJ171" i="12" s="1"/>
  <c r="F237" i="16"/>
  <c r="BK171" i="12" s="1"/>
  <c r="F215" i="16"/>
  <c r="AO171" i="12" s="1"/>
  <c r="F223" i="16"/>
  <c r="AW171" i="12" s="1"/>
  <c r="F226" i="16"/>
  <c r="AZ171" i="12" s="1"/>
  <c r="F227" i="16"/>
  <c r="BA171" i="12" s="1"/>
  <c r="F229" i="16"/>
  <c r="BC171" i="12" s="1"/>
  <c r="F230" i="16"/>
  <c r="BD171" i="12" s="1"/>
  <c r="F217" i="16"/>
  <c r="AQ171" i="12" s="1"/>
  <c r="F224" i="16"/>
  <c r="AX171" i="12" s="1"/>
  <c r="F228" i="16"/>
  <c r="BB171" i="12" s="1"/>
  <c r="F219" i="16"/>
  <c r="AS171" i="12" s="1"/>
  <c r="F221" i="16"/>
  <c r="AU171" i="12" s="1"/>
  <c r="F231" i="16"/>
  <c r="BE171" i="12" s="1"/>
  <c r="U201" i="16"/>
  <c r="AA172" i="12" s="1"/>
  <c r="U209" i="16"/>
  <c r="AI172" i="12" s="1"/>
  <c r="U221" i="16"/>
  <c r="AU172" i="12" s="1"/>
  <c r="U224" i="16"/>
  <c r="AX172" i="12" s="1"/>
  <c r="U226" i="16"/>
  <c r="AZ172" i="12" s="1"/>
  <c r="U228" i="16"/>
  <c r="BB172" i="12" s="1"/>
  <c r="U229" i="16"/>
  <c r="BC172" i="12" s="1"/>
  <c r="U231" i="16"/>
  <c r="BE172" i="12" s="1"/>
  <c r="U233" i="16"/>
  <c r="BG172" i="12" s="1"/>
  <c r="U197" i="16"/>
  <c r="W172" i="12" s="1"/>
  <c r="U205" i="16"/>
  <c r="AE172" i="12" s="1"/>
  <c r="U213" i="16"/>
  <c r="AM172" i="12" s="1"/>
  <c r="U198" i="16"/>
  <c r="X172" i="12" s="1"/>
  <c r="U202" i="16"/>
  <c r="AB172" i="12" s="1"/>
  <c r="U206" i="16"/>
  <c r="AF172" i="12" s="1"/>
  <c r="U210" i="16"/>
  <c r="AJ172" i="12" s="1"/>
  <c r="U215" i="16"/>
  <c r="AO172" i="12" s="1"/>
  <c r="U214" i="16"/>
  <c r="AN172" i="12" s="1"/>
  <c r="U225" i="16"/>
  <c r="AY172" i="12" s="1"/>
  <c r="U227" i="16"/>
  <c r="BA172" i="12" s="1"/>
  <c r="U232" i="16"/>
  <c r="BF172" i="12" s="1"/>
  <c r="U235" i="16"/>
  <c r="BI172" i="12" s="1"/>
  <c r="U237" i="16"/>
  <c r="BK172" i="12" s="1"/>
  <c r="U216" i="16"/>
  <c r="AP172" i="12" s="1"/>
  <c r="U200" i="16"/>
  <c r="Z172" i="12" s="1"/>
  <c r="U204" i="16"/>
  <c r="AD172" i="12" s="1"/>
  <c r="U208" i="16"/>
  <c r="AH172" i="12" s="1"/>
  <c r="U212" i="16"/>
  <c r="AL172" i="12" s="1"/>
  <c r="U199" i="16"/>
  <c r="Y172" i="12" s="1"/>
  <c r="U203" i="16"/>
  <c r="AC172" i="12" s="1"/>
  <c r="U207" i="16"/>
  <c r="AG172" i="12" s="1"/>
  <c r="U211" i="16"/>
  <c r="AK172" i="12" s="1"/>
  <c r="U219" i="16"/>
  <c r="AS172" i="12" s="1"/>
  <c r="U236" i="16"/>
  <c r="BJ172" i="12" s="1"/>
  <c r="U218" i="16"/>
  <c r="AR172" i="12" s="1"/>
  <c r="U220" i="16"/>
  <c r="AT172" i="12" s="1"/>
  <c r="U222" i="16"/>
  <c r="AV172" i="12" s="1"/>
  <c r="U223" i="16"/>
  <c r="AW172" i="12" s="1"/>
  <c r="U234" i="16"/>
  <c r="BH172" i="12" s="1"/>
  <c r="U217" i="16"/>
  <c r="AQ172" i="12" s="1"/>
  <c r="U230" i="16"/>
  <c r="BD172" i="12" s="1"/>
  <c r="W199" i="16"/>
  <c r="W203" i="16"/>
  <c r="AC275" i="12" s="1"/>
  <c r="W214" i="16"/>
  <c r="AN275" i="12" s="1"/>
  <c r="W216" i="16"/>
  <c r="W217" i="16"/>
  <c r="AQ275" i="12" s="1"/>
  <c r="W218" i="16"/>
  <c r="AR275" i="12" s="1"/>
  <c r="W219" i="16"/>
  <c r="AS275" i="12" s="1"/>
  <c r="W220" i="16"/>
  <c r="W221" i="16"/>
  <c r="AU275" i="12" s="1"/>
  <c r="W222" i="16"/>
  <c r="AV275" i="12" s="1"/>
  <c r="W223" i="16"/>
  <c r="W224" i="16"/>
  <c r="AX275" i="12" s="1"/>
  <c r="W225" i="16"/>
  <c r="AY275" i="12" s="1"/>
  <c r="W226" i="16"/>
  <c r="AZ275" i="12" s="1"/>
  <c r="W227" i="16"/>
  <c r="W228" i="16"/>
  <c r="W229" i="16"/>
  <c r="BC275" i="12" s="1"/>
  <c r="W230" i="16"/>
  <c r="BD275" i="12" s="1"/>
  <c r="W215" i="16"/>
  <c r="W197" i="16"/>
  <c r="W201" i="16"/>
  <c r="AA275" i="12" s="1"/>
  <c r="W205" i="16"/>
  <c r="AE275" i="12" s="1"/>
  <c r="W209" i="16"/>
  <c r="AI275" i="12" s="1"/>
  <c r="W213" i="16"/>
  <c r="W200" i="16"/>
  <c r="W204" i="16"/>
  <c r="AD275" i="12" s="1"/>
  <c r="W208" i="16"/>
  <c r="W212" i="16"/>
  <c r="AL275" i="12" s="1"/>
  <c r="W198" i="16"/>
  <c r="W206" i="16"/>
  <c r="AF275" i="12" s="1"/>
  <c r="W207" i="16"/>
  <c r="W210" i="16"/>
  <c r="AJ275" i="12" s="1"/>
  <c r="W232" i="16"/>
  <c r="BF275" i="12" s="1"/>
  <c r="W234" i="16"/>
  <c r="BH275" i="12" s="1"/>
  <c r="W202" i="16"/>
  <c r="AB275" i="12" s="1"/>
  <c r="W211" i="16"/>
  <c r="W231" i="16"/>
  <c r="W233" i="16"/>
  <c r="W235" i="16"/>
  <c r="BI275" i="12" s="1"/>
  <c r="W236" i="16"/>
  <c r="BJ275" i="12" s="1"/>
  <c r="W237" i="16"/>
  <c r="BK275" i="12" s="1"/>
  <c r="I201" i="16"/>
  <c r="AA201" i="12" s="1"/>
  <c r="I218" i="16"/>
  <c r="AR201" i="12" s="1"/>
  <c r="I219" i="16"/>
  <c r="AS201" i="12" s="1"/>
  <c r="I223" i="16"/>
  <c r="AW201" i="12" s="1"/>
  <c r="I229" i="16"/>
  <c r="BC201" i="12" s="1"/>
  <c r="I199" i="16"/>
  <c r="Y201" i="12" s="1"/>
  <c r="I203" i="16"/>
  <c r="AC201" i="12" s="1"/>
  <c r="I207" i="16"/>
  <c r="AG201" i="12" s="1"/>
  <c r="I211" i="16"/>
  <c r="AK201" i="12" s="1"/>
  <c r="I198" i="16"/>
  <c r="X201" i="12" s="1"/>
  <c r="I202" i="16"/>
  <c r="AB201" i="12" s="1"/>
  <c r="I206" i="16"/>
  <c r="AF201" i="12" s="1"/>
  <c r="I210" i="16"/>
  <c r="AJ201" i="12" s="1"/>
  <c r="I200" i="16"/>
  <c r="Z201" i="12" s="1"/>
  <c r="I204" i="16"/>
  <c r="AD201" i="12" s="1"/>
  <c r="I208" i="16"/>
  <c r="AH201" i="12" s="1"/>
  <c r="I212" i="16"/>
  <c r="AL201" i="12" s="1"/>
  <c r="I205" i="16"/>
  <c r="AE201" i="12" s="1"/>
  <c r="I221" i="16"/>
  <c r="AU201" i="12" s="1"/>
  <c r="I224" i="16"/>
  <c r="AX201" i="12" s="1"/>
  <c r="I225" i="16"/>
  <c r="AY201" i="12" s="1"/>
  <c r="I226" i="16"/>
  <c r="AZ201" i="12" s="1"/>
  <c r="I230" i="16"/>
  <c r="BD201" i="12" s="1"/>
  <c r="I231" i="16"/>
  <c r="BE201" i="12" s="1"/>
  <c r="I232" i="16"/>
  <c r="BF201" i="12" s="1"/>
  <c r="I235" i="16"/>
  <c r="BI201" i="12" s="1"/>
  <c r="I209" i="16"/>
  <c r="AI201" i="12" s="1"/>
  <c r="I215" i="16"/>
  <c r="AO201" i="12" s="1"/>
  <c r="I214" i="16"/>
  <c r="AN201" i="12" s="1"/>
  <c r="I216" i="16"/>
  <c r="AP201" i="12" s="1"/>
  <c r="I217" i="16"/>
  <c r="AQ201" i="12" s="1"/>
  <c r="I222" i="16"/>
  <c r="AV201" i="12" s="1"/>
  <c r="I227" i="16"/>
  <c r="BA201" i="12" s="1"/>
  <c r="I237" i="16"/>
  <c r="BK201" i="12" s="1"/>
  <c r="I197" i="16"/>
  <c r="W201" i="12" s="1"/>
  <c r="I213" i="16"/>
  <c r="AM201" i="12" s="1"/>
  <c r="I234" i="16"/>
  <c r="BH201" i="12" s="1"/>
  <c r="I220" i="16"/>
  <c r="AT201" i="12" s="1"/>
  <c r="I228" i="16"/>
  <c r="BB201" i="12" s="1"/>
  <c r="I233" i="16"/>
  <c r="BG201" i="12" s="1"/>
  <c r="I236" i="16"/>
  <c r="BJ201" i="12" s="1"/>
  <c r="G197" i="16"/>
  <c r="W219" i="12" s="1"/>
  <c r="G201" i="16"/>
  <c r="AA219" i="12" s="1"/>
  <c r="G205" i="16"/>
  <c r="AE219" i="12" s="1"/>
  <c r="G209" i="16"/>
  <c r="AI219" i="12" s="1"/>
  <c r="G213" i="16"/>
  <c r="AM219" i="12" s="1"/>
  <c r="G200" i="16"/>
  <c r="Z219" i="12" s="1"/>
  <c r="G204" i="16"/>
  <c r="AD219" i="12" s="1"/>
  <c r="G208" i="16"/>
  <c r="AH219" i="12" s="1"/>
  <c r="G212" i="16"/>
  <c r="AL219" i="12" s="1"/>
  <c r="G216" i="16"/>
  <c r="AP219" i="12" s="1"/>
  <c r="G217" i="16"/>
  <c r="AQ219" i="12" s="1"/>
  <c r="G218" i="16"/>
  <c r="AR219" i="12" s="1"/>
  <c r="G219" i="16"/>
  <c r="AS219" i="12" s="1"/>
  <c r="G220" i="16"/>
  <c r="AT219" i="12" s="1"/>
  <c r="G221" i="16"/>
  <c r="AU219" i="12" s="1"/>
  <c r="G222" i="16"/>
  <c r="AV219" i="12" s="1"/>
  <c r="G223" i="16"/>
  <c r="AW219" i="12" s="1"/>
  <c r="G224" i="16"/>
  <c r="AX219" i="12" s="1"/>
  <c r="G225" i="16"/>
  <c r="AY219" i="12" s="1"/>
  <c r="G226" i="16"/>
  <c r="AZ219" i="12" s="1"/>
  <c r="G227" i="16"/>
  <c r="BA219" i="12" s="1"/>
  <c r="G228" i="16"/>
  <c r="BB219" i="12" s="1"/>
  <c r="G229" i="16"/>
  <c r="BC219" i="12" s="1"/>
  <c r="G230" i="16"/>
  <c r="BD219" i="12" s="1"/>
  <c r="G231" i="16"/>
  <c r="BE219" i="12" s="1"/>
  <c r="G202" i="16"/>
  <c r="AB219" i="12" s="1"/>
  <c r="G210" i="16"/>
  <c r="AJ219" i="12" s="1"/>
  <c r="G234" i="16"/>
  <c r="BH219" i="12" s="1"/>
  <c r="G237" i="16"/>
  <c r="BK219" i="12" s="1"/>
  <c r="G215" i="16"/>
  <c r="AO219" i="12" s="1"/>
  <c r="G214" i="16"/>
  <c r="AN219" i="12" s="1"/>
  <c r="G233" i="16"/>
  <c r="BG219" i="12" s="1"/>
  <c r="G235" i="16"/>
  <c r="BI219" i="12" s="1"/>
  <c r="G236" i="16"/>
  <c r="BJ219" i="12" s="1"/>
  <c r="G198" i="16"/>
  <c r="X219" i="12" s="1"/>
  <c r="G206" i="16"/>
  <c r="AF219" i="12" s="1"/>
  <c r="G199" i="16"/>
  <c r="Y219" i="12" s="1"/>
  <c r="G203" i="16"/>
  <c r="AC219" i="12" s="1"/>
  <c r="G207" i="16"/>
  <c r="AG219" i="12" s="1"/>
  <c r="G211" i="16"/>
  <c r="AK219" i="12" s="1"/>
  <c r="G232" i="16"/>
  <c r="BF219" i="12" s="1"/>
  <c r="X198" i="16"/>
  <c r="X202" i="16"/>
  <c r="X206" i="16"/>
  <c r="X210" i="16"/>
  <c r="AJ276" i="12" s="1"/>
  <c r="X197" i="16"/>
  <c r="W276" i="12" s="1"/>
  <c r="X201" i="16"/>
  <c r="X205" i="16"/>
  <c r="AE276" i="12" s="1"/>
  <c r="X209" i="16"/>
  <c r="X213" i="16"/>
  <c r="AM276" i="12" s="1"/>
  <c r="X203" i="16"/>
  <c r="AC276" i="12" s="1"/>
  <c r="X211" i="16"/>
  <c r="AK276" i="12" s="1"/>
  <c r="X204" i="16"/>
  <c r="AD276" i="12" s="1"/>
  <c r="X216" i="16"/>
  <c r="X230" i="16"/>
  <c r="X231" i="16"/>
  <c r="BE276" i="12" s="1"/>
  <c r="X208" i="16"/>
  <c r="AH276" i="12" s="1"/>
  <c r="X215" i="16"/>
  <c r="AO276" i="12" s="1"/>
  <c r="X214" i="16"/>
  <c r="X224" i="16"/>
  <c r="X225" i="16"/>
  <c r="AY276" i="12" s="1"/>
  <c r="X232" i="16"/>
  <c r="X199" i="16"/>
  <c r="X207" i="16"/>
  <c r="X212" i="16"/>
  <c r="AL276" i="12" s="1"/>
  <c r="X218" i="16"/>
  <c r="X220" i="16"/>
  <c r="AT276" i="12" s="1"/>
  <c r="X226" i="16"/>
  <c r="X227" i="16"/>
  <c r="BA276" i="12" s="1"/>
  <c r="X228" i="16"/>
  <c r="X229" i="16"/>
  <c r="X233" i="16"/>
  <c r="BG276" i="12" s="1"/>
  <c r="X236" i="16"/>
  <c r="BJ276" i="12" s="1"/>
  <c r="X200" i="16"/>
  <c r="X222" i="16"/>
  <c r="X234" i="16"/>
  <c r="X235" i="16"/>
  <c r="BI276" i="12" s="1"/>
  <c r="X237" i="16"/>
  <c r="X217" i="16"/>
  <c r="X219" i="16"/>
  <c r="AS276" i="12" s="1"/>
  <c r="X221" i="16"/>
  <c r="X223" i="16"/>
  <c r="AW276" i="12" s="1"/>
  <c r="N214" i="16"/>
  <c r="AN236" i="12" s="1"/>
  <c r="N220" i="16"/>
  <c r="AT236" i="12" s="1"/>
  <c r="N229" i="16"/>
  <c r="BC236" i="12" s="1"/>
  <c r="N233" i="16"/>
  <c r="BG236" i="12" s="1"/>
  <c r="N234" i="16"/>
  <c r="BH236" i="12" s="1"/>
  <c r="N235" i="16"/>
  <c r="BI236" i="12" s="1"/>
  <c r="N236" i="16"/>
  <c r="BJ236" i="12" s="1"/>
  <c r="N197" i="16"/>
  <c r="W236" i="12" s="1"/>
  <c r="N198" i="16"/>
  <c r="X236" i="12" s="1"/>
  <c r="N199" i="16"/>
  <c r="Y236" i="12" s="1"/>
  <c r="N200" i="16"/>
  <c r="Z236" i="12" s="1"/>
  <c r="N201" i="16"/>
  <c r="AA236" i="12" s="1"/>
  <c r="N202" i="16"/>
  <c r="AB236" i="12" s="1"/>
  <c r="N203" i="16"/>
  <c r="AC236" i="12" s="1"/>
  <c r="N204" i="16"/>
  <c r="AD236" i="12" s="1"/>
  <c r="N205" i="16"/>
  <c r="AE236" i="12" s="1"/>
  <c r="N206" i="16"/>
  <c r="AF236" i="12" s="1"/>
  <c r="N207" i="16"/>
  <c r="AG236" i="12" s="1"/>
  <c r="N208" i="16"/>
  <c r="AH236" i="12" s="1"/>
  <c r="N209" i="16"/>
  <c r="AI236" i="12" s="1"/>
  <c r="N210" i="16"/>
  <c r="AJ236" i="12" s="1"/>
  <c r="N211" i="16"/>
  <c r="AK236" i="12" s="1"/>
  <c r="N212" i="16"/>
  <c r="AL236" i="12" s="1"/>
  <c r="N213" i="16"/>
  <c r="AM236" i="12" s="1"/>
  <c r="N215" i="16"/>
  <c r="AO236" i="12" s="1"/>
  <c r="N218" i="16"/>
  <c r="AR236" i="12" s="1"/>
  <c r="N219" i="16"/>
  <c r="AS236" i="12" s="1"/>
  <c r="N223" i="16"/>
  <c r="AW236" i="12" s="1"/>
  <c r="N225" i="16"/>
  <c r="AY236" i="12" s="1"/>
  <c r="N227" i="16"/>
  <c r="BA236" i="12" s="1"/>
  <c r="N228" i="16"/>
  <c r="BB236" i="12" s="1"/>
  <c r="N237" i="16"/>
  <c r="BK236" i="12" s="1"/>
  <c r="N216" i="16"/>
  <c r="AP236" i="12" s="1"/>
  <c r="N226" i="16"/>
  <c r="AZ236" i="12" s="1"/>
  <c r="N231" i="16"/>
  <c r="BE236" i="12" s="1"/>
  <c r="N217" i="16"/>
  <c r="AQ236" i="12" s="1"/>
  <c r="N221" i="16"/>
  <c r="AU236" i="12" s="1"/>
  <c r="N224" i="16"/>
  <c r="AX236" i="12" s="1"/>
  <c r="N230" i="16"/>
  <c r="BD236" i="12" s="1"/>
  <c r="N222" i="16"/>
  <c r="AV236" i="12" s="1"/>
  <c r="N232" i="16"/>
  <c r="BF236" i="12" s="1"/>
  <c r="M212" i="16"/>
  <c r="AL235" i="12" s="1"/>
  <c r="M215" i="16"/>
  <c r="AO235" i="12" s="1"/>
  <c r="M216" i="16"/>
  <c r="AP235" i="12" s="1"/>
  <c r="M219" i="16"/>
  <c r="AS235" i="12" s="1"/>
  <c r="M222" i="16"/>
  <c r="AV235" i="12" s="1"/>
  <c r="M228" i="16"/>
  <c r="BB235" i="12" s="1"/>
  <c r="M229" i="16"/>
  <c r="BC235" i="12" s="1"/>
  <c r="M230" i="16"/>
  <c r="BD235" i="12" s="1"/>
  <c r="M237" i="16"/>
  <c r="BK235" i="12" s="1"/>
  <c r="M199" i="16"/>
  <c r="Y235" i="12" s="1"/>
  <c r="M207" i="16"/>
  <c r="AG235" i="12" s="1"/>
  <c r="M200" i="16"/>
  <c r="Z235" i="12" s="1"/>
  <c r="M220" i="16"/>
  <c r="AT235" i="12" s="1"/>
  <c r="M223" i="16"/>
  <c r="AW235" i="12" s="1"/>
  <c r="M226" i="16"/>
  <c r="AZ235" i="12" s="1"/>
  <c r="M234" i="16"/>
  <c r="BH235" i="12" s="1"/>
  <c r="M236" i="16"/>
  <c r="BJ235" i="12" s="1"/>
  <c r="M204" i="16"/>
  <c r="AD235" i="12" s="1"/>
  <c r="M214" i="16"/>
  <c r="AN235" i="12" s="1"/>
  <c r="M218" i="16"/>
  <c r="AR235" i="12" s="1"/>
  <c r="M224" i="16"/>
  <c r="AX235" i="12" s="1"/>
  <c r="M225" i="16"/>
  <c r="AY235" i="12" s="1"/>
  <c r="M227" i="16"/>
  <c r="BA235" i="12" s="1"/>
  <c r="M231" i="16"/>
  <c r="BE235" i="12" s="1"/>
  <c r="M198" i="16"/>
  <c r="X235" i="12" s="1"/>
  <c r="M202" i="16"/>
  <c r="AB235" i="12" s="1"/>
  <c r="M206" i="16"/>
  <c r="AF235" i="12" s="1"/>
  <c r="M210" i="16"/>
  <c r="AJ235" i="12" s="1"/>
  <c r="W235" i="12"/>
  <c r="M201" i="16"/>
  <c r="AA235" i="12" s="1"/>
  <c r="M205" i="16"/>
  <c r="AE235" i="12" s="1"/>
  <c r="M209" i="16"/>
  <c r="AI235" i="12" s="1"/>
  <c r="M213" i="16"/>
  <c r="AM235" i="12" s="1"/>
  <c r="M203" i="16"/>
  <c r="AC235" i="12" s="1"/>
  <c r="M211" i="16"/>
  <c r="AK235" i="12" s="1"/>
  <c r="M208" i="16"/>
  <c r="AH235" i="12" s="1"/>
  <c r="M232" i="16"/>
  <c r="BF235" i="12" s="1"/>
  <c r="M233" i="16"/>
  <c r="BG235" i="12" s="1"/>
  <c r="M217" i="16"/>
  <c r="AQ235" i="12" s="1"/>
  <c r="M235" i="16"/>
  <c r="BI235" i="12" s="1"/>
  <c r="M221" i="16"/>
  <c r="AU235" i="12" s="1"/>
  <c r="O218" i="16"/>
  <c r="AR237" i="12" s="1"/>
  <c r="O223" i="16"/>
  <c r="AW237" i="12" s="1"/>
  <c r="O224" i="16"/>
  <c r="AX237" i="12" s="1"/>
  <c r="O226" i="16"/>
  <c r="AZ237" i="12" s="1"/>
  <c r="O227" i="16"/>
  <c r="BA237" i="12" s="1"/>
  <c r="O232" i="16"/>
  <c r="BF237" i="12" s="1"/>
  <c r="O234" i="16"/>
  <c r="BH237" i="12" s="1"/>
  <c r="O204" i="16"/>
  <c r="AD237" i="12" s="1"/>
  <c r="O212" i="16"/>
  <c r="AL237" i="12" s="1"/>
  <c r="O208" i="16"/>
  <c r="AH237" i="12" s="1"/>
  <c r="O217" i="16"/>
  <c r="AQ237" i="12" s="1"/>
  <c r="O229" i="16"/>
  <c r="BC237" i="12" s="1"/>
  <c r="O233" i="16"/>
  <c r="BG237" i="12" s="1"/>
  <c r="O236" i="16"/>
  <c r="BJ237" i="12" s="1"/>
  <c r="O215" i="16"/>
  <c r="AO237" i="12" s="1"/>
  <c r="O199" i="16"/>
  <c r="Y237" i="12" s="1"/>
  <c r="O203" i="16"/>
  <c r="AC237" i="12" s="1"/>
  <c r="O207" i="16"/>
  <c r="AG237" i="12" s="1"/>
  <c r="O211" i="16"/>
  <c r="AK237" i="12" s="1"/>
  <c r="O198" i="16"/>
  <c r="X237" i="12" s="1"/>
  <c r="O202" i="16"/>
  <c r="AB237" i="12" s="1"/>
  <c r="O206" i="16"/>
  <c r="AF237" i="12" s="1"/>
  <c r="O210" i="16"/>
  <c r="AJ237" i="12" s="1"/>
  <c r="O216" i="16"/>
  <c r="AP237" i="12" s="1"/>
  <c r="O221" i="16"/>
  <c r="AU237" i="12" s="1"/>
  <c r="O222" i="16"/>
  <c r="AV237" i="12" s="1"/>
  <c r="O235" i="16"/>
  <c r="BI237" i="12" s="1"/>
  <c r="O214" i="16"/>
  <c r="AN237" i="12" s="1"/>
  <c r="O197" i="16"/>
  <c r="W237" i="12" s="1"/>
  <c r="O201" i="16"/>
  <c r="AA237" i="12" s="1"/>
  <c r="O205" i="16"/>
  <c r="AE237" i="12" s="1"/>
  <c r="O209" i="16"/>
  <c r="AI237" i="12" s="1"/>
  <c r="O213" i="16"/>
  <c r="AM237" i="12" s="1"/>
  <c r="O200" i="16"/>
  <c r="Z237" i="12" s="1"/>
  <c r="O230" i="16"/>
  <c r="BD237" i="12" s="1"/>
  <c r="O231" i="16"/>
  <c r="BE237" i="12" s="1"/>
  <c r="O237" i="16"/>
  <c r="BK237" i="12" s="1"/>
  <c r="O219" i="16"/>
  <c r="AS237" i="12" s="1"/>
  <c r="O220" i="16"/>
  <c r="AT237" i="12" s="1"/>
  <c r="O225" i="16"/>
  <c r="AY237" i="12" s="1"/>
  <c r="O228" i="16"/>
  <c r="BB237" i="12" s="1"/>
  <c r="V215" i="16"/>
  <c r="AO615" i="12" s="1"/>
  <c r="AO616" i="12" s="1"/>
  <c r="AO618" i="12" s="1"/>
  <c r="V224" i="16"/>
  <c r="AX615" i="12" s="1"/>
  <c r="AX616" i="12" s="1"/>
  <c r="AX618" i="12" s="1"/>
  <c r="V225" i="16"/>
  <c r="AY615" i="12" s="1"/>
  <c r="AY616" i="12" s="1"/>
  <c r="AY618" i="12" s="1"/>
  <c r="V231" i="16"/>
  <c r="BE615" i="12" s="1"/>
  <c r="BE616" i="12" s="1"/>
  <c r="BE618" i="12" s="1"/>
  <c r="V218" i="16"/>
  <c r="AR615" i="12" s="1"/>
  <c r="AR616" i="12" s="1"/>
  <c r="AR618" i="12" s="1"/>
  <c r="V220" i="16"/>
  <c r="AT615" i="12" s="1"/>
  <c r="AT616" i="12" s="1"/>
  <c r="AT618" i="12" s="1"/>
  <c r="V227" i="16"/>
  <c r="BA615" i="12" s="1"/>
  <c r="BA616" i="12" s="1"/>
  <c r="BA618" i="12" s="1"/>
  <c r="V228" i="16"/>
  <c r="BB615" i="12" s="1"/>
  <c r="BB616" i="12" s="1"/>
  <c r="BB618" i="12" s="1"/>
  <c r="V232" i="16"/>
  <c r="BF615" i="12" s="1"/>
  <c r="BF616" i="12" s="1"/>
  <c r="BF618" i="12" s="1"/>
  <c r="V233" i="16"/>
  <c r="BG615" i="12" s="1"/>
  <c r="BG616" i="12" s="1"/>
  <c r="BG618" i="12" s="1"/>
  <c r="V234" i="16"/>
  <c r="BH615" i="12" s="1"/>
  <c r="BH616" i="12" s="1"/>
  <c r="BH618" i="12" s="1"/>
  <c r="V235" i="16"/>
  <c r="BI615" i="12" s="1"/>
  <c r="BI616" i="12" s="1"/>
  <c r="BI618" i="12" s="1"/>
  <c r="V236" i="16"/>
  <c r="BJ615" i="12" s="1"/>
  <c r="BJ616" i="12" s="1"/>
  <c r="BJ618" i="12" s="1"/>
  <c r="V237" i="16"/>
  <c r="BK615" i="12" s="1"/>
  <c r="BK616" i="12" s="1"/>
  <c r="BK618" i="12" s="1"/>
  <c r="V214" i="16"/>
  <c r="AN615" i="12" s="1"/>
  <c r="AN616" i="12" s="1"/>
  <c r="AN618" i="12" s="1"/>
  <c r="V217" i="16"/>
  <c r="AQ615" i="12" s="1"/>
  <c r="AQ616" i="12" s="1"/>
  <c r="AQ618" i="12" s="1"/>
  <c r="V219" i="16"/>
  <c r="AS615" i="12" s="1"/>
  <c r="AS616" i="12" s="1"/>
  <c r="AS618" i="12" s="1"/>
  <c r="V221" i="16"/>
  <c r="AU615" i="12" s="1"/>
  <c r="V223" i="16"/>
  <c r="AW615" i="12" s="1"/>
  <c r="AW616" i="12" s="1"/>
  <c r="AW618" i="12" s="1"/>
  <c r="V226" i="16"/>
  <c r="AZ615" i="12" s="1"/>
  <c r="AZ616" i="12" s="1"/>
  <c r="AZ618" i="12" s="1"/>
  <c r="V230" i="16"/>
  <c r="BD615" i="12" s="1"/>
  <c r="BD616" i="12" s="1"/>
  <c r="BD618" i="12" s="1"/>
  <c r="V216" i="16"/>
  <c r="AP615" i="12" s="1"/>
  <c r="AP616" i="12" s="1"/>
  <c r="AP618" i="12" s="1"/>
  <c r="V197" i="16"/>
  <c r="W615" i="12" s="1"/>
  <c r="W616" i="12" s="1"/>
  <c r="W618" i="12" s="1"/>
  <c r="V198" i="16"/>
  <c r="X615" i="12" s="1"/>
  <c r="X616" i="12" s="1"/>
  <c r="X618" i="12" s="1"/>
  <c r="V199" i="16"/>
  <c r="Y615" i="12" s="1"/>
  <c r="Y616" i="12" s="1"/>
  <c r="Y618" i="12" s="1"/>
  <c r="V200" i="16"/>
  <c r="Z615" i="12" s="1"/>
  <c r="Z616" i="12" s="1"/>
  <c r="Z618" i="12" s="1"/>
  <c r="V201" i="16"/>
  <c r="AA615" i="12" s="1"/>
  <c r="AA616" i="12" s="1"/>
  <c r="AA618" i="12" s="1"/>
  <c r="V202" i="16"/>
  <c r="AB615" i="12" s="1"/>
  <c r="AB616" i="12" s="1"/>
  <c r="AB618" i="12" s="1"/>
  <c r="V203" i="16"/>
  <c r="AC615" i="12" s="1"/>
  <c r="AC616" i="12" s="1"/>
  <c r="AC618" i="12" s="1"/>
  <c r="V204" i="16"/>
  <c r="AD615" i="12" s="1"/>
  <c r="AD616" i="12" s="1"/>
  <c r="AD618" i="12" s="1"/>
  <c r="V205" i="16"/>
  <c r="AE615" i="12" s="1"/>
  <c r="AE616" i="12" s="1"/>
  <c r="AE618" i="12" s="1"/>
  <c r="V206" i="16"/>
  <c r="AF615" i="12" s="1"/>
  <c r="AF616" i="12" s="1"/>
  <c r="AF618" i="12" s="1"/>
  <c r="V207" i="16"/>
  <c r="AG615" i="12" s="1"/>
  <c r="AG616" i="12" s="1"/>
  <c r="AG618" i="12" s="1"/>
  <c r="V208" i="16"/>
  <c r="AH615" i="12" s="1"/>
  <c r="AH616" i="12" s="1"/>
  <c r="AH618" i="12" s="1"/>
  <c r="V209" i="16"/>
  <c r="AI615" i="12" s="1"/>
  <c r="AI616" i="12" s="1"/>
  <c r="AI618" i="12" s="1"/>
  <c r="V210" i="16"/>
  <c r="AJ615" i="12" s="1"/>
  <c r="AJ616" i="12" s="1"/>
  <c r="AJ618" i="12" s="1"/>
  <c r="V211" i="16"/>
  <c r="AK615" i="12" s="1"/>
  <c r="AK616" i="12" s="1"/>
  <c r="AK618" i="12" s="1"/>
  <c r="V212" i="16"/>
  <c r="AL615" i="12" s="1"/>
  <c r="AL616" i="12" s="1"/>
  <c r="AL618" i="12" s="1"/>
  <c r="V213" i="16"/>
  <c r="AM615" i="12" s="1"/>
  <c r="AM616" i="12" s="1"/>
  <c r="AM618" i="12" s="1"/>
  <c r="V229" i="16"/>
  <c r="BC615" i="12" s="1"/>
  <c r="BC616" i="12" s="1"/>
  <c r="BC618" i="12" s="1"/>
  <c r="V222" i="16"/>
  <c r="AV615" i="12" s="1"/>
  <c r="AV616" i="12" s="1"/>
  <c r="AV618" i="12" s="1"/>
  <c r="Y199" i="16"/>
  <c r="Y277" i="12" s="1"/>
  <c r="Y203" i="16"/>
  <c r="AC277" i="12" s="1"/>
  <c r="Y207" i="16"/>
  <c r="AG277" i="12" s="1"/>
  <c r="Y211" i="16"/>
  <c r="AK277" i="12" s="1"/>
  <c r="Y198" i="16"/>
  <c r="X277" i="12" s="1"/>
  <c r="Y202" i="16"/>
  <c r="AB277" i="12" s="1"/>
  <c r="Y206" i="16"/>
  <c r="AF277" i="12" s="1"/>
  <c r="Y210" i="16"/>
  <c r="AJ277" i="12" s="1"/>
  <c r="Y197" i="16"/>
  <c r="W277" i="12" s="1"/>
  <c r="Y201" i="16"/>
  <c r="AA277" i="12" s="1"/>
  <c r="Y205" i="16"/>
  <c r="AE277" i="12" s="1"/>
  <c r="Y209" i="16"/>
  <c r="AI277" i="12" s="1"/>
  <c r="Y213" i="16"/>
  <c r="AM277" i="12" s="1"/>
  <c r="Y204" i="16"/>
  <c r="AD277" i="12" s="1"/>
  <c r="Y214" i="16"/>
  <c r="AN277" i="12" s="1"/>
  <c r="Y217" i="16"/>
  <c r="AQ277" i="12" s="1"/>
  <c r="Y221" i="16"/>
  <c r="AU277" i="12" s="1"/>
  <c r="Y231" i="16"/>
  <c r="BE277" i="12" s="1"/>
  <c r="Y237" i="16"/>
  <c r="BK277" i="12" s="1"/>
  <c r="Y219" i="16"/>
  <c r="AS277" i="12" s="1"/>
  <c r="Y232" i="16"/>
  <c r="BF277" i="12" s="1"/>
  <c r="Y236" i="16"/>
  <c r="BJ277" i="12" s="1"/>
  <c r="Y215" i="16"/>
  <c r="AO277" i="12" s="1"/>
  <c r="Y212" i="16"/>
  <c r="AL277" i="12" s="1"/>
  <c r="Y216" i="16"/>
  <c r="AP277" i="12" s="1"/>
  <c r="Y218" i="16"/>
  <c r="AR277" i="12" s="1"/>
  <c r="Y220" i="16"/>
  <c r="AT277" i="12" s="1"/>
  <c r="Y222" i="16"/>
  <c r="AV277" i="12" s="1"/>
  <c r="Y224" i="16"/>
  <c r="AX277" i="12" s="1"/>
  <c r="Y225" i="16"/>
  <c r="AY277" i="12" s="1"/>
  <c r="Y229" i="16"/>
  <c r="BC277" i="12" s="1"/>
  <c r="Y230" i="16"/>
  <c r="BD277" i="12" s="1"/>
  <c r="Y234" i="16"/>
  <c r="BH277" i="12" s="1"/>
  <c r="Y200" i="16"/>
  <c r="Z277" i="12" s="1"/>
  <c r="Y208" i="16"/>
  <c r="AH277" i="12" s="1"/>
  <c r="Y226" i="16"/>
  <c r="AZ277" i="12" s="1"/>
  <c r="Y228" i="16"/>
  <c r="BB277" i="12" s="1"/>
  <c r="Y227" i="16"/>
  <c r="BA277" i="12" s="1"/>
  <c r="Y223" i="16"/>
  <c r="AW277" i="12" s="1"/>
  <c r="Y233" i="16"/>
  <c r="BG277" i="12" s="1"/>
  <c r="Y235" i="16"/>
  <c r="BI277" i="12" s="1"/>
  <c r="K214" i="16"/>
  <c r="AN505" i="12" s="1"/>
  <c r="K215" i="16"/>
  <c r="AO505" i="12" s="1"/>
  <c r="K223" i="16"/>
  <c r="AW505" i="12" s="1"/>
  <c r="K226" i="16"/>
  <c r="AZ505" i="12" s="1"/>
  <c r="K227" i="16"/>
  <c r="BA505" i="12" s="1"/>
  <c r="K232" i="16"/>
  <c r="BF505" i="12" s="1"/>
  <c r="K233" i="16"/>
  <c r="BG505" i="12" s="1"/>
  <c r="K235" i="16"/>
  <c r="BI505" i="12" s="1"/>
  <c r="K200" i="16"/>
  <c r="Z505" i="12" s="1"/>
  <c r="K204" i="16"/>
  <c r="AD505" i="12" s="1"/>
  <c r="K208" i="16"/>
  <c r="AH505" i="12" s="1"/>
  <c r="K212" i="16"/>
  <c r="AL505" i="12" s="1"/>
  <c r="K199" i="16"/>
  <c r="Y505" i="12" s="1"/>
  <c r="K203" i="16"/>
  <c r="AC505" i="12" s="1"/>
  <c r="K207" i="16"/>
  <c r="AG505" i="12" s="1"/>
  <c r="K211" i="16"/>
  <c r="AK505" i="12" s="1"/>
  <c r="K197" i="16"/>
  <c r="W505" i="12" s="1"/>
  <c r="K205" i="16"/>
  <c r="AE505" i="12" s="1"/>
  <c r="K213" i="16"/>
  <c r="AM505" i="12" s="1"/>
  <c r="K198" i="16"/>
  <c r="X505" i="12" s="1"/>
  <c r="K202" i="16"/>
  <c r="AB505" i="12" s="1"/>
  <c r="K206" i="16"/>
  <c r="AF505" i="12" s="1"/>
  <c r="K210" i="16"/>
  <c r="AJ505" i="12" s="1"/>
  <c r="K216" i="16"/>
  <c r="AP505" i="12" s="1"/>
  <c r="K217" i="16"/>
  <c r="AQ505" i="12" s="1"/>
  <c r="K222" i="16"/>
  <c r="AV505" i="12" s="1"/>
  <c r="K224" i="16"/>
  <c r="AX505" i="12" s="1"/>
  <c r="K230" i="16"/>
  <c r="BD505" i="12" s="1"/>
  <c r="K219" i="16"/>
  <c r="AS505" i="12" s="1"/>
  <c r="K220" i="16"/>
  <c r="AT505" i="12" s="1"/>
  <c r="K221" i="16"/>
  <c r="AU505" i="12" s="1"/>
  <c r="K228" i="16"/>
  <c r="BB505" i="12" s="1"/>
  <c r="K229" i="16"/>
  <c r="BC505" i="12" s="1"/>
  <c r="K231" i="16"/>
  <c r="BE505" i="12" s="1"/>
  <c r="K234" i="16"/>
  <c r="BH505" i="12" s="1"/>
  <c r="K236" i="16"/>
  <c r="BJ505" i="12" s="1"/>
  <c r="K237" i="16"/>
  <c r="BK505" i="12" s="1"/>
  <c r="K201" i="16"/>
  <c r="AA505" i="12" s="1"/>
  <c r="K209" i="16"/>
  <c r="AI505" i="12" s="1"/>
  <c r="K218" i="16"/>
  <c r="AR505" i="12" s="1"/>
  <c r="K225" i="16"/>
  <c r="AY505" i="12" s="1"/>
  <c r="Q198" i="16"/>
  <c r="Q206" i="16"/>
  <c r="Q199" i="16"/>
  <c r="Q203" i="16"/>
  <c r="Q207" i="16"/>
  <c r="Q211" i="16"/>
  <c r="Q220" i="16"/>
  <c r="Q222" i="16"/>
  <c r="Q228" i="16"/>
  <c r="Q237" i="16"/>
  <c r="Q197" i="16"/>
  <c r="R197" i="16" s="1"/>
  <c r="S32" i="13" s="1"/>
  <c r="Q201" i="16"/>
  <c r="Q205" i="16"/>
  <c r="Q209" i="16"/>
  <c r="Q213" i="16"/>
  <c r="Q200" i="16"/>
  <c r="Q204" i="16"/>
  <c r="Q208" i="16"/>
  <c r="Q212" i="16"/>
  <c r="Q215" i="16"/>
  <c r="Q216" i="16"/>
  <c r="Q221" i="16"/>
  <c r="Q233" i="16"/>
  <c r="Q234" i="16"/>
  <c r="Q235" i="16"/>
  <c r="Q202" i="16"/>
  <c r="Q210" i="16"/>
  <c r="Q217" i="16"/>
  <c r="Q218" i="16"/>
  <c r="Q219" i="16"/>
  <c r="Q223" i="16"/>
  <c r="Q231" i="16"/>
  <c r="Q232" i="16"/>
  <c r="Q214" i="16"/>
  <c r="Q225" i="16"/>
  <c r="R225" i="16" s="1"/>
  <c r="Q227" i="16"/>
  <c r="Q226" i="16"/>
  <c r="Q230" i="16"/>
  <c r="Q236" i="16"/>
  <c r="R236" i="16" s="1"/>
  <c r="Q224" i="16"/>
  <c r="Q229" i="16"/>
  <c r="AF33" i="13"/>
  <c r="R111" i="6" s="1"/>
  <c r="O13" i="7" s="1"/>
  <c r="AG33" i="13"/>
  <c r="S111" i="6" s="1"/>
  <c r="P13" i="7" s="1"/>
  <c r="AI33" i="13"/>
  <c r="U111" i="6" s="1"/>
  <c r="R13" i="7" s="1"/>
  <c r="AK33" i="13"/>
  <c r="W111" i="6" s="1"/>
  <c r="T13" i="7" s="1"/>
  <c r="AL33" i="13"/>
  <c r="X111" i="6" s="1"/>
  <c r="U13" i="7" s="1"/>
  <c r="AN33" i="13"/>
  <c r="Z111" i="6" s="1"/>
  <c r="AO33" i="13"/>
  <c r="AA111" i="6" s="1"/>
  <c r="AR33" i="13"/>
  <c r="AD111" i="6" s="1"/>
  <c r="J48" i="14"/>
  <c r="BJ644" i="12"/>
  <c r="BJ643" i="12"/>
  <c r="BJ375" i="12"/>
  <c r="K48" i="14"/>
  <c r="BJ371" i="12"/>
  <c r="BJ376" i="12" s="1"/>
  <c r="AA47" i="14"/>
  <c r="BG429" i="12"/>
  <c r="BF104" i="12"/>
  <c r="BF114" i="12" s="1"/>
  <c r="BI642" i="12"/>
  <c r="BI647" i="12" s="1"/>
  <c r="BG431" i="12"/>
  <c r="BF106" i="12"/>
  <c r="BF116" i="12" s="1"/>
  <c r="BJ369" i="12"/>
  <c r="BJ372" i="12"/>
  <c r="BJ377" i="12" s="1"/>
  <c r="BK398" i="12"/>
  <c r="BK399" i="12" s="1"/>
  <c r="V13" i="7"/>
  <c r="V8" i="7"/>
  <c r="V15" i="7"/>
  <c r="BG58" i="13"/>
  <c r="AS84" i="6" s="1"/>
  <c r="AF4" i="7" s="1"/>
  <c r="BK637" i="12"/>
  <c r="BJ401" i="12"/>
  <c r="BJ405" i="12" s="1"/>
  <c r="BJ400" i="12"/>
  <c r="BJ404" i="12" s="1"/>
  <c r="BG433" i="12"/>
  <c r="BF108" i="12"/>
  <c r="BF118" i="12" s="1"/>
  <c r="BK368" i="12"/>
  <c r="BE120" i="12"/>
  <c r="AM107" i="6" s="1"/>
  <c r="Z8" i="7" s="1"/>
  <c r="BG432" i="12"/>
  <c r="BF107" i="12"/>
  <c r="BF117" i="12" s="1"/>
  <c r="BI403" i="12"/>
  <c r="BI407" i="12" s="1"/>
  <c r="BG434" i="12"/>
  <c r="BF109" i="12"/>
  <c r="BF119" i="12" s="1"/>
  <c r="C115" i="16"/>
  <c r="D115" i="16" s="1"/>
  <c r="D170" i="16" s="1"/>
  <c r="BG428" i="12"/>
  <c r="BF103" i="12"/>
  <c r="BF113" i="12" s="1"/>
  <c r="BH659" i="12"/>
  <c r="BH662" i="12"/>
  <c r="BH657" i="12"/>
  <c r="BH660" i="12"/>
  <c r="BH655" i="12"/>
  <c r="BH658" i="12"/>
  <c r="BH661" i="12"/>
  <c r="BH656" i="12"/>
  <c r="BH374" i="12"/>
  <c r="BG427" i="12"/>
  <c r="BF102" i="12"/>
  <c r="BF112" i="12" s="1"/>
  <c r="T48" i="14"/>
  <c r="U48" i="14" s="1"/>
  <c r="R48" i="14"/>
  <c r="S48" i="14" s="1"/>
  <c r="G48" i="14"/>
  <c r="H48" i="14"/>
  <c r="BG430" i="12"/>
  <c r="BF105" i="12"/>
  <c r="BF115" i="12" s="1"/>
  <c r="AU34" i="6"/>
  <c r="AU30" i="6"/>
  <c r="AU26" i="6"/>
  <c r="AU22" i="6"/>
  <c r="AU18" i="6"/>
  <c r="AU15" i="6"/>
  <c r="AU33" i="6"/>
  <c r="AU29" i="6"/>
  <c r="AU25" i="6"/>
  <c r="AU21" i="6"/>
  <c r="AU17" i="6"/>
  <c r="AU35" i="6"/>
  <c r="AU27" i="6"/>
  <c r="AU19" i="6"/>
  <c r="AU32" i="6"/>
  <c r="AU24" i="6"/>
  <c r="AU16" i="6"/>
  <c r="AU31" i="6"/>
  <c r="AU23" i="6"/>
  <c r="AU28" i="6"/>
  <c r="AU20" i="6"/>
  <c r="AD46" i="14"/>
  <c r="AF46" i="14" s="1"/>
  <c r="AH46" i="14"/>
  <c r="X48" i="14"/>
  <c r="W48" i="14"/>
  <c r="AF13" i="7" l="1"/>
  <c r="V16" i="7"/>
  <c r="V18" i="7" s="1"/>
  <c r="V27" i="7"/>
  <c r="V3" i="7"/>
  <c r="AU23" i="13"/>
  <c r="AG112" i="6" s="1"/>
  <c r="AG97" i="6" s="1"/>
  <c r="R233" i="16"/>
  <c r="BC32" i="13" s="1"/>
  <c r="AO86" i="6" s="1"/>
  <c r="AB5" i="7" s="1"/>
  <c r="R223" i="16"/>
  <c r="AS32" i="13" s="1"/>
  <c r="AE86" i="6" s="1"/>
  <c r="R213" i="16"/>
  <c r="R210" i="16"/>
  <c r="R212" i="16"/>
  <c r="W24" i="13"/>
  <c r="BG23" i="13"/>
  <c r="AS112" i="6" s="1"/>
  <c r="AF12" i="7" s="1"/>
  <c r="AI24" i="13"/>
  <c r="BK686" i="12"/>
  <c r="BK693" i="12" s="1"/>
  <c r="AY24" i="13"/>
  <c r="AE24" i="13"/>
  <c r="BG24" i="13"/>
  <c r="AA23" i="13"/>
  <c r="M112" i="6" s="1"/>
  <c r="BG686" i="12"/>
  <c r="BG697" i="12" s="1"/>
  <c r="AM23" i="13"/>
  <c r="Y112" i="6" s="1"/>
  <c r="V12" i="7" s="1"/>
  <c r="AZ23" i="13"/>
  <c r="AL112" i="6" s="1"/>
  <c r="BD23" i="13"/>
  <c r="AP112" i="6" s="1"/>
  <c r="X23" i="13"/>
  <c r="J112" i="6" s="1"/>
  <c r="V17" i="7"/>
  <c r="Z48" i="14"/>
  <c r="AC48" i="14" s="1"/>
  <c r="BA686" i="12"/>
  <c r="BA690" i="12" s="1"/>
  <c r="R214" i="16"/>
  <c r="R202" i="16"/>
  <c r="R208" i="16"/>
  <c r="R237" i="16"/>
  <c r="BG32" i="13" s="1"/>
  <c r="AS86" i="6" s="1"/>
  <c r="AF5" i="7" s="1"/>
  <c r="R206" i="16"/>
  <c r="R230" i="16"/>
  <c r="AZ32" i="13" s="1"/>
  <c r="AL86" i="6" s="1"/>
  <c r="Y5" i="7" s="1"/>
  <c r="R219" i="16"/>
  <c r="AO32" i="13" s="1"/>
  <c r="AA86" i="6" s="1"/>
  <c r="R221" i="16"/>
  <c r="AQ32" i="13" s="1"/>
  <c r="AC86" i="6" s="1"/>
  <c r="R209" i="16"/>
  <c r="R211" i="16"/>
  <c r="R224" i="16"/>
  <c r="AT32" i="13" s="1"/>
  <c r="AF86" i="6" s="1"/>
  <c r="R227" i="16"/>
  <c r="AW32" i="13" s="1"/>
  <c r="AI86" i="6" s="1"/>
  <c r="R231" i="16"/>
  <c r="BA32" i="13" s="1"/>
  <c r="AM86" i="6" s="1"/>
  <c r="Z5" i="7" s="1"/>
  <c r="R217" i="16"/>
  <c r="R234" i="16"/>
  <c r="BD32" i="13" s="1"/>
  <c r="AP86" i="6" s="1"/>
  <c r="AC5" i="7" s="1"/>
  <c r="R215" i="16"/>
  <c r="R200" i="16"/>
  <c r="V32" i="13" s="1"/>
  <c r="H86" i="6" s="1"/>
  <c r="R201" i="16"/>
  <c r="R222" i="16"/>
  <c r="AR32" i="13" s="1"/>
  <c r="AD86" i="6" s="1"/>
  <c r="R203" i="16"/>
  <c r="Y32" i="13" s="1"/>
  <c r="K86" i="6" s="1"/>
  <c r="AZ686" i="12"/>
  <c r="AZ694" i="12" s="1"/>
  <c r="AH686" i="12"/>
  <c r="AH694" i="12" s="1"/>
  <c r="AD686" i="12"/>
  <c r="AD690" i="12" s="1"/>
  <c r="BF23" i="13"/>
  <c r="AR112" i="6" s="1"/>
  <c r="BB24" i="13"/>
  <c r="V23" i="13"/>
  <c r="H112" i="6" s="1"/>
  <c r="BI686" i="12"/>
  <c r="BI691" i="12" s="1"/>
  <c r="D237" i="16"/>
  <c r="AS23" i="13"/>
  <c r="AE112" i="6" s="1"/>
  <c r="AE97" i="6" s="1"/>
  <c r="R220" i="16"/>
  <c r="AP32" i="13" s="1"/>
  <c r="AB86" i="6" s="1"/>
  <c r="R199" i="16"/>
  <c r="U32" i="13" s="1"/>
  <c r="G86" i="6" s="1"/>
  <c r="R229" i="16"/>
  <c r="AY32" i="13" s="1"/>
  <c r="AK86" i="6" s="1"/>
  <c r="X5" i="7" s="1"/>
  <c r="R226" i="16"/>
  <c r="AV32" i="13" s="1"/>
  <c r="AH86" i="6" s="1"/>
  <c r="R232" i="16"/>
  <c r="BB32" i="13" s="1"/>
  <c r="AN86" i="6" s="1"/>
  <c r="AA5" i="7" s="1"/>
  <c r="R218" i="16"/>
  <c r="AN32" i="13" s="1"/>
  <c r="Z86" i="6" s="1"/>
  <c r="R235" i="16"/>
  <c r="BE32" i="13" s="1"/>
  <c r="AQ86" i="6" s="1"/>
  <c r="AD5" i="7" s="1"/>
  <c r="R216" i="16"/>
  <c r="R204" i="16"/>
  <c r="Z32" i="13" s="1"/>
  <c r="L86" i="6" s="1"/>
  <c r="R205" i="16"/>
  <c r="AA32" i="13" s="1"/>
  <c r="M86" i="6" s="1"/>
  <c r="R228" i="16"/>
  <c r="AX32" i="13" s="1"/>
  <c r="AJ86" i="6" s="1"/>
  <c r="W5" i="7" s="1"/>
  <c r="R207" i="16"/>
  <c r="R198" i="16"/>
  <c r="BF32" i="13"/>
  <c r="AR86" i="6" s="1"/>
  <c r="AE5" i="7" s="1"/>
  <c r="X276" i="12"/>
  <c r="BE275" i="12"/>
  <c r="BE279" i="12" s="1"/>
  <c r="AO275" i="12"/>
  <c r="AO279" i="12" s="1"/>
  <c r="Y275" i="12"/>
  <c r="AT275" i="12"/>
  <c r="AT279" i="12" s="1"/>
  <c r="AT282" i="12" s="1"/>
  <c r="AP276" i="12"/>
  <c r="BB275" i="12"/>
  <c r="AV276" i="12"/>
  <c r="AV279" i="12" s="1"/>
  <c r="AV280" i="12" s="1"/>
  <c r="AX276" i="12"/>
  <c r="AX279" i="12" s="1"/>
  <c r="AX282" i="12" s="1"/>
  <c r="BH276" i="12"/>
  <c r="BH279" i="12" s="1"/>
  <c r="BH282" i="12" s="1"/>
  <c r="BC276" i="12"/>
  <c r="BC279" i="12" s="1"/>
  <c r="BC280" i="12" s="1"/>
  <c r="AR276" i="12"/>
  <c r="AR279" i="12" s="1"/>
  <c r="AR280" i="12" s="1"/>
  <c r="BB276" i="12"/>
  <c r="Y276" i="12"/>
  <c r="AH275" i="12"/>
  <c r="AH279" i="12" s="1"/>
  <c r="AH280" i="12" s="1"/>
  <c r="BG275" i="12"/>
  <c r="BG279" i="12" s="1"/>
  <c r="BG281" i="12" s="1"/>
  <c r="BA275" i="12"/>
  <c r="BA279" i="12" s="1"/>
  <c r="BA281" i="12" s="1"/>
  <c r="AK275" i="12"/>
  <c r="AK279" i="12" s="1"/>
  <c r="AK281" i="12" s="1"/>
  <c r="AI276" i="12"/>
  <c r="AI279" i="12" s="1"/>
  <c r="AI281" i="12" s="1"/>
  <c r="BD276" i="12"/>
  <c r="BD279" i="12" s="1"/>
  <c r="BD280" i="12" s="1"/>
  <c r="Z276" i="12"/>
  <c r="AU276" i="12"/>
  <c r="AU279" i="12" s="1"/>
  <c r="AU280" i="12" s="1"/>
  <c r="AQ276" i="12"/>
  <c r="AQ279" i="12" s="1"/>
  <c r="BF276" i="12"/>
  <c r="BF279" i="12" s="1"/>
  <c r="BF280" i="12" s="1"/>
  <c r="Z275" i="12"/>
  <c r="AG276" i="12"/>
  <c r="AM275" i="12"/>
  <c r="AM279" i="12" s="1"/>
  <c r="AM280" i="12" s="1"/>
  <c r="W275" i="12"/>
  <c r="W279" i="12" s="1"/>
  <c r="W281" i="12" s="1"/>
  <c r="AW275" i="12"/>
  <c r="AW279" i="12" s="1"/>
  <c r="AW281" i="12" s="1"/>
  <c r="AG275" i="12"/>
  <c r="AG279" i="12" s="1"/>
  <c r="X275" i="12"/>
  <c r="AN276" i="12"/>
  <c r="AN279" i="12" s="1"/>
  <c r="AZ276" i="12"/>
  <c r="AZ279" i="12" s="1"/>
  <c r="AZ282" i="12" s="1"/>
  <c r="AP275" i="12"/>
  <c r="AP279" i="12" s="1"/>
  <c r="AP280" i="12" s="1"/>
  <c r="AA276" i="12"/>
  <c r="AA279" i="12" s="1"/>
  <c r="AA281" i="12" s="1"/>
  <c r="AB276" i="12"/>
  <c r="AB279" i="12" s="1"/>
  <c r="AB280" i="12" s="1"/>
  <c r="AF276" i="12"/>
  <c r="AF279" i="12" s="1"/>
  <c r="AF280" i="12" s="1"/>
  <c r="BK276" i="12"/>
  <c r="BK279" i="12" s="1"/>
  <c r="BK280" i="12" s="1"/>
  <c r="BF234" i="12"/>
  <c r="AA686" i="12"/>
  <c r="AA695" i="12" s="1"/>
  <c r="BF24" i="13"/>
  <c r="AT24" i="13"/>
  <c r="BJ170" i="12"/>
  <c r="AA541" i="12"/>
  <c r="AH23" i="13"/>
  <c r="AS234" i="12"/>
  <c r="AD24" i="13"/>
  <c r="AS686" i="12"/>
  <c r="AS690" i="12" s="1"/>
  <c r="AM686" i="12"/>
  <c r="AM695" i="12" s="1"/>
  <c r="AO24" i="13"/>
  <c r="AL539" i="12"/>
  <c r="BB23" i="13"/>
  <c r="AN112" i="6" s="1"/>
  <c r="AU537" i="12"/>
  <c r="AO23" i="13"/>
  <c r="AA112" i="6" s="1"/>
  <c r="AA97" i="6" s="1"/>
  <c r="BF686" i="12"/>
  <c r="BF693" i="12" s="1"/>
  <c r="AE686" i="12"/>
  <c r="AE692" i="12" s="1"/>
  <c r="BA168" i="12"/>
  <c r="BC23" i="13"/>
  <c r="AO112" i="6" s="1"/>
  <c r="AL686" i="12"/>
  <c r="AL693" i="12" s="1"/>
  <c r="AH24" i="13"/>
  <c r="AQ170" i="12"/>
  <c r="AZ537" i="12"/>
  <c r="AY686" i="12"/>
  <c r="AY695" i="12" s="1"/>
  <c r="AH539" i="12"/>
  <c r="S23" i="13"/>
  <c r="E112" i="6" s="1"/>
  <c r="S24" i="13"/>
  <c r="AW24" i="13"/>
  <c r="W686" i="12"/>
  <c r="W695" i="12" s="1"/>
  <c r="W23" i="13"/>
  <c r="I112" i="6" s="1"/>
  <c r="AY169" i="12"/>
  <c r="AZ24" i="13"/>
  <c r="BD200" i="12"/>
  <c r="AC279" i="12"/>
  <c r="AC280" i="12" s="1"/>
  <c r="AS279" i="12"/>
  <c r="AS280" i="12" s="1"/>
  <c r="BI279" i="12"/>
  <c r="BI282" i="12" s="1"/>
  <c r="AU24" i="13"/>
  <c r="AX24" i="13"/>
  <c r="AD279" i="12"/>
  <c r="AD280" i="12" s="1"/>
  <c r="BJ279" i="12"/>
  <c r="BJ280" i="12" s="1"/>
  <c r="BD686" i="12"/>
  <c r="BD692" i="12" s="1"/>
  <c r="AW23" i="13"/>
  <c r="AI112" i="6" s="1"/>
  <c r="AI97" i="6" s="1"/>
  <c r="AD23" i="13"/>
  <c r="P112" i="6" s="1"/>
  <c r="BB686" i="12"/>
  <c r="BB696" i="12" s="1"/>
  <c r="AJ279" i="12"/>
  <c r="AJ280" i="12" s="1"/>
  <c r="AX23" i="13"/>
  <c r="AJ112" i="6" s="1"/>
  <c r="AP24" i="13"/>
  <c r="BE24" i="13"/>
  <c r="AQ686" i="12"/>
  <c r="AQ692" i="12" s="1"/>
  <c r="AU686" i="12"/>
  <c r="AU690" i="12" s="1"/>
  <c r="AM24" i="13"/>
  <c r="AQ23" i="13"/>
  <c r="AC112" i="6" s="1"/>
  <c r="AC97" i="6" s="1"/>
  <c r="AS24" i="13"/>
  <c r="AD168" i="12"/>
  <c r="AT23" i="13"/>
  <c r="AF112" i="6" s="1"/>
  <c r="AF97" i="6" s="1"/>
  <c r="AX542" i="12"/>
  <c r="AX686" i="12"/>
  <c r="AX691" i="12" s="1"/>
  <c r="BJ686" i="12"/>
  <c r="BJ695" i="12" s="1"/>
  <c r="AE279" i="12"/>
  <c r="AE282" i="12" s="1"/>
  <c r="AV23" i="13"/>
  <c r="AH112" i="6" s="1"/>
  <c r="AH97" i="6" s="1"/>
  <c r="Z24" i="13"/>
  <c r="BI170" i="12"/>
  <c r="AY279" i="12"/>
  <c r="AY280" i="12" s="1"/>
  <c r="AL279" i="12"/>
  <c r="AL280" i="12" s="1"/>
  <c r="AI686" i="12"/>
  <c r="AI694" i="12" s="1"/>
  <c r="AI23" i="13"/>
  <c r="AM539" i="12"/>
  <c r="AQ24" i="13"/>
  <c r="BC24" i="13"/>
  <c r="BG200" i="12"/>
  <c r="BE23" i="13"/>
  <c r="AQ112" i="6" s="1"/>
  <c r="BD24" i="13"/>
  <c r="BA24" i="13"/>
  <c r="AE543" i="12"/>
  <c r="BC686" i="12"/>
  <c r="BC691" i="12" s="1"/>
  <c r="BH686" i="12"/>
  <c r="BH690" i="12" s="1"/>
  <c r="BH540" i="12"/>
  <c r="AW543" i="12"/>
  <c r="BE686" i="12"/>
  <c r="BE697" i="12" s="1"/>
  <c r="AU616" i="12"/>
  <c r="AU618" i="12" s="1"/>
  <c r="V24" i="13"/>
  <c r="AL23" i="13"/>
  <c r="AT538" i="12"/>
  <c r="BA23" i="13"/>
  <c r="AM112" i="6" s="1"/>
  <c r="AL24" i="13"/>
  <c r="AA24" i="13"/>
  <c r="AE23" i="13"/>
  <c r="AI170" i="12"/>
  <c r="AY23" i="13"/>
  <c r="AK112" i="6" s="1"/>
  <c r="BC170" i="12"/>
  <c r="AP686" i="12"/>
  <c r="AP696" i="12" s="1"/>
  <c r="BB619" i="12"/>
  <c r="AJ85" i="6" s="1"/>
  <c r="AV24" i="13"/>
  <c r="AW686" i="12"/>
  <c r="AW693" i="12" s="1"/>
  <c r="Z686" i="12"/>
  <c r="Z694" i="12" s="1"/>
  <c r="Z23" i="13"/>
  <c r="L112" i="6" s="1"/>
  <c r="AP23" i="13"/>
  <c r="AB112" i="6" s="1"/>
  <c r="AB97" i="6" s="1"/>
  <c r="Z543" i="12"/>
  <c r="AT686" i="12"/>
  <c r="AT695" i="12" s="1"/>
  <c r="AL619" i="12"/>
  <c r="T85" i="6" s="1"/>
  <c r="AE619" i="12"/>
  <c r="M85" i="6" s="1"/>
  <c r="AN619" i="12"/>
  <c r="V85" i="6" s="1"/>
  <c r="AM619" i="12"/>
  <c r="U85" i="6" s="1"/>
  <c r="BC619" i="12"/>
  <c r="AK85" i="6" s="1"/>
  <c r="BK619" i="12"/>
  <c r="AS85" i="6" s="1"/>
  <c r="BF120" i="12"/>
  <c r="AN107" i="6" s="1"/>
  <c r="AA8" i="7" s="1"/>
  <c r="AD619" i="12"/>
  <c r="L85" i="6" s="1"/>
  <c r="BJ619" i="12"/>
  <c r="AR85" i="6" s="1"/>
  <c r="AA619" i="12"/>
  <c r="I85" i="6" s="1"/>
  <c r="AQ619" i="12"/>
  <c r="Y85" i="6" s="1"/>
  <c r="BG619" i="12"/>
  <c r="AO85" i="6" s="1"/>
  <c r="AF619" i="12"/>
  <c r="N85" i="6" s="1"/>
  <c r="BD619" i="12"/>
  <c r="AL85" i="6" s="1"/>
  <c r="AT619" i="12"/>
  <c r="AB85" i="6" s="1"/>
  <c r="AI619" i="12"/>
  <c r="Q85" i="6" s="1"/>
  <c r="AY619" i="12"/>
  <c r="AG85" i="6" s="1"/>
  <c r="X619" i="12"/>
  <c r="F85" i="6" s="1"/>
  <c r="AA48" i="14"/>
  <c r="BA619" i="12"/>
  <c r="AI85" i="6" s="1"/>
  <c r="AS619" i="12"/>
  <c r="AA85" i="6" s="1"/>
  <c r="AK619" i="12"/>
  <c r="S85" i="6" s="1"/>
  <c r="AC619" i="12"/>
  <c r="K85" i="6" s="1"/>
  <c r="BI619" i="12"/>
  <c r="AQ85" i="6" s="1"/>
  <c r="BH427" i="12"/>
  <c r="BG102" i="12"/>
  <c r="BG112" i="12" s="1"/>
  <c r="AJ686" i="12"/>
  <c r="AF24" i="13"/>
  <c r="AF23" i="13"/>
  <c r="BK369" i="12"/>
  <c r="BK372" i="12"/>
  <c r="BK377" i="12" s="1"/>
  <c r="BK640" i="12"/>
  <c r="BK644" i="12" s="1"/>
  <c r="BK638" i="12"/>
  <c r="AC24" i="13"/>
  <c r="AG686" i="12"/>
  <c r="AC23" i="13"/>
  <c r="W541" i="12"/>
  <c r="W170" i="12"/>
  <c r="W508" i="12"/>
  <c r="W540" i="12"/>
  <c r="W539" i="12"/>
  <c r="W168" i="12"/>
  <c r="W199" i="12"/>
  <c r="W169" i="12"/>
  <c r="W507" i="12"/>
  <c r="W542" i="12"/>
  <c r="W537" i="12"/>
  <c r="W560" i="12" s="1"/>
  <c r="W234" i="12"/>
  <c r="W544" i="12"/>
  <c r="W509" i="12"/>
  <c r="W543" i="12"/>
  <c r="W233" i="12"/>
  <c r="W200" i="12"/>
  <c r="W506" i="12"/>
  <c r="W538" i="12"/>
  <c r="Z619" i="12"/>
  <c r="H85" i="6" s="1"/>
  <c r="AH619" i="12"/>
  <c r="P85" i="6" s="1"/>
  <c r="AP619" i="12"/>
  <c r="X85" i="6" s="1"/>
  <c r="AX619" i="12"/>
  <c r="AF85" i="6" s="1"/>
  <c r="BF619" i="12"/>
  <c r="AN85" i="6" s="1"/>
  <c r="BI374" i="12"/>
  <c r="BH434" i="12"/>
  <c r="BG109" i="12"/>
  <c r="BG119" i="12" s="1"/>
  <c r="BH432" i="12"/>
  <c r="BG107" i="12"/>
  <c r="BG117" i="12" s="1"/>
  <c r="AB24" i="13"/>
  <c r="AF686" i="12"/>
  <c r="AB23" i="13"/>
  <c r="AV169" i="12"/>
  <c r="AR23" i="13"/>
  <c r="AD112" i="6" s="1"/>
  <c r="AD97" i="6" s="1"/>
  <c r="AV686" i="12"/>
  <c r="AR24" i="13"/>
  <c r="BH430" i="12"/>
  <c r="BG105" i="12"/>
  <c r="BG115" i="12" s="1"/>
  <c r="BJ403" i="12"/>
  <c r="X686" i="12"/>
  <c r="T23" i="13"/>
  <c r="T24" i="13"/>
  <c r="AN686" i="12"/>
  <c r="AJ23" i="13"/>
  <c r="AJ24" i="13"/>
  <c r="BK370" i="12"/>
  <c r="BK375" i="12" s="1"/>
  <c r="AG23" i="13"/>
  <c r="S112" i="6" s="1"/>
  <c r="AK686" i="12"/>
  <c r="AG24" i="13"/>
  <c r="BK400" i="12"/>
  <c r="BK404" i="12" s="1"/>
  <c r="BK401" i="12"/>
  <c r="BK405" i="12" s="1"/>
  <c r="BK371" i="12"/>
  <c r="BK376" i="12" s="1"/>
  <c r="Y619" i="12"/>
  <c r="G85" i="6" s="1"/>
  <c r="AG619" i="12"/>
  <c r="O85" i="6" s="1"/>
  <c r="AO619" i="12"/>
  <c r="W85" i="6" s="1"/>
  <c r="AW619" i="12"/>
  <c r="AE85" i="6" s="1"/>
  <c r="BE619" i="12"/>
  <c r="AM85" i="6" s="1"/>
  <c r="BI662" i="12"/>
  <c r="BI657" i="12"/>
  <c r="BI660" i="12"/>
  <c r="BI655" i="12"/>
  <c r="BI658" i="12"/>
  <c r="BI661" i="12"/>
  <c r="BI656" i="12"/>
  <c r="BI659" i="12"/>
  <c r="BH379" i="12"/>
  <c r="BH428" i="12"/>
  <c r="BG103" i="12"/>
  <c r="BG113" i="12" s="1"/>
  <c r="X24" i="13"/>
  <c r="AB686" i="12"/>
  <c r="AN23" i="13"/>
  <c r="Z112" i="6" s="1"/>
  <c r="Z97" i="6" s="1"/>
  <c r="AN24" i="13"/>
  <c r="AR686" i="12"/>
  <c r="Y686" i="12"/>
  <c r="U23" i="13"/>
  <c r="U24" i="13"/>
  <c r="AO233" i="12"/>
  <c r="AO686" i="12"/>
  <c r="AK24" i="13"/>
  <c r="AK23" i="13"/>
  <c r="BE234" i="12"/>
  <c r="BE233" i="12"/>
  <c r="BE169" i="12"/>
  <c r="BE537" i="12"/>
  <c r="BE200" i="12"/>
  <c r="BE542" i="12"/>
  <c r="BE541" i="12"/>
  <c r="BE539" i="12"/>
  <c r="BE538" i="12"/>
  <c r="BE168" i="12"/>
  <c r="BE508" i="12"/>
  <c r="BE509" i="12"/>
  <c r="BE540" i="12"/>
  <c r="BE544" i="12"/>
  <c r="BE170" i="12"/>
  <c r="BE506" i="12"/>
  <c r="BE507" i="12"/>
  <c r="BE543" i="12"/>
  <c r="AB619" i="12"/>
  <c r="J85" i="6" s="1"/>
  <c r="AJ619" i="12"/>
  <c r="R85" i="6" s="1"/>
  <c r="AR619" i="12"/>
  <c r="Z85" i="6" s="1"/>
  <c r="AZ619" i="12"/>
  <c r="AH85" i="6" s="1"/>
  <c r="BH619" i="12"/>
  <c r="AP85" i="6" s="1"/>
  <c r="BE199" i="12"/>
  <c r="BK234" i="12"/>
  <c r="BK170" i="12"/>
  <c r="BK168" i="12"/>
  <c r="BK542" i="12"/>
  <c r="BK541" i="12"/>
  <c r="BK233" i="12"/>
  <c r="BK200" i="12"/>
  <c r="BK169" i="12"/>
  <c r="BK540" i="12"/>
  <c r="BK509" i="12"/>
  <c r="BK508" i="12"/>
  <c r="BK537" i="12"/>
  <c r="BK199" i="12"/>
  <c r="BK543" i="12"/>
  <c r="BK507" i="12"/>
  <c r="BK506" i="12"/>
  <c r="BK538" i="12"/>
  <c r="BK544" i="12"/>
  <c r="BK539" i="12"/>
  <c r="BB233" i="12"/>
  <c r="BB200" i="12"/>
  <c r="BB541" i="12"/>
  <c r="BB507" i="12"/>
  <c r="BB540" i="12"/>
  <c r="BB199" i="12"/>
  <c r="BB543" i="12"/>
  <c r="BB537" i="12"/>
  <c r="BB538" i="12"/>
  <c r="BB508" i="12"/>
  <c r="BB542" i="12"/>
  <c r="BB170" i="12"/>
  <c r="BB544" i="12"/>
  <c r="BB234" i="12"/>
  <c r="BB168" i="12"/>
  <c r="BB169" i="12"/>
  <c r="BB509" i="12"/>
  <c r="BB506" i="12"/>
  <c r="BB539" i="12"/>
  <c r="BH431" i="12"/>
  <c r="BG106" i="12"/>
  <c r="BG116" i="12" s="1"/>
  <c r="BJ642" i="12"/>
  <c r="BJ647" i="12" s="1"/>
  <c r="BH429" i="12"/>
  <c r="BG104" i="12"/>
  <c r="BG114" i="12" s="1"/>
  <c r="BH433" i="12"/>
  <c r="BG108" i="12"/>
  <c r="BG118" i="12" s="1"/>
  <c r="AC686" i="12"/>
  <c r="Y23" i="13"/>
  <c r="Y24" i="13"/>
  <c r="AU32" i="13"/>
  <c r="AG86" i="6" s="1"/>
  <c r="AP168" i="12"/>
  <c r="AP544" i="12"/>
  <c r="AP543" i="12"/>
  <c r="AP233" i="12"/>
  <c r="AP170" i="12"/>
  <c r="AP234" i="12"/>
  <c r="AP542" i="12"/>
  <c r="AP541" i="12"/>
  <c r="AP540" i="12"/>
  <c r="AP537" i="12"/>
  <c r="AP200" i="12"/>
  <c r="AP538" i="12"/>
  <c r="AP539" i="12"/>
  <c r="AP509" i="12"/>
  <c r="AP507" i="12"/>
  <c r="AP169" i="12"/>
  <c r="AP199" i="12"/>
  <c r="AP506" i="12"/>
  <c r="AP508" i="12"/>
  <c r="BK639" i="12"/>
  <c r="BK643" i="12" s="1"/>
  <c r="AD47" i="14"/>
  <c r="AF47" i="14" s="1"/>
  <c r="AH47" i="14"/>
  <c r="AB12" i="7" l="1"/>
  <c r="AC12" i="7"/>
  <c r="X12" i="7"/>
  <c r="X17" i="7" s="1"/>
  <c r="AK97" i="6"/>
  <c r="AE12" i="7"/>
  <c r="Y12" i="7"/>
  <c r="Y17" i="7" s="1"/>
  <c r="AL97" i="6"/>
  <c r="Z12" i="7"/>
  <c r="Z17" i="7" s="1"/>
  <c r="AM97" i="6"/>
  <c r="AD12" i="7"/>
  <c r="W12" i="7"/>
  <c r="W17" i="7" s="1"/>
  <c r="AJ97" i="6"/>
  <c r="AA12" i="7"/>
  <c r="AA17" i="7" s="1"/>
  <c r="AN97" i="6"/>
  <c r="AD61" i="6"/>
  <c r="AD52" i="6"/>
  <c r="AD70" i="6"/>
  <c r="Z61" i="6"/>
  <c r="Z52" i="6"/>
  <c r="Z70" i="6"/>
  <c r="AA61" i="6"/>
  <c r="AA52" i="6"/>
  <c r="AA70" i="6"/>
  <c r="AH61" i="6"/>
  <c r="AH52" i="6"/>
  <c r="AH70" i="6"/>
  <c r="AB52" i="6"/>
  <c r="AB70" i="6"/>
  <c r="AB61" i="6"/>
  <c r="AC52" i="6"/>
  <c r="AC70" i="6"/>
  <c r="AC61" i="6"/>
  <c r="AI61" i="6"/>
  <c r="AI52" i="6"/>
  <c r="AI70" i="6"/>
  <c r="AG52" i="6"/>
  <c r="AG70" i="6"/>
  <c r="AG61" i="6"/>
  <c r="AF52" i="6"/>
  <c r="AF70" i="6"/>
  <c r="AF61" i="6"/>
  <c r="AE61" i="6"/>
  <c r="AE52" i="6"/>
  <c r="AE70" i="6"/>
  <c r="V112" i="6"/>
  <c r="V97" i="6" s="1"/>
  <c r="V52" i="6" s="1"/>
  <c r="F112" i="6"/>
  <c r="F97" i="6" s="1"/>
  <c r="O112" i="6"/>
  <c r="O97" i="6" s="1"/>
  <c r="O52" i="6" s="1"/>
  <c r="G112" i="6"/>
  <c r="G97" i="6" s="1"/>
  <c r="G52" i="6" s="1"/>
  <c r="W112" i="6"/>
  <c r="W97" i="6" s="1"/>
  <c r="W52" i="6" s="1"/>
  <c r="Q112" i="6"/>
  <c r="Q97" i="6" s="1"/>
  <c r="Q52" i="6" s="1"/>
  <c r="U112" i="6"/>
  <c r="U97" i="6" s="1"/>
  <c r="U52" i="6" s="1"/>
  <c r="Y97" i="6"/>
  <c r="Y52" i="6" s="1"/>
  <c r="K112" i="6"/>
  <c r="K97" i="6" s="1"/>
  <c r="K52" i="6" s="1"/>
  <c r="N112" i="6"/>
  <c r="N97" i="6" s="1"/>
  <c r="N52" i="6" s="1"/>
  <c r="R112" i="6"/>
  <c r="R97" i="6" s="1"/>
  <c r="R52" i="6" s="1"/>
  <c r="X112" i="6"/>
  <c r="X97" i="6" s="1"/>
  <c r="X52" i="6" s="1"/>
  <c r="T112" i="6"/>
  <c r="T97" i="6" s="1"/>
  <c r="T52" i="6" s="1"/>
  <c r="Y70" i="6"/>
  <c r="BK690" i="12"/>
  <c r="BK694" i="12"/>
  <c r="AZ697" i="12"/>
  <c r="BG692" i="12"/>
  <c r="BG694" i="12"/>
  <c r="BG695" i="12"/>
  <c r="BG691" i="12"/>
  <c r="BG696" i="12"/>
  <c r="BG690" i="12"/>
  <c r="BG693" i="12"/>
  <c r="BK695" i="12"/>
  <c r="BK691" i="12"/>
  <c r="BK696" i="12"/>
  <c r="BK692" i="12"/>
  <c r="BK697" i="12"/>
  <c r="Z279" i="12"/>
  <c r="Z282" i="12" s="1"/>
  <c r="AZ693" i="12"/>
  <c r="AZ696" i="12"/>
  <c r="AZ692" i="12"/>
  <c r="AZ695" i="12"/>
  <c r="AZ691" i="12"/>
  <c r="AZ690" i="12"/>
  <c r="BA691" i="12"/>
  <c r="BA695" i="12"/>
  <c r="BA696" i="12"/>
  <c r="BA692" i="12"/>
  <c r="BA697" i="12"/>
  <c r="BA693" i="12"/>
  <c r="BA694" i="12"/>
  <c r="AD697" i="12"/>
  <c r="AH697" i="12"/>
  <c r="AH695" i="12"/>
  <c r="BI696" i="12"/>
  <c r="AD693" i="12"/>
  <c r="AH692" i="12"/>
  <c r="AH693" i="12"/>
  <c r="AH690" i="12"/>
  <c r="AH696" i="12"/>
  <c r="BI692" i="12"/>
  <c r="AH691" i="12"/>
  <c r="BI697" i="12"/>
  <c r="AD692" i="12"/>
  <c r="AD696" i="12"/>
  <c r="BI690" i="12"/>
  <c r="BI694" i="12"/>
  <c r="AD691" i="12"/>
  <c r="AD695" i="12"/>
  <c r="BI693" i="12"/>
  <c r="BI695" i="12"/>
  <c r="AD694" i="12"/>
  <c r="Y279" i="12"/>
  <c r="Y281" i="12" s="1"/>
  <c r="X279" i="12"/>
  <c r="X280" i="12" s="1"/>
  <c r="BB279" i="12"/>
  <c r="BB280" i="12" s="1"/>
  <c r="AN280" i="12"/>
  <c r="AN282" i="12"/>
  <c r="AN281" i="12"/>
  <c r="AQ282" i="12"/>
  <c r="AQ280" i="12"/>
  <c r="AQ281" i="12"/>
  <c r="AM32" i="13"/>
  <c r="Y86" i="6" s="1"/>
  <c r="V5" i="7" s="1"/>
  <c r="AD32" i="13"/>
  <c r="P86" i="6" s="1"/>
  <c r="M5" i="7" s="1"/>
  <c r="X32" i="13"/>
  <c r="W32" i="13"/>
  <c r="AG32" i="13"/>
  <c r="S86" i="6" s="1"/>
  <c r="P5" i="7" s="1"/>
  <c r="AK32" i="13"/>
  <c r="W86" i="6" s="1"/>
  <c r="T5" i="7" s="1"/>
  <c r="T32" i="13"/>
  <c r="AB32" i="13"/>
  <c r="N86" i="6" s="1"/>
  <c r="K5" i="7" s="1"/>
  <c r="AJ32" i="13"/>
  <c r="V86" i="6" s="1"/>
  <c r="S5" i="7" s="1"/>
  <c r="AC32" i="13"/>
  <c r="O86" i="6" s="1"/>
  <c r="L5" i="7" s="1"/>
  <c r="AE32" i="13"/>
  <c r="Q86" i="6" s="1"/>
  <c r="N5" i="7" s="1"/>
  <c r="AH32" i="13"/>
  <c r="T86" i="6" s="1"/>
  <c r="Q5" i="7" s="1"/>
  <c r="AF32" i="13"/>
  <c r="R86" i="6" s="1"/>
  <c r="O5" i="7" s="1"/>
  <c r="AL32" i="13"/>
  <c r="X86" i="6" s="1"/>
  <c r="U5" i="7" s="1"/>
  <c r="AI32" i="13"/>
  <c r="U86" i="6" s="1"/>
  <c r="R5" i="7" s="1"/>
  <c r="BF170" i="12"/>
  <c r="BF506" i="12"/>
  <c r="BF540" i="12"/>
  <c r="BF169" i="12"/>
  <c r="BF168" i="12"/>
  <c r="BF509" i="12"/>
  <c r="BF544" i="12"/>
  <c r="BF541" i="12"/>
  <c r="BF508" i="12"/>
  <c r="BF233" i="12"/>
  <c r="BF240" i="12" s="1"/>
  <c r="BF539" i="12"/>
  <c r="BF542" i="12"/>
  <c r="BF507" i="12"/>
  <c r="BF200" i="12"/>
  <c r="BF538" i="12"/>
  <c r="BF199" i="12"/>
  <c r="BF543" i="12"/>
  <c r="BF537" i="12"/>
  <c r="T12" i="7"/>
  <c r="T17" i="7" s="1"/>
  <c r="J97" i="6"/>
  <c r="P97" i="6"/>
  <c r="S97" i="6"/>
  <c r="E78" i="6"/>
  <c r="H5" i="7"/>
  <c r="H97" i="6"/>
  <c r="E5" i="7"/>
  <c r="I5" i="7"/>
  <c r="AA690" i="12"/>
  <c r="AA691" i="12"/>
  <c r="AA692" i="12"/>
  <c r="AA693" i="12"/>
  <c r="AA696" i="12"/>
  <c r="AA694" i="12"/>
  <c r="AA697" i="12"/>
  <c r="BD233" i="12"/>
  <c r="BH280" i="12"/>
  <c r="AY506" i="12"/>
  <c r="Z696" i="12"/>
  <c r="BD544" i="12"/>
  <c r="AS691" i="12"/>
  <c r="AL542" i="12"/>
  <c r="AA507" i="12"/>
  <c r="BJ694" i="12"/>
  <c r="AL695" i="12"/>
  <c r="AL694" i="12"/>
  <c r="AL697" i="12"/>
  <c r="AZ543" i="12"/>
  <c r="AY692" i="12"/>
  <c r="AY541" i="12"/>
  <c r="AL692" i="12"/>
  <c r="AE694" i="12"/>
  <c r="AL696" i="12"/>
  <c r="AL691" i="12"/>
  <c r="AS281" i="12"/>
  <c r="AY170" i="12"/>
  <c r="AY542" i="12"/>
  <c r="AY693" i="12"/>
  <c r="AE695" i="12"/>
  <c r="AL690" i="12"/>
  <c r="AY234" i="12"/>
  <c r="AY233" i="12"/>
  <c r="AY696" i="12"/>
  <c r="AE691" i="12"/>
  <c r="AY509" i="12"/>
  <c r="AY539" i="12"/>
  <c r="AY537" i="12"/>
  <c r="AY697" i="12"/>
  <c r="AE693" i="12"/>
  <c r="AU509" i="12"/>
  <c r="BJ508" i="12"/>
  <c r="AA543" i="12"/>
  <c r="AA199" i="12"/>
  <c r="BF694" i="12"/>
  <c r="AA540" i="12"/>
  <c r="BA199" i="12"/>
  <c r="AY168" i="12"/>
  <c r="AY508" i="12"/>
  <c r="AY540" i="12"/>
  <c r="AY543" i="12"/>
  <c r="AY538" i="12"/>
  <c r="AY690" i="12"/>
  <c r="AY694" i="12"/>
  <c r="AQ696" i="12"/>
  <c r="AE697" i="12"/>
  <c r="BJ282" i="12"/>
  <c r="AY199" i="12"/>
  <c r="AY507" i="12"/>
  <c r="AY200" i="12"/>
  <c r="AY544" i="12"/>
  <c r="AY691" i="12"/>
  <c r="AQ694" i="12"/>
  <c r="AE690" i="12"/>
  <c r="AS170" i="12"/>
  <c r="AL233" i="12"/>
  <c r="BC508" i="12"/>
  <c r="AX168" i="12"/>
  <c r="AZ168" i="12"/>
  <c r="AA170" i="12"/>
  <c r="AA168" i="12"/>
  <c r="AA539" i="12"/>
  <c r="AA542" i="12"/>
  <c r="AA200" i="12"/>
  <c r="AL541" i="12"/>
  <c r="BC168" i="12"/>
  <c r="AZ506" i="12"/>
  <c r="AA508" i="12"/>
  <c r="AA509" i="12"/>
  <c r="AA506" i="12"/>
  <c r="AA233" i="12"/>
  <c r="AA169" i="12"/>
  <c r="AS695" i="12"/>
  <c r="AL199" i="12"/>
  <c r="BD693" i="12"/>
  <c r="BF690" i="12"/>
  <c r="AZ233" i="12"/>
  <c r="AZ540" i="12"/>
  <c r="AA538" i="12"/>
  <c r="AA537" i="12"/>
  <c r="AA544" i="12"/>
  <c r="AA234" i="12"/>
  <c r="AT690" i="12"/>
  <c r="AH281" i="12"/>
  <c r="AT694" i="12"/>
  <c r="AS508" i="12"/>
  <c r="AU543" i="12"/>
  <c r="BJ543" i="12"/>
  <c r="AQ199" i="12"/>
  <c r="AS544" i="12"/>
  <c r="AU695" i="12"/>
  <c r="BJ539" i="12"/>
  <c r="AS168" i="12"/>
  <c r="AS200" i="12"/>
  <c r="BA506" i="12"/>
  <c r="AM691" i="12"/>
  <c r="BJ507" i="12"/>
  <c r="BJ200" i="12"/>
  <c r="AT697" i="12"/>
  <c r="AT693" i="12"/>
  <c r="BI200" i="12"/>
  <c r="AS507" i="12"/>
  <c r="AS169" i="12"/>
  <c r="AS542" i="12"/>
  <c r="AS541" i="12"/>
  <c r="BA509" i="12"/>
  <c r="BA544" i="12"/>
  <c r="AU542" i="12"/>
  <c r="AU169" i="12"/>
  <c r="AM696" i="12"/>
  <c r="BJ234" i="12"/>
  <c r="BJ537" i="12"/>
  <c r="BJ540" i="12"/>
  <c r="BJ542" i="12"/>
  <c r="BJ541" i="12"/>
  <c r="AQ538" i="12"/>
  <c r="AQ540" i="12"/>
  <c r="AT692" i="12"/>
  <c r="AT696" i="12"/>
  <c r="AS540" i="12"/>
  <c r="AS506" i="12"/>
  <c r="AS543" i="12"/>
  <c r="AS537" i="12"/>
  <c r="AS233" i="12"/>
  <c r="AS240" i="12" s="1"/>
  <c r="AI169" i="12"/>
  <c r="AH507" i="12"/>
  <c r="BA169" i="12"/>
  <c r="BA543" i="12"/>
  <c r="AU540" i="12"/>
  <c r="AU168" i="12"/>
  <c r="AM697" i="12"/>
  <c r="BJ506" i="12"/>
  <c r="BJ538" i="12"/>
  <c r="BJ233" i="12"/>
  <c r="BJ168" i="12"/>
  <c r="BJ544" i="12"/>
  <c r="AQ169" i="12"/>
  <c r="AT691" i="12"/>
  <c r="AS538" i="12"/>
  <c r="AS539" i="12"/>
  <c r="AS509" i="12"/>
  <c r="AS199" i="12"/>
  <c r="AS203" i="12" s="1"/>
  <c r="AS206" i="12" s="1"/>
  <c r="AW695" i="12"/>
  <c r="BA233" i="12"/>
  <c r="BA200" i="12"/>
  <c r="BA203" i="12" s="1"/>
  <c r="BA206" i="12" s="1"/>
  <c r="BA540" i="12"/>
  <c r="AU200" i="12"/>
  <c r="AU506" i="12"/>
  <c r="AU538" i="12"/>
  <c r="AM690" i="12"/>
  <c r="BJ509" i="12"/>
  <c r="BJ199" i="12"/>
  <c r="BJ169" i="12"/>
  <c r="BE694" i="12"/>
  <c r="AQ200" i="12"/>
  <c r="AQ697" i="12"/>
  <c r="AQ695" i="12"/>
  <c r="AQ690" i="12"/>
  <c r="AE696" i="12"/>
  <c r="AQ693" i="12"/>
  <c r="AM200" i="12"/>
  <c r="AE281" i="12"/>
  <c r="AS696" i="12"/>
  <c r="AS692" i="12"/>
  <c r="BJ690" i="12"/>
  <c r="AL544" i="12"/>
  <c r="AL234" i="12"/>
  <c r="AL537" i="12"/>
  <c r="AL507" i="12"/>
  <c r="AL538" i="12"/>
  <c r="AC281" i="12"/>
  <c r="BD697" i="12"/>
  <c r="AB282" i="12"/>
  <c r="BF691" i="12"/>
  <c r="BF695" i="12"/>
  <c r="AX233" i="12"/>
  <c r="AZ200" i="12"/>
  <c r="AZ509" i="12"/>
  <c r="AZ542" i="12"/>
  <c r="AZ199" i="12"/>
  <c r="AZ539" i="12"/>
  <c r="AB281" i="12"/>
  <c r="AS697" i="12"/>
  <c r="AS693" i="12"/>
  <c r="AL200" i="12"/>
  <c r="AL506" i="12"/>
  <c r="AL169" i="12"/>
  <c r="AL543" i="12"/>
  <c r="AL170" i="12"/>
  <c r="BK281" i="12"/>
  <c r="BF692" i="12"/>
  <c r="BF696" i="12"/>
  <c r="AX539" i="12"/>
  <c r="AX509" i="12"/>
  <c r="BG507" i="12"/>
  <c r="AZ507" i="12"/>
  <c r="AZ234" i="12"/>
  <c r="AZ240" i="12" s="1"/>
  <c r="AZ541" i="12"/>
  <c r="AZ544" i="12"/>
  <c r="AZ169" i="12"/>
  <c r="AS694" i="12"/>
  <c r="AL508" i="12"/>
  <c r="AL509" i="12"/>
  <c r="AL168" i="12"/>
  <c r="AL540" i="12"/>
  <c r="BF697" i="12"/>
  <c r="AX234" i="12"/>
  <c r="BG170" i="12"/>
  <c r="AZ508" i="12"/>
  <c r="AZ170" i="12"/>
  <c r="AZ538" i="12"/>
  <c r="AQ506" i="12"/>
  <c r="AQ543" i="12"/>
  <c r="AQ542" i="12"/>
  <c r="AQ544" i="12"/>
  <c r="AQ539" i="12"/>
  <c r="AH282" i="12"/>
  <c r="BJ281" i="12"/>
  <c r="BC506" i="12"/>
  <c r="BB695" i="12"/>
  <c r="AR281" i="12"/>
  <c r="BC507" i="12"/>
  <c r="AP697" i="12"/>
  <c r="BC541" i="12"/>
  <c r="BC169" i="12"/>
  <c r="W694" i="12"/>
  <c r="BB691" i="12"/>
  <c r="BA234" i="12"/>
  <c r="BA508" i="12"/>
  <c r="BA542" i="12"/>
  <c r="BA541" i="12"/>
  <c r="BA537" i="12"/>
  <c r="BD509" i="12"/>
  <c r="AU508" i="12"/>
  <c r="AU233" i="12"/>
  <c r="AU199" i="12"/>
  <c r="AU541" i="12"/>
  <c r="AU234" i="12"/>
  <c r="AM692" i="12"/>
  <c r="AM694" i="12"/>
  <c r="AD539" i="12"/>
  <c r="AQ509" i="12"/>
  <c r="AQ507" i="12"/>
  <c r="AQ168" i="12"/>
  <c r="AQ233" i="12"/>
  <c r="W690" i="12"/>
  <c r="BD542" i="12"/>
  <c r="Z693" i="12"/>
  <c r="BC540" i="12"/>
  <c r="BC509" i="12"/>
  <c r="BC233" i="12"/>
  <c r="AR282" i="12"/>
  <c r="BA507" i="12"/>
  <c r="BA170" i="12"/>
  <c r="BA539" i="12"/>
  <c r="BA538" i="12"/>
  <c r="BD168" i="12"/>
  <c r="AU507" i="12"/>
  <c r="AU544" i="12"/>
  <c r="AU170" i="12"/>
  <c r="AU539" i="12"/>
  <c r="AM693" i="12"/>
  <c r="AQ508" i="12"/>
  <c r="AQ541" i="12"/>
  <c r="AQ537" i="12"/>
  <c r="AQ234" i="12"/>
  <c r="BI169" i="12"/>
  <c r="AH544" i="12"/>
  <c r="AZ281" i="12"/>
  <c r="AU691" i="12"/>
  <c r="AD506" i="12"/>
  <c r="BI280" i="12"/>
  <c r="BI541" i="12"/>
  <c r="AH170" i="12"/>
  <c r="AH199" i="12"/>
  <c r="AD508" i="12"/>
  <c r="AW169" i="12"/>
  <c r="AQ691" i="12"/>
  <c r="AS282" i="12"/>
  <c r="BF282" i="12"/>
  <c r="BI199" i="12"/>
  <c r="AL282" i="12"/>
  <c r="AH506" i="12"/>
  <c r="AD542" i="12"/>
  <c r="AD233" i="12"/>
  <c r="AA280" i="12"/>
  <c r="BI168" i="12"/>
  <c r="BI234" i="12"/>
  <c r="BI542" i="12"/>
  <c r="BI233" i="12"/>
  <c r="BI281" i="12"/>
  <c r="AH508" i="12"/>
  <c r="AH169" i="12"/>
  <c r="AH538" i="12"/>
  <c r="AH541" i="12"/>
  <c r="AZ280" i="12"/>
  <c r="BC696" i="12"/>
  <c r="AU692" i="12"/>
  <c r="AU696" i="12"/>
  <c r="AD199" i="12"/>
  <c r="AD540" i="12"/>
  <c r="AD509" i="12"/>
  <c r="AD169" i="12"/>
  <c r="AW234" i="12"/>
  <c r="BF281" i="12"/>
  <c r="AI280" i="12"/>
  <c r="BI509" i="12"/>
  <c r="BI507" i="12"/>
  <c r="BI540" i="12"/>
  <c r="BI539" i="12"/>
  <c r="BI538" i="12"/>
  <c r="AL281" i="12"/>
  <c r="AH509" i="12"/>
  <c r="AH233" i="12"/>
  <c r="AH234" i="12"/>
  <c r="AH200" i="12"/>
  <c r="AH540" i="12"/>
  <c r="BC692" i="12"/>
  <c r="AU693" i="12"/>
  <c r="AU697" i="12"/>
  <c r="AD538" i="12"/>
  <c r="AD537" i="12"/>
  <c r="AD507" i="12"/>
  <c r="AD544" i="12"/>
  <c r="AD234" i="12"/>
  <c r="AW540" i="12"/>
  <c r="BI508" i="12"/>
  <c r="BI506" i="12"/>
  <c r="BI537" i="12"/>
  <c r="BI544" i="12"/>
  <c r="BI543" i="12"/>
  <c r="AH543" i="12"/>
  <c r="AH542" i="12"/>
  <c r="AH537" i="12"/>
  <c r="AH168" i="12"/>
  <c r="AU694" i="12"/>
  <c r="AD541" i="12"/>
  <c r="AD200" i="12"/>
  <c r="AD543" i="12"/>
  <c r="AD170" i="12"/>
  <c r="AW199" i="12"/>
  <c r="AW170" i="12"/>
  <c r="W693" i="12"/>
  <c r="W696" i="12"/>
  <c r="BB694" i="12"/>
  <c r="BB690" i="12"/>
  <c r="BD541" i="12"/>
  <c r="BD170" i="12"/>
  <c r="BD506" i="12"/>
  <c r="BD234" i="12"/>
  <c r="AM281" i="12"/>
  <c r="AM282" i="12"/>
  <c r="AX696" i="12"/>
  <c r="BH693" i="12"/>
  <c r="W692" i="12"/>
  <c r="W697" i="12"/>
  <c r="BB697" i="12"/>
  <c r="BB693" i="12"/>
  <c r="BD537" i="12"/>
  <c r="BD543" i="12"/>
  <c r="BD199" i="12"/>
  <c r="BD203" i="12" s="1"/>
  <c r="BD206" i="12" s="1"/>
  <c r="BD540" i="12"/>
  <c r="BD508" i="12"/>
  <c r="AT541" i="12"/>
  <c r="AT280" i="12"/>
  <c r="BH281" i="12"/>
  <c r="AX692" i="12"/>
  <c r="AF282" i="12"/>
  <c r="BH697" i="12"/>
  <c r="W691" i="12"/>
  <c r="BB692" i="12"/>
  <c r="BD169" i="12"/>
  <c r="BD539" i="12"/>
  <c r="BD507" i="12"/>
  <c r="BD538" i="12"/>
  <c r="BE690" i="12"/>
  <c r="AT281" i="12"/>
  <c r="BG234" i="12"/>
  <c r="BG169" i="12"/>
  <c r="BG538" i="12"/>
  <c r="AP693" i="12"/>
  <c r="BJ693" i="12"/>
  <c r="BJ697" i="12"/>
  <c r="BK282" i="12"/>
  <c r="BD690" i="12"/>
  <c r="BD694" i="12"/>
  <c r="AX537" i="12"/>
  <c r="AX200" i="12"/>
  <c r="AX506" i="12"/>
  <c r="AX538" i="12"/>
  <c r="BG537" i="12"/>
  <c r="BG543" i="12"/>
  <c r="BG509" i="12"/>
  <c r="BG541" i="12"/>
  <c r="BG506" i="12"/>
  <c r="AD281" i="12"/>
  <c r="AJ282" i="12"/>
  <c r="BJ692" i="12"/>
  <c r="BJ696" i="12"/>
  <c r="BD691" i="12"/>
  <c r="BD695" i="12"/>
  <c r="BD281" i="12"/>
  <c r="AX543" i="12"/>
  <c r="AX508" i="12"/>
  <c r="AX170" i="12"/>
  <c r="AX507" i="12"/>
  <c r="AX544" i="12"/>
  <c r="AJ281" i="12"/>
  <c r="BG199" i="12"/>
  <c r="BG203" i="12" s="1"/>
  <c r="BG206" i="12" s="1"/>
  <c r="BG168" i="12"/>
  <c r="BG542" i="12"/>
  <c r="BG539" i="12"/>
  <c r="BG544" i="12"/>
  <c r="AC282" i="12"/>
  <c r="BJ691" i="12"/>
  <c r="BH541" i="12"/>
  <c r="BD696" i="12"/>
  <c r="AX169" i="12"/>
  <c r="AX199" i="12"/>
  <c r="AX540" i="12"/>
  <c r="AX541" i="12"/>
  <c r="AE508" i="12"/>
  <c r="BG508" i="12"/>
  <c r="BG233" i="12"/>
  <c r="BG540" i="12"/>
  <c r="BD282" i="12"/>
  <c r="BG282" i="12"/>
  <c r="AD282" i="12"/>
  <c r="BG280" i="12"/>
  <c r="AE280" i="12"/>
  <c r="AY281" i="12"/>
  <c r="AX693" i="12"/>
  <c r="AX697" i="12"/>
  <c r="Z690" i="12"/>
  <c r="Z692" i="12"/>
  <c r="BH692" i="12"/>
  <c r="BH696" i="12"/>
  <c r="BE695" i="12"/>
  <c r="BE691" i="12"/>
  <c r="AM543" i="12"/>
  <c r="AY282" i="12"/>
  <c r="AX694" i="12"/>
  <c r="AX690" i="12"/>
  <c r="Z695" i="12"/>
  <c r="Z697" i="12"/>
  <c r="BH695" i="12"/>
  <c r="BH691" i="12"/>
  <c r="BE692" i="12"/>
  <c r="BE696" i="12"/>
  <c r="AM508" i="12"/>
  <c r="AX695" i="12"/>
  <c r="Z691" i="12"/>
  <c r="BH694" i="12"/>
  <c r="BE693" i="12"/>
  <c r="AM199" i="12"/>
  <c r="AM234" i="12"/>
  <c r="AI282" i="12"/>
  <c r="BH542" i="12"/>
  <c r="AI233" i="12"/>
  <c r="AE544" i="12"/>
  <c r="AT507" i="12"/>
  <c r="AI695" i="12"/>
  <c r="AI541" i="12"/>
  <c r="AT509" i="12"/>
  <c r="BC281" i="12"/>
  <c r="AI200" i="12"/>
  <c r="AE506" i="12"/>
  <c r="AT233" i="12"/>
  <c r="BC282" i="12"/>
  <c r="AI691" i="12"/>
  <c r="AX281" i="12"/>
  <c r="AP282" i="12"/>
  <c r="AP281" i="12"/>
  <c r="AW694" i="12"/>
  <c r="AI168" i="12"/>
  <c r="AI506" i="12"/>
  <c r="AI508" i="12"/>
  <c r="AI539" i="12"/>
  <c r="BC697" i="12"/>
  <c r="BC693" i="12"/>
  <c r="AW507" i="12"/>
  <c r="AW509" i="12"/>
  <c r="AW542" i="12"/>
  <c r="AW200" i="12"/>
  <c r="AW233" i="12"/>
  <c r="AF281" i="12"/>
  <c r="AI199" i="12"/>
  <c r="AW691" i="12"/>
  <c r="AI543" i="12"/>
  <c r="AI542" i="12"/>
  <c r="AI538" i="12"/>
  <c r="AI507" i="12"/>
  <c r="AI540" i="12"/>
  <c r="BC694" i="12"/>
  <c r="BC690" i="12"/>
  <c r="AW506" i="12"/>
  <c r="AW508" i="12"/>
  <c r="AW537" i="12"/>
  <c r="AW538" i="12"/>
  <c r="AU281" i="12"/>
  <c r="AW690" i="12"/>
  <c r="AI509" i="12"/>
  <c r="AI537" i="12"/>
  <c r="AI544" i="12"/>
  <c r="AI234" i="12"/>
  <c r="BC695" i="12"/>
  <c r="AW541" i="12"/>
  <c r="AW544" i="12"/>
  <c r="AW539" i="12"/>
  <c r="AW168" i="12"/>
  <c r="AU282" i="12"/>
  <c r="AA282" i="12"/>
  <c r="AM544" i="12"/>
  <c r="AM169" i="12"/>
  <c r="AM538" i="12"/>
  <c r="AM233" i="12"/>
  <c r="AM170" i="12"/>
  <c r="Z541" i="12"/>
  <c r="AT170" i="12"/>
  <c r="AT200" i="12"/>
  <c r="AT234" i="12"/>
  <c r="AT539" i="12"/>
  <c r="AT544" i="12"/>
  <c r="AI692" i="12"/>
  <c r="AI696" i="12"/>
  <c r="AX280" i="12"/>
  <c r="Z507" i="12"/>
  <c r="AV282" i="12"/>
  <c r="AW692" i="12"/>
  <c r="AW696" i="12"/>
  <c r="BH508" i="12"/>
  <c r="BH537" i="12"/>
  <c r="BC543" i="12"/>
  <c r="BC539" i="12"/>
  <c r="BC538" i="12"/>
  <c r="BC199" i="12"/>
  <c r="BC200" i="12"/>
  <c r="AE509" i="12"/>
  <c r="AT199" i="12"/>
  <c r="AT168" i="12"/>
  <c r="AT537" i="12"/>
  <c r="AT542" i="12"/>
  <c r="AT543" i="12"/>
  <c r="AI693" i="12"/>
  <c r="AI697" i="12"/>
  <c r="AM542" i="12"/>
  <c r="AM168" i="12"/>
  <c r="AM540" i="12"/>
  <c r="AM507" i="12"/>
  <c r="AM509" i="12"/>
  <c r="AV281" i="12"/>
  <c r="Z169" i="12"/>
  <c r="AW697" i="12"/>
  <c r="BH507" i="12"/>
  <c r="BC542" i="12"/>
  <c r="BC537" i="12"/>
  <c r="BC544" i="12"/>
  <c r="BC234" i="12"/>
  <c r="AE540" i="12"/>
  <c r="AT506" i="12"/>
  <c r="AT508" i="12"/>
  <c r="AT540" i="12"/>
  <c r="AT169" i="12"/>
  <c r="AI690" i="12"/>
  <c r="AM506" i="12"/>
  <c r="AM537" i="12"/>
  <c r="AM541" i="12"/>
  <c r="AU619" i="12"/>
  <c r="AC85" i="6" s="1"/>
  <c r="AV619" i="12"/>
  <c r="AD85" i="6" s="1"/>
  <c r="BH169" i="12"/>
  <c r="BH506" i="12"/>
  <c r="BH233" i="12"/>
  <c r="BH543" i="12"/>
  <c r="BH544" i="12"/>
  <c r="AE233" i="12"/>
  <c r="AE507" i="12"/>
  <c r="AE537" i="12"/>
  <c r="AE541" i="12"/>
  <c r="W282" i="12"/>
  <c r="AP694" i="12"/>
  <c r="AP690" i="12"/>
  <c r="Z538" i="12"/>
  <c r="AP691" i="12"/>
  <c r="AP695" i="12"/>
  <c r="Z540" i="12"/>
  <c r="BH234" i="12"/>
  <c r="BH199" i="12"/>
  <c r="BH200" i="12"/>
  <c r="BH168" i="12"/>
  <c r="BH539" i="12"/>
  <c r="AE200" i="12"/>
  <c r="AE168" i="12"/>
  <c r="AE234" i="12"/>
  <c r="AE538" i="12"/>
  <c r="AE542" i="12"/>
  <c r="W280" i="12"/>
  <c r="Z199" i="12"/>
  <c r="AP692" i="12"/>
  <c r="Z234" i="12"/>
  <c r="Z506" i="12"/>
  <c r="BH509" i="12"/>
  <c r="BH538" i="12"/>
  <c r="BH170" i="12"/>
  <c r="AE169" i="12"/>
  <c r="AE199" i="12"/>
  <c r="AE170" i="12"/>
  <c r="AE539" i="12"/>
  <c r="Z170" i="12"/>
  <c r="Z509" i="12"/>
  <c r="Z542" i="12"/>
  <c r="Z200" i="12"/>
  <c r="Z539" i="12"/>
  <c r="Z168" i="12"/>
  <c r="Z544" i="12"/>
  <c r="Z537" i="12"/>
  <c r="Z233" i="12"/>
  <c r="Z508" i="12"/>
  <c r="BE511" i="12"/>
  <c r="BE512" i="12" s="1"/>
  <c r="BJ656" i="12"/>
  <c r="BJ655" i="12"/>
  <c r="BJ662" i="12"/>
  <c r="BJ661" i="12"/>
  <c r="BJ660" i="12"/>
  <c r="BJ659" i="12"/>
  <c r="BJ658" i="12"/>
  <c r="BJ657" i="12"/>
  <c r="Y234" i="12"/>
  <c r="Y543" i="12"/>
  <c r="Y538" i="12"/>
  <c r="Y541" i="12"/>
  <c r="Y544" i="12"/>
  <c r="Y200" i="12"/>
  <c r="Y168" i="12"/>
  <c r="Y539" i="12"/>
  <c r="Y542" i="12"/>
  <c r="Y169" i="12"/>
  <c r="Y537" i="12"/>
  <c r="Y540" i="12"/>
  <c r="Y170" i="12"/>
  <c r="Y508" i="12"/>
  <c r="Y509" i="12"/>
  <c r="Y233" i="12"/>
  <c r="Y506" i="12"/>
  <c r="Y507" i="12"/>
  <c r="AP240" i="12"/>
  <c r="BE203" i="12"/>
  <c r="BE206" i="12" s="1"/>
  <c r="AR199" i="12"/>
  <c r="AR543" i="12"/>
  <c r="AR542" i="12"/>
  <c r="AR233" i="12"/>
  <c r="AR537" i="12"/>
  <c r="AR540" i="12"/>
  <c r="AR506" i="12"/>
  <c r="AR507" i="12"/>
  <c r="AR168" i="12"/>
  <c r="AR544" i="12"/>
  <c r="AR169" i="12"/>
  <c r="AR170" i="12"/>
  <c r="AR539" i="12"/>
  <c r="AR538" i="12"/>
  <c r="AR509" i="12"/>
  <c r="AR200" i="12"/>
  <c r="AR541" i="12"/>
  <c r="AR508" i="12"/>
  <c r="AR234" i="12"/>
  <c r="AK696" i="12"/>
  <c r="AK691" i="12"/>
  <c r="AK694" i="12"/>
  <c r="AK697" i="12"/>
  <c r="AK690" i="12"/>
  <c r="AK693" i="12"/>
  <c r="AK692" i="12"/>
  <c r="AK695" i="12"/>
  <c r="AC200" i="12"/>
  <c r="AC168" i="12"/>
  <c r="AC233" i="12"/>
  <c r="AC234" i="12"/>
  <c r="AC542" i="12"/>
  <c r="AC506" i="12"/>
  <c r="AC507" i="12"/>
  <c r="AC540" i="12"/>
  <c r="AC539" i="12"/>
  <c r="AC544" i="12"/>
  <c r="AC543" i="12"/>
  <c r="AC537" i="12"/>
  <c r="AC199" i="12"/>
  <c r="AC541" i="12"/>
  <c r="AC538" i="12"/>
  <c r="AC170" i="12"/>
  <c r="AC169" i="12"/>
  <c r="AC508" i="12"/>
  <c r="AC509" i="12"/>
  <c r="AG280" i="12"/>
  <c r="AG282" i="12"/>
  <c r="BB511" i="12"/>
  <c r="BB512" i="12" s="1"/>
  <c r="BB203" i="12"/>
  <c r="BB206" i="12" s="1"/>
  <c r="BK240" i="12"/>
  <c r="Y199" i="12"/>
  <c r="BE174" i="12"/>
  <c r="BE240" i="12"/>
  <c r="BK403" i="12"/>
  <c r="BK407" i="12" s="1"/>
  <c r="AV692" i="12"/>
  <c r="AV691" i="12"/>
  <c r="AV690" i="12"/>
  <c r="AV697" i="12"/>
  <c r="AV696" i="12"/>
  <c r="AV695" i="12"/>
  <c r="AV694" i="12"/>
  <c r="AV693" i="12"/>
  <c r="BI434" i="12"/>
  <c r="BH109" i="12"/>
  <c r="BH119" i="12" s="1"/>
  <c r="W713" i="12"/>
  <c r="W702" i="12" s="1"/>
  <c r="W718" i="12"/>
  <c r="W707" i="12" s="1"/>
  <c r="W561" i="12"/>
  <c r="W712" i="12"/>
  <c r="W701" i="12" s="1"/>
  <c r="W203" i="12"/>
  <c r="W206" i="12" s="1"/>
  <c r="AJ233" i="12"/>
  <c r="AJ539" i="12"/>
  <c r="AJ540" i="12"/>
  <c r="AJ541" i="12"/>
  <c r="AJ169" i="12"/>
  <c r="AJ537" i="12"/>
  <c r="AJ538" i="12"/>
  <c r="AJ199" i="12"/>
  <c r="AJ234" i="12"/>
  <c r="AJ542" i="12"/>
  <c r="AJ543" i="12"/>
  <c r="AJ544" i="12"/>
  <c r="AJ168" i="12"/>
  <c r="AJ509" i="12"/>
  <c r="AJ506" i="12"/>
  <c r="AJ507" i="12"/>
  <c r="AJ170" i="12"/>
  <c r="AJ508" i="12"/>
  <c r="AJ200" i="12"/>
  <c r="AC692" i="12"/>
  <c r="AC695" i="12"/>
  <c r="AC690" i="12"/>
  <c r="AC693" i="12"/>
  <c r="AC696" i="12"/>
  <c r="AC691" i="12"/>
  <c r="AC694" i="12"/>
  <c r="AC697" i="12"/>
  <c r="AO280" i="12"/>
  <c r="AO282" i="12"/>
  <c r="BK642" i="12"/>
  <c r="BK647" i="12" s="1"/>
  <c r="BB174" i="12"/>
  <c r="BB176" i="12" s="1"/>
  <c r="BK174" i="12"/>
  <c r="BK176" i="12" s="1"/>
  <c r="AW280" i="12"/>
  <c r="AW282" i="12"/>
  <c r="AR694" i="12"/>
  <c r="AR695" i="12"/>
  <c r="AR696" i="12"/>
  <c r="AR697" i="12"/>
  <c r="AR692" i="12"/>
  <c r="AR693" i="12"/>
  <c r="AR690" i="12"/>
  <c r="AR691" i="12"/>
  <c r="AB169" i="12"/>
  <c r="AB199" i="12"/>
  <c r="AB543" i="12"/>
  <c r="AB233" i="12"/>
  <c r="AB200" i="12"/>
  <c r="AB508" i="12"/>
  <c r="AB170" i="12"/>
  <c r="AB234" i="12"/>
  <c r="AB168" i="12"/>
  <c r="AB542" i="12"/>
  <c r="AB506" i="12"/>
  <c r="AB507" i="12"/>
  <c r="AB509" i="12"/>
  <c r="AB540" i="12"/>
  <c r="AB544" i="12"/>
  <c r="AB538" i="12"/>
  <c r="AB537" i="12"/>
  <c r="AB539" i="12"/>
  <c r="AB541" i="12"/>
  <c r="AO281" i="12"/>
  <c r="X506" i="12"/>
  <c r="X509" i="12"/>
  <c r="X521" i="12" s="1"/>
  <c r="X507" i="12"/>
  <c r="X169" i="12"/>
  <c r="X170" i="12"/>
  <c r="X544" i="12"/>
  <c r="X541" i="12"/>
  <c r="X199" i="12"/>
  <c r="X168" i="12"/>
  <c r="X200" i="12"/>
  <c r="X233" i="12"/>
  <c r="X538" i="12"/>
  <c r="X543" i="12"/>
  <c r="X537" i="12"/>
  <c r="X539" i="12"/>
  <c r="X508" i="12"/>
  <c r="X234" i="12"/>
  <c r="X540" i="12"/>
  <c r="X542" i="12"/>
  <c r="AF537" i="12"/>
  <c r="AF538" i="12"/>
  <c r="AF170" i="12"/>
  <c r="AF543" i="12"/>
  <c r="AF540" i="12"/>
  <c r="AF168" i="12"/>
  <c r="AF200" i="12"/>
  <c r="AF541" i="12"/>
  <c r="AF544" i="12"/>
  <c r="AF234" i="12"/>
  <c r="AF233" i="12"/>
  <c r="AF539" i="12"/>
  <c r="AF542" i="12"/>
  <c r="AF169" i="12"/>
  <c r="AF199" i="12"/>
  <c r="AF508" i="12"/>
  <c r="AF507" i="12"/>
  <c r="AF506" i="12"/>
  <c r="AF509" i="12"/>
  <c r="BJ374" i="12"/>
  <c r="BJ379" i="12" s="1"/>
  <c r="W240" i="12"/>
  <c r="W715" i="12"/>
  <c r="W704" i="12" s="1"/>
  <c r="AG537" i="12"/>
  <c r="AG540" i="12"/>
  <c r="AG543" i="12"/>
  <c r="AG538" i="12"/>
  <c r="AG233" i="12"/>
  <c r="AG168" i="12"/>
  <c r="AG170" i="12"/>
  <c r="AG541" i="12"/>
  <c r="AG544" i="12"/>
  <c r="AG200" i="12"/>
  <c r="AG234" i="12"/>
  <c r="AG539" i="12"/>
  <c r="AG542" i="12"/>
  <c r="AG199" i="12"/>
  <c r="AG169" i="12"/>
  <c r="AG508" i="12"/>
  <c r="AG509" i="12"/>
  <c r="AG506" i="12"/>
  <c r="AG507" i="12"/>
  <c r="AJ690" i="12"/>
  <c r="AJ695" i="12"/>
  <c r="AJ697" i="12"/>
  <c r="AJ696" i="12"/>
  <c r="AJ693" i="12"/>
  <c r="AJ694" i="12"/>
  <c r="AJ691" i="12"/>
  <c r="AJ692" i="12"/>
  <c r="AP511" i="12"/>
  <c r="AP512" i="12" s="1"/>
  <c r="BI433" i="12"/>
  <c r="BH108" i="12"/>
  <c r="BH118" i="12" s="1"/>
  <c r="BI431" i="12"/>
  <c r="BH106" i="12"/>
  <c r="BH116" i="12" s="1"/>
  <c r="BB240" i="12"/>
  <c r="BK203" i="12"/>
  <c r="BK206" i="12" s="1"/>
  <c r="AO694" i="12"/>
  <c r="AO697" i="12"/>
  <c r="AO692" i="12"/>
  <c r="AO695" i="12"/>
  <c r="AO690" i="12"/>
  <c r="AO693" i="12"/>
  <c r="AO696" i="12"/>
  <c r="AO691" i="12"/>
  <c r="AB694" i="12"/>
  <c r="AB695" i="12"/>
  <c r="AB692" i="12"/>
  <c r="AB693" i="12"/>
  <c r="AB690" i="12"/>
  <c r="AB691" i="12"/>
  <c r="AB696" i="12"/>
  <c r="AB697" i="12"/>
  <c r="BI428" i="12"/>
  <c r="BH103" i="12"/>
  <c r="BH113" i="12" s="1"/>
  <c r="BA282" i="12"/>
  <c r="BA280" i="12"/>
  <c r="AN696" i="12"/>
  <c r="AN691" i="12"/>
  <c r="AN694" i="12"/>
  <c r="AN697" i="12"/>
  <c r="AN690" i="12"/>
  <c r="AN692" i="12"/>
  <c r="AN695" i="12"/>
  <c r="AN693" i="12"/>
  <c r="BJ407" i="12"/>
  <c r="BI430" i="12"/>
  <c r="BH105" i="12"/>
  <c r="BH115" i="12" s="1"/>
  <c r="AG281" i="12"/>
  <c r="AF694" i="12"/>
  <c r="AF693" i="12"/>
  <c r="AF692" i="12"/>
  <c r="AF691" i="12"/>
  <c r="AF690" i="12"/>
  <c r="AF697" i="12"/>
  <c r="AF696" i="12"/>
  <c r="AF695" i="12"/>
  <c r="BI432" i="12"/>
  <c r="BH107" i="12"/>
  <c r="BH117" i="12" s="1"/>
  <c r="W511" i="12"/>
  <c r="W512" i="12" s="1"/>
  <c r="W717" i="12"/>
  <c r="W706" i="12" s="1"/>
  <c r="W84" i="12" s="1"/>
  <c r="W96" i="12" s="1"/>
  <c r="W174" i="12"/>
  <c r="AG690" i="12"/>
  <c r="AG693" i="12"/>
  <c r="AG696" i="12"/>
  <c r="AG691" i="12"/>
  <c r="AG694" i="12"/>
  <c r="AG697" i="12"/>
  <c r="AG692" i="12"/>
  <c r="AG695" i="12"/>
  <c r="BG120" i="12"/>
  <c r="AO107" i="6" s="1"/>
  <c r="AB8" i="7" s="1"/>
  <c r="AP203" i="12"/>
  <c r="AP206" i="12" s="1"/>
  <c r="AP174" i="12"/>
  <c r="AP175" i="12" s="1"/>
  <c r="BI429" i="12"/>
  <c r="BH104" i="12"/>
  <c r="BH114" i="12" s="1"/>
  <c r="BK511" i="12"/>
  <c r="BK512" i="12" s="1"/>
  <c r="AO539" i="12"/>
  <c r="AO542" i="12"/>
  <c r="AO537" i="12"/>
  <c r="AO540" i="12"/>
  <c r="AO168" i="12"/>
  <c r="AO508" i="12"/>
  <c r="AO509" i="12"/>
  <c r="AO543" i="12"/>
  <c r="AO170" i="12"/>
  <c r="AO506" i="12"/>
  <c r="AO507" i="12"/>
  <c r="AO544" i="12"/>
  <c r="AO200" i="12"/>
  <c r="AO234" i="12"/>
  <c r="AO541" i="12"/>
  <c r="AO538" i="12"/>
  <c r="AO199" i="12"/>
  <c r="AO169" i="12"/>
  <c r="Y694" i="12"/>
  <c r="Y697" i="12"/>
  <c r="Y692" i="12"/>
  <c r="Y695" i="12"/>
  <c r="Y690" i="12"/>
  <c r="Y693" i="12"/>
  <c r="Y696" i="12"/>
  <c r="Y691" i="12"/>
  <c r="BE280" i="12"/>
  <c r="BE282" i="12"/>
  <c r="AK537" i="12"/>
  <c r="AK169" i="12"/>
  <c r="AK540" i="12"/>
  <c r="AK170" i="12"/>
  <c r="AK199" i="12"/>
  <c r="AK543" i="12"/>
  <c r="AK234" i="12"/>
  <c r="AK538" i="12"/>
  <c r="AK539" i="12"/>
  <c r="AK506" i="12"/>
  <c r="AK507" i="12"/>
  <c r="AK541" i="12"/>
  <c r="AK542" i="12"/>
  <c r="AK168" i="12"/>
  <c r="AK233" i="12"/>
  <c r="AK508" i="12"/>
  <c r="AK509" i="12"/>
  <c r="AK544" i="12"/>
  <c r="AK200" i="12"/>
  <c r="AK282" i="12"/>
  <c r="AK280" i="12"/>
  <c r="BE281" i="12"/>
  <c r="AN233" i="12"/>
  <c r="AN234" i="12"/>
  <c r="AN543" i="12"/>
  <c r="AN544" i="12"/>
  <c r="AN541" i="12"/>
  <c r="AN540" i="12"/>
  <c r="AN199" i="12"/>
  <c r="AN169" i="12"/>
  <c r="AN542" i="12"/>
  <c r="AN170" i="12"/>
  <c r="AN539" i="12"/>
  <c r="AN538" i="12"/>
  <c r="AN537" i="12"/>
  <c r="AN200" i="12"/>
  <c r="AN508" i="12"/>
  <c r="AN507" i="12"/>
  <c r="AN506" i="12"/>
  <c r="AN509" i="12"/>
  <c r="AN168" i="12"/>
  <c r="X694" i="12"/>
  <c r="X697" i="12"/>
  <c r="X692" i="12"/>
  <c r="X695" i="12"/>
  <c r="X691" i="12"/>
  <c r="X690" i="12"/>
  <c r="X693" i="12"/>
  <c r="X696" i="12"/>
  <c r="AV541" i="12"/>
  <c r="AV544" i="12"/>
  <c r="AV233" i="12"/>
  <c r="AV539" i="12"/>
  <c r="AV542" i="12"/>
  <c r="AV537" i="12"/>
  <c r="AV538" i="12"/>
  <c r="AV170" i="12"/>
  <c r="AV543" i="12"/>
  <c r="AV540" i="12"/>
  <c r="AV200" i="12"/>
  <c r="AV509" i="12"/>
  <c r="AV508" i="12"/>
  <c r="AV507" i="12"/>
  <c r="AV234" i="12"/>
  <c r="AV199" i="12"/>
  <c r="AV506" i="12"/>
  <c r="AV168" i="12"/>
  <c r="BI379" i="12"/>
  <c r="W719" i="12"/>
  <c r="W708" i="12" s="1"/>
  <c r="W714" i="12"/>
  <c r="W703" i="12" s="1"/>
  <c r="W716" i="12"/>
  <c r="W705" i="12" s="1"/>
  <c r="BI427" i="12"/>
  <c r="BH102" i="12"/>
  <c r="BH112" i="12" s="1"/>
  <c r="AH48" i="14"/>
  <c r="AD48" i="14"/>
  <c r="AF48" i="14" s="1"/>
  <c r="O12" i="7" l="1"/>
  <c r="O17" i="7" s="1"/>
  <c r="AO97" i="6"/>
  <c r="AO61" i="6" s="1"/>
  <c r="AB17" i="7"/>
  <c r="H12" i="7"/>
  <c r="H17" i="7" s="1"/>
  <c r="Q12" i="7"/>
  <c r="Q17" i="7" s="1"/>
  <c r="N12" i="7"/>
  <c r="N17" i="7" s="1"/>
  <c r="S12" i="7"/>
  <c r="S17" i="7" s="1"/>
  <c r="C12" i="7"/>
  <c r="C17" i="7" s="1"/>
  <c r="K12" i="7"/>
  <c r="K17" i="7" s="1"/>
  <c r="R12" i="7"/>
  <c r="R17" i="7" s="1"/>
  <c r="L12" i="7"/>
  <c r="L17" i="7" s="1"/>
  <c r="AJ61" i="6"/>
  <c r="AJ52" i="6"/>
  <c r="AJ70" i="6"/>
  <c r="W24" i="7"/>
  <c r="AM52" i="6"/>
  <c r="AM70" i="6"/>
  <c r="AM61" i="6"/>
  <c r="Z24" i="7"/>
  <c r="AK61" i="6"/>
  <c r="AK70" i="6"/>
  <c r="AK52" i="6"/>
  <c r="X24" i="7"/>
  <c r="AN61" i="6"/>
  <c r="AN52" i="6"/>
  <c r="AN70" i="6"/>
  <c r="AA24" i="7"/>
  <c r="AL52" i="6"/>
  <c r="AL70" i="6"/>
  <c r="AL61" i="6"/>
  <c r="Y24" i="7"/>
  <c r="Y61" i="6"/>
  <c r="D12" i="7"/>
  <c r="D17" i="7" s="1"/>
  <c r="U12" i="7"/>
  <c r="U17" i="7" s="1"/>
  <c r="V24" i="7"/>
  <c r="F12" i="7"/>
  <c r="F17" i="7" s="1"/>
  <c r="I97" i="6"/>
  <c r="L97" i="6"/>
  <c r="L70" i="6" s="1"/>
  <c r="J12" i="7"/>
  <c r="J17" i="7" s="1"/>
  <c r="M97" i="6"/>
  <c r="M52" i="6" s="1"/>
  <c r="E97" i="6"/>
  <c r="E70" i="6" s="1"/>
  <c r="I86" i="6"/>
  <c r="F5" i="7" s="1"/>
  <c r="J86" i="6"/>
  <c r="G5" i="7" s="1"/>
  <c r="F86" i="6"/>
  <c r="C5" i="7" s="1"/>
  <c r="J61" i="6"/>
  <c r="J52" i="6"/>
  <c r="Y521" i="12"/>
  <c r="Z521" i="12" s="1"/>
  <c r="AA521" i="12" s="1"/>
  <c r="AB521" i="12" s="1"/>
  <c r="AC521" i="12" s="1"/>
  <c r="AD521" i="12" s="1"/>
  <c r="AE521" i="12" s="1"/>
  <c r="AF521" i="12" s="1"/>
  <c r="AG521" i="12" s="1"/>
  <c r="AH521" i="12" s="1"/>
  <c r="AI521" i="12" s="1"/>
  <c r="AJ521" i="12" s="1"/>
  <c r="AK521" i="12" s="1"/>
  <c r="AL521" i="12" s="1"/>
  <c r="AM521" i="12" s="1"/>
  <c r="AN521" i="12" s="1"/>
  <c r="AO521" i="12" s="1"/>
  <c r="AP521" i="12" s="1"/>
  <c r="AQ521" i="12" s="1"/>
  <c r="AR521" i="12" s="1"/>
  <c r="AS521" i="12" s="1"/>
  <c r="AT521" i="12" s="1"/>
  <c r="AU521" i="12" s="1"/>
  <c r="AV521" i="12" s="1"/>
  <c r="AW521" i="12" s="1"/>
  <c r="AX521" i="12" s="1"/>
  <c r="AY521" i="12" s="1"/>
  <c r="AZ521" i="12" s="1"/>
  <c r="BA521" i="12" s="1"/>
  <c r="BB521" i="12" s="1"/>
  <c r="BC521" i="12" s="1"/>
  <c r="BD521" i="12" s="1"/>
  <c r="BE521" i="12" s="1"/>
  <c r="BF521" i="12" s="1"/>
  <c r="BG521" i="12" s="1"/>
  <c r="BH521" i="12" s="1"/>
  <c r="BI521" i="12" s="1"/>
  <c r="BJ521" i="12" s="1"/>
  <c r="BK521" i="12" s="1"/>
  <c r="Z281" i="12"/>
  <c r="Z280" i="12"/>
  <c r="B12" i="7"/>
  <c r="Y280" i="12"/>
  <c r="Y282" i="12"/>
  <c r="AQ174" i="12"/>
  <c r="AQ177" i="12" s="1"/>
  <c r="BD240" i="12"/>
  <c r="BD246" i="12" s="1"/>
  <c r="BD242" i="12" s="1"/>
  <c r="AZ283" i="12"/>
  <c r="X281" i="12"/>
  <c r="X286" i="12" s="1"/>
  <c r="Y286" i="12" s="1"/>
  <c r="AQ283" i="12"/>
  <c r="X282" i="12"/>
  <c r="X287" i="12" s="1"/>
  <c r="AN283" i="12"/>
  <c r="BB281" i="12"/>
  <c r="BB282" i="12"/>
  <c r="G12" i="7"/>
  <c r="G17" i="7" s="1"/>
  <c r="BF511" i="12"/>
  <c r="BF512" i="12" s="1"/>
  <c r="I12" i="7"/>
  <c r="I17" i="7" s="1"/>
  <c r="AX203" i="12"/>
  <c r="AX206" i="12" s="1"/>
  <c r="AE283" i="12"/>
  <c r="AR283" i="12"/>
  <c r="BF203" i="12"/>
  <c r="BF206" i="12" s="1"/>
  <c r="BF174" i="12"/>
  <c r="BF178" i="12" s="1"/>
  <c r="I24" i="7"/>
  <c r="G24" i="7"/>
  <c r="J70" i="6"/>
  <c r="O24" i="7"/>
  <c r="R61" i="6"/>
  <c r="R70" i="6"/>
  <c r="M12" i="7"/>
  <c r="M17" i="7" s="1"/>
  <c r="P52" i="6"/>
  <c r="X61" i="6"/>
  <c r="U24" i="7"/>
  <c r="X70" i="6"/>
  <c r="S24" i="7"/>
  <c r="V61" i="6"/>
  <c r="V70" i="6"/>
  <c r="W70" i="6"/>
  <c r="W61" i="6"/>
  <c r="T24" i="7"/>
  <c r="U61" i="6"/>
  <c r="R24" i="7"/>
  <c r="U70" i="6"/>
  <c r="P12" i="7"/>
  <c r="P17" i="7" s="1"/>
  <c r="S52" i="6"/>
  <c r="T61" i="6"/>
  <c r="Q24" i="7"/>
  <c r="T70" i="6"/>
  <c r="Q70" i="6"/>
  <c r="Q61" i="6"/>
  <c r="N24" i="7"/>
  <c r="B7" i="7"/>
  <c r="E51" i="6"/>
  <c r="E60" i="6"/>
  <c r="E12" i="7"/>
  <c r="E17" i="7" s="1"/>
  <c r="H52" i="6"/>
  <c r="D5" i="7"/>
  <c r="AY240" i="12"/>
  <c r="AY246" i="12" s="1"/>
  <c r="AY245" i="12" s="1"/>
  <c r="BH283" i="12"/>
  <c r="BA174" i="12"/>
  <c r="BA177" i="12" s="1"/>
  <c r="W85" i="12"/>
  <c r="W97" i="12" s="1"/>
  <c r="W83" i="12"/>
  <c r="W95" i="12" s="1"/>
  <c r="AS283" i="12"/>
  <c r="W86" i="12"/>
  <c r="W98" i="12" s="1"/>
  <c r="W79" i="12"/>
  <c r="W91" i="12" s="1"/>
  <c r="AW240" i="12"/>
  <c r="AW246" i="12" s="1"/>
  <c r="AW241" i="12" s="1"/>
  <c r="AC283" i="12"/>
  <c r="AJ283" i="12"/>
  <c r="BA511" i="12"/>
  <c r="BA512" i="12" s="1"/>
  <c r="BJ283" i="12"/>
  <c r="BI283" i="12"/>
  <c r="BJ240" i="12"/>
  <c r="BJ246" i="12" s="1"/>
  <c r="BJ242" i="12" s="1"/>
  <c r="AY511" i="12"/>
  <c r="AY512" i="12" s="1"/>
  <c r="AS174" i="12"/>
  <c r="AS177" i="12" s="1"/>
  <c r="BI511" i="12"/>
  <c r="BI512" i="12" s="1"/>
  <c r="AQ203" i="12"/>
  <c r="AQ206" i="12" s="1"/>
  <c r="AA174" i="12"/>
  <c r="AA176" i="12" s="1"/>
  <c r="AY174" i="12"/>
  <c r="AY179" i="12" s="1"/>
  <c r="AU203" i="12"/>
  <c r="AU206" i="12" s="1"/>
  <c r="BJ174" i="12"/>
  <c r="BJ176" i="12" s="1"/>
  <c r="BC174" i="12"/>
  <c r="BC175" i="12" s="1"/>
  <c r="AA203" i="12"/>
  <c r="AA206" i="12" s="1"/>
  <c r="AX240" i="12"/>
  <c r="AX246" i="12" s="1"/>
  <c r="AX245" i="12" s="1"/>
  <c r="AA511" i="12"/>
  <c r="AA512" i="12" s="1"/>
  <c r="AL240" i="12"/>
  <c r="AL246" i="12" s="1"/>
  <c r="AL242" i="12" s="1"/>
  <c r="AY203" i="12"/>
  <c r="AY206" i="12" s="1"/>
  <c r="AA240" i="12"/>
  <c r="AA246" i="12" s="1"/>
  <c r="AA241" i="12" s="1"/>
  <c r="AH283" i="12"/>
  <c r="AU240" i="12"/>
  <c r="AU246" i="12" s="1"/>
  <c r="AU243" i="12" s="1"/>
  <c r="W81" i="12"/>
  <c r="W93" i="12" s="1"/>
  <c r="AL203" i="12"/>
  <c r="AL206" i="12" s="1"/>
  <c r="AD203" i="12"/>
  <c r="AD206" i="12" s="1"/>
  <c r="BI240" i="12"/>
  <c r="BI246" i="12" s="1"/>
  <c r="BI241" i="12" s="1"/>
  <c r="AL283" i="12"/>
  <c r="BJ203" i="12"/>
  <c r="BJ206" i="12" s="1"/>
  <c r="AQ511" i="12"/>
  <c r="AQ512" i="12" s="1"/>
  <c r="AU511" i="12"/>
  <c r="AU512" i="12" s="1"/>
  <c r="BJ511" i="12"/>
  <c r="BJ512" i="12" s="1"/>
  <c r="BG174" i="12"/>
  <c r="BG176" i="12" s="1"/>
  <c r="BA240" i="12"/>
  <c r="BA246" i="12" s="1"/>
  <c r="BA242" i="12" s="1"/>
  <c r="AD174" i="12"/>
  <c r="AD176" i="12" s="1"/>
  <c r="AH203" i="12"/>
  <c r="AH206" i="12" s="1"/>
  <c r="AI174" i="12"/>
  <c r="AI175" i="12" s="1"/>
  <c r="BI174" i="12"/>
  <c r="BI175" i="12" s="1"/>
  <c r="AQ240" i="12"/>
  <c r="AQ246" i="12" s="1"/>
  <c r="AQ242" i="12" s="1"/>
  <c r="BC511" i="12"/>
  <c r="BC512" i="12" s="1"/>
  <c r="AS511" i="12"/>
  <c r="AS512" i="12" s="1"/>
  <c r="BI203" i="12"/>
  <c r="BI206" i="12" s="1"/>
  <c r="AU174" i="12"/>
  <c r="AU175" i="12" s="1"/>
  <c r="AZ511" i="12"/>
  <c r="AZ512" i="12" s="1"/>
  <c r="W82" i="12"/>
  <c r="W94" i="12" s="1"/>
  <c r="BK283" i="12"/>
  <c r="AX174" i="12"/>
  <c r="AX177" i="12" s="1"/>
  <c r="AL174" i="12"/>
  <c r="AL177" i="12" s="1"/>
  <c r="AL511" i="12"/>
  <c r="AL512" i="12" s="1"/>
  <c r="AZ174" i="12"/>
  <c r="AZ175" i="12" s="1"/>
  <c r="AZ203" i="12"/>
  <c r="AZ206" i="12" s="1"/>
  <c r="W80" i="12"/>
  <c r="W92" i="12" s="1"/>
  <c r="BC240" i="12"/>
  <c r="BC246" i="12" s="1"/>
  <c r="BC244" i="12" s="1"/>
  <c r="AA283" i="12"/>
  <c r="AM203" i="12"/>
  <c r="AM206" i="12" s="1"/>
  <c r="BB514" i="12"/>
  <c r="AB283" i="12"/>
  <c r="AX511" i="12"/>
  <c r="AX512" i="12" s="1"/>
  <c r="AI283" i="12"/>
  <c r="BF283" i="12"/>
  <c r="AM283" i="12"/>
  <c r="BD174" i="12"/>
  <c r="BD178" i="12" s="1"/>
  <c r="AH511" i="12"/>
  <c r="AH512" i="12" s="1"/>
  <c r="BD283" i="12"/>
  <c r="BG240" i="12"/>
  <c r="BG246" i="12" s="1"/>
  <c r="BG244" i="12" s="1"/>
  <c r="AH174" i="12"/>
  <c r="AH177" i="12" s="1"/>
  <c r="AE203" i="12"/>
  <c r="AE206" i="12" s="1"/>
  <c r="BG283" i="12"/>
  <c r="BD511" i="12"/>
  <c r="BD512" i="12" s="1"/>
  <c r="AD240" i="12"/>
  <c r="AD246" i="12" s="1"/>
  <c r="AD242" i="12" s="1"/>
  <c r="BC283" i="12"/>
  <c r="AH240" i="12"/>
  <c r="AH246" i="12" s="1"/>
  <c r="AH242" i="12" s="1"/>
  <c r="AM240" i="12"/>
  <c r="AM246" i="12" s="1"/>
  <c r="AM244" i="12" s="1"/>
  <c r="AW174" i="12"/>
  <c r="AW177" i="12" s="1"/>
  <c r="AW203" i="12"/>
  <c r="AW206" i="12" s="1"/>
  <c r="AT511" i="12"/>
  <c r="AT512" i="12" s="1"/>
  <c r="AD283" i="12"/>
  <c r="AT283" i="12"/>
  <c r="AD511" i="12"/>
  <c r="AD512" i="12" s="1"/>
  <c r="BB177" i="12"/>
  <c r="AT240" i="12"/>
  <c r="AT246" i="12" s="1"/>
  <c r="AT244" i="12" s="1"/>
  <c r="AF283" i="12"/>
  <c r="BG511" i="12"/>
  <c r="BG512" i="12" s="1"/>
  <c r="AM174" i="12"/>
  <c r="AM176" i="12" s="1"/>
  <c r="AT203" i="12"/>
  <c r="AT206" i="12" s="1"/>
  <c r="AX283" i="12"/>
  <c r="BE205" i="12"/>
  <c r="AE174" i="12"/>
  <c r="AE178" i="12" s="1"/>
  <c r="BH240" i="12"/>
  <c r="BH246" i="12" s="1"/>
  <c r="BH244" i="12" s="1"/>
  <c r="AW511" i="12"/>
  <c r="AW512" i="12" s="1"/>
  <c r="Z203" i="12"/>
  <c r="Z206" i="12" s="1"/>
  <c r="AI511" i="12"/>
  <c r="AI512" i="12" s="1"/>
  <c r="AI203" i="12"/>
  <c r="AI206" i="12" s="1"/>
  <c r="AU283" i="12"/>
  <c r="AM511" i="12"/>
  <c r="AM512" i="12" s="1"/>
  <c r="AE511" i="12"/>
  <c r="AE512" i="12" s="1"/>
  <c r="AI240" i="12"/>
  <c r="AI246" i="12" s="1"/>
  <c r="AI242" i="12" s="1"/>
  <c r="Z511" i="12"/>
  <c r="Z512" i="12" s="1"/>
  <c r="AY283" i="12"/>
  <c r="AP283" i="12"/>
  <c r="AE240" i="12"/>
  <c r="AE246" i="12" s="1"/>
  <c r="AE241" i="12" s="1"/>
  <c r="BC203" i="12"/>
  <c r="BC206" i="12" s="1"/>
  <c r="AT174" i="12"/>
  <c r="AT178" i="12" s="1"/>
  <c r="BH174" i="12"/>
  <c r="BH177" i="12" s="1"/>
  <c r="BE514" i="12"/>
  <c r="W205" i="12"/>
  <c r="Z174" i="12"/>
  <c r="Z177" i="12" s="1"/>
  <c r="BD205" i="12"/>
  <c r="BH203" i="12"/>
  <c r="BH206" i="12" s="1"/>
  <c r="BE513" i="12"/>
  <c r="BE515" i="12"/>
  <c r="Z240" i="12"/>
  <c r="Z246" i="12" s="1"/>
  <c r="Z241" i="12" s="1"/>
  <c r="BH511" i="12"/>
  <c r="BH513" i="12" s="1"/>
  <c r="AV283" i="12"/>
  <c r="BG205" i="12"/>
  <c r="W204" i="12"/>
  <c r="W283" i="12"/>
  <c r="X285" i="12"/>
  <c r="BB175" i="12"/>
  <c r="BE204" i="12"/>
  <c r="BD204" i="12"/>
  <c r="AP513" i="12"/>
  <c r="BB515" i="12"/>
  <c r="BK513" i="12"/>
  <c r="BK514" i="12"/>
  <c r="BA204" i="12"/>
  <c r="AS204" i="12"/>
  <c r="BG204" i="12"/>
  <c r="BA283" i="12"/>
  <c r="AW283" i="12"/>
  <c r="BB205" i="12"/>
  <c r="AK283" i="12"/>
  <c r="BB204" i="12"/>
  <c r="BK661" i="12"/>
  <c r="BK660" i="12"/>
  <c r="BK659" i="12"/>
  <c r="BK658" i="12"/>
  <c r="BK657" i="12"/>
  <c r="BK656" i="12"/>
  <c r="BK655" i="12"/>
  <c r="BK662" i="12"/>
  <c r="AV240" i="12"/>
  <c r="AK203" i="12"/>
  <c r="AK206" i="12" s="1"/>
  <c r="K61" i="6"/>
  <c r="H24" i="7"/>
  <c r="K70" i="6"/>
  <c r="W178" i="12"/>
  <c r="W179" i="12"/>
  <c r="C24" i="7"/>
  <c r="F52" i="6"/>
  <c r="F61" i="6"/>
  <c r="F70" i="6"/>
  <c r="BJ431" i="12"/>
  <c r="BI106" i="12"/>
  <c r="BI116" i="12" s="1"/>
  <c r="AS246" i="12"/>
  <c r="AS244" i="12" s="1"/>
  <c r="AF203" i="12"/>
  <c r="AF206" i="12" s="1"/>
  <c r="AF240" i="12"/>
  <c r="X203" i="12"/>
  <c r="X206" i="12" s="1"/>
  <c r="X210" i="12" s="1"/>
  <c r="AB203" i="12"/>
  <c r="AB206" i="12" s="1"/>
  <c r="AJ511" i="12"/>
  <c r="AJ512" i="12" s="1"/>
  <c r="W515" i="12"/>
  <c r="BE178" i="12"/>
  <c r="BE179" i="12"/>
  <c r="BK246" i="12"/>
  <c r="BK243" i="12" s="1"/>
  <c r="AC203" i="12"/>
  <c r="AC206" i="12" s="1"/>
  <c r="AR174" i="12"/>
  <c r="AR176" i="12" s="1"/>
  <c r="AR203" i="12"/>
  <c r="AR206" i="12" s="1"/>
  <c r="BH120" i="12"/>
  <c r="AP107" i="6" s="1"/>
  <c r="W514" i="12"/>
  <c r="AV174" i="12"/>
  <c r="AV177" i="12" s="1"/>
  <c r="AN174" i="12"/>
  <c r="AN177" i="12" s="1"/>
  <c r="AN203" i="12"/>
  <c r="AN206" i="12" s="1"/>
  <c r="BE283" i="12"/>
  <c r="BJ429" i="12"/>
  <c r="BI104" i="12"/>
  <c r="BI114" i="12" s="1"/>
  <c r="AP178" i="12"/>
  <c r="AP179" i="12"/>
  <c r="AP204" i="12"/>
  <c r="W513" i="12"/>
  <c r="BJ430" i="12"/>
  <c r="BI105" i="12"/>
  <c r="BI115" i="12" s="1"/>
  <c r="G61" i="6"/>
  <c r="D24" i="7"/>
  <c r="G70" i="6"/>
  <c r="BJ433" i="12"/>
  <c r="BI108" i="12"/>
  <c r="BI118" i="12" s="1"/>
  <c r="AG511" i="12"/>
  <c r="AG512" i="12" s="1"/>
  <c r="AG203" i="12"/>
  <c r="AG206" i="12" s="1"/>
  <c r="AG174" i="12"/>
  <c r="AG177" i="12" s="1"/>
  <c r="W246" i="12"/>
  <c r="AF511" i="12"/>
  <c r="AF512" i="12" s="1"/>
  <c r="AF174" i="12"/>
  <c r="AF176" i="12" s="1"/>
  <c r="X240" i="12"/>
  <c r="AB174" i="12"/>
  <c r="AB175" i="12" s="1"/>
  <c r="BE177" i="12"/>
  <c r="O61" i="6"/>
  <c r="L24" i="7"/>
  <c r="O70" i="6"/>
  <c r="W563" i="12"/>
  <c r="W562" i="12"/>
  <c r="BJ434" i="12"/>
  <c r="BI109" i="12"/>
  <c r="BI119" i="12" s="1"/>
  <c r="BE246" i="12"/>
  <c r="BE242" i="12" s="1"/>
  <c r="Y203" i="12"/>
  <c r="Y206" i="12" s="1"/>
  <c r="AG283" i="12"/>
  <c r="AP205" i="12"/>
  <c r="BF246" i="12"/>
  <c r="BF241" i="12" s="1"/>
  <c r="BA205" i="12"/>
  <c r="J5" i="7"/>
  <c r="AR240" i="12"/>
  <c r="BE176" i="12"/>
  <c r="BK205" i="12"/>
  <c r="Y511" i="12"/>
  <c r="Y512" i="12" s="1"/>
  <c r="BJ427" i="12"/>
  <c r="BI102" i="12"/>
  <c r="BI112" i="12" s="1"/>
  <c r="AV511" i="12"/>
  <c r="AV512" i="12" s="1"/>
  <c r="AK240" i="12"/>
  <c r="AO511" i="12"/>
  <c r="AO512" i="12" s="1"/>
  <c r="W177" i="12"/>
  <c r="BB246" i="12"/>
  <c r="BB244" i="12" s="1"/>
  <c r="AG240" i="12"/>
  <c r="AB240" i="12"/>
  <c r="BK178" i="12"/>
  <c r="BK179" i="12"/>
  <c r="BB178" i="12"/>
  <c r="BB179" i="12"/>
  <c r="AO283" i="12"/>
  <c r="AJ174" i="12"/>
  <c r="AJ177" i="12" s="1"/>
  <c r="AJ240" i="12"/>
  <c r="AC240" i="12"/>
  <c r="AP514" i="12"/>
  <c r="AR511" i="12"/>
  <c r="AR512" i="12" s="1"/>
  <c r="AP246" i="12"/>
  <c r="AP243" i="12" s="1"/>
  <c r="Y240" i="12"/>
  <c r="AO240" i="12"/>
  <c r="AV203" i="12"/>
  <c r="AV206" i="12" s="1"/>
  <c r="AN511" i="12"/>
  <c r="AN512" i="12" s="1"/>
  <c r="AN240" i="12"/>
  <c r="AK174" i="12"/>
  <c r="AK176" i="12" s="1"/>
  <c r="AK511" i="12"/>
  <c r="AK512" i="12" s="1"/>
  <c r="AO203" i="12"/>
  <c r="AO206" i="12" s="1"/>
  <c r="AO174" i="12"/>
  <c r="AO177" i="12" s="1"/>
  <c r="AP177" i="12"/>
  <c r="AZ246" i="12"/>
  <c r="AZ241" i="12" s="1"/>
  <c r="W175" i="12"/>
  <c r="BJ432" i="12"/>
  <c r="BI107" i="12"/>
  <c r="BI117" i="12" s="1"/>
  <c r="BJ428" i="12"/>
  <c r="BI103" i="12"/>
  <c r="BI113" i="12" s="1"/>
  <c r="BK204" i="12"/>
  <c r="W176" i="12"/>
  <c r="BK374" i="12"/>
  <c r="BK379" i="12" s="1"/>
  <c r="X174" i="12"/>
  <c r="X176" i="12" s="1"/>
  <c r="X511" i="12"/>
  <c r="X512" i="12" s="1"/>
  <c r="X517" i="12" s="1"/>
  <c r="AB511" i="12"/>
  <c r="AB512" i="12" s="1"/>
  <c r="BK175" i="12"/>
  <c r="AS205" i="12"/>
  <c r="AJ203" i="12"/>
  <c r="AJ206" i="12" s="1"/>
  <c r="K24" i="7"/>
  <c r="N61" i="6"/>
  <c r="N70" i="6"/>
  <c r="BE175" i="12"/>
  <c r="BK177" i="12"/>
  <c r="BB513" i="12"/>
  <c r="AC511" i="12"/>
  <c r="AC512" i="12" s="1"/>
  <c r="AC174" i="12"/>
  <c r="AC175" i="12" s="1"/>
  <c r="AP515" i="12"/>
  <c r="AP176" i="12"/>
  <c r="Y174" i="12"/>
  <c r="Y177" i="12" s="1"/>
  <c r="BK515" i="12"/>
  <c r="AB24" i="7" l="1"/>
  <c r="AO52" i="6"/>
  <c r="AO70" i="6"/>
  <c r="AC8" i="7"/>
  <c r="AC17" i="7" s="1"/>
  <c r="AP97" i="6"/>
  <c r="E52" i="6"/>
  <c r="E49" i="6"/>
  <c r="E54" i="6" s="1"/>
  <c r="E55" i="6" s="1"/>
  <c r="B24" i="7"/>
  <c r="E61" i="6"/>
  <c r="E58" i="6"/>
  <c r="E63" i="6" s="1"/>
  <c r="E64" i="6" s="1"/>
  <c r="E65" i="6" s="1"/>
  <c r="L52" i="6"/>
  <c r="L61" i="6"/>
  <c r="Y517" i="12"/>
  <c r="Z517" i="12" s="1"/>
  <c r="AA517" i="12" s="1"/>
  <c r="AB517" i="12" s="1"/>
  <c r="AC517" i="12" s="1"/>
  <c r="AD517" i="12" s="1"/>
  <c r="AE517" i="12" s="1"/>
  <c r="AF517" i="12" s="1"/>
  <c r="AG517" i="12" s="1"/>
  <c r="AH517" i="12" s="1"/>
  <c r="AI517" i="12" s="1"/>
  <c r="AJ517" i="12" s="1"/>
  <c r="AK517" i="12" s="1"/>
  <c r="AL517" i="12" s="1"/>
  <c r="AM517" i="12" s="1"/>
  <c r="AN517" i="12" s="1"/>
  <c r="AO517" i="12" s="1"/>
  <c r="AP517" i="12" s="1"/>
  <c r="AQ517" i="12" s="1"/>
  <c r="AR517" i="12" s="1"/>
  <c r="AS517" i="12" s="1"/>
  <c r="AT517" i="12" s="1"/>
  <c r="AU517" i="12" s="1"/>
  <c r="AV517" i="12" s="1"/>
  <c r="AW517" i="12" s="1"/>
  <c r="AX517" i="12" s="1"/>
  <c r="AY517" i="12" s="1"/>
  <c r="AZ517" i="12" s="1"/>
  <c r="BA517" i="12" s="1"/>
  <c r="BB517" i="12" s="1"/>
  <c r="BC517" i="12" s="1"/>
  <c r="BD517" i="12" s="1"/>
  <c r="BE517" i="12" s="1"/>
  <c r="BF517" i="12" s="1"/>
  <c r="BG517" i="12" s="1"/>
  <c r="F24" i="7"/>
  <c r="I52" i="6"/>
  <c r="Z286" i="12"/>
  <c r="AA286" i="12" s="1"/>
  <c r="AB286" i="12" s="1"/>
  <c r="AC286" i="12" s="1"/>
  <c r="AD286" i="12" s="1"/>
  <c r="AE286" i="12" s="1"/>
  <c r="AF286" i="12" s="1"/>
  <c r="AG286" i="12" s="1"/>
  <c r="AH286" i="12" s="1"/>
  <c r="AI286" i="12" s="1"/>
  <c r="AJ286" i="12" s="1"/>
  <c r="AK286" i="12" s="1"/>
  <c r="AL286" i="12" s="1"/>
  <c r="AM286" i="12" s="1"/>
  <c r="AN286" i="12" s="1"/>
  <c r="AO286" i="12" s="1"/>
  <c r="AP286" i="12" s="1"/>
  <c r="AQ286" i="12" s="1"/>
  <c r="AR286" i="12" s="1"/>
  <c r="AS286" i="12" s="1"/>
  <c r="AT286" i="12" s="1"/>
  <c r="AU286" i="12" s="1"/>
  <c r="AV286" i="12" s="1"/>
  <c r="AW286" i="12" s="1"/>
  <c r="AX286" i="12" s="1"/>
  <c r="AY286" i="12" s="1"/>
  <c r="AZ286" i="12" s="1"/>
  <c r="BA286" i="12" s="1"/>
  <c r="BB286" i="12" s="1"/>
  <c r="BC286" i="12" s="1"/>
  <c r="BD286" i="12" s="1"/>
  <c r="BE286" i="12" s="1"/>
  <c r="BF286" i="12" s="1"/>
  <c r="BG286" i="12" s="1"/>
  <c r="BH286" i="12" s="1"/>
  <c r="BI286" i="12" s="1"/>
  <c r="BJ286" i="12" s="1"/>
  <c r="BK286" i="12" s="1"/>
  <c r="Z283" i="12"/>
  <c r="Y283" i="12"/>
  <c r="B17" i="7"/>
  <c r="AQ178" i="12"/>
  <c r="AQ175" i="12"/>
  <c r="Y287" i="12"/>
  <c r="Z287" i="12" s="1"/>
  <c r="AA287" i="12" s="1"/>
  <c r="AB287" i="12" s="1"/>
  <c r="AC287" i="12" s="1"/>
  <c r="AD287" i="12" s="1"/>
  <c r="AE287" i="12" s="1"/>
  <c r="AF287" i="12" s="1"/>
  <c r="AG287" i="12" s="1"/>
  <c r="AH287" i="12" s="1"/>
  <c r="AI287" i="12" s="1"/>
  <c r="AJ287" i="12" s="1"/>
  <c r="AK287" i="12" s="1"/>
  <c r="AL287" i="12" s="1"/>
  <c r="AM287" i="12" s="1"/>
  <c r="AN287" i="12" s="1"/>
  <c r="AO287" i="12" s="1"/>
  <c r="AP287" i="12" s="1"/>
  <c r="AQ287" i="12" s="1"/>
  <c r="AR287" i="12" s="1"/>
  <c r="AS287" i="12" s="1"/>
  <c r="AT287" i="12" s="1"/>
  <c r="AU287" i="12" s="1"/>
  <c r="AV287" i="12" s="1"/>
  <c r="AW287" i="12" s="1"/>
  <c r="AX287" i="12" s="1"/>
  <c r="AY287" i="12" s="1"/>
  <c r="AZ287" i="12" s="1"/>
  <c r="BA287" i="12" s="1"/>
  <c r="BB287" i="12" s="1"/>
  <c r="BC287" i="12" s="1"/>
  <c r="BD287" i="12" s="1"/>
  <c r="BE287" i="12" s="1"/>
  <c r="BF287" i="12" s="1"/>
  <c r="BG287" i="12" s="1"/>
  <c r="BH287" i="12" s="1"/>
  <c r="BI287" i="12" s="1"/>
  <c r="BJ287" i="12" s="1"/>
  <c r="BK287" i="12" s="1"/>
  <c r="AQ176" i="12"/>
  <c r="W244" i="12"/>
  <c r="AQ179" i="12"/>
  <c r="X283" i="12"/>
  <c r="BB283" i="12"/>
  <c r="BF514" i="12"/>
  <c r="BF515" i="12"/>
  <c r="BF513" i="12"/>
  <c r="BF177" i="12"/>
  <c r="I70" i="6"/>
  <c r="BF204" i="12"/>
  <c r="BF205" i="12"/>
  <c r="AX205" i="12"/>
  <c r="BF176" i="12"/>
  <c r="AX204" i="12"/>
  <c r="AY515" i="12"/>
  <c r="AY514" i="12"/>
  <c r="BF175" i="12"/>
  <c r="BF179" i="12"/>
  <c r="I61" i="6"/>
  <c r="E9" i="6" a="1"/>
  <c r="E9" i="6" s="1"/>
  <c r="G2" i="9" s="1"/>
  <c r="M61" i="6"/>
  <c r="J24" i="7"/>
  <c r="M70" i="6"/>
  <c r="AY15" i="6" a="1"/>
  <c r="AY30" i="6" s="1"/>
  <c r="S70" i="6"/>
  <c r="S61" i="6"/>
  <c r="P24" i="7"/>
  <c r="M24" i="7"/>
  <c r="P70" i="6"/>
  <c r="P61" i="6"/>
  <c r="E24" i="7"/>
  <c r="H70" i="6"/>
  <c r="H61" i="6"/>
  <c r="BA179" i="12"/>
  <c r="AA514" i="12"/>
  <c r="BA175" i="12"/>
  <c r="BJ179" i="12"/>
  <c r="BA178" i="12"/>
  <c r="BI178" i="12"/>
  <c r="BA176" i="12"/>
  <c r="AL513" i="12"/>
  <c r="BA515" i="12"/>
  <c r="BI513" i="12"/>
  <c r="BI205" i="12"/>
  <c r="BI177" i="12"/>
  <c r="AD204" i="12"/>
  <c r="AL178" i="12"/>
  <c r="AQ205" i="12"/>
  <c r="AD205" i="12"/>
  <c r="BC176" i="12"/>
  <c r="AY513" i="12"/>
  <c r="BA514" i="12"/>
  <c r="BA513" i="12"/>
  <c r="AS178" i="12"/>
  <c r="AY178" i="12"/>
  <c r="AS175" i="12"/>
  <c r="AS176" i="12"/>
  <c r="BJ513" i="12"/>
  <c r="AS179" i="12"/>
  <c r="BI515" i="12"/>
  <c r="BI514" i="12"/>
  <c r="BJ178" i="12"/>
  <c r="AQ513" i="12"/>
  <c r="BJ175" i="12"/>
  <c r="AQ514" i="12"/>
  <c r="AM205" i="12"/>
  <c r="AL176" i="12"/>
  <c r="AQ515" i="12"/>
  <c r="AA513" i="12"/>
  <c r="AA515" i="12"/>
  <c r="BI179" i="12"/>
  <c r="BJ177" i="12"/>
  <c r="BI176" i="12"/>
  <c r="AQ204" i="12"/>
  <c r="BC178" i="12"/>
  <c r="AA177" i="12"/>
  <c r="AA175" i="12"/>
  <c r="BC179" i="12"/>
  <c r="AD178" i="12"/>
  <c r="AA179" i="12"/>
  <c r="BC177" i="12"/>
  <c r="AA178" i="12"/>
  <c r="AY177" i="12"/>
  <c r="AY175" i="12"/>
  <c r="AY176" i="12"/>
  <c r="AU204" i="12"/>
  <c r="BG178" i="12"/>
  <c r="AU205" i="12"/>
  <c r="AT513" i="12"/>
  <c r="AZ177" i="12"/>
  <c r="AA204" i="12"/>
  <c r="AA205" i="12"/>
  <c r="BJ514" i="12"/>
  <c r="AY205" i="12"/>
  <c r="AI178" i="12"/>
  <c r="AS514" i="12"/>
  <c r="AX176" i="12"/>
  <c r="BG175" i="12"/>
  <c r="AY204" i="12"/>
  <c r="AZ176" i="12"/>
  <c r="BJ515" i="12"/>
  <c r="BD514" i="12"/>
  <c r="AZ513" i="12"/>
  <c r="BJ204" i="12"/>
  <c r="BG177" i="12"/>
  <c r="AX175" i="12"/>
  <c r="AS515" i="12"/>
  <c r="AX179" i="12"/>
  <c r="AL205" i="12"/>
  <c r="AI176" i="12"/>
  <c r="BJ205" i="12"/>
  <c r="BG179" i="12"/>
  <c r="AI179" i="12"/>
  <c r="AX178" i="12"/>
  <c r="AL204" i="12"/>
  <c r="AU515" i="12"/>
  <c r="AU179" i="12"/>
  <c r="AH514" i="12"/>
  <c r="AU177" i="12"/>
  <c r="AD177" i="12"/>
  <c r="AU178" i="12"/>
  <c r="AD175" i="12"/>
  <c r="AD179" i="12"/>
  <c r="AL515" i="12"/>
  <c r="AU176" i="12"/>
  <c r="AH515" i="12"/>
  <c r="AU514" i="12"/>
  <c r="BI204" i="12"/>
  <c r="AU513" i="12"/>
  <c r="AH513" i="12"/>
  <c r="X289" i="12"/>
  <c r="X337" i="12" s="1"/>
  <c r="AL514" i="12"/>
  <c r="AI177" i="12"/>
  <c r="AS513" i="12"/>
  <c r="W99" i="12"/>
  <c r="AZ179" i="12"/>
  <c r="AZ514" i="12"/>
  <c r="BC515" i="12"/>
  <c r="AZ178" i="12"/>
  <c r="AH205" i="12"/>
  <c r="AE204" i="12"/>
  <c r="BD513" i="12"/>
  <c r="BC514" i="12"/>
  <c r="AH204" i="12"/>
  <c r="AZ515" i="12"/>
  <c r="BC513" i="12"/>
  <c r="AX515" i="12"/>
  <c r="BD179" i="12"/>
  <c r="BD177" i="12"/>
  <c r="AL175" i="12"/>
  <c r="AL179" i="12"/>
  <c r="BD176" i="12"/>
  <c r="AM204" i="12"/>
  <c r="AX513" i="12"/>
  <c r="AZ205" i="12"/>
  <c r="AZ204" i="12"/>
  <c r="AH179" i="12"/>
  <c r="BD175" i="12"/>
  <c r="AD513" i="12"/>
  <c r="AW514" i="12"/>
  <c r="AX514" i="12"/>
  <c r="AH178" i="12"/>
  <c r="AH176" i="12"/>
  <c r="AH175" i="12"/>
  <c r="AE205" i="12"/>
  <c r="AW179" i="12"/>
  <c r="AM513" i="12"/>
  <c r="BD515" i="12"/>
  <c r="AW176" i="12"/>
  <c r="AW178" i="12"/>
  <c r="AW175" i="12"/>
  <c r="AM177" i="12"/>
  <c r="BG513" i="12"/>
  <c r="AT205" i="12"/>
  <c r="AD514" i="12"/>
  <c r="BC204" i="12"/>
  <c r="BG514" i="12"/>
  <c r="AW204" i="12"/>
  <c r="AD515" i="12"/>
  <c r="AW513" i="12"/>
  <c r="AW205" i="12"/>
  <c r="BH179" i="12"/>
  <c r="AT514" i="12"/>
  <c r="Z204" i="12"/>
  <c r="BH178" i="12"/>
  <c r="Z178" i="12"/>
  <c r="AT515" i="12"/>
  <c r="BH175" i="12"/>
  <c r="BG515" i="12"/>
  <c r="Z513" i="12"/>
  <c r="BC205" i="12"/>
  <c r="AT204" i="12"/>
  <c r="AW515" i="12"/>
  <c r="Z514" i="12"/>
  <c r="Z205" i="12"/>
  <c r="AI515" i="12"/>
  <c r="AE176" i="12"/>
  <c r="AM178" i="12"/>
  <c r="AM514" i="12"/>
  <c r="Z176" i="12"/>
  <c r="AE179" i="12"/>
  <c r="AM179" i="12"/>
  <c r="AT177" i="12"/>
  <c r="AE177" i="12"/>
  <c r="AM175" i="12"/>
  <c r="AI513" i="12"/>
  <c r="AE175" i="12"/>
  <c r="AM515" i="12"/>
  <c r="AI514" i="12"/>
  <c r="BH514" i="12"/>
  <c r="AI204" i="12"/>
  <c r="AE514" i="12"/>
  <c r="AI205" i="12"/>
  <c r="AE515" i="12"/>
  <c r="AE513" i="12"/>
  <c r="W241" i="12"/>
  <c r="BH515" i="12"/>
  <c r="BH512" i="12"/>
  <c r="AT176" i="12"/>
  <c r="BH176" i="12"/>
  <c r="Z515" i="12"/>
  <c r="AT179" i="12"/>
  <c r="AT175" i="12"/>
  <c r="AQ241" i="12"/>
  <c r="Z175" i="12"/>
  <c r="Z179" i="12"/>
  <c r="BH204" i="12"/>
  <c r="BH205" i="12"/>
  <c r="BE241" i="12"/>
  <c r="AT243" i="12"/>
  <c r="BK241" i="12"/>
  <c r="AR515" i="12"/>
  <c r="AG515" i="12"/>
  <c r="AK205" i="12"/>
  <c r="AR177" i="12"/>
  <c r="AX241" i="12"/>
  <c r="AF515" i="12"/>
  <c r="BK242" i="12"/>
  <c r="Y285" i="12"/>
  <c r="X205" i="12"/>
  <c r="X209" i="12" s="1"/>
  <c r="BC241" i="12"/>
  <c r="AU244" i="12"/>
  <c r="AF205" i="12"/>
  <c r="AO205" i="12"/>
  <c r="W243" i="12"/>
  <c r="AK204" i="12"/>
  <c r="Y210" i="12"/>
  <c r="Z210" i="12" s="1"/>
  <c r="AA210" i="12" s="1"/>
  <c r="AB210" i="12" s="1"/>
  <c r="AC210" i="12" s="1"/>
  <c r="AD210" i="12" s="1"/>
  <c r="AE210" i="12" s="1"/>
  <c r="AF210" i="12" s="1"/>
  <c r="AG210" i="12" s="1"/>
  <c r="AH210" i="12" s="1"/>
  <c r="AI210" i="12" s="1"/>
  <c r="AJ210" i="12" s="1"/>
  <c r="AK210" i="12" s="1"/>
  <c r="AL210" i="12" s="1"/>
  <c r="AM210" i="12" s="1"/>
  <c r="AN210" i="12" s="1"/>
  <c r="AO210" i="12" s="1"/>
  <c r="AP210" i="12" s="1"/>
  <c r="AQ210" i="12" s="1"/>
  <c r="AR210" i="12" s="1"/>
  <c r="AS210" i="12" s="1"/>
  <c r="AT210" i="12" s="1"/>
  <c r="AU210" i="12" s="1"/>
  <c r="AV210" i="12" s="1"/>
  <c r="AW210" i="12" s="1"/>
  <c r="AX210" i="12" s="1"/>
  <c r="AY210" i="12" s="1"/>
  <c r="AZ210" i="12" s="1"/>
  <c r="BA210" i="12" s="1"/>
  <c r="BB210" i="12" s="1"/>
  <c r="BC210" i="12" s="1"/>
  <c r="BD210" i="12" s="1"/>
  <c r="BE210" i="12" s="1"/>
  <c r="BF210" i="12" s="1"/>
  <c r="BG210" i="12" s="1"/>
  <c r="BH210" i="12" s="1"/>
  <c r="BI210" i="12" s="1"/>
  <c r="BJ210" i="12" s="1"/>
  <c r="BK210" i="12" s="1"/>
  <c r="AJ176" i="12"/>
  <c r="AJ175" i="12"/>
  <c r="AF514" i="12"/>
  <c r="BJ241" i="12"/>
  <c r="BJ245" i="12"/>
  <c r="BF242" i="12"/>
  <c r="BD241" i="12"/>
  <c r="BD243" i="12"/>
  <c r="AR205" i="12"/>
  <c r="AJ515" i="12"/>
  <c r="AQ245" i="12"/>
  <c r="AS245" i="12"/>
  <c r="BC245" i="12"/>
  <c r="BA243" i="12"/>
  <c r="AE242" i="12"/>
  <c r="AP245" i="12"/>
  <c r="AB514" i="12"/>
  <c r="BD245" i="12"/>
  <c r="AD243" i="12"/>
  <c r="BE243" i="12"/>
  <c r="AI243" i="12"/>
  <c r="AD241" i="12"/>
  <c r="AP244" i="12"/>
  <c r="BD244" i="12"/>
  <c r="AD245" i="12"/>
  <c r="BF243" i="12"/>
  <c r="AW242" i="12"/>
  <c r="AE245" i="12"/>
  <c r="AR204" i="12"/>
  <c r="AB204" i="12"/>
  <c r="BJ243" i="12"/>
  <c r="AN513" i="12"/>
  <c r="AA242" i="12"/>
  <c r="AT242" i="12"/>
  <c r="AB176" i="12"/>
  <c r="AG175" i="12"/>
  <c r="BI243" i="12"/>
  <c r="AA245" i="12"/>
  <c r="AJ513" i="12"/>
  <c r="BG245" i="12"/>
  <c r="X513" i="12"/>
  <c r="X518" i="12" s="1"/>
  <c r="AI245" i="12"/>
  <c r="AC513" i="12"/>
  <c r="AJ204" i="12"/>
  <c r="AZ245" i="12"/>
  <c r="Z245" i="12"/>
  <c r="AK175" i="12"/>
  <c r="BG241" i="12"/>
  <c r="AB205" i="12"/>
  <c r="BI244" i="12"/>
  <c r="AA243" i="12"/>
  <c r="BC242" i="12"/>
  <c r="AX242" i="12"/>
  <c r="BG243" i="12"/>
  <c r="AB177" i="12"/>
  <c r="Z243" i="12"/>
  <c r="BI242" i="12"/>
  <c r="AV204" i="12"/>
  <c r="AC514" i="12"/>
  <c r="AI244" i="12"/>
  <c r="BA245" i="12"/>
  <c r="AJ514" i="12"/>
  <c r="AB513" i="12"/>
  <c r="AT241" i="12"/>
  <c r="AS241" i="12"/>
  <c r="AZ244" i="12"/>
  <c r="Z244" i="12"/>
  <c r="AH241" i="12"/>
  <c r="AS242" i="12"/>
  <c r="AN205" i="12"/>
  <c r="BG242" i="12"/>
  <c r="Y204" i="12"/>
  <c r="AF513" i="12"/>
  <c r="AG204" i="12"/>
  <c r="BI245" i="12"/>
  <c r="AN204" i="12"/>
  <c r="AA244" i="12"/>
  <c r="AT245" i="12"/>
  <c r="AS243" i="12"/>
  <c r="AY242" i="12"/>
  <c r="AY241" i="12"/>
  <c r="X177" i="12"/>
  <c r="X183" i="12" s="1"/>
  <c r="Y183" i="12" s="1"/>
  <c r="Z183" i="12" s="1"/>
  <c r="X182" i="12"/>
  <c r="BK428" i="12"/>
  <c r="BJ103" i="12"/>
  <c r="BJ113" i="12" s="1"/>
  <c r="BK432" i="12"/>
  <c r="BJ107" i="12"/>
  <c r="BJ117" i="12" s="1"/>
  <c r="AK178" i="12"/>
  <c r="AK179" i="12"/>
  <c r="AJ246" i="12"/>
  <c r="AJ243" i="12" s="1"/>
  <c r="AJ178" i="12"/>
  <c r="AJ179" i="12"/>
  <c r="BB243" i="12"/>
  <c r="AL245" i="12"/>
  <c r="AD244" i="12"/>
  <c r="AO513" i="12"/>
  <c r="AV513" i="12"/>
  <c r="Y513" i="12"/>
  <c r="AH243" i="12"/>
  <c r="BF244" i="12"/>
  <c r="BE244" i="12"/>
  <c r="BK434" i="12"/>
  <c r="BJ109" i="12"/>
  <c r="BJ119" i="12" s="1"/>
  <c r="AB178" i="12"/>
  <c r="AB179" i="12"/>
  <c r="W245" i="12"/>
  <c r="AG205" i="12"/>
  <c r="AG513" i="12"/>
  <c r="BK430" i="12"/>
  <c r="BJ105" i="12"/>
  <c r="BJ115" i="12" s="1"/>
  <c r="BK429" i="12"/>
  <c r="BJ104" i="12"/>
  <c r="BJ114" i="12" s="1"/>
  <c r="AN178" i="12"/>
  <c r="AN179" i="12"/>
  <c r="AW244" i="12"/>
  <c r="Y176" i="12"/>
  <c r="AR178" i="12"/>
  <c r="AR179" i="12"/>
  <c r="BK244" i="12"/>
  <c r="AJ205" i="12"/>
  <c r="AX244" i="12"/>
  <c r="AN176" i="12"/>
  <c r="AV246" i="12"/>
  <c r="AV243" i="12" s="1"/>
  <c r="BA241" i="12"/>
  <c r="X178" i="12"/>
  <c r="X184" i="12" s="1"/>
  <c r="X179" i="12"/>
  <c r="X185" i="12" s="1"/>
  <c r="AM242" i="12"/>
  <c r="AM241" i="12"/>
  <c r="BB245" i="12"/>
  <c r="AL243" i="12"/>
  <c r="AR514" i="12"/>
  <c r="AH245" i="12"/>
  <c r="AC177" i="12"/>
  <c r="AU242" i="12"/>
  <c r="AU241" i="12"/>
  <c r="X514" i="12"/>
  <c r="X519" i="12" s="1"/>
  <c r="BB241" i="12"/>
  <c r="BH242" i="12"/>
  <c r="BH241" i="12"/>
  <c r="AV514" i="12"/>
  <c r="Y515" i="12"/>
  <c r="AC176" i="12"/>
  <c r="AF246" i="12"/>
  <c r="AF242" i="12" s="1"/>
  <c r="AN514" i="12"/>
  <c r="AI241" i="12"/>
  <c r="AL241" i="12"/>
  <c r="BB242" i="12"/>
  <c r="Y175" i="12"/>
  <c r="BA244" i="12"/>
  <c r="AC515" i="12"/>
  <c r="AY244" i="12"/>
  <c r="X175" i="12"/>
  <c r="X181" i="12" s="1"/>
  <c r="AM245" i="12"/>
  <c r="AO178" i="12"/>
  <c r="AO179" i="12"/>
  <c r="Y246" i="12"/>
  <c r="Y242" i="12" s="1"/>
  <c r="AL244" i="12"/>
  <c r="AO515" i="12"/>
  <c r="AO176" i="12"/>
  <c r="AK514" i="12"/>
  <c r="AV515" i="12"/>
  <c r="BI120" i="12"/>
  <c r="AQ107" i="6" s="1"/>
  <c r="AH244" i="12"/>
  <c r="BF245" i="12"/>
  <c r="BE245" i="12"/>
  <c r="AU245" i="12"/>
  <c r="W564" i="12"/>
  <c r="X246" i="12"/>
  <c r="X242" i="12" s="1"/>
  <c r="AF178" i="12"/>
  <c r="AF179" i="12"/>
  <c r="AG178" i="12"/>
  <c r="AG179" i="12"/>
  <c r="BH243" i="12"/>
  <c r="AK177" i="12"/>
  <c r="AN515" i="12"/>
  <c r="AE244" i="12"/>
  <c r="AV178" i="12"/>
  <c r="AV179" i="12"/>
  <c r="AV176" i="12"/>
  <c r="AW245" i="12"/>
  <c r="Y514" i="12"/>
  <c r="AC205" i="12"/>
  <c r="BK245" i="12"/>
  <c r="AQ243" i="12"/>
  <c r="X204" i="12"/>
  <c r="X208" i="12" s="1"/>
  <c r="AF177" i="12"/>
  <c r="AF204" i="12"/>
  <c r="BJ244" i="12"/>
  <c r="AG176" i="12"/>
  <c r="BK431" i="12"/>
  <c r="BJ106" i="12"/>
  <c r="BJ116" i="12" s="1"/>
  <c r="BC243" i="12"/>
  <c r="AX243" i="12"/>
  <c r="AV205" i="12"/>
  <c r="Y178" i="12"/>
  <c r="Y179" i="12"/>
  <c r="AC178" i="12"/>
  <c r="AC179" i="12"/>
  <c r="AY243" i="12"/>
  <c r="AZ243" i="12"/>
  <c r="AM243" i="12"/>
  <c r="AO175" i="12"/>
  <c r="AO204" i="12"/>
  <c r="AK513" i="12"/>
  <c r="AN246" i="12"/>
  <c r="AN241" i="12" s="1"/>
  <c r="AO246" i="12"/>
  <c r="AO245" i="12" s="1"/>
  <c r="AP241" i="12"/>
  <c r="AP242" i="12"/>
  <c r="AR513" i="12"/>
  <c r="AC246" i="12"/>
  <c r="AC241" i="12" s="1"/>
  <c r="AB246" i="12"/>
  <c r="AB241" i="12" s="1"/>
  <c r="AG246" i="12"/>
  <c r="AG243" i="12" s="1"/>
  <c r="AK246" i="12"/>
  <c r="AK243" i="12" s="1"/>
  <c r="BK427" i="12"/>
  <c r="BJ102" i="12"/>
  <c r="BJ112" i="12" s="1"/>
  <c r="AR246" i="12"/>
  <c r="AR242" i="12" s="1"/>
  <c r="AF175" i="12"/>
  <c r="W242" i="12"/>
  <c r="BK433" i="12"/>
  <c r="BJ108" i="12"/>
  <c r="BJ118" i="12" s="1"/>
  <c r="BH245" i="12"/>
  <c r="AO514" i="12"/>
  <c r="AK515" i="12"/>
  <c r="AN175" i="12"/>
  <c r="AE243" i="12"/>
  <c r="AV175" i="12"/>
  <c r="AW243" i="12"/>
  <c r="Y205" i="12"/>
  <c r="AR175" i="12"/>
  <c r="AC204" i="12"/>
  <c r="AQ244" i="12"/>
  <c r="AB515" i="12"/>
  <c r="X515" i="12"/>
  <c r="X520" i="12" s="1"/>
  <c r="AG514" i="12"/>
  <c r="Z242" i="12"/>
  <c r="AZ242" i="12"/>
  <c r="E62" i="6" l="1"/>
  <c r="E53" i="6"/>
  <c r="AD8" i="7"/>
  <c r="AD17" i="7" s="1"/>
  <c r="AQ97" i="6"/>
  <c r="AC24" i="7"/>
  <c r="AP52" i="6"/>
  <c r="AP70" i="6"/>
  <c r="AP61" i="6"/>
  <c r="B25" i="7"/>
  <c r="B26" i="7"/>
  <c r="Y519" i="12"/>
  <c r="Z519" i="12" s="1"/>
  <c r="AA519" i="12" s="1"/>
  <c r="AB519" i="12" s="1"/>
  <c r="AC519" i="12" s="1"/>
  <c r="AD519" i="12" s="1"/>
  <c r="AE519" i="12" s="1"/>
  <c r="AF519" i="12" s="1"/>
  <c r="AG519" i="12" s="1"/>
  <c r="AH519" i="12" s="1"/>
  <c r="AI519" i="12" s="1"/>
  <c r="AJ519" i="12" s="1"/>
  <c r="AK519" i="12" s="1"/>
  <c r="AL519" i="12" s="1"/>
  <c r="AM519" i="12" s="1"/>
  <c r="AN519" i="12" s="1"/>
  <c r="AO519" i="12" s="1"/>
  <c r="AP519" i="12" s="1"/>
  <c r="AQ519" i="12" s="1"/>
  <c r="AR519" i="12" s="1"/>
  <c r="AS519" i="12" s="1"/>
  <c r="AT519" i="12" s="1"/>
  <c r="AU519" i="12" s="1"/>
  <c r="AV519" i="12" s="1"/>
  <c r="AW519" i="12" s="1"/>
  <c r="AX519" i="12" s="1"/>
  <c r="AY519" i="12" s="1"/>
  <c r="AZ519" i="12" s="1"/>
  <c r="BA519" i="12" s="1"/>
  <c r="BB519" i="12" s="1"/>
  <c r="BC519" i="12" s="1"/>
  <c r="BD519" i="12" s="1"/>
  <c r="BE519" i="12" s="1"/>
  <c r="BF519" i="12" s="1"/>
  <c r="BG519" i="12" s="1"/>
  <c r="BH519" i="12" s="1"/>
  <c r="BI519" i="12" s="1"/>
  <c r="BJ519" i="12" s="1"/>
  <c r="BK519" i="12" s="1"/>
  <c r="BH517" i="12"/>
  <c r="BI517" i="12" s="1"/>
  <c r="BJ517" i="12" s="1"/>
  <c r="BK517" i="12" s="1"/>
  <c r="Y518" i="12"/>
  <c r="Z518" i="12" s="1"/>
  <c r="AA518" i="12" s="1"/>
  <c r="AB518" i="12" s="1"/>
  <c r="AC518" i="12" s="1"/>
  <c r="AD518" i="12" s="1"/>
  <c r="AE518" i="12" s="1"/>
  <c r="AF518" i="12" s="1"/>
  <c r="AG518" i="12" s="1"/>
  <c r="AH518" i="12" s="1"/>
  <c r="AI518" i="12" s="1"/>
  <c r="AJ518" i="12" s="1"/>
  <c r="AK518" i="12" s="1"/>
  <c r="AL518" i="12" s="1"/>
  <c r="AM518" i="12" s="1"/>
  <c r="AN518" i="12" s="1"/>
  <c r="AO518" i="12" s="1"/>
  <c r="AP518" i="12" s="1"/>
  <c r="AQ518" i="12" s="1"/>
  <c r="AR518" i="12" s="1"/>
  <c r="AS518" i="12" s="1"/>
  <c r="AT518" i="12" s="1"/>
  <c r="AU518" i="12" s="1"/>
  <c r="AV518" i="12" s="1"/>
  <c r="AW518" i="12" s="1"/>
  <c r="AX518" i="12" s="1"/>
  <c r="AY518" i="12" s="1"/>
  <c r="AZ518" i="12" s="1"/>
  <c r="BA518" i="12" s="1"/>
  <c r="BB518" i="12" s="1"/>
  <c r="BC518" i="12" s="1"/>
  <c r="BD518" i="12" s="1"/>
  <c r="BE518" i="12" s="1"/>
  <c r="BF518" i="12" s="1"/>
  <c r="BG518" i="12" s="1"/>
  <c r="BH518" i="12" s="1"/>
  <c r="BI518" i="12" s="1"/>
  <c r="BJ518" i="12" s="1"/>
  <c r="BK518" i="12" s="1"/>
  <c r="Y520" i="12"/>
  <c r="Z520" i="12" s="1"/>
  <c r="AA520" i="12" s="1"/>
  <c r="AB520" i="12" s="1"/>
  <c r="AC520" i="12" s="1"/>
  <c r="AD520" i="12" s="1"/>
  <c r="AE520" i="12" s="1"/>
  <c r="AF520" i="12" s="1"/>
  <c r="AG520" i="12" s="1"/>
  <c r="AH520" i="12" s="1"/>
  <c r="AI520" i="12" s="1"/>
  <c r="AJ520" i="12" s="1"/>
  <c r="AK520" i="12" s="1"/>
  <c r="AL520" i="12" s="1"/>
  <c r="AM520" i="12" s="1"/>
  <c r="AN520" i="12" s="1"/>
  <c r="AO520" i="12" s="1"/>
  <c r="AP520" i="12" s="1"/>
  <c r="AQ520" i="12" s="1"/>
  <c r="AR520" i="12" s="1"/>
  <c r="AS520" i="12" s="1"/>
  <c r="AT520" i="12" s="1"/>
  <c r="AU520" i="12" s="1"/>
  <c r="AV520" i="12" s="1"/>
  <c r="AW520" i="12" s="1"/>
  <c r="AX520" i="12" s="1"/>
  <c r="AY520" i="12" s="1"/>
  <c r="AZ520" i="12" s="1"/>
  <c r="BA520" i="12" s="1"/>
  <c r="BB520" i="12" s="1"/>
  <c r="BC520" i="12" s="1"/>
  <c r="BD520" i="12" s="1"/>
  <c r="BE520" i="12" s="1"/>
  <c r="BF520" i="12" s="1"/>
  <c r="BG520" i="12" s="1"/>
  <c r="BH520" i="12" s="1"/>
  <c r="BI520" i="12" s="1"/>
  <c r="BJ520" i="12" s="1"/>
  <c r="BK520" i="12" s="1"/>
  <c r="B28" i="7"/>
  <c r="X251" i="12"/>
  <c r="Y251" i="12" s="1"/>
  <c r="Z251" i="12" s="1"/>
  <c r="AA251" i="12" s="1"/>
  <c r="X255" i="12"/>
  <c r="Y255" i="12" s="1"/>
  <c r="Z255" i="12" s="1"/>
  <c r="AA255" i="12" s="1"/>
  <c r="AB255" i="12" s="1"/>
  <c r="AC255" i="12" s="1"/>
  <c r="AD255" i="12" s="1"/>
  <c r="AE255" i="12" s="1"/>
  <c r="AF255" i="12" s="1"/>
  <c r="AG255" i="12" s="1"/>
  <c r="AH255" i="12" s="1"/>
  <c r="AI255" i="12" s="1"/>
  <c r="AJ255" i="12" s="1"/>
  <c r="AK255" i="12" s="1"/>
  <c r="AL255" i="12" s="1"/>
  <c r="AM255" i="12" s="1"/>
  <c r="AN255" i="12" s="1"/>
  <c r="AO255" i="12" s="1"/>
  <c r="AP255" i="12" s="1"/>
  <c r="AQ255" i="12" s="1"/>
  <c r="AR255" i="12" s="1"/>
  <c r="AS255" i="12" s="1"/>
  <c r="AT255" i="12" s="1"/>
  <c r="AU255" i="12" s="1"/>
  <c r="AV255" i="12" s="1"/>
  <c r="AW255" i="12" s="1"/>
  <c r="AX255" i="12" s="1"/>
  <c r="AY255" i="12" s="1"/>
  <c r="AZ255" i="12" s="1"/>
  <c r="BA255" i="12" s="1"/>
  <c r="BB255" i="12" s="1"/>
  <c r="BC255" i="12" s="1"/>
  <c r="BD255" i="12" s="1"/>
  <c r="BE255" i="12" s="1"/>
  <c r="BF255" i="12" s="1"/>
  <c r="BG255" i="12" s="1"/>
  <c r="BH255" i="12" s="1"/>
  <c r="BI255" i="12" s="1"/>
  <c r="BJ255" i="12" s="1"/>
  <c r="BK255" i="12" s="1"/>
  <c r="AY34" i="6"/>
  <c r="AY27" i="6"/>
  <c r="AY23" i="6"/>
  <c r="AY25" i="6"/>
  <c r="AY16" i="6"/>
  <c r="AY18" i="6"/>
  <c r="AY24" i="6"/>
  <c r="AY35" i="6"/>
  <c r="AY31" i="6"/>
  <c r="AY29" i="6"/>
  <c r="AY22" i="6"/>
  <c r="AY17" i="6"/>
  <c r="AY32" i="6"/>
  <c r="AY20" i="6"/>
  <c r="AY33" i="6"/>
  <c r="AY26" i="6"/>
  <c r="AY19" i="6"/>
  <c r="AY28" i="6"/>
  <c r="AY21" i="6"/>
  <c r="AY15" i="6"/>
  <c r="AV242" i="12"/>
  <c r="AA183" i="12"/>
  <c r="AB183" i="12" s="1"/>
  <c r="AC183" i="12" s="1"/>
  <c r="AD183" i="12" s="1"/>
  <c r="AE183" i="12" s="1"/>
  <c r="AF183" i="12" s="1"/>
  <c r="AG183" i="12" s="1"/>
  <c r="AH183" i="12" s="1"/>
  <c r="AI183" i="12" s="1"/>
  <c r="AJ183" i="12" s="1"/>
  <c r="AK183" i="12" s="1"/>
  <c r="AL183" i="12" s="1"/>
  <c r="AM183" i="12" s="1"/>
  <c r="AN183" i="12" s="1"/>
  <c r="AO183" i="12" s="1"/>
  <c r="AP183" i="12" s="1"/>
  <c r="AQ183" i="12" s="1"/>
  <c r="AR183" i="12" s="1"/>
  <c r="AS183" i="12" s="1"/>
  <c r="AT183" i="12" s="1"/>
  <c r="AU183" i="12" s="1"/>
  <c r="AV183" i="12" s="1"/>
  <c r="AW183" i="12" s="1"/>
  <c r="AX183" i="12" s="1"/>
  <c r="AY183" i="12" s="1"/>
  <c r="AZ183" i="12" s="1"/>
  <c r="BA183" i="12" s="1"/>
  <c r="BB183" i="12" s="1"/>
  <c r="BC183" i="12" s="1"/>
  <c r="BD183" i="12" s="1"/>
  <c r="BE183" i="12" s="1"/>
  <c r="BF183" i="12" s="1"/>
  <c r="BG183" i="12" s="1"/>
  <c r="BH183" i="12" s="1"/>
  <c r="BI183" i="12" s="1"/>
  <c r="BJ183" i="12" s="1"/>
  <c r="BK183" i="12" s="1"/>
  <c r="X334" i="12"/>
  <c r="X336" i="12"/>
  <c r="X333" i="12"/>
  <c r="X338" i="12"/>
  <c r="X339" i="12"/>
  <c r="X335" i="12"/>
  <c r="X340" i="12"/>
  <c r="BI248" i="12"/>
  <c r="Y209" i="12"/>
  <c r="Z209" i="12" s="1"/>
  <c r="AA209" i="12" s="1"/>
  <c r="AB209" i="12" s="1"/>
  <c r="AC209" i="12" s="1"/>
  <c r="AD209" i="12" s="1"/>
  <c r="AE209" i="12" s="1"/>
  <c r="AF209" i="12" s="1"/>
  <c r="AG209" i="12" s="1"/>
  <c r="AH209" i="12" s="1"/>
  <c r="AI209" i="12" s="1"/>
  <c r="AJ209" i="12" s="1"/>
  <c r="AK209" i="12" s="1"/>
  <c r="AL209" i="12" s="1"/>
  <c r="AM209" i="12" s="1"/>
  <c r="AN209" i="12" s="1"/>
  <c r="AO209" i="12" s="1"/>
  <c r="AP209" i="12" s="1"/>
  <c r="AQ209" i="12" s="1"/>
  <c r="AR209" i="12" s="1"/>
  <c r="AS209" i="12" s="1"/>
  <c r="AT209" i="12" s="1"/>
  <c r="AU209" i="12" s="1"/>
  <c r="AV209" i="12" s="1"/>
  <c r="AW209" i="12" s="1"/>
  <c r="AX209" i="12" s="1"/>
  <c r="AY209" i="12" s="1"/>
  <c r="AZ209" i="12" s="1"/>
  <c r="BA209" i="12" s="1"/>
  <c r="BB209" i="12" s="1"/>
  <c r="BC209" i="12" s="1"/>
  <c r="BD209" i="12" s="1"/>
  <c r="BE209" i="12" s="1"/>
  <c r="BF209" i="12" s="1"/>
  <c r="BG209" i="12" s="1"/>
  <c r="BH209" i="12" s="1"/>
  <c r="BI209" i="12" s="1"/>
  <c r="BJ209" i="12" s="1"/>
  <c r="BK209" i="12" s="1"/>
  <c r="Y289" i="12"/>
  <c r="Z285" i="12"/>
  <c r="BJ248" i="12"/>
  <c r="AN242" i="12"/>
  <c r="AJ245" i="12"/>
  <c r="AN245" i="12"/>
  <c r="AV244" i="12"/>
  <c r="AJ244" i="12"/>
  <c r="AR244" i="12"/>
  <c r="AC245" i="12"/>
  <c r="AD248" i="12"/>
  <c r="BD248" i="12"/>
  <c r="BF248" i="12"/>
  <c r="AG245" i="12"/>
  <c r="AX248" i="12"/>
  <c r="AG244" i="12"/>
  <c r="AT248" i="12"/>
  <c r="BC248" i="12"/>
  <c r="AP248" i="12"/>
  <c r="BK248" i="12"/>
  <c r="AQ248" i="12"/>
  <c r="Z248" i="12"/>
  <c r="AE248" i="12"/>
  <c r="AK245" i="12"/>
  <c r="Y241" i="12"/>
  <c r="BH248" i="12"/>
  <c r="Y184" i="12"/>
  <c r="Z184" i="12" s="1"/>
  <c r="AA184" i="12" s="1"/>
  <c r="AB184" i="12" s="1"/>
  <c r="AC184" i="12" s="1"/>
  <c r="AD184" i="12" s="1"/>
  <c r="AE184" i="12" s="1"/>
  <c r="AF184" i="12" s="1"/>
  <c r="AG184" i="12" s="1"/>
  <c r="AH184" i="12" s="1"/>
  <c r="AI184" i="12" s="1"/>
  <c r="AJ184" i="12" s="1"/>
  <c r="AK184" i="12" s="1"/>
  <c r="AL184" i="12" s="1"/>
  <c r="AM184" i="12" s="1"/>
  <c r="AN184" i="12" s="1"/>
  <c r="AO184" i="12" s="1"/>
  <c r="AP184" i="12" s="1"/>
  <c r="AQ184" i="12" s="1"/>
  <c r="AR184" i="12" s="1"/>
  <c r="AS184" i="12" s="1"/>
  <c r="AT184" i="12" s="1"/>
  <c r="AU184" i="12" s="1"/>
  <c r="AV184" i="12" s="1"/>
  <c r="AW184" i="12" s="1"/>
  <c r="AX184" i="12" s="1"/>
  <c r="AY184" i="12" s="1"/>
  <c r="AZ184" i="12" s="1"/>
  <c r="BA184" i="12" s="1"/>
  <c r="BB184" i="12" s="1"/>
  <c r="BC184" i="12" s="1"/>
  <c r="BD184" i="12" s="1"/>
  <c r="BE184" i="12" s="1"/>
  <c r="BF184" i="12" s="1"/>
  <c r="BG184" i="12" s="1"/>
  <c r="BH184" i="12" s="1"/>
  <c r="BI184" i="12" s="1"/>
  <c r="BJ184" i="12" s="1"/>
  <c r="BK184" i="12" s="1"/>
  <c r="AA248" i="12"/>
  <c r="AB244" i="12"/>
  <c r="Y243" i="12"/>
  <c r="AI248" i="12"/>
  <c r="AS248" i="12"/>
  <c r="BG248" i="12"/>
  <c r="AZ248" i="12"/>
  <c r="Y185" i="12"/>
  <c r="Z185" i="12" s="1"/>
  <c r="AA185" i="12" s="1"/>
  <c r="AB185" i="12" s="1"/>
  <c r="AC185" i="12" s="1"/>
  <c r="AD185" i="12" s="1"/>
  <c r="AE185" i="12" s="1"/>
  <c r="AF185" i="12" s="1"/>
  <c r="AG185" i="12" s="1"/>
  <c r="AH185" i="12" s="1"/>
  <c r="AI185" i="12" s="1"/>
  <c r="AJ185" i="12" s="1"/>
  <c r="AK185" i="12" s="1"/>
  <c r="AL185" i="12" s="1"/>
  <c r="AM185" i="12" s="1"/>
  <c r="AN185" i="12" s="1"/>
  <c r="AO185" i="12" s="1"/>
  <c r="AP185" i="12" s="1"/>
  <c r="AQ185" i="12" s="1"/>
  <c r="AR185" i="12" s="1"/>
  <c r="AS185" i="12" s="1"/>
  <c r="AT185" i="12" s="1"/>
  <c r="AU185" i="12" s="1"/>
  <c r="AV185" i="12" s="1"/>
  <c r="AW185" i="12" s="1"/>
  <c r="AX185" i="12" s="1"/>
  <c r="AY185" i="12" s="1"/>
  <c r="AZ185" i="12" s="1"/>
  <c r="BA185" i="12" s="1"/>
  <c r="BB185" i="12" s="1"/>
  <c r="BC185" i="12" s="1"/>
  <c r="BD185" i="12" s="1"/>
  <c r="BE185" i="12" s="1"/>
  <c r="BF185" i="12" s="1"/>
  <c r="BG185" i="12" s="1"/>
  <c r="BH185" i="12" s="1"/>
  <c r="BI185" i="12" s="1"/>
  <c r="BJ185" i="12" s="1"/>
  <c r="BK185" i="12" s="1"/>
  <c r="AK244" i="12"/>
  <c r="AC243" i="12"/>
  <c r="AO241" i="12"/>
  <c r="AH248" i="12"/>
  <c r="Y244" i="12"/>
  <c r="AF245" i="12"/>
  <c r="AV245" i="12"/>
  <c r="AW248" i="12"/>
  <c r="X241" i="12"/>
  <c r="X250" i="12" s="1"/>
  <c r="AR243" i="12"/>
  <c r="AB243" i="12"/>
  <c r="AC244" i="12"/>
  <c r="AO243" i="12"/>
  <c r="X243" i="12"/>
  <c r="X252" i="12" s="1"/>
  <c r="AV241" i="12"/>
  <c r="AF243" i="12"/>
  <c r="W248" i="12"/>
  <c r="BE248" i="12"/>
  <c r="Y181" i="12"/>
  <c r="X187" i="12"/>
  <c r="AY248" i="12"/>
  <c r="AC242" i="12"/>
  <c r="AR241" i="12"/>
  <c r="AO242" i="12"/>
  <c r="BK108" i="12"/>
  <c r="BK118" i="12" s="1"/>
  <c r="AO244" i="12"/>
  <c r="AN244" i="12"/>
  <c r="BK106" i="12"/>
  <c r="BK116" i="12" s="1"/>
  <c r="X244" i="12"/>
  <c r="X253" i="12" s="1"/>
  <c r="Y245" i="12"/>
  <c r="AL248" i="12"/>
  <c r="AF244" i="12"/>
  <c r="AU248" i="12"/>
  <c r="AG241" i="12"/>
  <c r="AK242" i="12"/>
  <c r="AF241" i="12"/>
  <c r="BJ120" i="12"/>
  <c r="AR107" i="6" s="1"/>
  <c r="BB248" i="12"/>
  <c r="B29" i="7"/>
  <c r="E56" i="6"/>
  <c r="AM248" i="12"/>
  <c r="BK105" i="12"/>
  <c r="BK115" i="12" s="1"/>
  <c r="AK241" i="12"/>
  <c r="BK103" i="12"/>
  <c r="BK113" i="12" s="1"/>
  <c r="Y182" i="12"/>
  <c r="Z182" i="12" s="1"/>
  <c r="AA182" i="12" s="1"/>
  <c r="AB182" i="12" s="1"/>
  <c r="AC182" i="12" s="1"/>
  <c r="AD182" i="12" s="1"/>
  <c r="AE182" i="12" s="1"/>
  <c r="AF182" i="12" s="1"/>
  <c r="AG182" i="12" s="1"/>
  <c r="AH182" i="12" s="1"/>
  <c r="AI182" i="12" s="1"/>
  <c r="AJ182" i="12" s="1"/>
  <c r="AK182" i="12" s="1"/>
  <c r="AL182" i="12" s="1"/>
  <c r="AM182" i="12" s="1"/>
  <c r="AN182" i="12" s="1"/>
  <c r="AO182" i="12" s="1"/>
  <c r="AP182" i="12" s="1"/>
  <c r="AQ182" i="12" s="1"/>
  <c r="AR182" i="12" s="1"/>
  <c r="AS182" i="12" s="1"/>
  <c r="AT182" i="12" s="1"/>
  <c r="AU182" i="12" s="1"/>
  <c r="AV182" i="12" s="1"/>
  <c r="AW182" i="12" s="1"/>
  <c r="AX182" i="12" s="1"/>
  <c r="AY182" i="12" s="1"/>
  <c r="AZ182" i="12" s="1"/>
  <c r="BA182" i="12" s="1"/>
  <c r="BB182" i="12" s="1"/>
  <c r="BC182" i="12" s="1"/>
  <c r="BD182" i="12" s="1"/>
  <c r="BE182" i="12" s="1"/>
  <c r="BF182" i="12" s="1"/>
  <c r="BG182" i="12" s="1"/>
  <c r="BH182" i="12" s="1"/>
  <c r="BI182" i="12" s="1"/>
  <c r="BJ182" i="12" s="1"/>
  <c r="BK182" i="12" s="1"/>
  <c r="AG242" i="12"/>
  <c r="AR245" i="12"/>
  <c r="BK102" i="12"/>
  <c r="BK112" i="12" s="1"/>
  <c r="AB245" i="12"/>
  <c r="AN243" i="12"/>
  <c r="Y208" i="12"/>
  <c r="X212" i="12"/>
  <c r="X245" i="12"/>
  <c r="X254" i="12" s="1"/>
  <c r="BA248" i="12"/>
  <c r="BK104" i="12"/>
  <c r="BK114" i="12" s="1"/>
  <c r="BK109" i="12"/>
  <c r="BK119" i="12" s="1"/>
  <c r="AJ241" i="12"/>
  <c r="AJ242" i="12"/>
  <c r="BK107" i="12"/>
  <c r="BK117" i="12" s="1"/>
  <c r="AB242" i="12"/>
  <c r="X523" i="12"/>
  <c r="AE8" i="7" l="1"/>
  <c r="AE17" i="7" s="1"/>
  <c r="AR97" i="6"/>
  <c r="AD24" i="7"/>
  <c r="AQ52" i="6"/>
  <c r="AQ70" i="6"/>
  <c r="AQ61" i="6"/>
  <c r="Y254" i="12"/>
  <c r="Z254" i="12" s="1"/>
  <c r="AA254" i="12" s="1"/>
  <c r="AB254" i="12" s="1"/>
  <c r="AC254" i="12" s="1"/>
  <c r="AD254" i="12" s="1"/>
  <c r="AE254" i="12" s="1"/>
  <c r="AF254" i="12" s="1"/>
  <c r="AG254" i="12" s="1"/>
  <c r="AH254" i="12" s="1"/>
  <c r="AI254" i="12" s="1"/>
  <c r="AJ254" i="12" s="1"/>
  <c r="AK254" i="12" s="1"/>
  <c r="AL254" i="12" s="1"/>
  <c r="AM254" i="12" s="1"/>
  <c r="AN254" i="12" s="1"/>
  <c r="AO254" i="12" s="1"/>
  <c r="AP254" i="12" s="1"/>
  <c r="AQ254" i="12" s="1"/>
  <c r="AR254" i="12" s="1"/>
  <c r="AS254" i="12" s="1"/>
  <c r="AT254" i="12" s="1"/>
  <c r="AU254" i="12" s="1"/>
  <c r="AV254" i="12" s="1"/>
  <c r="AW254" i="12" s="1"/>
  <c r="AX254" i="12" s="1"/>
  <c r="AY254" i="12" s="1"/>
  <c r="AZ254" i="12" s="1"/>
  <c r="BA254" i="12" s="1"/>
  <c r="BB254" i="12" s="1"/>
  <c r="BC254" i="12" s="1"/>
  <c r="BD254" i="12" s="1"/>
  <c r="BE254" i="12" s="1"/>
  <c r="BF254" i="12" s="1"/>
  <c r="BG254" i="12" s="1"/>
  <c r="BH254" i="12" s="1"/>
  <c r="BI254" i="12" s="1"/>
  <c r="BJ254" i="12" s="1"/>
  <c r="BK254" i="12" s="1"/>
  <c r="AB251" i="12"/>
  <c r="AC251" i="12" s="1"/>
  <c r="AD251" i="12" s="1"/>
  <c r="AE251" i="12" s="1"/>
  <c r="AF251" i="12" s="1"/>
  <c r="AG251" i="12" s="1"/>
  <c r="AH251" i="12" s="1"/>
  <c r="AI251" i="12" s="1"/>
  <c r="AJ251" i="12" s="1"/>
  <c r="AK251" i="12" s="1"/>
  <c r="AL251" i="12" s="1"/>
  <c r="AM251" i="12" s="1"/>
  <c r="AN251" i="12" s="1"/>
  <c r="AO251" i="12" s="1"/>
  <c r="AP251" i="12" s="1"/>
  <c r="AQ251" i="12" s="1"/>
  <c r="AR251" i="12" s="1"/>
  <c r="AS251" i="12" s="1"/>
  <c r="AT251" i="12" s="1"/>
  <c r="AU251" i="12" s="1"/>
  <c r="AV251" i="12" s="1"/>
  <c r="AW251" i="12" s="1"/>
  <c r="AX251" i="12" s="1"/>
  <c r="AY251" i="12" s="1"/>
  <c r="AZ251" i="12" s="1"/>
  <c r="BA251" i="12" s="1"/>
  <c r="BB251" i="12" s="1"/>
  <c r="BC251" i="12" s="1"/>
  <c r="BD251" i="12" s="1"/>
  <c r="BE251" i="12" s="1"/>
  <c r="BF251" i="12" s="1"/>
  <c r="BG251" i="12" s="1"/>
  <c r="BH251" i="12" s="1"/>
  <c r="BI251" i="12" s="1"/>
  <c r="BJ251" i="12" s="1"/>
  <c r="BK251" i="12" s="1"/>
  <c r="Y250" i="12"/>
  <c r="Z250" i="12" s="1"/>
  <c r="AA250" i="12" s="1"/>
  <c r="AB250" i="12" s="1"/>
  <c r="AC250" i="12" s="1"/>
  <c r="AD250" i="12" s="1"/>
  <c r="AE250" i="12" s="1"/>
  <c r="AF250" i="12" s="1"/>
  <c r="AG250" i="12" s="1"/>
  <c r="AH250" i="12" s="1"/>
  <c r="AI250" i="12" s="1"/>
  <c r="AJ250" i="12" s="1"/>
  <c r="AK250" i="12" s="1"/>
  <c r="AL250" i="12" s="1"/>
  <c r="AM250" i="12" s="1"/>
  <c r="AN250" i="12" s="1"/>
  <c r="AO250" i="12" s="1"/>
  <c r="AP250" i="12" s="1"/>
  <c r="AQ250" i="12" s="1"/>
  <c r="AR250" i="12" s="1"/>
  <c r="AS250" i="12" s="1"/>
  <c r="AT250" i="12" s="1"/>
  <c r="AU250" i="12" s="1"/>
  <c r="AV250" i="12" s="1"/>
  <c r="AW250" i="12" s="1"/>
  <c r="AX250" i="12" s="1"/>
  <c r="AY250" i="12" s="1"/>
  <c r="AZ250" i="12" s="1"/>
  <c r="BA250" i="12" s="1"/>
  <c r="BB250" i="12" s="1"/>
  <c r="BC250" i="12" s="1"/>
  <c r="BD250" i="12" s="1"/>
  <c r="BE250" i="12" s="1"/>
  <c r="BF250" i="12" s="1"/>
  <c r="BG250" i="12" s="1"/>
  <c r="BH250" i="12" s="1"/>
  <c r="BI250" i="12" s="1"/>
  <c r="BJ250" i="12" s="1"/>
  <c r="BK250" i="12" s="1"/>
  <c r="Y253" i="12"/>
  <c r="Z253" i="12" s="1"/>
  <c r="AA253" i="12" s="1"/>
  <c r="AB253" i="12" s="1"/>
  <c r="AC253" i="12" s="1"/>
  <c r="AD253" i="12" s="1"/>
  <c r="AE253" i="12" s="1"/>
  <c r="AF253" i="12" s="1"/>
  <c r="AG253" i="12" s="1"/>
  <c r="AH253" i="12" s="1"/>
  <c r="AI253" i="12" s="1"/>
  <c r="AJ253" i="12" s="1"/>
  <c r="AK253" i="12" s="1"/>
  <c r="AL253" i="12" s="1"/>
  <c r="AM253" i="12" s="1"/>
  <c r="AN253" i="12" s="1"/>
  <c r="AO253" i="12" s="1"/>
  <c r="AP253" i="12" s="1"/>
  <c r="AQ253" i="12" s="1"/>
  <c r="AR253" i="12" s="1"/>
  <c r="AS253" i="12" s="1"/>
  <c r="AT253" i="12" s="1"/>
  <c r="AU253" i="12" s="1"/>
  <c r="AV253" i="12" s="1"/>
  <c r="AW253" i="12" s="1"/>
  <c r="AX253" i="12" s="1"/>
  <c r="AY253" i="12" s="1"/>
  <c r="AZ253" i="12" s="1"/>
  <c r="BA253" i="12" s="1"/>
  <c r="BB253" i="12" s="1"/>
  <c r="BC253" i="12" s="1"/>
  <c r="BD253" i="12" s="1"/>
  <c r="BE253" i="12" s="1"/>
  <c r="BF253" i="12" s="1"/>
  <c r="BG253" i="12" s="1"/>
  <c r="BH253" i="12" s="1"/>
  <c r="BI253" i="12" s="1"/>
  <c r="BJ253" i="12" s="1"/>
  <c r="BK253" i="12" s="1"/>
  <c r="Y252" i="12"/>
  <c r="Z252" i="12" s="1"/>
  <c r="AA252" i="12" s="1"/>
  <c r="AB252" i="12" s="1"/>
  <c r="AC252" i="12" s="1"/>
  <c r="AD252" i="12" s="1"/>
  <c r="AE252" i="12" s="1"/>
  <c r="AF252" i="12" s="1"/>
  <c r="AG252" i="12" s="1"/>
  <c r="AH252" i="12" s="1"/>
  <c r="AI252" i="12" s="1"/>
  <c r="AJ252" i="12" s="1"/>
  <c r="AK252" i="12" s="1"/>
  <c r="AL252" i="12" s="1"/>
  <c r="AM252" i="12" s="1"/>
  <c r="AN252" i="12" s="1"/>
  <c r="AO252" i="12" s="1"/>
  <c r="AP252" i="12" s="1"/>
  <c r="AQ252" i="12" s="1"/>
  <c r="AR252" i="12" s="1"/>
  <c r="AS252" i="12" s="1"/>
  <c r="AT252" i="12" s="1"/>
  <c r="AU252" i="12" s="1"/>
  <c r="AV252" i="12" s="1"/>
  <c r="AW252" i="12" s="1"/>
  <c r="AX252" i="12" s="1"/>
  <c r="AY252" i="12" s="1"/>
  <c r="AZ252" i="12" s="1"/>
  <c r="BA252" i="12" s="1"/>
  <c r="BB252" i="12" s="1"/>
  <c r="BC252" i="12" s="1"/>
  <c r="BD252" i="12" s="1"/>
  <c r="BE252" i="12" s="1"/>
  <c r="BF252" i="12" s="1"/>
  <c r="BG252" i="12" s="1"/>
  <c r="BH252" i="12" s="1"/>
  <c r="BI252" i="12" s="1"/>
  <c r="BJ252" i="12" s="1"/>
  <c r="BK252" i="12" s="1"/>
  <c r="Y212" i="12"/>
  <c r="Y320" i="12" s="1"/>
  <c r="AV248" i="12"/>
  <c r="Z289" i="12"/>
  <c r="AA285" i="12"/>
  <c r="Y337" i="12"/>
  <c r="Y340" i="12"/>
  <c r="Y336" i="12"/>
  <c r="Y334" i="12"/>
  <c r="Y335" i="12"/>
  <c r="Y333" i="12"/>
  <c r="Y339" i="12"/>
  <c r="Y338" i="12"/>
  <c r="Y524" i="12"/>
  <c r="AO248" i="12"/>
  <c r="AF248" i="12"/>
  <c r="Y248" i="12"/>
  <c r="AB248" i="12"/>
  <c r="AN248" i="12"/>
  <c r="Z523" i="12"/>
  <c r="Z531" i="12" s="1"/>
  <c r="Z717" i="12" s="1"/>
  <c r="Z706" i="12" s="1"/>
  <c r="Y523" i="12"/>
  <c r="Y526" i="12" s="1"/>
  <c r="Y560" i="12" s="1"/>
  <c r="AC248" i="12"/>
  <c r="AJ248" i="12"/>
  <c r="X248" i="12"/>
  <c r="Y187" i="12"/>
  <c r="AK248" i="12"/>
  <c r="AG248" i="12"/>
  <c r="Z181" i="12"/>
  <c r="Z187" i="12" s="1"/>
  <c r="X257" i="12"/>
  <c r="X313" i="12"/>
  <c r="X320" i="12"/>
  <c r="X319" i="12"/>
  <c r="X316" i="12"/>
  <c r="X318" i="12"/>
  <c r="X317" i="12"/>
  <c r="X315" i="12"/>
  <c r="X314" i="12"/>
  <c r="X531" i="12"/>
  <c r="X717" i="12" s="1"/>
  <c r="X706" i="12" s="1"/>
  <c r="X529" i="12"/>
  <c r="X715" i="12" s="1"/>
  <c r="X704" i="12" s="1"/>
  <c r="X532" i="12"/>
  <c r="X718" i="12" s="1"/>
  <c r="X707" i="12" s="1"/>
  <c r="X527" i="12"/>
  <c r="X713" i="12" s="1"/>
  <c r="X702" i="12" s="1"/>
  <c r="X526" i="12"/>
  <c r="X560" i="12" s="1"/>
  <c r="X530" i="12"/>
  <c r="X716" i="12" s="1"/>
  <c r="X705" i="12" s="1"/>
  <c r="X533" i="12"/>
  <c r="X719" i="12" s="1"/>
  <c r="X708" i="12" s="1"/>
  <c r="X528" i="12"/>
  <c r="X714" i="12" s="1"/>
  <c r="X703" i="12" s="1"/>
  <c r="Z208" i="12"/>
  <c r="Z212" i="12" s="1"/>
  <c r="BK120" i="12"/>
  <c r="AS107" i="6" s="1"/>
  <c r="AR248" i="12"/>
  <c r="X305" i="12"/>
  <c r="X306" i="12"/>
  <c r="X303" i="12"/>
  <c r="X302" i="12"/>
  <c r="X308" i="12"/>
  <c r="X309" i="12"/>
  <c r="X307" i="12"/>
  <c r="X304" i="12"/>
  <c r="AE24" i="7" l="1"/>
  <c r="AR61" i="6"/>
  <c r="AR52" i="6"/>
  <c r="AR70" i="6"/>
  <c r="AF8" i="7"/>
  <c r="AF17" i="7" s="1"/>
  <c r="AS97" i="6"/>
  <c r="Z526" i="12"/>
  <c r="Y316" i="12"/>
  <c r="Y315" i="12"/>
  <c r="Z532" i="12"/>
  <c r="Z718" i="12" s="1"/>
  <c r="Z707" i="12" s="1"/>
  <c r="Y313" i="12"/>
  <c r="Y319" i="12"/>
  <c r="Y318" i="12"/>
  <c r="Y317" i="12"/>
  <c r="Y314" i="12"/>
  <c r="AA289" i="12"/>
  <c r="AB285" i="12"/>
  <c r="Z333" i="12"/>
  <c r="Z335" i="12"/>
  <c r="Z340" i="12"/>
  <c r="Z337" i="12"/>
  <c r="Z339" i="12"/>
  <c r="Z334" i="12"/>
  <c r="Z338" i="12"/>
  <c r="Z336" i="12"/>
  <c r="Y532" i="12"/>
  <c r="Y718" i="12" s="1"/>
  <c r="Y707" i="12" s="1"/>
  <c r="Y530" i="12"/>
  <c r="Y716" i="12" s="1"/>
  <c r="Y705" i="12" s="1"/>
  <c r="Y528" i="12"/>
  <c r="Y714" i="12" s="1"/>
  <c r="Y703" i="12" s="1"/>
  <c r="Y533" i="12"/>
  <c r="Y719" i="12" s="1"/>
  <c r="Y708" i="12" s="1"/>
  <c r="Y257" i="12"/>
  <c r="Y330" i="12" s="1"/>
  <c r="Y531" i="12"/>
  <c r="Y717" i="12" s="1"/>
  <c r="Y706" i="12" s="1"/>
  <c r="Y527" i="12"/>
  <c r="Y713" i="12" s="1"/>
  <c r="Y702" i="12" s="1"/>
  <c r="Z530" i="12"/>
  <c r="Z716" i="12" s="1"/>
  <c r="Z705" i="12" s="1"/>
  <c r="Z528" i="12"/>
  <c r="Z714" i="12" s="1"/>
  <c r="Z703" i="12" s="1"/>
  <c r="Y529" i="12"/>
  <c r="Y715" i="12" s="1"/>
  <c r="Y704" i="12" s="1"/>
  <c r="Z533" i="12"/>
  <c r="Z719" i="12" s="1"/>
  <c r="Z708" i="12" s="1"/>
  <c r="Z529" i="12"/>
  <c r="Z715" i="12" s="1"/>
  <c r="Z704" i="12" s="1"/>
  <c r="Z527" i="12"/>
  <c r="Z713" i="12" s="1"/>
  <c r="Z702" i="12" s="1"/>
  <c r="Z302" i="12"/>
  <c r="Z309" i="12"/>
  <c r="Z304" i="12"/>
  <c r="Z307" i="12"/>
  <c r="Z308" i="12"/>
  <c r="Z305" i="12"/>
  <c r="Z303" i="12"/>
  <c r="Z306" i="12"/>
  <c r="Z314" i="12"/>
  <c r="Z319" i="12"/>
  <c r="Z320" i="12"/>
  <c r="Z315" i="12"/>
  <c r="Z313" i="12"/>
  <c r="Z317" i="12"/>
  <c r="Z318" i="12"/>
  <c r="Z316" i="12"/>
  <c r="X326" i="12"/>
  <c r="X82" i="12" s="1"/>
  <c r="X94" i="12" s="1"/>
  <c r="X329" i="12"/>
  <c r="X85" i="12" s="1"/>
  <c r="X97" i="12" s="1"/>
  <c r="X324" i="12"/>
  <c r="X80" i="12" s="1"/>
  <c r="X92" i="12" s="1"/>
  <c r="X330" i="12"/>
  <c r="X86" i="12" s="1"/>
  <c r="X98" i="12" s="1"/>
  <c r="X327" i="12"/>
  <c r="X83" i="12" s="1"/>
  <c r="X95" i="12" s="1"/>
  <c r="X325" i="12"/>
  <c r="X81" i="12" s="1"/>
  <c r="X93" i="12" s="1"/>
  <c r="X328" i="12"/>
  <c r="X84" i="12" s="1"/>
  <c r="X96" i="12" s="1"/>
  <c r="X323" i="12"/>
  <c r="X559" i="12" s="1"/>
  <c r="Y308" i="12"/>
  <c r="Y307" i="12"/>
  <c r="Y305" i="12"/>
  <c r="Y309" i="12"/>
  <c r="Y306" i="12"/>
  <c r="Y303" i="12"/>
  <c r="Y304" i="12"/>
  <c r="Y302" i="12"/>
  <c r="X712" i="12"/>
  <c r="X701" i="12" s="1"/>
  <c r="AA181" i="12"/>
  <c r="AA187" i="12" s="1"/>
  <c r="Y712" i="12"/>
  <c r="Y701" i="12" s="1"/>
  <c r="AA257" i="12"/>
  <c r="Z257" i="12"/>
  <c r="AA208" i="12"/>
  <c r="AA212" i="12" s="1"/>
  <c r="AA523" i="12"/>
  <c r="AF24" i="7" l="1"/>
  <c r="AS61" i="6"/>
  <c r="AS52" i="6"/>
  <c r="AS70" i="6"/>
  <c r="Z712" i="12"/>
  <c r="Z701" i="12" s="1"/>
  <c r="Z560" i="12"/>
  <c r="Y324" i="12"/>
  <c r="Y80" i="12" s="1"/>
  <c r="Y92" i="12" s="1"/>
  <c r="Y323" i="12"/>
  <c r="Y328" i="12"/>
  <c r="Y84" i="12" s="1"/>
  <c r="Y96" i="12" s="1"/>
  <c r="Y325" i="12"/>
  <c r="Y81" i="12" s="1"/>
  <c r="Y93" i="12" s="1"/>
  <c r="Y329" i="12"/>
  <c r="Y85" i="12" s="1"/>
  <c r="Y97" i="12" s="1"/>
  <c r="Y326" i="12"/>
  <c r="Y82" i="12" s="1"/>
  <c r="Y94" i="12" s="1"/>
  <c r="Y327" i="12"/>
  <c r="Y83" i="12" s="1"/>
  <c r="Y95" i="12" s="1"/>
  <c r="AB289" i="12"/>
  <c r="AC285" i="12"/>
  <c r="AA336" i="12"/>
  <c r="AA340" i="12"/>
  <c r="AA337" i="12"/>
  <c r="AA335" i="12"/>
  <c r="AA338" i="12"/>
  <c r="AA334" i="12"/>
  <c r="AA339" i="12"/>
  <c r="AA333" i="12"/>
  <c r="AA325" i="12"/>
  <c r="AA326" i="12"/>
  <c r="AA323" i="12"/>
  <c r="AA328" i="12"/>
  <c r="AA329" i="12"/>
  <c r="AA324" i="12"/>
  <c r="AA327" i="12"/>
  <c r="AA330" i="12"/>
  <c r="AA317" i="12"/>
  <c r="AA316" i="12"/>
  <c r="AA315" i="12"/>
  <c r="AA313" i="12"/>
  <c r="AA318" i="12"/>
  <c r="AA319" i="12"/>
  <c r="AA320" i="12"/>
  <c r="AA314" i="12"/>
  <c r="AA307" i="12"/>
  <c r="AA302" i="12"/>
  <c r="AA305" i="12"/>
  <c r="AA308" i="12"/>
  <c r="AA303" i="12"/>
  <c r="AA304" i="12"/>
  <c r="AA309" i="12"/>
  <c r="AA306" i="12"/>
  <c r="AB208" i="12"/>
  <c r="AB212" i="12" s="1"/>
  <c r="Z323" i="12"/>
  <c r="Z559" i="12" s="1"/>
  <c r="Z324" i="12"/>
  <c r="Z80" i="12" s="1"/>
  <c r="Z92" i="12" s="1"/>
  <c r="Z329" i="12"/>
  <c r="Z85" i="12" s="1"/>
  <c r="Z97" i="12" s="1"/>
  <c r="Z325" i="12"/>
  <c r="Z81" i="12" s="1"/>
  <c r="Z93" i="12" s="1"/>
  <c r="Z327" i="12"/>
  <c r="Z83" i="12" s="1"/>
  <c r="Z95" i="12" s="1"/>
  <c r="Z330" i="12"/>
  <c r="Z86" i="12" s="1"/>
  <c r="Z98" i="12" s="1"/>
  <c r="Z328" i="12"/>
  <c r="Z84" i="12" s="1"/>
  <c r="Z96" i="12" s="1"/>
  <c r="Z326" i="12"/>
  <c r="Z82" i="12" s="1"/>
  <c r="Z94" i="12" s="1"/>
  <c r="X79" i="12"/>
  <c r="X91" i="12" s="1"/>
  <c r="X99" i="12" s="1"/>
  <c r="F93" i="6" s="1"/>
  <c r="F90" i="6" s="1"/>
  <c r="X561" i="12"/>
  <c r="AB257" i="12"/>
  <c r="AC523" i="12"/>
  <c r="AA526" i="12"/>
  <c r="AA560" i="12" s="1"/>
  <c r="AA531" i="12"/>
  <c r="AA717" i="12" s="1"/>
  <c r="AA706" i="12" s="1"/>
  <c r="AA532" i="12"/>
  <c r="AA718" i="12" s="1"/>
  <c r="AA707" i="12" s="1"/>
  <c r="AA529" i="12"/>
  <c r="AA715" i="12" s="1"/>
  <c r="AA704" i="12" s="1"/>
  <c r="AA530" i="12"/>
  <c r="AA716" i="12" s="1"/>
  <c r="AA705" i="12" s="1"/>
  <c r="AA527" i="12"/>
  <c r="AA713" i="12" s="1"/>
  <c r="AA702" i="12" s="1"/>
  <c r="AA528" i="12"/>
  <c r="AA714" i="12" s="1"/>
  <c r="AA703" i="12" s="1"/>
  <c r="AA533" i="12"/>
  <c r="AA719" i="12" s="1"/>
  <c r="AA708" i="12" s="1"/>
  <c r="Y86" i="12"/>
  <c r="Y98" i="12" s="1"/>
  <c r="AB523" i="12"/>
  <c r="AB181" i="12"/>
  <c r="AB187" i="12" s="1"/>
  <c r="AA559" i="12" l="1"/>
  <c r="Y79" i="12"/>
  <c r="Y91" i="12" s="1"/>
  <c r="Y99" i="12" s="1"/>
  <c r="G93" i="6" s="1"/>
  <c r="G90" i="6" s="1"/>
  <c r="Y559" i="12"/>
  <c r="Y561" i="12" s="1"/>
  <c r="Y562" i="12" s="1"/>
  <c r="G87" i="6" s="1"/>
  <c r="AC289" i="12"/>
  <c r="AD285" i="12"/>
  <c r="AB336" i="12"/>
  <c r="AB340" i="12"/>
  <c r="AB338" i="12"/>
  <c r="AB333" i="12"/>
  <c r="AB337" i="12"/>
  <c r="AB334" i="12"/>
  <c r="AB339" i="12"/>
  <c r="AB335" i="12"/>
  <c r="AB305" i="12"/>
  <c r="AB302" i="12"/>
  <c r="AB303" i="12"/>
  <c r="AB308" i="12"/>
  <c r="AB309" i="12"/>
  <c r="AB304" i="12"/>
  <c r="AB306" i="12"/>
  <c r="AB307" i="12"/>
  <c r="AC531" i="12"/>
  <c r="AC717" i="12" s="1"/>
  <c r="AC706" i="12" s="1"/>
  <c r="AC528" i="12"/>
  <c r="AC714" i="12" s="1"/>
  <c r="AC703" i="12" s="1"/>
  <c r="AC529" i="12"/>
  <c r="AC715" i="12" s="1"/>
  <c r="AC704" i="12" s="1"/>
  <c r="AC526" i="12"/>
  <c r="AC560" i="12" s="1"/>
  <c r="AC527" i="12"/>
  <c r="AC713" i="12" s="1"/>
  <c r="AC702" i="12" s="1"/>
  <c r="AC532" i="12"/>
  <c r="AC718" i="12" s="1"/>
  <c r="AC707" i="12" s="1"/>
  <c r="AC533" i="12"/>
  <c r="AC719" i="12" s="1"/>
  <c r="AC708" i="12" s="1"/>
  <c r="AC530" i="12"/>
  <c r="AC716" i="12" s="1"/>
  <c r="AC705" i="12" s="1"/>
  <c r="X563" i="12"/>
  <c r="X562" i="12"/>
  <c r="F87" i="6" s="1"/>
  <c r="AB317" i="12"/>
  <c r="AB315" i="12"/>
  <c r="AB320" i="12"/>
  <c r="AB313" i="12"/>
  <c r="AB318" i="12"/>
  <c r="AB319" i="12"/>
  <c r="AB314" i="12"/>
  <c r="AB316" i="12"/>
  <c r="AA86" i="12"/>
  <c r="AA98" i="12" s="1"/>
  <c r="AA84" i="12"/>
  <c r="AA96" i="12" s="1"/>
  <c r="AB527" i="12"/>
  <c r="AB713" i="12" s="1"/>
  <c r="AB702" i="12" s="1"/>
  <c r="AB532" i="12"/>
  <c r="AB718" i="12" s="1"/>
  <c r="AB707" i="12" s="1"/>
  <c r="AB526" i="12"/>
  <c r="AB560" i="12" s="1"/>
  <c r="AB533" i="12"/>
  <c r="AB719" i="12" s="1"/>
  <c r="AB708" i="12" s="1"/>
  <c r="AB530" i="12"/>
  <c r="AB716" i="12" s="1"/>
  <c r="AB705" i="12" s="1"/>
  <c r="AB528" i="12"/>
  <c r="AB714" i="12" s="1"/>
  <c r="AB703" i="12" s="1"/>
  <c r="AB531" i="12"/>
  <c r="AB717" i="12" s="1"/>
  <c r="AB706" i="12" s="1"/>
  <c r="AB529" i="12"/>
  <c r="AB715" i="12" s="1"/>
  <c r="AB704" i="12" s="1"/>
  <c r="Z79" i="12"/>
  <c r="Z91" i="12" s="1"/>
  <c r="Z99" i="12" s="1"/>
  <c r="H93" i="6" s="1"/>
  <c r="H90" i="6" s="1"/>
  <c r="Z561" i="12"/>
  <c r="AC208" i="12"/>
  <c r="AA83" i="12"/>
  <c r="AA95" i="12" s="1"/>
  <c r="AA712" i="12"/>
  <c r="AA701" i="12" s="1"/>
  <c r="AA79" i="12" s="1"/>
  <c r="AA91" i="12" s="1"/>
  <c r="AB326" i="12"/>
  <c r="AB324" i="12"/>
  <c r="AB327" i="12"/>
  <c r="AB330" i="12"/>
  <c r="AB329" i="12"/>
  <c r="AB328" i="12"/>
  <c r="AB325" i="12"/>
  <c r="AB323" i="12"/>
  <c r="AA80" i="12"/>
  <c r="AA92" i="12" s="1"/>
  <c r="AA82" i="12"/>
  <c r="AA94" i="12" s="1"/>
  <c r="AC181" i="12"/>
  <c r="AC187" i="12" s="1"/>
  <c r="AD523" i="12"/>
  <c r="AC257" i="12"/>
  <c r="AA85" i="12"/>
  <c r="AA97" i="12" s="1"/>
  <c r="AA81" i="12"/>
  <c r="AA93" i="12" s="1"/>
  <c r="AB559" i="12" l="1"/>
  <c r="Y563" i="12"/>
  <c r="Y564" i="12" s="1"/>
  <c r="AB83" i="12"/>
  <c r="AB95" i="12" s="1"/>
  <c r="AB80" i="12"/>
  <c r="AB92" i="12" s="1"/>
  <c r="AB81" i="12"/>
  <c r="AB93" i="12" s="1"/>
  <c r="AD289" i="12"/>
  <c r="AE285" i="12"/>
  <c r="AC333" i="12"/>
  <c r="AC337" i="12"/>
  <c r="AC336" i="12"/>
  <c r="AC334" i="12"/>
  <c r="AC338" i="12"/>
  <c r="AC335" i="12"/>
  <c r="AC339" i="12"/>
  <c r="AC340" i="12"/>
  <c r="AB84" i="12"/>
  <c r="AB96" i="12" s="1"/>
  <c r="AB85" i="12"/>
  <c r="AB97" i="12" s="1"/>
  <c r="AB82" i="12"/>
  <c r="AB94" i="12" s="1"/>
  <c r="AB86" i="12"/>
  <c r="AB98" i="12" s="1"/>
  <c r="AA99" i="12"/>
  <c r="I93" i="6" s="1"/>
  <c r="I90" i="6" s="1"/>
  <c r="AD532" i="12"/>
  <c r="AD718" i="12" s="1"/>
  <c r="AD707" i="12" s="1"/>
  <c r="AD530" i="12"/>
  <c r="AD716" i="12" s="1"/>
  <c r="AD705" i="12" s="1"/>
  <c r="AD528" i="12"/>
  <c r="AD714" i="12" s="1"/>
  <c r="AD703" i="12" s="1"/>
  <c r="AD527" i="12"/>
  <c r="AD713" i="12" s="1"/>
  <c r="AD702" i="12" s="1"/>
  <c r="AD529" i="12"/>
  <c r="AD715" i="12" s="1"/>
  <c r="AD704" i="12" s="1"/>
  <c r="AD526" i="12"/>
  <c r="AD560" i="12" s="1"/>
  <c r="AD533" i="12"/>
  <c r="AD719" i="12" s="1"/>
  <c r="AD708" i="12" s="1"/>
  <c r="AD531" i="12"/>
  <c r="AD717" i="12" s="1"/>
  <c r="AD706" i="12" s="1"/>
  <c r="Z563" i="12"/>
  <c r="Z562" i="12"/>
  <c r="H87" i="6" s="1"/>
  <c r="AC712" i="12"/>
  <c r="AC701" i="12" s="1"/>
  <c r="AD257" i="12"/>
  <c r="AD181" i="12"/>
  <c r="AD187" i="12" s="1"/>
  <c r="AB712" i="12"/>
  <c r="AB701" i="12" s="1"/>
  <c r="AB79" i="12" s="1"/>
  <c r="AB91" i="12" s="1"/>
  <c r="AC324" i="12"/>
  <c r="AC323" i="12"/>
  <c r="AC330" i="12"/>
  <c r="AC325" i="12"/>
  <c r="AC328" i="12"/>
  <c r="AC326" i="12"/>
  <c r="AC327" i="12"/>
  <c r="AC329" i="12"/>
  <c r="AC302" i="12"/>
  <c r="AC303" i="12"/>
  <c r="AC308" i="12"/>
  <c r="AC309" i="12"/>
  <c r="AC306" i="12"/>
  <c r="AC305" i="12"/>
  <c r="AC307" i="12"/>
  <c r="AC304" i="12"/>
  <c r="AD208" i="12"/>
  <c r="AD212" i="12" s="1"/>
  <c r="X564" i="12"/>
  <c r="AA561" i="12"/>
  <c r="AC212" i="12"/>
  <c r="AB99" i="12" l="1"/>
  <c r="J93" i="6" s="1"/>
  <c r="J90" i="6" s="1"/>
  <c r="AE289" i="12"/>
  <c r="AF285" i="12"/>
  <c r="AG285" i="12" s="1"/>
  <c r="AG289" i="12" s="1"/>
  <c r="AG334" i="12" s="1"/>
  <c r="AD340" i="12"/>
  <c r="AD335" i="12"/>
  <c r="AD334" i="12"/>
  <c r="AD333" i="12"/>
  <c r="AD337" i="12"/>
  <c r="AD338" i="12"/>
  <c r="AD339" i="12"/>
  <c r="AD336" i="12"/>
  <c r="AD320" i="12"/>
  <c r="AD319" i="12"/>
  <c r="AD318" i="12"/>
  <c r="AD316" i="12"/>
  <c r="AD317" i="12"/>
  <c r="AD315" i="12"/>
  <c r="AD314" i="12"/>
  <c r="AD313" i="12"/>
  <c r="AD304" i="12"/>
  <c r="AD305" i="12"/>
  <c r="AD302" i="12"/>
  <c r="AD307" i="12"/>
  <c r="AD308" i="12"/>
  <c r="AD303" i="12"/>
  <c r="AD309" i="12"/>
  <c r="AD306" i="12"/>
  <c r="AF523" i="12"/>
  <c r="AB561" i="12"/>
  <c r="AC314" i="12"/>
  <c r="AC80" i="12" s="1"/>
  <c r="AC92" i="12" s="1"/>
  <c r="AC320" i="12"/>
  <c r="AC86" i="12" s="1"/>
  <c r="AC98" i="12" s="1"/>
  <c r="AC319" i="12"/>
  <c r="AC85" i="12" s="1"/>
  <c r="AC97" i="12" s="1"/>
  <c r="AC317" i="12"/>
  <c r="AC83" i="12" s="1"/>
  <c r="AC95" i="12" s="1"/>
  <c r="AC318" i="12"/>
  <c r="AC84" i="12" s="1"/>
  <c r="AC96" i="12" s="1"/>
  <c r="AC315" i="12"/>
  <c r="AC81" i="12" s="1"/>
  <c r="AC93" i="12" s="1"/>
  <c r="AC316" i="12"/>
  <c r="AC82" i="12" s="1"/>
  <c r="AC94" i="12" s="1"/>
  <c r="AC313" i="12"/>
  <c r="AC79" i="12" s="1"/>
  <c r="AC91" i="12" s="1"/>
  <c r="AE181" i="12"/>
  <c r="AE187" i="12" s="1"/>
  <c r="AA563" i="12"/>
  <c r="AA562" i="12"/>
  <c r="I87" i="6" s="1"/>
  <c r="AE257" i="12"/>
  <c r="Z564" i="12"/>
  <c r="AD712" i="12"/>
  <c r="AD701" i="12" s="1"/>
  <c r="AE523" i="12"/>
  <c r="AE208" i="12"/>
  <c r="AE212" i="12" s="1"/>
  <c r="AD325" i="12"/>
  <c r="AD324" i="12"/>
  <c r="AD323" i="12"/>
  <c r="AD330" i="12"/>
  <c r="AD329" i="12"/>
  <c r="AD327" i="12"/>
  <c r="AD328" i="12"/>
  <c r="AD326" i="12"/>
  <c r="AD559" i="12" l="1"/>
  <c r="AD561" i="12" s="1"/>
  <c r="AC559" i="12"/>
  <c r="AC561" i="12" s="1"/>
  <c r="AC563" i="12" s="1"/>
  <c r="AG333" i="12"/>
  <c r="AH285" i="12"/>
  <c r="AH289" i="12" s="1"/>
  <c r="AH337" i="12" s="1"/>
  <c r="AG340" i="12"/>
  <c r="AD82" i="12"/>
  <c r="AD94" i="12" s="1"/>
  <c r="AG338" i="12"/>
  <c r="AD80" i="12"/>
  <c r="AD92" i="12" s="1"/>
  <c r="AG339" i="12"/>
  <c r="AG335" i="12"/>
  <c r="AD84" i="12"/>
  <c r="AD96" i="12" s="1"/>
  <c r="AG336" i="12"/>
  <c r="AG337" i="12"/>
  <c r="AD83" i="12"/>
  <c r="AD95" i="12" s="1"/>
  <c r="AD85" i="12"/>
  <c r="AD97" i="12" s="1"/>
  <c r="AD81" i="12"/>
  <c r="AD93" i="12" s="1"/>
  <c r="AD86" i="12"/>
  <c r="AD98" i="12" s="1"/>
  <c r="AF289" i="12"/>
  <c r="AF338" i="12" s="1"/>
  <c r="AE339" i="12"/>
  <c r="AE340" i="12"/>
  <c r="AE337" i="12"/>
  <c r="AE333" i="12"/>
  <c r="AE338" i="12"/>
  <c r="AE334" i="12"/>
  <c r="AE336" i="12"/>
  <c r="AE335" i="12"/>
  <c r="AE317" i="12"/>
  <c r="AE314" i="12"/>
  <c r="AE320" i="12"/>
  <c r="AE315" i="12"/>
  <c r="AE313" i="12"/>
  <c r="AE316" i="12"/>
  <c r="AE319" i="12"/>
  <c r="AE318" i="12"/>
  <c r="AE329" i="12"/>
  <c r="AE326" i="12"/>
  <c r="AE327" i="12"/>
  <c r="AE328" i="12"/>
  <c r="AE325" i="12"/>
  <c r="AE324" i="12"/>
  <c r="AE323" i="12"/>
  <c r="AE330" i="12"/>
  <c r="AF529" i="12"/>
  <c r="AF715" i="12" s="1"/>
  <c r="AF704" i="12" s="1"/>
  <c r="AF527" i="12"/>
  <c r="AF713" i="12" s="1"/>
  <c r="AF702" i="12" s="1"/>
  <c r="AF530" i="12"/>
  <c r="AF716" i="12" s="1"/>
  <c r="AF705" i="12" s="1"/>
  <c r="AF526" i="12"/>
  <c r="AF560" i="12" s="1"/>
  <c r="AF533" i="12"/>
  <c r="AF719" i="12" s="1"/>
  <c r="AF708" i="12" s="1"/>
  <c r="AF532" i="12"/>
  <c r="AF718" i="12" s="1"/>
  <c r="AF707" i="12" s="1"/>
  <c r="AF531" i="12"/>
  <c r="AF717" i="12" s="1"/>
  <c r="AF706" i="12" s="1"/>
  <c r="AF528" i="12"/>
  <c r="AF714" i="12" s="1"/>
  <c r="AF703" i="12" s="1"/>
  <c r="AA564" i="12"/>
  <c r="AF181" i="12"/>
  <c r="AF187" i="12" s="1"/>
  <c r="AB562" i="12"/>
  <c r="J87" i="6" s="1"/>
  <c r="AB563" i="12"/>
  <c r="AF208" i="12"/>
  <c r="AF212" i="12" s="1"/>
  <c r="AF257" i="12"/>
  <c r="AE303" i="12"/>
  <c r="AE302" i="12"/>
  <c r="AE309" i="12"/>
  <c r="AE308" i="12"/>
  <c r="AE307" i="12"/>
  <c r="AE304" i="12"/>
  <c r="AE305" i="12"/>
  <c r="AE306" i="12"/>
  <c r="AC99" i="12"/>
  <c r="K93" i="6" s="1"/>
  <c r="K90" i="6" s="1"/>
  <c r="AD79" i="12"/>
  <c r="AD91" i="12" s="1"/>
  <c r="AE530" i="12"/>
  <c r="AE716" i="12" s="1"/>
  <c r="AE705" i="12" s="1"/>
  <c r="AE527" i="12"/>
  <c r="AE713" i="12" s="1"/>
  <c r="AE702" i="12" s="1"/>
  <c r="AE528" i="12"/>
  <c r="AE714" i="12" s="1"/>
  <c r="AE703" i="12" s="1"/>
  <c r="AE533" i="12"/>
  <c r="AE719" i="12" s="1"/>
  <c r="AE708" i="12" s="1"/>
  <c r="AE526" i="12"/>
  <c r="AE560" i="12" s="1"/>
  <c r="AE531" i="12"/>
  <c r="AE717" i="12" s="1"/>
  <c r="AE706" i="12" s="1"/>
  <c r="AE532" i="12"/>
  <c r="AE718" i="12" s="1"/>
  <c r="AE707" i="12" s="1"/>
  <c r="AE529" i="12"/>
  <c r="AE715" i="12" s="1"/>
  <c r="AE704" i="12" s="1"/>
  <c r="AG523" i="12"/>
  <c r="AE559" i="12" l="1"/>
  <c r="AH339" i="12"/>
  <c r="AH338" i="12"/>
  <c r="AI285" i="12"/>
  <c r="AI289" i="12" s="1"/>
  <c r="AI337" i="12" s="1"/>
  <c r="G551" i="12"/>
  <c r="E135" i="6"/>
  <c r="E131" i="6" s="1"/>
  <c r="E67" i="6" s="1"/>
  <c r="AH335" i="12"/>
  <c r="AH340" i="12"/>
  <c r="AH336" i="12"/>
  <c r="AH334" i="12"/>
  <c r="AH333" i="12"/>
  <c r="AF334" i="12"/>
  <c r="AC562" i="12"/>
  <c r="K87" i="6" s="1"/>
  <c r="AF336" i="12"/>
  <c r="AF340" i="12"/>
  <c r="AF339" i="12"/>
  <c r="AF333" i="12"/>
  <c r="AF335" i="12"/>
  <c r="AF337" i="12"/>
  <c r="AD99" i="12"/>
  <c r="L93" i="6" s="1"/>
  <c r="L90" i="6" s="1"/>
  <c r="AF326" i="12"/>
  <c r="AF324" i="12"/>
  <c r="AF325" i="12"/>
  <c r="AF330" i="12"/>
  <c r="AF327" i="12"/>
  <c r="AF329" i="12"/>
  <c r="AF328" i="12"/>
  <c r="AF323" i="12"/>
  <c r="AG529" i="12"/>
  <c r="AG715" i="12" s="1"/>
  <c r="AG704" i="12" s="1"/>
  <c r="AG526" i="12"/>
  <c r="AG560" i="12" s="1"/>
  <c r="AG527" i="12"/>
  <c r="AG713" i="12" s="1"/>
  <c r="AG702" i="12" s="1"/>
  <c r="AG532" i="12"/>
  <c r="AG718" i="12" s="1"/>
  <c r="AG707" i="12" s="1"/>
  <c r="AG528" i="12"/>
  <c r="AG714" i="12" s="1"/>
  <c r="AG703" i="12" s="1"/>
  <c r="AG533" i="12"/>
  <c r="AG719" i="12" s="1"/>
  <c r="AG708" i="12" s="1"/>
  <c r="AG530" i="12"/>
  <c r="AG716" i="12" s="1"/>
  <c r="AG705" i="12" s="1"/>
  <c r="AG531" i="12"/>
  <c r="AG717" i="12" s="1"/>
  <c r="AG706" i="12" s="1"/>
  <c r="AF305" i="12"/>
  <c r="AF306" i="12"/>
  <c r="AF303" i="12"/>
  <c r="AF302" i="12"/>
  <c r="AF309" i="12"/>
  <c r="AF304" i="12"/>
  <c r="AF307" i="12"/>
  <c r="AF308" i="12"/>
  <c r="AE712" i="12"/>
  <c r="AE701" i="12" s="1"/>
  <c r="AE79" i="12" s="1"/>
  <c r="AE91" i="12" s="1"/>
  <c r="AB564" i="12"/>
  <c r="AF712" i="12"/>
  <c r="AF701" i="12" s="1"/>
  <c r="AE86" i="12"/>
  <c r="AE98" i="12" s="1"/>
  <c r="AE84" i="12"/>
  <c r="AE96" i="12" s="1"/>
  <c r="AD563" i="12"/>
  <c r="AD562" i="12"/>
  <c r="AF319" i="12"/>
  <c r="AF316" i="12"/>
  <c r="AF314" i="12"/>
  <c r="AF317" i="12"/>
  <c r="AF315" i="12"/>
  <c r="AF318" i="12"/>
  <c r="AF313" i="12"/>
  <c r="AF320" i="12"/>
  <c r="AE83" i="12"/>
  <c r="AE95" i="12" s="1"/>
  <c r="AH523" i="12"/>
  <c r="AG208" i="12"/>
  <c r="AG212" i="12" s="1"/>
  <c r="AG181" i="12"/>
  <c r="AG187" i="12" s="1"/>
  <c r="AE80" i="12"/>
  <c r="AE92" i="12" s="1"/>
  <c r="AE82" i="12"/>
  <c r="AE94" i="12" s="1"/>
  <c r="AE81" i="12"/>
  <c r="AE93" i="12" s="1"/>
  <c r="AE85" i="12"/>
  <c r="AE97" i="12" s="1"/>
  <c r="F78" i="6" l="1"/>
  <c r="F49" i="6" s="1"/>
  <c r="L87" i="6"/>
  <c r="AF559" i="12"/>
  <c r="AF561" i="12" s="1"/>
  <c r="AI336" i="12"/>
  <c r="AI334" i="12"/>
  <c r="AI340" i="12"/>
  <c r="AI335" i="12"/>
  <c r="AI339" i="12"/>
  <c r="AI333" i="12"/>
  <c r="AI338" i="12"/>
  <c r="AJ285" i="12"/>
  <c r="AJ289" i="12" s="1"/>
  <c r="AJ336" i="12" s="1"/>
  <c r="AC564" i="12"/>
  <c r="G549" i="12"/>
  <c r="F135" i="6"/>
  <c r="F131" i="6" s="1"/>
  <c r="E69" i="6"/>
  <c r="AE561" i="12"/>
  <c r="AE563" i="12" s="1"/>
  <c r="AG314" i="12"/>
  <c r="AG319" i="12"/>
  <c r="AG320" i="12"/>
  <c r="AG317" i="12"/>
  <c r="AG315" i="12"/>
  <c r="AG316" i="12"/>
  <c r="AG318" i="12"/>
  <c r="AG313" i="12"/>
  <c r="AD564" i="12"/>
  <c r="AF79" i="12"/>
  <c r="AF91" i="12" s="1"/>
  <c r="AF86" i="12"/>
  <c r="AF98" i="12" s="1"/>
  <c r="AH257" i="12"/>
  <c r="AG308" i="12"/>
  <c r="AG307" i="12"/>
  <c r="AG305" i="12"/>
  <c r="AG306" i="12"/>
  <c r="AG303" i="12"/>
  <c r="AG309" i="12"/>
  <c r="AG304" i="12"/>
  <c r="AG302" i="12"/>
  <c r="AH528" i="12"/>
  <c r="AH714" i="12" s="1"/>
  <c r="AH703" i="12" s="1"/>
  <c r="AH533" i="12"/>
  <c r="AH719" i="12" s="1"/>
  <c r="AH708" i="12" s="1"/>
  <c r="AH527" i="12"/>
  <c r="AH713" i="12" s="1"/>
  <c r="AH702" i="12" s="1"/>
  <c r="AH526" i="12"/>
  <c r="AH560" i="12" s="1"/>
  <c r="AH531" i="12"/>
  <c r="AH717" i="12" s="1"/>
  <c r="AH706" i="12" s="1"/>
  <c r="AH532" i="12"/>
  <c r="AH718" i="12" s="1"/>
  <c r="AH707" i="12" s="1"/>
  <c r="AH530" i="12"/>
  <c r="AH716" i="12" s="1"/>
  <c r="AH705" i="12" s="1"/>
  <c r="AH529" i="12"/>
  <c r="AH715" i="12" s="1"/>
  <c r="AH704" i="12" s="1"/>
  <c r="AE99" i="12"/>
  <c r="M93" i="6" s="1"/>
  <c r="M90" i="6" s="1"/>
  <c r="AF84" i="12"/>
  <c r="AF96" i="12" s="1"/>
  <c r="AF81" i="12"/>
  <c r="AF93" i="12" s="1"/>
  <c r="AG257" i="12"/>
  <c r="AH181" i="12"/>
  <c r="AH187" i="12" s="1"/>
  <c r="AI523" i="12"/>
  <c r="AG712" i="12"/>
  <c r="AG701" i="12" s="1"/>
  <c r="AF85" i="12"/>
  <c r="AF97" i="12" s="1"/>
  <c r="AF80" i="12"/>
  <c r="AF92" i="12" s="1"/>
  <c r="AH208" i="12"/>
  <c r="AH212" i="12" s="1"/>
  <c r="AF83" i="12"/>
  <c r="AF95" i="12" s="1"/>
  <c r="AF82" i="12"/>
  <c r="AF94" i="12" s="1"/>
  <c r="F51" i="6" l="1"/>
  <c r="C7" i="7"/>
  <c r="F53" i="6"/>
  <c r="F54" i="6"/>
  <c r="F55" i="6" s="1"/>
  <c r="AK285" i="12"/>
  <c r="AK289" i="12" s="1"/>
  <c r="AK336" i="12" s="1"/>
  <c r="AJ338" i="12"/>
  <c r="AJ339" i="12"/>
  <c r="AJ334" i="12"/>
  <c r="AJ337" i="12"/>
  <c r="AJ340" i="12"/>
  <c r="AJ333" i="12"/>
  <c r="AJ335" i="12"/>
  <c r="AE562" i="12"/>
  <c r="C2" i="7"/>
  <c r="C6" i="7" s="1"/>
  <c r="E71" i="6"/>
  <c r="E72" i="6"/>
  <c r="E73" i="6" s="1"/>
  <c r="G135" i="6"/>
  <c r="G131" i="6" s="1"/>
  <c r="C25" i="7"/>
  <c r="AI528" i="12"/>
  <c r="AI714" i="12" s="1"/>
  <c r="AI703" i="12" s="1"/>
  <c r="AI533" i="12"/>
  <c r="AI719" i="12" s="1"/>
  <c r="AI708" i="12" s="1"/>
  <c r="AI526" i="12"/>
  <c r="AI560" i="12" s="1"/>
  <c r="AI531" i="12"/>
  <c r="AI717" i="12" s="1"/>
  <c r="AI706" i="12" s="1"/>
  <c r="AI527" i="12"/>
  <c r="AI713" i="12" s="1"/>
  <c r="AI702" i="12" s="1"/>
  <c r="AI532" i="12"/>
  <c r="AI718" i="12" s="1"/>
  <c r="AI707" i="12" s="1"/>
  <c r="AI529" i="12"/>
  <c r="AI715" i="12" s="1"/>
  <c r="AI704" i="12" s="1"/>
  <c r="AI530" i="12"/>
  <c r="AI716" i="12" s="1"/>
  <c r="AI705" i="12" s="1"/>
  <c r="AH306" i="12"/>
  <c r="AH304" i="12"/>
  <c r="AH303" i="12"/>
  <c r="AH302" i="12"/>
  <c r="AH309" i="12"/>
  <c r="AH308" i="12"/>
  <c r="AH305" i="12"/>
  <c r="AH307" i="12"/>
  <c r="AH327" i="12"/>
  <c r="AH330" i="12"/>
  <c r="AH324" i="12"/>
  <c r="AH325" i="12"/>
  <c r="AH326" i="12"/>
  <c r="AH323" i="12"/>
  <c r="AH328" i="12"/>
  <c r="AH329" i="12"/>
  <c r="AI208" i="12"/>
  <c r="AI212" i="12" s="1"/>
  <c r="AH320" i="12"/>
  <c r="AH315" i="12"/>
  <c r="AH317" i="12"/>
  <c r="AH318" i="12"/>
  <c r="AH316" i="12"/>
  <c r="AH313" i="12"/>
  <c r="AH314" i="12"/>
  <c r="AH319" i="12"/>
  <c r="AI181" i="12"/>
  <c r="AH712" i="12"/>
  <c r="AH701" i="12" s="1"/>
  <c r="AG330" i="12"/>
  <c r="AG86" i="12" s="1"/>
  <c r="AG98" i="12" s="1"/>
  <c r="AG325" i="12"/>
  <c r="AG81" i="12" s="1"/>
  <c r="AG93" i="12" s="1"/>
  <c r="AG328" i="12"/>
  <c r="AG84" i="12" s="1"/>
  <c r="AG96" i="12" s="1"/>
  <c r="AG323" i="12"/>
  <c r="AG559" i="12" s="1"/>
  <c r="AG326" i="12"/>
  <c r="AG82" i="12" s="1"/>
  <c r="AG94" i="12" s="1"/>
  <c r="AG329" i="12"/>
  <c r="AG85" i="12" s="1"/>
  <c r="AG97" i="12" s="1"/>
  <c r="AG327" i="12"/>
  <c r="AG83" i="12" s="1"/>
  <c r="AG95" i="12" s="1"/>
  <c r="AG324" i="12"/>
  <c r="AG80" i="12" s="1"/>
  <c r="AG92" i="12" s="1"/>
  <c r="AF563" i="12"/>
  <c r="AF562" i="12"/>
  <c r="AI257" i="12"/>
  <c r="AF99" i="12"/>
  <c r="N93" i="6" s="1"/>
  <c r="N90" i="6" s="1"/>
  <c r="G78" i="6" l="1"/>
  <c r="G49" i="6" s="1"/>
  <c r="M87" i="6"/>
  <c r="H78" i="6"/>
  <c r="H49" i="6" s="1"/>
  <c r="H54" i="6" s="1"/>
  <c r="N87" i="6"/>
  <c r="F58" i="6"/>
  <c r="F67" i="6"/>
  <c r="E74" i="6"/>
  <c r="F56" i="6"/>
  <c r="AL285" i="12"/>
  <c r="AL289" i="12" s="1"/>
  <c r="AL339" i="12" s="1"/>
  <c r="AK338" i="12"/>
  <c r="AK334" i="12"/>
  <c r="AK339" i="12"/>
  <c r="AH559" i="12"/>
  <c r="AH561" i="12" s="1"/>
  <c r="AK333" i="12"/>
  <c r="AK337" i="12"/>
  <c r="AK335" i="12"/>
  <c r="AK340" i="12"/>
  <c r="AE564" i="12"/>
  <c r="H135" i="6"/>
  <c r="H131" i="6" s="1"/>
  <c r="C28" i="7"/>
  <c r="D2" i="7"/>
  <c r="D6" i="7" s="1"/>
  <c r="F60" i="6"/>
  <c r="F69" i="6"/>
  <c r="C26" i="7"/>
  <c r="AJ181" i="12"/>
  <c r="AJ187" i="12" s="1"/>
  <c r="AH85" i="12"/>
  <c r="AH97" i="12" s="1"/>
  <c r="AH81" i="12"/>
  <c r="AH93" i="12" s="1"/>
  <c r="AK523" i="12"/>
  <c r="AF564" i="12"/>
  <c r="AI187" i="12"/>
  <c r="AH84" i="12"/>
  <c r="AH96" i="12" s="1"/>
  <c r="AH80" i="12"/>
  <c r="AH92" i="12" s="1"/>
  <c r="AI712" i="12"/>
  <c r="AI701" i="12" s="1"/>
  <c r="AI325" i="12"/>
  <c r="AI323" i="12"/>
  <c r="AI328" i="12"/>
  <c r="AI330" i="12"/>
  <c r="AI327" i="12"/>
  <c r="AI329" i="12"/>
  <c r="AI324" i="12"/>
  <c r="AI326" i="12"/>
  <c r="AJ523" i="12"/>
  <c r="AM285" i="12"/>
  <c r="AI315" i="12"/>
  <c r="AI314" i="12"/>
  <c r="AI313" i="12"/>
  <c r="AI317" i="12"/>
  <c r="AI316" i="12"/>
  <c r="AI319" i="12"/>
  <c r="AI320" i="12"/>
  <c r="AI318" i="12"/>
  <c r="AH79" i="12"/>
  <c r="AH91" i="12" s="1"/>
  <c r="AH86" i="12"/>
  <c r="AH98" i="12" s="1"/>
  <c r="AJ257" i="12"/>
  <c r="AG79" i="12"/>
  <c r="AG91" i="12" s="1"/>
  <c r="AG99" i="12" s="1"/>
  <c r="O93" i="6" s="1"/>
  <c r="O90" i="6" s="1"/>
  <c r="AG561" i="12"/>
  <c r="AJ208" i="12"/>
  <c r="AJ212" i="12" s="1"/>
  <c r="AH82" i="12"/>
  <c r="AH94" i="12" s="1"/>
  <c r="AH83" i="12"/>
  <c r="AH95" i="12" s="1"/>
  <c r="G58" i="6" l="1"/>
  <c r="G63" i="6" s="1"/>
  <c r="D7" i="7"/>
  <c r="G51" i="6"/>
  <c r="G54" i="6"/>
  <c r="G55" i="6" s="1"/>
  <c r="E7" i="7"/>
  <c r="H51" i="6"/>
  <c r="G67" i="6"/>
  <c r="G72" i="6" s="1"/>
  <c r="F72" i="6"/>
  <c r="F71" i="6"/>
  <c r="F62" i="6"/>
  <c r="F63" i="6"/>
  <c r="F64" i="6" s="1"/>
  <c r="G53" i="6"/>
  <c r="H53" i="6" s="1"/>
  <c r="AL340" i="12"/>
  <c r="AL336" i="12"/>
  <c r="AL333" i="12"/>
  <c r="AL335" i="12"/>
  <c r="AL338" i="12"/>
  <c r="AL337" i="12"/>
  <c r="AL334" i="12"/>
  <c r="D25" i="7"/>
  <c r="C29" i="7"/>
  <c r="G69" i="6"/>
  <c r="G60" i="6"/>
  <c r="E2" i="7"/>
  <c r="E6" i="7" s="1"/>
  <c r="E25" i="7"/>
  <c r="E28" i="7"/>
  <c r="AJ315" i="12"/>
  <c r="AJ316" i="12"/>
  <c r="AJ313" i="12"/>
  <c r="AJ318" i="12"/>
  <c r="AJ317" i="12"/>
  <c r="AJ319" i="12"/>
  <c r="AJ314" i="12"/>
  <c r="AJ320" i="12"/>
  <c r="AJ303" i="12"/>
  <c r="AJ308" i="12"/>
  <c r="AJ309" i="12"/>
  <c r="AJ304" i="12"/>
  <c r="AJ302" i="12"/>
  <c r="AJ306" i="12"/>
  <c r="AJ307" i="12"/>
  <c r="AJ305" i="12"/>
  <c r="AL523" i="12"/>
  <c r="AN285" i="12"/>
  <c r="AN289" i="12" s="1"/>
  <c r="AJ529" i="12"/>
  <c r="AJ715" i="12" s="1"/>
  <c r="AJ704" i="12" s="1"/>
  <c r="AJ530" i="12"/>
  <c r="AJ716" i="12" s="1"/>
  <c r="AJ705" i="12" s="1"/>
  <c r="AJ527" i="12"/>
  <c r="AJ713" i="12" s="1"/>
  <c r="AJ702" i="12" s="1"/>
  <c r="AJ528" i="12"/>
  <c r="AJ714" i="12" s="1"/>
  <c r="AJ703" i="12" s="1"/>
  <c r="AJ533" i="12"/>
  <c r="AJ719" i="12" s="1"/>
  <c r="AJ708" i="12" s="1"/>
  <c r="AJ532" i="12"/>
  <c r="AJ718" i="12" s="1"/>
  <c r="AJ707" i="12" s="1"/>
  <c r="AJ531" i="12"/>
  <c r="AJ717" i="12" s="1"/>
  <c r="AJ706" i="12" s="1"/>
  <c r="AJ526" i="12"/>
  <c r="AJ560" i="12" s="1"/>
  <c r="AI307" i="12"/>
  <c r="AI84" i="12" s="1"/>
  <c r="AI96" i="12" s="1"/>
  <c r="AI302" i="12"/>
  <c r="AI79" i="12" s="1"/>
  <c r="AI91" i="12" s="1"/>
  <c r="AI308" i="12"/>
  <c r="AI85" i="12" s="1"/>
  <c r="AI97" i="12" s="1"/>
  <c r="AI305" i="12"/>
  <c r="AI309" i="12"/>
  <c r="AI306" i="12"/>
  <c r="AI83" i="12" s="1"/>
  <c r="AI95" i="12" s="1"/>
  <c r="AI303" i="12"/>
  <c r="AI80" i="12" s="1"/>
  <c r="AI92" i="12" s="1"/>
  <c r="AI304" i="12"/>
  <c r="AI81" i="12" s="1"/>
  <c r="AI93" i="12" s="1"/>
  <c r="AK529" i="12"/>
  <c r="AK715" i="12" s="1"/>
  <c r="AK704" i="12" s="1"/>
  <c r="AK526" i="12"/>
  <c r="AK560" i="12" s="1"/>
  <c r="AK533" i="12"/>
  <c r="AK719" i="12" s="1"/>
  <c r="AK708" i="12" s="1"/>
  <c r="AK530" i="12"/>
  <c r="AK716" i="12" s="1"/>
  <c r="AK705" i="12" s="1"/>
  <c r="AK527" i="12"/>
  <c r="AK713" i="12" s="1"/>
  <c r="AK702" i="12" s="1"/>
  <c r="AK532" i="12"/>
  <c r="AK718" i="12" s="1"/>
  <c r="AK707" i="12" s="1"/>
  <c r="AK531" i="12"/>
  <c r="AK717" i="12" s="1"/>
  <c r="AK706" i="12" s="1"/>
  <c r="AK528" i="12"/>
  <c r="AK714" i="12" s="1"/>
  <c r="AK703" i="12" s="1"/>
  <c r="AH563" i="12"/>
  <c r="AH562" i="12"/>
  <c r="P87" i="6" s="1"/>
  <c r="AM289" i="12"/>
  <c r="AI82" i="12"/>
  <c r="AI94" i="12" s="1"/>
  <c r="AI86" i="12"/>
  <c r="AI98" i="12" s="1"/>
  <c r="AK208" i="12"/>
  <c r="AG562" i="12"/>
  <c r="AG563" i="12"/>
  <c r="AJ324" i="12"/>
  <c r="AJ323" i="12"/>
  <c r="AJ330" i="12"/>
  <c r="AJ329" i="12"/>
  <c r="AJ326" i="12"/>
  <c r="AJ328" i="12"/>
  <c r="AJ325" i="12"/>
  <c r="AJ327" i="12"/>
  <c r="AH99" i="12"/>
  <c r="P93" i="6" s="1"/>
  <c r="P90" i="6" s="1"/>
  <c r="AK181" i="12"/>
  <c r="AK187" i="12" s="1"/>
  <c r="G62" i="6" l="1"/>
  <c r="D26" i="7"/>
  <c r="D28" i="7"/>
  <c r="G56" i="6"/>
  <c r="H55" i="6"/>
  <c r="H56" i="6" s="1"/>
  <c r="I78" i="6"/>
  <c r="F7" i="7" s="1"/>
  <c r="O87" i="6"/>
  <c r="G71" i="6"/>
  <c r="H58" i="6"/>
  <c r="H63" i="6" s="1"/>
  <c r="H67" i="6"/>
  <c r="H72" i="6" s="1"/>
  <c r="F65" i="6"/>
  <c r="G64" i="6"/>
  <c r="F73" i="6"/>
  <c r="I49" i="6"/>
  <c r="AJ559" i="12"/>
  <c r="AI559" i="12"/>
  <c r="AI561" i="12" s="1"/>
  <c r="E26" i="7"/>
  <c r="J78" i="6"/>
  <c r="P78" i="6"/>
  <c r="G2" i="7"/>
  <c r="G6" i="7" s="1"/>
  <c r="J135" i="6"/>
  <c r="J131" i="6" s="1"/>
  <c r="I135" i="6"/>
  <c r="I131" i="6" s="1"/>
  <c r="H69" i="6"/>
  <c r="H60" i="6"/>
  <c r="F2" i="7"/>
  <c r="F6" i="7" s="1"/>
  <c r="AJ80" i="12"/>
  <c r="AJ92" i="12" s="1"/>
  <c r="AJ84" i="12"/>
  <c r="AJ96" i="12" s="1"/>
  <c r="AJ82" i="12"/>
  <c r="AJ94" i="12" s="1"/>
  <c r="AJ83" i="12"/>
  <c r="AJ95" i="12" s="1"/>
  <c r="AJ85" i="12"/>
  <c r="AJ97" i="12" s="1"/>
  <c r="AJ81" i="12"/>
  <c r="AJ93" i="12" s="1"/>
  <c r="AJ86" i="12"/>
  <c r="AJ98" i="12" s="1"/>
  <c r="AH564" i="12"/>
  <c r="AI99" i="12"/>
  <c r="Q93" i="6" s="1"/>
  <c r="Q90" i="6" s="1"/>
  <c r="AK308" i="12"/>
  <c r="AK309" i="12"/>
  <c r="AK303" i="12"/>
  <c r="AK302" i="12"/>
  <c r="AK307" i="12"/>
  <c r="AK306" i="12"/>
  <c r="AK305" i="12"/>
  <c r="AK304" i="12"/>
  <c r="AG564" i="12"/>
  <c r="AO285" i="12"/>
  <c r="AM523" i="12"/>
  <c r="AL181" i="12"/>
  <c r="AL208" i="12"/>
  <c r="AL212" i="12" s="1"/>
  <c r="AK212" i="12"/>
  <c r="AM336" i="12"/>
  <c r="AM339" i="12"/>
  <c r="AM333" i="12"/>
  <c r="AM334" i="12"/>
  <c r="AM335" i="12"/>
  <c r="AM338" i="12"/>
  <c r="AM340" i="12"/>
  <c r="AM337" i="12"/>
  <c r="AK257" i="12"/>
  <c r="AK712" i="12"/>
  <c r="AK701" i="12" s="1"/>
  <c r="AJ712" i="12"/>
  <c r="AJ701" i="12" s="1"/>
  <c r="AJ79" i="12" s="1"/>
  <c r="AJ91" i="12" s="1"/>
  <c r="AN338" i="12"/>
  <c r="AN339" i="12"/>
  <c r="AN333" i="12"/>
  <c r="AN336" i="12"/>
  <c r="AN335" i="12"/>
  <c r="AN334" i="12"/>
  <c r="AN337" i="12"/>
  <c r="AN340" i="12"/>
  <c r="AL528" i="12"/>
  <c r="AL714" i="12" s="1"/>
  <c r="AL703" i="12" s="1"/>
  <c r="AL531" i="12"/>
  <c r="AL717" i="12" s="1"/>
  <c r="AL706" i="12" s="1"/>
  <c r="AL527" i="12"/>
  <c r="AL713" i="12" s="1"/>
  <c r="AL702" i="12" s="1"/>
  <c r="AL529" i="12"/>
  <c r="AL715" i="12" s="1"/>
  <c r="AL704" i="12" s="1"/>
  <c r="AL526" i="12"/>
  <c r="AL560" i="12" s="1"/>
  <c r="AL533" i="12"/>
  <c r="AL719" i="12" s="1"/>
  <c r="AL708" i="12" s="1"/>
  <c r="AL532" i="12"/>
  <c r="AL718" i="12" s="1"/>
  <c r="AL707" i="12" s="1"/>
  <c r="AL530" i="12"/>
  <c r="AL716" i="12" s="1"/>
  <c r="AL705" i="12" s="1"/>
  <c r="I51" i="6" l="1"/>
  <c r="I60" i="6"/>
  <c r="H62" i="6"/>
  <c r="F74" i="6"/>
  <c r="G73" i="6"/>
  <c r="H71" i="6"/>
  <c r="I67" i="6"/>
  <c r="I72" i="6" s="1"/>
  <c r="H64" i="6"/>
  <c r="G65" i="6"/>
  <c r="I58" i="6"/>
  <c r="I63" i="6" s="1"/>
  <c r="J49" i="6"/>
  <c r="J54" i="6" s="1"/>
  <c r="G28" i="7" s="1"/>
  <c r="J51" i="6"/>
  <c r="P49" i="6"/>
  <c r="P54" i="6" s="1"/>
  <c r="P51" i="6"/>
  <c r="I54" i="6"/>
  <c r="I55" i="6" s="1"/>
  <c r="I53" i="6"/>
  <c r="D29" i="7"/>
  <c r="E29" i="7"/>
  <c r="G7" i="7"/>
  <c r="J67" i="6"/>
  <c r="J72" i="6" s="1"/>
  <c r="M2" i="7"/>
  <c r="M6" i="7" s="1"/>
  <c r="P60" i="6"/>
  <c r="H2" i="7"/>
  <c r="H6" i="7" s="1"/>
  <c r="M7" i="7"/>
  <c r="F25" i="7"/>
  <c r="I69" i="6"/>
  <c r="AJ99" i="12"/>
  <c r="R93" i="6" s="1"/>
  <c r="R90" i="6" s="1"/>
  <c r="AL712" i="12"/>
  <c r="AL701" i="12" s="1"/>
  <c r="AK330" i="12"/>
  <c r="AK329" i="12"/>
  <c r="AK326" i="12"/>
  <c r="AK325" i="12"/>
  <c r="AK324" i="12"/>
  <c r="AK328" i="12"/>
  <c r="AK327" i="12"/>
  <c r="AK323" i="12"/>
  <c r="AJ561" i="12"/>
  <c r="AP285" i="12"/>
  <c r="AP289" i="12" s="1"/>
  <c r="AK320" i="12"/>
  <c r="AK319" i="12"/>
  <c r="AK313" i="12"/>
  <c r="AK316" i="12"/>
  <c r="AK317" i="12"/>
  <c r="AK314" i="12"/>
  <c r="AK318" i="12"/>
  <c r="AK315" i="12"/>
  <c r="AM257" i="12"/>
  <c r="AM530" i="12"/>
  <c r="AM716" i="12" s="1"/>
  <c r="AM705" i="12" s="1"/>
  <c r="AM527" i="12"/>
  <c r="AM713" i="12" s="1"/>
  <c r="AM702" i="12" s="1"/>
  <c r="AM528" i="12"/>
  <c r="AM714" i="12" s="1"/>
  <c r="AM703" i="12" s="1"/>
  <c r="AM533" i="12"/>
  <c r="AM719" i="12" s="1"/>
  <c r="AM708" i="12" s="1"/>
  <c r="AM532" i="12"/>
  <c r="AM718" i="12" s="1"/>
  <c r="AM707" i="12" s="1"/>
  <c r="AM526" i="12"/>
  <c r="AM560" i="12" s="1"/>
  <c r="AM531" i="12"/>
  <c r="AM717" i="12" s="1"/>
  <c r="AM706" i="12" s="1"/>
  <c r="AM529" i="12"/>
  <c r="AM715" i="12" s="1"/>
  <c r="AM704" i="12" s="1"/>
  <c r="AL257" i="12"/>
  <c r="AL314" i="12"/>
  <c r="AL313" i="12"/>
  <c r="AL318" i="12"/>
  <c r="AL319" i="12"/>
  <c r="AL320" i="12"/>
  <c r="AL315" i="12"/>
  <c r="AL316" i="12"/>
  <c r="AL317" i="12"/>
  <c r="AM181" i="12"/>
  <c r="AN523" i="12"/>
  <c r="AI562" i="12"/>
  <c r="Q87" i="6" s="1"/>
  <c r="AI563" i="12"/>
  <c r="AM208" i="12"/>
  <c r="AL187" i="12"/>
  <c r="AO289" i="12"/>
  <c r="I71" i="6" l="1"/>
  <c r="J71" i="6" s="1"/>
  <c r="H73" i="6"/>
  <c r="G74" i="6"/>
  <c r="F28" i="7"/>
  <c r="G25" i="7"/>
  <c r="I62" i="6"/>
  <c r="I64" i="6"/>
  <c r="H65" i="6"/>
  <c r="J58" i="6"/>
  <c r="J63" i="6" s="1"/>
  <c r="P58" i="6"/>
  <c r="P63" i="6" s="1"/>
  <c r="J53" i="6"/>
  <c r="I56" i="6"/>
  <c r="J55" i="6"/>
  <c r="AK559" i="12"/>
  <c r="AK561" i="12" s="1"/>
  <c r="J69" i="6"/>
  <c r="J60" i="6"/>
  <c r="N2" i="7"/>
  <c r="N6" i="7" s="1"/>
  <c r="K78" i="6"/>
  <c r="Q78" i="6"/>
  <c r="F29" i="7"/>
  <c r="I2" i="7"/>
  <c r="I6" i="7" s="1"/>
  <c r="M25" i="7"/>
  <c r="M28" i="7"/>
  <c r="K135" i="6"/>
  <c r="K131" i="6" s="1"/>
  <c r="F26" i="7"/>
  <c r="AI564" i="12"/>
  <c r="AM325" i="12"/>
  <c r="AM328" i="12"/>
  <c r="AM323" i="12"/>
  <c r="AM330" i="12"/>
  <c r="AM327" i="12"/>
  <c r="AM324" i="12"/>
  <c r="AM329" i="12"/>
  <c r="AM326" i="12"/>
  <c r="AL304" i="12"/>
  <c r="AL309" i="12"/>
  <c r="AL308" i="12"/>
  <c r="AL303" i="12"/>
  <c r="AL305" i="12"/>
  <c r="AL302" i="12"/>
  <c r="AL307" i="12"/>
  <c r="AL306" i="12"/>
  <c r="AN181" i="12"/>
  <c r="AN187" i="12" s="1"/>
  <c r="AQ285" i="12"/>
  <c r="AQ289" i="12" s="1"/>
  <c r="AK84" i="12"/>
  <c r="AK96" i="12" s="1"/>
  <c r="AK85" i="12"/>
  <c r="AK97" i="12" s="1"/>
  <c r="AN208" i="12"/>
  <c r="AN212" i="12" s="1"/>
  <c r="AN529" i="12"/>
  <c r="AN715" i="12" s="1"/>
  <c r="AN704" i="12" s="1"/>
  <c r="AN532" i="12"/>
  <c r="AN718" i="12" s="1"/>
  <c r="AN707" i="12" s="1"/>
  <c r="AN530" i="12"/>
  <c r="AN716" i="12" s="1"/>
  <c r="AN705" i="12" s="1"/>
  <c r="AN527" i="12"/>
  <c r="AN713" i="12" s="1"/>
  <c r="AN702" i="12" s="1"/>
  <c r="AN526" i="12"/>
  <c r="AN560" i="12" s="1"/>
  <c r="AN528" i="12"/>
  <c r="AN714" i="12" s="1"/>
  <c r="AN703" i="12" s="1"/>
  <c r="AN533" i="12"/>
  <c r="AN719" i="12" s="1"/>
  <c r="AN708" i="12" s="1"/>
  <c r="AN531" i="12"/>
  <c r="AN717" i="12" s="1"/>
  <c r="AN706" i="12" s="1"/>
  <c r="AN257" i="12"/>
  <c r="AP337" i="12"/>
  <c r="AP334" i="12"/>
  <c r="AP336" i="12"/>
  <c r="AP335" i="12"/>
  <c r="AP333" i="12"/>
  <c r="AP340" i="12"/>
  <c r="AP339" i="12"/>
  <c r="AP338" i="12"/>
  <c r="AK80" i="12"/>
  <c r="AK92" i="12" s="1"/>
  <c r="AK86" i="12"/>
  <c r="AK98" i="12" s="1"/>
  <c r="AM212" i="12"/>
  <c r="AO523" i="12"/>
  <c r="AM712" i="12"/>
  <c r="AM701" i="12" s="1"/>
  <c r="AK79" i="12"/>
  <c r="AK91" i="12" s="1"/>
  <c r="AK81" i="12"/>
  <c r="AK93" i="12" s="1"/>
  <c r="AO337" i="12"/>
  <c r="AO336" i="12"/>
  <c r="AO335" i="12"/>
  <c r="AO338" i="12"/>
  <c r="AO333" i="12"/>
  <c r="AO334" i="12"/>
  <c r="AO340" i="12"/>
  <c r="AO339" i="12"/>
  <c r="AM187" i="12"/>
  <c r="AL325" i="12"/>
  <c r="AL324" i="12"/>
  <c r="AL329" i="12"/>
  <c r="AL327" i="12"/>
  <c r="AL330" i="12"/>
  <c r="AL323" i="12"/>
  <c r="AL326" i="12"/>
  <c r="AL328" i="12"/>
  <c r="AJ562" i="12"/>
  <c r="R87" i="6" s="1"/>
  <c r="AJ563" i="12"/>
  <c r="AK83" i="12"/>
  <c r="AK95" i="12" s="1"/>
  <c r="AK82" i="12"/>
  <c r="AK94" i="12" s="1"/>
  <c r="I73" i="6" l="1"/>
  <c r="H74" i="6"/>
  <c r="K67" i="6"/>
  <c r="K72" i="6" s="1"/>
  <c r="J64" i="6"/>
  <c r="I65" i="6"/>
  <c r="J62" i="6"/>
  <c r="Q58" i="6"/>
  <c r="Q63" i="6" s="1"/>
  <c r="K51" i="6"/>
  <c r="K58" i="6"/>
  <c r="K63" i="6" s="1"/>
  <c r="J56" i="6"/>
  <c r="Q49" i="6"/>
  <c r="Q54" i="6" s="1"/>
  <c r="Q51" i="6"/>
  <c r="H7" i="7"/>
  <c r="K49" i="6"/>
  <c r="K54" i="6" s="1"/>
  <c r="K55" i="6" s="1"/>
  <c r="AL81" i="12"/>
  <c r="AL93" i="12" s="1"/>
  <c r="AL83" i="12"/>
  <c r="AL95" i="12" s="1"/>
  <c r="AL559" i="12"/>
  <c r="AL561" i="12" s="1"/>
  <c r="K60" i="6"/>
  <c r="L78" i="6"/>
  <c r="R78" i="6"/>
  <c r="Q60" i="6"/>
  <c r="N7" i="7"/>
  <c r="O2" i="7"/>
  <c r="O6" i="7" s="1"/>
  <c r="L135" i="6"/>
  <c r="L131" i="6" s="1"/>
  <c r="G26" i="7"/>
  <c r="K69" i="6"/>
  <c r="AL85" i="12"/>
  <c r="AL97" i="12" s="1"/>
  <c r="AL82" i="12"/>
  <c r="AL94" i="12" s="1"/>
  <c r="AL84" i="12"/>
  <c r="AL96" i="12" s="1"/>
  <c r="AL80" i="12"/>
  <c r="AL92" i="12" s="1"/>
  <c r="AJ564" i="12"/>
  <c r="AL86" i="12"/>
  <c r="AL98" i="12" s="1"/>
  <c r="AQ340" i="12"/>
  <c r="AQ335" i="12"/>
  <c r="AQ338" i="12"/>
  <c r="AQ339" i="12"/>
  <c r="AQ334" i="12"/>
  <c r="AQ333" i="12"/>
  <c r="AQ336" i="12"/>
  <c r="AQ337" i="12"/>
  <c r="AN330" i="12"/>
  <c r="AN327" i="12"/>
  <c r="AN325" i="12"/>
  <c r="AN328" i="12"/>
  <c r="AN323" i="12"/>
  <c r="AN326" i="12"/>
  <c r="AN329" i="12"/>
  <c r="AN324" i="12"/>
  <c r="AL79" i="12"/>
  <c r="AL91" i="12" s="1"/>
  <c r="AK562" i="12"/>
  <c r="S87" i="6" s="1"/>
  <c r="AK563" i="12"/>
  <c r="AM315" i="12"/>
  <c r="AM313" i="12"/>
  <c r="AM320" i="12"/>
  <c r="AM317" i="12"/>
  <c r="AM314" i="12"/>
  <c r="AM319" i="12"/>
  <c r="AM318" i="12"/>
  <c r="AM316" i="12"/>
  <c r="AN712" i="12"/>
  <c r="AN701" i="12" s="1"/>
  <c r="AK99" i="12"/>
  <c r="S93" i="6" s="1"/>
  <c r="S90" i="6" s="1"/>
  <c r="AO208" i="12"/>
  <c r="AO181" i="12"/>
  <c r="AM307" i="12"/>
  <c r="AM304" i="12"/>
  <c r="AM305" i="12"/>
  <c r="AM302" i="12"/>
  <c r="AM309" i="12"/>
  <c r="AM308" i="12"/>
  <c r="AM303" i="12"/>
  <c r="AM306" i="12"/>
  <c r="AO533" i="12"/>
  <c r="AO719" i="12" s="1"/>
  <c r="AO708" i="12" s="1"/>
  <c r="AO530" i="12"/>
  <c r="AO716" i="12" s="1"/>
  <c r="AO705" i="12" s="1"/>
  <c r="AO531" i="12"/>
  <c r="AO717" i="12" s="1"/>
  <c r="AO706" i="12" s="1"/>
  <c r="AO528" i="12"/>
  <c r="AO714" i="12" s="1"/>
  <c r="AO703" i="12" s="1"/>
  <c r="AO529" i="12"/>
  <c r="AO715" i="12" s="1"/>
  <c r="AO704" i="12" s="1"/>
  <c r="AO526" i="12"/>
  <c r="AO560" i="12" s="1"/>
  <c r="AO527" i="12"/>
  <c r="AO713" i="12" s="1"/>
  <c r="AO702" i="12" s="1"/>
  <c r="AO532" i="12"/>
  <c r="AO718" i="12" s="1"/>
  <c r="AO707" i="12" s="1"/>
  <c r="AN317" i="12"/>
  <c r="AN315" i="12"/>
  <c r="AN314" i="12"/>
  <c r="AN313" i="12"/>
  <c r="AN320" i="12"/>
  <c r="AN319" i="12"/>
  <c r="AN316" i="12"/>
  <c r="AN318" i="12"/>
  <c r="AN309" i="12"/>
  <c r="AN307" i="12"/>
  <c r="AN304" i="12"/>
  <c r="AN305" i="12"/>
  <c r="AN306" i="12"/>
  <c r="AN303" i="12"/>
  <c r="AN302" i="12"/>
  <c r="AN308" i="12"/>
  <c r="AP523" i="12"/>
  <c r="AO257" i="12"/>
  <c r="AR285" i="12"/>
  <c r="AR289" i="12" s="1"/>
  <c r="K71" i="6" l="1"/>
  <c r="J73" i="6"/>
  <c r="I74" i="6"/>
  <c r="L67" i="6"/>
  <c r="L72" i="6" s="1"/>
  <c r="K62" i="6"/>
  <c r="J65" i="6"/>
  <c r="K64" i="6"/>
  <c r="R58" i="6"/>
  <c r="R63" i="6" s="1"/>
  <c r="L51" i="6"/>
  <c r="L58" i="6"/>
  <c r="L63" i="6" s="1"/>
  <c r="K56" i="6"/>
  <c r="R49" i="6"/>
  <c r="R54" i="6" s="1"/>
  <c r="R51" i="6"/>
  <c r="H25" i="7"/>
  <c r="K53" i="6"/>
  <c r="H26" i="7" s="1"/>
  <c r="L60" i="6"/>
  <c r="L49" i="6"/>
  <c r="L54" i="6" s="1"/>
  <c r="L55" i="6" s="1"/>
  <c r="AM559" i="12"/>
  <c r="AM561" i="12" s="1"/>
  <c r="AM563" i="12" s="1"/>
  <c r="AN559" i="12"/>
  <c r="AN561" i="12" s="1"/>
  <c r="H28" i="7"/>
  <c r="G29" i="7"/>
  <c r="L69" i="6"/>
  <c r="I7" i="7"/>
  <c r="J2" i="7"/>
  <c r="J6" i="7" s="1"/>
  <c r="M78" i="6"/>
  <c r="S78" i="6"/>
  <c r="N25" i="7"/>
  <c r="N28" i="7"/>
  <c r="O7" i="7"/>
  <c r="R60" i="6"/>
  <c r="AM81" i="12"/>
  <c r="AM93" i="12" s="1"/>
  <c r="M135" i="6"/>
  <c r="M131" i="6" s="1"/>
  <c r="AM86" i="12"/>
  <c r="AM98" i="12" s="1"/>
  <c r="AM84" i="12"/>
  <c r="AM96" i="12" s="1"/>
  <c r="AM83" i="12"/>
  <c r="AM95" i="12" s="1"/>
  <c r="AM82" i="12"/>
  <c r="AM94" i="12" s="1"/>
  <c r="AL99" i="12"/>
  <c r="T93" i="6" s="1"/>
  <c r="T90" i="6" s="1"/>
  <c r="AM85" i="12"/>
  <c r="AM97" i="12" s="1"/>
  <c r="AM80" i="12"/>
  <c r="AM92" i="12" s="1"/>
  <c r="AK564" i="12"/>
  <c r="AP530" i="12"/>
  <c r="AP716" i="12" s="1"/>
  <c r="AP705" i="12" s="1"/>
  <c r="AP531" i="12"/>
  <c r="AP717" i="12" s="1"/>
  <c r="AP706" i="12" s="1"/>
  <c r="AP528" i="12"/>
  <c r="AP714" i="12" s="1"/>
  <c r="AP703" i="12" s="1"/>
  <c r="AP529" i="12"/>
  <c r="AP715" i="12" s="1"/>
  <c r="AP704" i="12" s="1"/>
  <c r="AP533" i="12"/>
  <c r="AP719" i="12" s="1"/>
  <c r="AP708" i="12" s="1"/>
  <c r="AP532" i="12"/>
  <c r="AP718" i="12" s="1"/>
  <c r="AP707" i="12" s="1"/>
  <c r="AP527" i="12"/>
  <c r="AP713" i="12" s="1"/>
  <c r="AP702" i="12" s="1"/>
  <c r="AP526" i="12"/>
  <c r="AP560" i="12" s="1"/>
  <c r="AO328" i="12"/>
  <c r="AO327" i="12"/>
  <c r="AO326" i="12"/>
  <c r="AO329" i="12"/>
  <c r="AO324" i="12"/>
  <c r="AO325" i="12"/>
  <c r="AO323" i="12"/>
  <c r="AO330" i="12"/>
  <c r="AS285" i="12"/>
  <c r="AS289" i="12" s="1"/>
  <c r="AO712" i="12"/>
  <c r="AO701" i="12" s="1"/>
  <c r="AP181" i="12"/>
  <c r="AP187" i="12" s="1"/>
  <c r="AP208" i="12"/>
  <c r="AP212" i="12" s="1"/>
  <c r="AM79" i="12"/>
  <c r="AM91" i="12" s="1"/>
  <c r="AN80" i="12"/>
  <c r="AN92" i="12" s="1"/>
  <c r="AN84" i="12"/>
  <c r="AN96" i="12" s="1"/>
  <c r="AO187" i="12"/>
  <c r="AO212" i="12"/>
  <c r="AN85" i="12"/>
  <c r="AN97" i="12" s="1"/>
  <c r="AN81" i="12"/>
  <c r="AN93" i="12" s="1"/>
  <c r="AL562" i="12"/>
  <c r="T87" i="6" s="1"/>
  <c r="AL563" i="12"/>
  <c r="AN82" i="12"/>
  <c r="AN94" i="12" s="1"/>
  <c r="AN83" i="12"/>
  <c r="AN95" i="12" s="1"/>
  <c r="AR340" i="12"/>
  <c r="AR338" i="12"/>
  <c r="AR337" i="12"/>
  <c r="AR339" i="12"/>
  <c r="AR336" i="12"/>
  <c r="AR333" i="12"/>
  <c r="AR334" i="12"/>
  <c r="AR335" i="12"/>
  <c r="AP257" i="12"/>
  <c r="AN79" i="12"/>
  <c r="AN91" i="12" s="1"/>
  <c r="AN86" i="12"/>
  <c r="AN98" i="12" s="1"/>
  <c r="J74" i="6" l="1"/>
  <c r="K73" i="6"/>
  <c r="L71" i="6"/>
  <c r="K65" i="6"/>
  <c r="L64" i="6"/>
  <c r="L62" i="6"/>
  <c r="L56" i="6"/>
  <c r="M49" i="6"/>
  <c r="M54" i="6" s="1"/>
  <c r="J28" i="7" s="1"/>
  <c r="M51" i="6"/>
  <c r="I28" i="7"/>
  <c r="S49" i="6"/>
  <c r="S54" i="6" s="1"/>
  <c r="S51" i="6"/>
  <c r="L53" i="6"/>
  <c r="H29" i="7"/>
  <c r="I25" i="7"/>
  <c r="J7" i="7"/>
  <c r="O25" i="7"/>
  <c r="O28" i="7"/>
  <c r="P7" i="7"/>
  <c r="K2" i="7"/>
  <c r="K6" i="7" s="1"/>
  <c r="P2" i="7"/>
  <c r="P6" i="7" s="1"/>
  <c r="N78" i="6"/>
  <c r="T78" i="6"/>
  <c r="O135" i="6"/>
  <c r="O131" i="6" s="1"/>
  <c r="N135" i="6"/>
  <c r="N131" i="6" s="1"/>
  <c r="AM99" i="12"/>
  <c r="U93" i="6" s="1"/>
  <c r="U90" i="6" s="1"/>
  <c r="AM562" i="12"/>
  <c r="AN99" i="12"/>
  <c r="V93" i="6" s="1"/>
  <c r="V90" i="6" s="1"/>
  <c r="AS337" i="12"/>
  <c r="AS334" i="12"/>
  <c r="AS335" i="12"/>
  <c r="AS340" i="12"/>
  <c r="AS333" i="12"/>
  <c r="AS336" i="12"/>
  <c r="AS338" i="12"/>
  <c r="AS339" i="12"/>
  <c r="AP304" i="12"/>
  <c r="AP307" i="12"/>
  <c r="AP302" i="12"/>
  <c r="AP309" i="12"/>
  <c r="AP308" i="12"/>
  <c r="AP305" i="12"/>
  <c r="AP303" i="12"/>
  <c r="AP306" i="12"/>
  <c r="AP325" i="12"/>
  <c r="AP326" i="12"/>
  <c r="AP323" i="12"/>
  <c r="AP324" i="12"/>
  <c r="AP329" i="12"/>
  <c r="AP327" i="12"/>
  <c r="AP330" i="12"/>
  <c r="AP328" i="12"/>
  <c r="AL564" i="12"/>
  <c r="AP712" i="12"/>
  <c r="AP701" i="12" s="1"/>
  <c r="AR523" i="12"/>
  <c r="AO318" i="12"/>
  <c r="AO313" i="12"/>
  <c r="AO316" i="12"/>
  <c r="AO315" i="12"/>
  <c r="AO314" i="12"/>
  <c r="AO320" i="12"/>
  <c r="AO317" i="12"/>
  <c r="AO319" i="12"/>
  <c r="AQ181" i="12"/>
  <c r="AQ187" i="12" s="1"/>
  <c r="AT285" i="12"/>
  <c r="AT289" i="12" s="1"/>
  <c r="AN563" i="12"/>
  <c r="AN562" i="12"/>
  <c r="AQ523" i="12"/>
  <c r="AO306" i="12"/>
  <c r="AO303" i="12"/>
  <c r="AO304" i="12"/>
  <c r="AO309" i="12"/>
  <c r="AO302" i="12"/>
  <c r="AO308" i="12"/>
  <c r="AO307" i="12"/>
  <c r="AO305" i="12"/>
  <c r="AQ208" i="12"/>
  <c r="AQ212" i="12" s="1"/>
  <c r="AP318" i="12"/>
  <c r="AP316" i="12"/>
  <c r="AP317" i="12"/>
  <c r="AP314" i="12"/>
  <c r="AP319" i="12"/>
  <c r="AP320" i="12"/>
  <c r="AP315" i="12"/>
  <c r="AP313" i="12"/>
  <c r="V87" i="6" l="1"/>
  <c r="V78" i="6" s="1"/>
  <c r="U87" i="6"/>
  <c r="U78" i="6" s="1"/>
  <c r="K74" i="6"/>
  <c r="L73" i="6"/>
  <c r="N67" i="6"/>
  <c r="N72" i="6" s="1"/>
  <c r="M67" i="6"/>
  <c r="M72" i="6" s="1"/>
  <c r="L65" i="6"/>
  <c r="M58" i="6"/>
  <c r="M63" i="6" s="1"/>
  <c r="M64" i="6" s="1"/>
  <c r="N51" i="6"/>
  <c r="N58" i="6"/>
  <c r="N63" i="6" s="1"/>
  <c r="S58" i="6"/>
  <c r="S63" i="6" s="1"/>
  <c r="M53" i="6"/>
  <c r="J26" i="7" s="1"/>
  <c r="I26" i="7"/>
  <c r="M55" i="6"/>
  <c r="J29" i="7" s="1"/>
  <c r="T49" i="6"/>
  <c r="T54" i="6" s="1"/>
  <c r="T51" i="6"/>
  <c r="N49" i="6"/>
  <c r="N54" i="6" s="1"/>
  <c r="K28" i="7" s="1"/>
  <c r="AO79" i="12"/>
  <c r="AO91" i="12" s="1"/>
  <c r="AP559" i="12"/>
  <c r="AP561" i="12" s="1"/>
  <c r="AO559" i="12"/>
  <c r="AO561" i="12" s="1"/>
  <c r="AO562" i="12" s="1"/>
  <c r="I29" i="7"/>
  <c r="M60" i="6"/>
  <c r="M69" i="6"/>
  <c r="J25" i="7"/>
  <c r="K7" i="7"/>
  <c r="N60" i="6"/>
  <c r="P25" i="7"/>
  <c r="P28" i="7"/>
  <c r="S2" i="7"/>
  <c r="S6" i="7" s="1"/>
  <c r="L2" i="7"/>
  <c r="L6" i="7" s="1"/>
  <c r="Q7" i="7"/>
  <c r="Q2" i="7"/>
  <c r="Q6" i="7" s="1"/>
  <c r="S60" i="6"/>
  <c r="N69" i="6"/>
  <c r="P135" i="6"/>
  <c r="P131" i="6" s="1"/>
  <c r="P67" i="6" s="1"/>
  <c r="P72" i="6" s="1"/>
  <c r="AM564" i="12"/>
  <c r="O78" i="6"/>
  <c r="AO84" i="12"/>
  <c r="AO96" i="12" s="1"/>
  <c r="AO85" i="12"/>
  <c r="AO97" i="12" s="1"/>
  <c r="AO86" i="12"/>
  <c r="AO98" i="12" s="1"/>
  <c r="AO83" i="12"/>
  <c r="AO95" i="12" s="1"/>
  <c r="AO80" i="12"/>
  <c r="AO92" i="12" s="1"/>
  <c r="AO82" i="12"/>
  <c r="AO94" i="12" s="1"/>
  <c r="AO81" i="12"/>
  <c r="AO93" i="12" s="1"/>
  <c r="AN564" i="12"/>
  <c r="AQ303" i="12"/>
  <c r="AQ304" i="12"/>
  <c r="AQ305" i="12"/>
  <c r="AQ308" i="12"/>
  <c r="AQ309" i="12"/>
  <c r="AQ306" i="12"/>
  <c r="AQ307" i="12"/>
  <c r="AQ302" i="12"/>
  <c r="AR531" i="12"/>
  <c r="AR717" i="12" s="1"/>
  <c r="AR706" i="12" s="1"/>
  <c r="AR529" i="12"/>
  <c r="AR715" i="12" s="1"/>
  <c r="AR704" i="12" s="1"/>
  <c r="AR528" i="12"/>
  <c r="AR714" i="12" s="1"/>
  <c r="AR703" i="12" s="1"/>
  <c r="AR526" i="12"/>
  <c r="AR560" i="12" s="1"/>
  <c r="AR527" i="12"/>
  <c r="AR713" i="12" s="1"/>
  <c r="AR702" i="12" s="1"/>
  <c r="AR532" i="12"/>
  <c r="AR718" i="12" s="1"/>
  <c r="AR707" i="12" s="1"/>
  <c r="AR533" i="12"/>
  <c r="AR719" i="12" s="1"/>
  <c r="AR708" i="12" s="1"/>
  <c r="AR530" i="12"/>
  <c r="AR716" i="12" s="1"/>
  <c r="AR705" i="12" s="1"/>
  <c r="AT335" i="12"/>
  <c r="AT333" i="12"/>
  <c r="AT338" i="12"/>
  <c r="AT339" i="12"/>
  <c r="AT340" i="12"/>
  <c r="AT334" i="12"/>
  <c r="AT337" i="12"/>
  <c r="AT336" i="12"/>
  <c r="AQ319" i="12"/>
  <c r="AQ320" i="12"/>
  <c r="AQ314" i="12"/>
  <c r="AQ313" i="12"/>
  <c r="AQ318" i="12"/>
  <c r="AQ317" i="12"/>
  <c r="AQ316" i="12"/>
  <c r="AQ315" i="12"/>
  <c r="AU285" i="12"/>
  <c r="AP84" i="12"/>
  <c r="AP96" i="12" s="1"/>
  <c r="AP80" i="12"/>
  <c r="AP92" i="12" s="1"/>
  <c r="AS523" i="12"/>
  <c r="AQ257" i="12"/>
  <c r="AR208" i="12"/>
  <c r="AR212" i="12" s="1"/>
  <c r="AP86" i="12"/>
  <c r="AP98" i="12" s="1"/>
  <c r="AP79" i="12"/>
  <c r="AP91" i="12" s="1"/>
  <c r="AQ526" i="12"/>
  <c r="AQ560" i="12" s="1"/>
  <c r="AQ531" i="12"/>
  <c r="AQ717" i="12" s="1"/>
  <c r="AQ706" i="12" s="1"/>
  <c r="AQ532" i="12"/>
  <c r="AQ718" i="12" s="1"/>
  <c r="AQ707" i="12" s="1"/>
  <c r="AQ529" i="12"/>
  <c r="AQ715" i="12" s="1"/>
  <c r="AQ704" i="12" s="1"/>
  <c r="AQ530" i="12"/>
  <c r="AQ716" i="12" s="1"/>
  <c r="AQ705" i="12" s="1"/>
  <c r="AQ527" i="12"/>
  <c r="AQ713" i="12" s="1"/>
  <c r="AQ702" i="12" s="1"/>
  <c r="AQ528" i="12"/>
  <c r="AQ714" i="12" s="1"/>
  <c r="AQ703" i="12" s="1"/>
  <c r="AQ533" i="12"/>
  <c r="AQ719" i="12" s="1"/>
  <c r="AQ708" i="12" s="1"/>
  <c r="AR181" i="12"/>
  <c r="AR187" i="12" s="1"/>
  <c r="AP83" i="12"/>
  <c r="AP95" i="12" s="1"/>
  <c r="AP82" i="12"/>
  <c r="AP94" i="12" s="1"/>
  <c r="AP85" i="12"/>
  <c r="AP97" i="12" s="1"/>
  <c r="AP81" i="12"/>
  <c r="AP93" i="12" s="1"/>
  <c r="U51" i="6" l="1"/>
  <c r="U49" i="6"/>
  <c r="U54" i="6" s="1"/>
  <c r="R28" i="7" s="1"/>
  <c r="R7" i="7"/>
  <c r="V49" i="6"/>
  <c r="V54" i="6" s="1"/>
  <c r="S28" i="7" s="1"/>
  <c r="V51" i="6"/>
  <c r="S7" i="7"/>
  <c r="W87" i="6"/>
  <c r="W78" i="6" s="1"/>
  <c r="K25" i="7"/>
  <c r="M73" i="6"/>
  <c r="L74" i="6"/>
  <c r="O67" i="6"/>
  <c r="O72" i="6" s="1"/>
  <c r="M71" i="6"/>
  <c r="N71" i="6" s="1"/>
  <c r="M65" i="6"/>
  <c r="N64" i="6"/>
  <c r="M62" i="6"/>
  <c r="N62" i="6" s="1"/>
  <c r="V58" i="6"/>
  <c r="V63" i="6" s="1"/>
  <c r="O58" i="6"/>
  <c r="O63" i="6" s="1"/>
  <c r="T58" i="6"/>
  <c r="T63" i="6" s="1"/>
  <c r="O49" i="6"/>
  <c r="O54" i="6" s="1"/>
  <c r="O51" i="6"/>
  <c r="N53" i="6"/>
  <c r="K26" i="7" s="1"/>
  <c r="N55" i="6"/>
  <c r="M56" i="6"/>
  <c r="T60" i="6"/>
  <c r="P69" i="6"/>
  <c r="V60" i="6"/>
  <c r="R2" i="7"/>
  <c r="R6" i="7" s="1"/>
  <c r="Q25" i="7"/>
  <c r="Q28" i="7"/>
  <c r="O69" i="6"/>
  <c r="L7" i="7"/>
  <c r="O60" i="6"/>
  <c r="E8" i="6" a="1"/>
  <c r="E8" i="6" s="1"/>
  <c r="F2" i="9" s="1"/>
  <c r="AO563" i="12"/>
  <c r="AO99" i="12"/>
  <c r="W93" i="6" s="1"/>
  <c r="W90" i="6" s="1"/>
  <c r="AR319" i="12"/>
  <c r="AR314" i="12"/>
  <c r="AR316" i="12"/>
  <c r="AR317" i="12"/>
  <c r="AR315" i="12"/>
  <c r="AR320" i="12"/>
  <c r="AR313" i="12"/>
  <c r="AR318" i="12"/>
  <c r="AS527" i="12"/>
  <c r="AS713" i="12" s="1"/>
  <c r="AS702" i="12" s="1"/>
  <c r="AS532" i="12"/>
  <c r="AS718" i="12" s="1"/>
  <c r="AS707" i="12" s="1"/>
  <c r="AS533" i="12"/>
  <c r="AS719" i="12" s="1"/>
  <c r="AS708" i="12" s="1"/>
  <c r="AS530" i="12"/>
  <c r="AS716" i="12" s="1"/>
  <c r="AS705" i="12" s="1"/>
  <c r="AS531" i="12"/>
  <c r="AS717" i="12" s="1"/>
  <c r="AS706" i="12" s="1"/>
  <c r="AS528" i="12"/>
  <c r="AS714" i="12" s="1"/>
  <c r="AS703" i="12" s="1"/>
  <c r="AS529" i="12"/>
  <c r="AS715" i="12" s="1"/>
  <c r="AS704" i="12" s="1"/>
  <c r="AS526" i="12"/>
  <c r="AS560" i="12" s="1"/>
  <c r="AV285" i="12"/>
  <c r="AV289" i="12" s="1"/>
  <c r="AR712" i="12"/>
  <c r="AR701" i="12" s="1"/>
  <c r="AR305" i="12"/>
  <c r="AR302" i="12"/>
  <c r="AR303" i="12"/>
  <c r="AR308" i="12"/>
  <c r="AR309" i="12"/>
  <c r="AR304" i="12"/>
  <c r="AR306" i="12"/>
  <c r="AR307" i="12"/>
  <c r="AP562" i="12"/>
  <c r="AP563" i="12"/>
  <c r="AS208" i="12"/>
  <c r="AS212" i="12" s="1"/>
  <c r="AS181" i="12"/>
  <c r="AS187" i="12" s="1"/>
  <c r="AQ712" i="12"/>
  <c r="AQ701" i="12" s="1"/>
  <c r="AP99" i="12"/>
  <c r="X93" i="6" s="1"/>
  <c r="X90" i="6" s="1"/>
  <c r="AQ329" i="12"/>
  <c r="AQ85" i="12" s="1"/>
  <c r="AQ97" i="12" s="1"/>
  <c r="AQ324" i="12"/>
  <c r="AQ80" i="12" s="1"/>
  <c r="AQ92" i="12" s="1"/>
  <c r="AQ323" i="12"/>
  <c r="AQ559" i="12" s="1"/>
  <c r="AQ327" i="12"/>
  <c r="AQ83" i="12" s="1"/>
  <c r="AQ95" i="12" s="1"/>
  <c r="AQ330" i="12"/>
  <c r="AQ86" i="12" s="1"/>
  <c r="AQ98" i="12" s="1"/>
  <c r="AQ328" i="12"/>
  <c r="AQ84" i="12" s="1"/>
  <c r="AQ96" i="12" s="1"/>
  <c r="AQ325" i="12"/>
  <c r="AQ81" i="12" s="1"/>
  <c r="AQ93" i="12" s="1"/>
  <c r="AQ326" i="12"/>
  <c r="AQ82" i="12" s="1"/>
  <c r="AQ94" i="12" s="1"/>
  <c r="AR257" i="12"/>
  <c r="AT523" i="12"/>
  <c r="AU289" i="12"/>
  <c r="R25" i="7" l="1"/>
  <c r="W49" i="6"/>
  <c r="W54" i="6" s="1"/>
  <c r="T28" i="7" s="1"/>
  <c r="T7" i="7"/>
  <c r="W51" i="6"/>
  <c r="X87" i="6"/>
  <c r="X78" i="6" s="1"/>
  <c r="X49" i="6" s="1"/>
  <c r="X54" i="6" s="1"/>
  <c r="S25" i="7"/>
  <c r="N73" i="6"/>
  <c r="M74" i="6"/>
  <c r="O71" i="6"/>
  <c r="P71" i="6" s="1"/>
  <c r="U58" i="6"/>
  <c r="U63" i="6" s="1"/>
  <c r="O62" i="6"/>
  <c r="P62" i="6" s="1"/>
  <c r="Q62" i="6" s="1"/>
  <c r="R62" i="6" s="1"/>
  <c r="S62" i="6" s="1"/>
  <c r="T62" i="6" s="1"/>
  <c r="N65" i="6"/>
  <c r="O64" i="6"/>
  <c r="O55" i="6"/>
  <c r="N56" i="6"/>
  <c r="O53" i="6"/>
  <c r="P53" i="6" s="1"/>
  <c r="Q53" i="6" s="1"/>
  <c r="R53" i="6" s="1"/>
  <c r="S53" i="6" s="1"/>
  <c r="T53" i="6" s="1"/>
  <c r="U53" i="6" s="1"/>
  <c r="V53" i="6" s="1"/>
  <c r="U2" i="7"/>
  <c r="U6" i="7" s="1"/>
  <c r="U60" i="6"/>
  <c r="T2" i="7"/>
  <c r="T6" i="7" s="1"/>
  <c r="Q135" i="6"/>
  <c r="Q131" i="6" s="1"/>
  <c r="Q67" i="6" s="1"/>
  <c r="Q72" i="6" s="1"/>
  <c r="R135" i="6"/>
  <c r="R131" i="6" s="1"/>
  <c r="R67" i="6" s="1"/>
  <c r="R72" i="6" s="1"/>
  <c r="K29" i="7"/>
  <c r="L25" i="7"/>
  <c r="L28" i="7"/>
  <c r="AO564" i="12"/>
  <c r="AS318" i="12"/>
  <c r="AS315" i="12"/>
  <c r="AS316" i="12"/>
  <c r="AS313" i="12"/>
  <c r="AS314" i="12"/>
  <c r="AS320" i="12"/>
  <c r="AS319" i="12"/>
  <c r="AS317" i="12"/>
  <c r="AS306" i="12"/>
  <c r="AS305" i="12"/>
  <c r="AS307" i="12"/>
  <c r="AS304" i="12"/>
  <c r="AS302" i="12"/>
  <c r="AS303" i="12"/>
  <c r="AS308" i="12"/>
  <c r="AS309" i="12"/>
  <c r="AR326" i="12"/>
  <c r="AR82" i="12" s="1"/>
  <c r="AR94" i="12" s="1"/>
  <c r="AR324" i="12"/>
  <c r="AR80" i="12" s="1"/>
  <c r="AR92" i="12" s="1"/>
  <c r="AR327" i="12"/>
  <c r="AR83" i="12" s="1"/>
  <c r="AR95" i="12" s="1"/>
  <c r="AR330" i="12"/>
  <c r="AR86" i="12" s="1"/>
  <c r="AR98" i="12" s="1"/>
  <c r="AR329" i="12"/>
  <c r="AR85" i="12" s="1"/>
  <c r="AR97" i="12" s="1"/>
  <c r="AR328" i="12"/>
  <c r="AR84" i="12" s="1"/>
  <c r="AR96" i="12" s="1"/>
  <c r="AR325" i="12"/>
  <c r="AR81" i="12" s="1"/>
  <c r="AR93" i="12" s="1"/>
  <c r="AR323" i="12"/>
  <c r="AR559" i="12" s="1"/>
  <c r="AS712" i="12"/>
  <c r="AS701" i="12" s="1"/>
  <c r="AU338" i="12"/>
  <c r="AU336" i="12"/>
  <c r="AU339" i="12"/>
  <c r="AU337" i="12"/>
  <c r="AU334" i="12"/>
  <c r="AU335" i="12"/>
  <c r="AU340" i="12"/>
  <c r="AU333" i="12"/>
  <c r="AT181" i="12"/>
  <c r="AT187" i="12" s="1"/>
  <c r="AT208" i="12"/>
  <c r="AT212" i="12" s="1"/>
  <c r="AT530" i="12"/>
  <c r="AT716" i="12" s="1"/>
  <c r="AT705" i="12" s="1"/>
  <c r="AT528" i="12"/>
  <c r="AT714" i="12" s="1"/>
  <c r="AT703" i="12" s="1"/>
  <c r="AT527" i="12"/>
  <c r="AT713" i="12" s="1"/>
  <c r="AT702" i="12" s="1"/>
  <c r="AT526" i="12"/>
  <c r="AT560" i="12" s="1"/>
  <c r="AT533" i="12"/>
  <c r="AT719" i="12" s="1"/>
  <c r="AT708" i="12" s="1"/>
  <c r="AT529" i="12"/>
  <c r="AT715" i="12" s="1"/>
  <c r="AT704" i="12" s="1"/>
  <c r="AT532" i="12"/>
  <c r="AT718" i="12" s="1"/>
  <c r="AT707" i="12" s="1"/>
  <c r="AT531" i="12"/>
  <c r="AT717" i="12" s="1"/>
  <c r="AT706" i="12" s="1"/>
  <c r="AQ79" i="12"/>
  <c r="AQ91" i="12" s="1"/>
  <c r="AQ99" i="12" s="1"/>
  <c r="Y93" i="6" s="1"/>
  <c r="Y90" i="6" s="1"/>
  <c r="AQ561" i="12"/>
  <c r="AT257" i="12"/>
  <c r="AV338" i="12"/>
  <c r="AV339" i="12"/>
  <c r="AV337" i="12"/>
  <c r="AV336" i="12"/>
  <c r="AV335" i="12"/>
  <c r="AV334" i="12"/>
  <c r="AV333" i="12"/>
  <c r="AV340" i="12"/>
  <c r="AU523" i="12"/>
  <c r="AS257" i="12"/>
  <c r="AP564" i="12"/>
  <c r="AW285" i="12"/>
  <c r="AW289" i="12" s="1"/>
  <c r="T25" i="7" l="1"/>
  <c r="W53" i="6"/>
  <c r="X53" i="6" s="1"/>
  <c r="U7" i="7"/>
  <c r="X51" i="6"/>
  <c r="Q71" i="6"/>
  <c r="R71" i="6" s="1"/>
  <c r="U62" i="6"/>
  <c r="V62" i="6" s="1"/>
  <c r="N74" i="6"/>
  <c r="O73" i="6"/>
  <c r="W58" i="6"/>
  <c r="W63" i="6" s="1"/>
  <c r="O65" i="6"/>
  <c r="P64" i="6"/>
  <c r="X58" i="6"/>
  <c r="X63" i="6" s="1"/>
  <c r="L26" i="7"/>
  <c r="M26" i="7"/>
  <c r="P55" i="6"/>
  <c r="O56" i="6"/>
  <c r="X60" i="6"/>
  <c r="N26" i="7"/>
  <c r="U25" i="7"/>
  <c r="U28" i="7"/>
  <c r="Q69" i="6"/>
  <c r="W60" i="6"/>
  <c r="R69" i="6"/>
  <c r="V2" i="7"/>
  <c r="V6" i="7" s="1"/>
  <c r="AZ15" i="6" a="1"/>
  <c r="AT316" i="12"/>
  <c r="AT317" i="12"/>
  <c r="AT315" i="12"/>
  <c r="AT314" i="12"/>
  <c r="AT313" i="12"/>
  <c r="AT320" i="12"/>
  <c r="AT319" i="12"/>
  <c r="AT318" i="12"/>
  <c r="AT308" i="12"/>
  <c r="AT303" i="12"/>
  <c r="AT309" i="12"/>
  <c r="AT306" i="12"/>
  <c r="AT304" i="12"/>
  <c r="AT305" i="12"/>
  <c r="AT302" i="12"/>
  <c r="AT307" i="12"/>
  <c r="AX285" i="12"/>
  <c r="AQ562" i="12"/>
  <c r="AQ563" i="12"/>
  <c r="AR79" i="12"/>
  <c r="AR91" i="12" s="1"/>
  <c r="AR99" i="12" s="1"/>
  <c r="Z93" i="6" s="1"/>
  <c r="Z90" i="6" s="1"/>
  <c r="AR561" i="12"/>
  <c r="AW337" i="12"/>
  <c r="AW340" i="12"/>
  <c r="AW335" i="12"/>
  <c r="AW338" i="12"/>
  <c r="AW333" i="12"/>
  <c r="AW334" i="12"/>
  <c r="AW336" i="12"/>
  <c r="AW339" i="12"/>
  <c r="AU526" i="12"/>
  <c r="AU560" i="12" s="1"/>
  <c r="AU531" i="12"/>
  <c r="AU717" i="12" s="1"/>
  <c r="AU706" i="12" s="1"/>
  <c r="AU532" i="12"/>
  <c r="AU718" i="12" s="1"/>
  <c r="AU707" i="12" s="1"/>
  <c r="AU529" i="12"/>
  <c r="AU715" i="12" s="1"/>
  <c r="AU704" i="12" s="1"/>
  <c r="AU530" i="12"/>
  <c r="AU716" i="12" s="1"/>
  <c r="AU705" i="12" s="1"/>
  <c r="AU527" i="12"/>
  <c r="AU713" i="12" s="1"/>
  <c r="AU702" i="12" s="1"/>
  <c r="AU528" i="12"/>
  <c r="AU714" i="12" s="1"/>
  <c r="AU703" i="12" s="1"/>
  <c r="AU533" i="12"/>
  <c r="AU719" i="12" s="1"/>
  <c r="AU708" i="12" s="1"/>
  <c r="AU181" i="12"/>
  <c r="AU187" i="12" s="1"/>
  <c r="AU257" i="12"/>
  <c r="AT712" i="12"/>
  <c r="AT701" i="12" s="1"/>
  <c r="AS328" i="12"/>
  <c r="AS84" i="12" s="1"/>
  <c r="AS96" i="12" s="1"/>
  <c r="AS326" i="12"/>
  <c r="AS82" i="12" s="1"/>
  <c r="AS94" i="12" s="1"/>
  <c r="AS327" i="12"/>
  <c r="AS83" i="12" s="1"/>
  <c r="AS95" i="12" s="1"/>
  <c r="AS329" i="12"/>
  <c r="AS85" i="12" s="1"/>
  <c r="AS97" i="12" s="1"/>
  <c r="AS324" i="12"/>
  <c r="AS80" i="12" s="1"/>
  <c r="AS92" i="12" s="1"/>
  <c r="AS323" i="12"/>
  <c r="AS559" i="12" s="1"/>
  <c r="AS330" i="12"/>
  <c r="AS86" i="12" s="1"/>
  <c r="AS98" i="12" s="1"/>
  <c r="AS325" i="12"/>
  <c r="AS81" i="12" s="1"/>
  <c r="AS93" i="12" s="1"/>
  <c r="AT329" i="12"/>
  <c r="AT327" i="12"/>
  <c r="AT328" i="12"/>
  <c r="AT326" i="12"/>
  <c r="AT325" i="12"/>
  <c r="AT324" i="12"/>
  <c r="AT323" i="12"/>
  <c r="AT330" i="12"/>
  <c r="AU208" i="12"/>
  <c r="AU212" i="12" s="1"/>
  <c r="Y87" i="6" l="1"/>
  <c r="Y78" i="6" s="1"/>
  <c r="W62" i="6"/>
  <c r="X62" i="6" s="1"/>
  <c r="O74" i="6"/>
  <c r="P73" i="6"/>
  <c r="Q64" i="6"/>
  <c r="P65" i="6"/>
  <c r="P56" i="6"/>
  <c r="Q55" i="6"/>
  <c r="AT559" i="12"/>
  <c r="AT561" i="12" s="1"/>
  <c r="AZ24" i="6"/>
  <c r="AZ34" i="6"/>
  <c r="AZ15" i="6"/>
  <c r="AZ23" i="6"/>
  <c r="AZ28" i="6"/>
  <c r="AZ21" i="6"/>
  <c r="AZ22" i="6"/>
  <c r="AZ25" i="6"/>
  <c r="AZ16" i="6"/>
  <c r="AZ18" i="6"/>
  <c r="AZ30" i="6"/>
  <c r="AZ31" i="6"/>
  <c r="AZ20" i="6"/>
  <c r="AZ26" i="6"/>
  <c r="AZ17" i="6"/>
  <c r="AZ35" i="6"/>
  <c r="AZ33" i="6"/>
  <c r="AZ27" i="6"/>
  <c r="AZ32" i="6"/>
  <c r="AZ29" i="6"/>
  <c r="AZ19" i="6"/>
  <c r="O26" i="7"/>
  <c r="M29" i="7"/>
  <c r="S135" i="6"/>
  <c r="S131" i="6" s="1"/>
  <c r="S67" i="6" s="1"/>
  <c r="S72" i="6" s="1"/>
  <c r="L29" i="7"/>
  <c r="AT82" i="12"/>
  <c r="AT94" i="12" s="1"/>
  <c r="AT81" i="12"/>
  <c r="AT93" i="12" s="1"/>
  <c r="AT85" i="12"/>
  <c r="AT97" i="12" s="1"/>
  <c r="AT86" i="12"/>
  <c r="AT98" i="12" s="1"/>
  <c r="AT84" i="12"/>
  <c r="AT96" i="12" s="1"/>
  <c r="AT80" i="12"/>
  <c r="AT92" i="12" s="1"/>
  <c r="AT83" i="12"/>
  <c r="AT95" i="12" s="1"/>
  <c r="AV208" i="12"/>
  <c r="AV212" i="12" s="1"/>
  <c r="AS79" i="12"/>
  <c r="AS91" i="12" s="1"/>
  <c r="AS99" i="12" s="1"/>
  <c r="AA93" i="6" s="1"/>
  <c r="AA90" i="6" s="1"/>
  <c r="AS561" i="12"/>
  <c r="AU323" i="12"/>
  <c r="AU330" i="12"/>
  <c r="AU329" i="12"/>
  <c r="AU326" i="12"/>
  <c r="AU327" i="12"/>
  <c r="AU328" i="12"/>
  <c r="AU325" i="12"/>
  <c r="AU324" i="12"/>
  <c r="AR562" i="12"/>
  <c r="Z87" i="6" s="1"/>
  <c r="Z78" i="6" s="1"/>
  <c r="AR563" i="12"/>
  <c r="AW523" i="12"/>
  <c r="AU317" i="12"/>
  <c r="AU314" i="12"/>
  <c r="AU320" i="12"/>
  <c r="AU315" i="12"/>
  <c r="AU313" i="12"/>
  <c r="AU316" i="12"/>
  <c r="AU319" i="12"/>
  <c r="AU318" i="12"/>
  <c r="AV523" i="12"/>
  <c r="AU305" i="12"/>
  <c r="AU306" i="12"/>
  <c r="AU303" i="12"/>
  <c r="AU302" i="12"/>
  <c r="AU309" i="12"/>
  <c r="AU308" i="12"/>
  <c r="AU307" i="12"/>
  <c r="AU304" i="12"/>
  <c r="AY285" i="12"/>
  <c r="AT79" i="12"/>
  <c r="AT91" i="12" s="1"/>
  <c r="AV181" i="12"/>
  <c r="AU712" i="12"/>
  <c r="AU701" i="12" s="1"/>
  <c r="AQ564" i="12"/>
  <c r="AX289" i="12"/>
  <c r="E4" i="6" a="1"/>
  <c r="T135" i="6" l="1"/>
  <c r="T131" i="6" s="1"/>
  <c r="T67" i="6" s="1"/>
  <c r="T72" i="6" s="1"/>
  <c r="Z135" i="6"/>
  <c r="Z131" i="6" s="1"/>
  <c r="Z69" i="6" s="1"/>
  <c r="Z51" i="6"/>
  <c r="Z58" i="6"/>
  <c r="Z63" i="6" s="1"/>
  <c r="Z49" i="6"/>
  <c r="Z54" i="6" s="1"/>
  <c r="Z60" i="6"/>
  <c r="V7" i="7"/>
  <c r="Y58" i="6"/>
  <c r="Y63" i="6" s="1"/>
  <c r="Y49" i="6"/>
  <c r="E6" i="6" s="1"/>
  <c r="Y60" i="6"/>
  <c r="Y51" i="6"/>
  <c r="AX15" i="6" a="1"/>
  <c r="AX27" i="6" s="1"/>
  <c r="S71" i="6"/>
  <c r="Q73" i="6"/>
  <c r="P74" i="6"/>
  <c r="R64" i="6"/>
  <c r="Q65" i="6"/>
  <c r="Q56" i="6"/>
  <c r="R55" i="6"/>
  <c r="AU559" i="12"/>
  <c r="AU561" i="12" s="1"/>
  <c r="E4" i="6"/>
  <c r="N29" i="7"/>
  <c r="P26" i="7"/>
  <c r="S69" i="6"/>
  <c r="AT99" i="12"/>
  <c r="AB93" i="6" s="1"/>
  <c r="AB90" i="6" s="1"/>
  <c r="AW529" i="12"/>
  <c r="AW715" i="12" s="1"/>
  <c r="AW704" i="12" s="1"/>
  <c r="AW526" i="12"/>
  <c r="AW560" i="12" s="1"/>
  <c r="AW527" i="12"/>
  <c r="AW713" i="12" s="1"/>
  <c r="AW702" i="12" s="1"/>
  <c r="AW532" i="12"/>
  <c r="AW718" i="12" s="1"/>
  <c r="AW707" i="12" s="1"/>
  <c r="AW533" i="12"/>
  <c r="AW719" i="12" s="1"/>
  <c r="AW708" i="12" s="1"/>
  <c r="AW530" i="12"/>
  <c r="AW716" i="12" s="1"/>
  <c r="AW705" i="12" s="1"/>
  <c r="AW531" i="12"/>
  <c r="AW717" i="12" s="1"/>
  <c r="AW706" i="12" s="1"/>
  <c r="AW528" i="12"/>
  <c r="AW714" i="12" s="1"/>
  <c r="AW703" i="12" s="1"/>
  <c r="AU80" i="12"/>
  <c r="AU92" i="12" s="1"/>
  <c r="AU82" i="12"/>
  <c r="AU94" i="12" s="1"/>
  <c r="AS563" i="12"/>
  <c r="AS562" i="12"/>
  <c r="AA87" i="6" s="1"/>
  <c r="AA78" i="6" s="1"/>
  <c r="AX333" i="12"/>
  <c r="AX336" i="12"/>
  <c r="AX339" i="12"/>
  <c r="AX338" i="12"/>
  <c r="AX337" i="12"/>
  <c r="AX334" i="12"/>
  <c r="AX340" i="12"/>
  <c r="AX335" i="12"/>
  <c r="AW181" i="12"/>
  <c r="AW187" i="12" s="1"/>
  <c r="AZ285" i="12"/>
  <c r="AV529" i="12"/>
  <c r="AV715" i="12" s="1"/>
  <c r="AV704" i="12" s="1"/>
  <c r="AV527" i="12"/>
  <c r="AV713" i="12" s="1"/>
  <c r="AV702" i="12" s="1"/>
  <c r="AV530" i="12"/>
  <c r="AV716" i="12" s="1"/>
  <c r="AV705" i="12" s="1"/>
  <c r="AV533" i="12"/>
  <c r="AV719" i="12" s="1"/>
  <c r="AV708" i="12" s="1"/>
  <c r="AV526" i="12"/>
  <c r="AV560" i="12" s="1"/>
  <c r="AV531" i="12"/>
  <c r="AV717" i="12" s="1"/>
  <c r="AV706" i="12" s="1"/>
  <c r="AV528" i="12"/>
  <c r="AV714" i="12" s="1"/>
  <c r="AV703" i="12" s="1"/>
  <c r="AV532" i="12"/>
  <c r="AV718" i="12" s="1"/>
  <c r="AV707" i="12" s="1"/>
  <c r="AX523" i="12"/>
  <c r="AU81" i="12"/>
  <c r="AU93" i="12" s="1"/>
  <c r="AU85" i="12"/>
  <c r="AU97" i="12" s="1"/>
  <c r="AV187" i="12"/>
  <c r="AY289" i="12"/>
  <c r="AW257" i="12"/>
  <c r="AU84" i="12"/>
  <c r="AU96" i="12" s="1"/>
  <c r="AU86" i="12"/>
  <c r="AU98" i="12" s="1"/>
  <c r="AV317" i="12"/>
  <c r="AV315" i="12"/>
  <c r="AV318" i="12"/>
  <c r="AV313" i="12"/>
  <c r="AV320" i="12"/>
  <c r="AV319" i="12"/>
  <c r="AV316" i="12"/>
  <c r="AV314" i="12"/>
  <c r="AT562" i="12"/>
  <c r="AB87" i="6" s="1"/>
  <c r="AB78" i="6" s="1"/>
  <c r="AT563" i="12"/>
  <c r="AV257" i="12"/>
  <c r="AR564" i="12"/>
  <c r="AU83" i="12"/>
  <c r="AU95" i="12" s="1"/>
  <c r="AU79" i="12"/>
  <c r="AU91" i="12" s="1"/>
  <c r="AW208" i="12"/>
  <c r="Y62" i="6" l="1"/>
  <c r="Z62" i="6" s="1"/>
  <c r="Y53" i="6"/>
  <c r="V25" i="7"/>
  <c r="T69" i="6"/>
  <c r="Z67" i="6"/>
  <c r="Z72" i="6" s="1"/>
  <c r="Z53" i="6"/>
  <c r="T71" i="6"/>
  <c r="V135" i="6"/>
  <c r="V131" i="6" s="1"/>
  <c r="V67" i="6" s="1"/>
  <c r="V72" i="6" s="1"/>
  <c r="AB135" i="6"/>
  <c r="AB131" i="6" s="1"/>
  <c r="AB69" i="6" s="1"/>
  <c r="AA51" i="6"/>
  <c r="AA58" i="6"/>
  <c r="AA63" i="6" s="1"/>
  <c r="AA49" i="6"/>
  <c r="AA54" i="6" s="1"/>
  <c r="AA60" i="6"/>
  <c r="U135" i="6"/>
  <c r="U131" i="6" s="1"/>
  <c r="U67" i="6" s="1"/>
  <c r="U72" i="6" s="1"/>
  <c r="AA135" i="6"/>
  <c r="AA131" i="6" s="1"/>
  <c r="AA67" i="6" s="1"/>
  <c r="AA72" i="6" s="1"/>
  <c r="AB49" i="6"/>
  <c r="AB54" i="6" s="1"/>
  <c r="AB60" i="6"/>
  <c r="AB51" i="6"/>
  <c r="AB58" i="6"/>
  <c r="AB63" i="6" s="1"/>
  <c r="AX23" i="6"/>
  <c r="AX29" i="6"/>
  <c r="AX31" i="6"/>
  <c r="AX24" i="6"/>
  <c r="AX16" i="6"/>
  <c r="Y54" i="6"/>
  <c r="V28" i="7" s="1"/>
  <c r="E2" i="9"/>
  <c r="G4" i="6"/>
  <c r="AX20" i="6"/>
  <c r="AX18" i="6"/>
  <c r="AX22" i="6"/>
  <c r="AX33" i="6"/>
  <c r="AX19" i="6"/>
  <c r="AX35" i="6"/>
  <c r="AX28" i="6"/>
  <c r="AX15" i="6"/>
  <c r="AX25" i="6"/>
  <c r="AX34" i="6"/>
  <c r="AX17" i="6"/>
  <c r="AX30" i="6"/>
  <c r="AX21" i="6"/>
  <c r="AX32" i="6"/>
  <c r="AX26" i="6"/>
  <c r="Q74" i="6"/>
  <c r="R73" i="6"/>
  <c r="R65" i="6"/>
  <c r="S64" i="6"/>
  <c r="S55" i="6"/>
  <c r="R56" i="6"/>
  <c r="D2" i="9"/>
  <c r="O29" i="7"/>
  <c r="Q26" i="7"/>
  <c r="AS564" i="12"/>
  <c r="AX530" i="12"/>
  <c r="AX716" i="12" s="1"/>
  <c r="AX705" i="12" s="1"/>
  <c r="AX527" i="12"/>
  <c r="AX713" i="12" s="1"/>
  <c r="AX702" i="12" s="1"/>
  <c r="AX528" i="12"/>
  <c r="AX714" i="12" s="1"/>
  <c r="AX703" i="12" s="1"/>
  <c r="AX533" i="12"/>
  <c r="AX719" i="12" s="1"/>
  <c r="AX708" i="12" s="1"/>
  <c r="AX526" i="12"/>
  <c r="AX560" i="12" s="1"/>
  <c r="AX531" i="12"/>
  <c r="AX717" i="12" s="1"/>
  <c r="AX706" i="12" s="1"/>
  <c r="AX529" i="12"/>
  <c r="AX715" i="12" s="1"/>
  <c r="AX704" i="12" s="1"/>
  <c r="AX532" i="12"/>
  <c r="AX718" i="12" s="1"/>
  <c r="AX707" i="12" s="1"/>
  <c r="AW306" i="12"/>
  <c r="AW303" i="12"/>
  <c r="AW304" i="12"/>
  <c r="AW302" i="12"/>
  <c r="AW309" i="12"/>
  <c r="AW308" i="12"/>
  <c r="AW307" i="12"/>
  <c r="AW305" i="12"/>
  <c r="AX208" i="12"/>
  <c r="AW328" i="12"/>
  <c r="AW323" i="12"/>
  <c r="AW326" i="12"/>
  <c r="AW329" i="12"/>
  <c r="AW327" i="12"/>
  <c r="AW324" i="12"/>
  <c r="AW325" i="12"/>
  <c r="AW330" i="12"/>
  <c r="BA285" i="12"/>
  <c r="AW212" i="12"/>
  <c r="AT564" i="12"/>
  <c r="AZ289" i="12"/>
  <c r="AU562" i="12"/>
  <c r="AC87" i="6" s="1"/>
  <c r="AC78" i="6" s="1"/>
  <c r="AU563" i="12"/>
  <c r="AV328" i="12"/>
  <c r="AV323" i="12"/>
  <c r="AV326" i="12"/>
  <c r="AV324" i="12"/>
  <c r="AV325" i="12"/>
  <c r="AV330" i="12"/>
  <c r="AV327" i="12"/>
  <c r="AV329" i="12"/>
  <c r="AY336" i="12"/>
  <c r="AY337" i="12"/>
  <c r="AY334" i="12"/>
  <c r="AY333" i="12"/>
  <c r="AY339" i="12"/>
  <c r="AY340" i="12"/>
  <c r="AY338" i="12"/>
  <c r="AY335" i="12"/>
  <c r="AW712" i="12"/>
  <c r="AW701" i="12" s="1"/>
  <c r="AU99" i="12"/>
  <c r="AC93" i="6" s="1"/>
  <c r="AC90" i="6" s="1"/>
  <c r="AV307" i="12"/>
  <c r="AV308" i="12"/>
  <c r="AV305" i="12"/>
  <c r="AV306" i="12"/>
  <c r="AV303" i="12"/>
  <c r="AV302" i="12"/>
  <c r="AV309" i="12"/>
  <c r="AV304" i="12"/>
  <c r="AY523" i="12"/>
  <c r="AV712" i="12"/>
  <c r="AV701" i="12" s="1"/>
  <c r="AX181" i="12"/>
  <c r="AX187" i="12" s="1"/>
  <c r="AB67" i="6" l="1"/>
  <c r="AB72" i="6" s="1"/>
  <c r="V69" i="6"/>
  <c r="AA62" i="6"/>
  <c r="AB62" i="6" s="1"/>
  <c r="W135" i="6"/>
  <c r="W131" i="6" s="1"/>
  <c r="W67" i="6" s="1"/>
  <c r="W72" i="6" s="1"/>
  <c r="AC135" i="6"/>
  <c r="AC131" i="6" s="1"/>
  <c r="AC69" i="6" s="1"/>
  <c r="AC49" i="6"/>
  <c r="AC54" i="6" s="1"/>
  <c r="AC60" i="6"/>
  <c r="AC51" i="6"/>
  <c r="AC58" i="6"/>
  <c r="AC63" i="6" s="1"/>
  <c r="AA69" i="6"/>
  <c r="AA53" i="6"/>
  <c r="AB53" i="6" s="1"/>
  <c r="U71" i="6"/>
  <c r="V71" i="6" s="1"/>
  <c r="R74" i="6"/>
  <c r="S73" i="6"/>
  <c r="T64" i="6"/>
  <c r="S65" i="6"/>
  <c r="S56" i="6"/>
  <c r="T55" i="6"/>
  <c r="AV559" i="12"/>
  <c r="AV561" i="12" s="1"/>
  <c r="U69" i="6"/>
  <c r="P29" i="7"/>
  <c r="R26" i="7"/>
  <c r="AU564" i="12"/>
  <c r="AX308" i="12"/>
  <c r="AX305" i="12"/>
  <c r="AX307" i="12"/>
  <c r="AX306" i="12"/>
  <c r="AX304" i="12"/>
  <c r="AX303" i="12"/>
  <c r="AX302" i="12"/>
  <c r="AX309" i="12"/>
  <c r="AY528" i="12"/>
  <c r="AY714" i="12" s="1"/>
  <c r="AY703" i="12" s="1"/>
  <c r="AY533" i="12"/>
  <c r="AY719" i="12" s="1"/>
  <c r="AY708" i="12" s="1"/>
  <c r="AY526" i="12"/>
  <c r="AY560" i="12" s="1"/>
  <c r="AY531" i="12"/>
  <c r="AY717" i="12" s="1"/>
  <c r="AY706" i="12" s="1"/>
  <c r="AY532" i="12"/>
  <c r="AY718" i="12" s="1"/>
  <c r="AY707" i="12" s="1"/>
  <c r="AY529" i="12"/>
  <c r="AY715" i="12" s="1"/>
  <c r="AY704" i="12" s="1"/>
  <c r="AY530" i="12"/>
  <c r="AY716" i="12" s="1"/>
  <c r="AY705" i="12" s="1"/>
  <c r="AY527" i="12"/>
  <c r="AY713" i="12" s="1"/>
  <c r="AY702" i="12" s="1"/>
  <c r="AV81" i="12"/>
  <c r="AV93" i="12" s="1"/>
  <c r="AV84" i="12"/>
  <c r="AV96" i="12" s="1"/>
  <c r="AY257" i="12"/>
  <c r="BB285" i="12"/>
  <c r="AY181" i="12"/>
  <c r="AY187" i="12" s="1"/>
  <c r="AZ523" i="12"/>
  <c r="AV85" i="12"/>
  <c r="AV97" i="12" s="1"/>
  <c r="AV80" i="12"/>
  <c r="AV92" i="12" s="1"/>
  <c r="AX257" i="12"/>
  <c r="BA289" i="12"/>
  <c r="AV83" i="12"/>
  <c r="AV95" i="12" s="1"/>
  <c r="AV82" i="12"/>
  <c r="AV94" i="12" s="1"/>
  <c r="AY208" i="12"/>
  <c r="AY212" i="12" s="1"/>
  <c r="AV86" i="12"/>
  <c r="AV98" i="12" s="1"/>
  <c r="AV79" i="12"/>
  <c r="AV91" i="12" s="1"/>
  <c r="AZ338" i="12"/>
  <c r="AZ337" i="12"/>
  <c r="AZ335" i="12"/>
  <c r="AZ336" i="12"/>
  <c r="AZ333" i="12"/>
  <c r="AZ334" i="12"/>
  <c r="AZ339" i="12"/>
  <c r="AZ340" i="12"/>
  <c r="AW318" i="12"/>
  <c r="AW84" i="12" s="1"/>
  <c r="AW96" i="12" s="1"/>
  <c r="AW313" i="12"/>
  <c r="AW316" i="12"/>
  <c r="AW82" i="12" s="1"/>
  <c r="AW94" i="12" s="1"/>
  <c r="AW319" i="12"/>
  <c r="AW85" i="12" s="1"/>
  <c r="AW97" i="12" s="1"/>
  <c r="AW314" i="12"/>
  <c r="AW80" i="12" s="1"/>
  <c r="AW92" i="12" s="1"/>
  <c r="AW320" i="12"/>
  <c r="AW86" i="12" s="1"/>
  <c r="AW98" i="12" s="1"/>
  <c r="AW317" i="12"/>
  <c r="AW83" i="12" s="1"/>
  <c r="AW95" i="12" s="1"/>
  <c r="AW315" i="12"/>
  <c r="AW81" i="12" s="1"/>
  <c r="AW93" i="12" s="1"/>
  <c r="AX212" i="12"/>
  <c r="AX712" i="12"/>
  <c r="AX701" i="12" s="1"/>
  <c r="AC67" i="6" l="1"/>
  <c r="AC72" i="6" s="1"/>
  <c r="AC53" i="6"/>
  <c r="AC62" i="6"/>
  <c r="T73" i="6"/>
  <c r="S74" i="6"/>
  <c r="W71" i="6"/>
  <c r="U64" i="6"/>
  <c r="T65" i="6"/>
  <c r="T56" i="6"/>
  <c r="U55" i="6"/>
  <c r="AW559" i="12"/>
  <c r="AW561" i="12" s="1"/>
  <c r="S26" i="7"/>
  <c r="W69" i="6"/>
  <c r="Q29" i="7"/>
  <c r="AZ531" i="12"/>
  <c r="AZ717" i="12" s="1"/>
  <c r="AZ706" i="12" s="1"/>
  <c r="AZ526" i="12"/>
  <c r="AZ560" i="12" s="1"/>
  <c r="AZ530" i="12"/>
  <c r="AZ716" i="12" s="1"/>
  <c r="AZ705" i="12" s="1"/>
  <c r="AZ529" i="12"/>
  <c r="AZ715" i="12" s="1"/>
  <c r="AZ704" i="12" s="1"/>
  <c r="AZ532" i="12"/>
  <c r="AZ718" i="12" s="1"/>
  <c r="AZ707" i="12" s="1"/>
  <c r="AZ527" i="12"/>
  <c r="AZ713" i="12" s="1"/>
  <c r="AZ702" i="12" s="1"/>
  <c r="AZ528" i="12"/>
  <c r="AZ714" i="12" s="1"/>
  <c r="AZ703" i="12" s="1"/>
  <c r="AZ533" i="12"/>
  <c r="AZ719" i="12" s="1"/>
  <c r="AZ708" i="12" s="1"/>
  <c r="AY315" i="12"/>
  <c r="AY314" i="12"/>
  <c r="AY313" i="12"/>
  <c r="AY319" i="12"/>
  <c r="AY320" i="12"/>
  <c r="AY318" i="12"/>
  <c r="AY317" i="12"/>
  <c r="AY316" i="12"/>
  <c r="AV563" i="12"/>
  <c r="AV562" i="12"/>
  <c r="AD87" i="6" s="1"/>
  <c r="AD78" i="6" s="1"/>
  <c r="AX329" i="12"/>
  <c r="AX327" i="12"/>
  <c r="AX330" i="12"/>
  <c r="AX324" i="12"/>
  <c r="AX325" i="12"/>
  <c r="AX326" i="12"/>
  <c r="AX323" i="12"/>
  <c r="AX328" i="12"/>
  <c r="AW79" i="12"/>
  <c r="AW91" i="12" s="1"/>
  <c r="AW99" i="12" s="1"/>
  <c r="AE93" i="6" s="1"/>
  <c r="AE90" i="6" s="1"/>
  <c r="AY325" i="12"/>
  <c r="AY323" i="12"/>
  <c r="AY328" i="12"/>
  <c r="AY330" i="12"/>
  <c r="AY329" i="12"/>
  <c r="AY324" i="12"/>
  <c r="AY327" i="12"/>
  <c r="AY326" i="12"/>
  <c r="AX314" i="12"/>
  <c r="AX319" i="12"/>
  <c r="AX320" i="12"/>
  <c r="AX315" i="12"/>
  <c r="AX317" i="12"/>
  <c r="AX318" i="12"/>
  <c r="AX316" i="12"/>
  <c r="AX313" i="12"/>
  <c r="AV99" i="12"/>
  <c r="AD93" i="6" s="1"/>
  <c r="AD90" i="6" s="1"/>
  <c r="AZ181" i="12"/>
  <c r="AZ187" i="12" s="1"/>
  <c r="AZ257" i="12"/>
  <c r="AY712" i="12"/>
  <c r="AY701" i="12" s="1"/>
  <c r="AY307" i="12"/>
  <c r="AY302" i="12"/>
  <c r="AY308" i="12"/>
  <c r="AY305" i="12"/>
  <c r="AY303" i="12"/>
  <c r="AY304" i="12"/>
  <c r="AY309" i="12"/>
  <c r="AY306" i="12"/>
  <c r="BC285" i="12"/>
  <c r="BC289" i="12" s="1"/>
  <c r="AZ208" i="12"/>
  <c r="AZ212" i="12" s="1"/>
  <c r="BA339" i="12"/>
  <c r="BA337" i="12"/>
  <c r="BA338" i="12"/>
  <c r="BA335" i="12"/>
  <c r="BA340" i="12"/>
  <c r="BA333" i="12"/>
  <c r="BA336" i="12"/>
  <c r="BA334" i="12"/>
  <c r="BA523" i="12"/>
  <c r="BB289" i="12"/>
  <c r="AD51" i="6" l="1"/>
  <c r="AD58" i="6"/>
  <c r="AD63" i="6" s="1"/>
  <c r="AD49" i="6"/>
  <c r="AD54" i="6" s="1"/>
  <c r="AD60" i="6"/>
  <c r="X135" i="6"/>
  <c r="X131" i="6" s="1"/>
  <c r="X67" i="6" s="1"/>
  <c r="X72" i="6" s="1"/>
  <c r="AD135" i="6"/>
  <c r="AD131" i="6" s="1"/>
  <c r="AD67" i="6" s="1"/>
  <c r="AD72" i="6" s="1"/>
  <c r="U73" i="6"/>
  <c r="T74" i="6"/>
  <c r="U65" i="6"/>
  <c r="V64" i="6"/>
  <c r="U56" i="6"/>
  <c r="V55" i="6"/>
  <c r="AX559" i="12"/>
  <c r="AX561" i="12" s="1"/>
  <c r="AW563" i="12"/>
  <c r="AW562" i="12"/>
  <c r="AE87" i="6" s="1"/>
  <c r="AE78" i="6" s="1"/>
  <c r="AY559" i="12"/>
  <c r="AY561" i="12" s="1"/>
  <c r="R29" i="7"/>
  <c r="T26" i="7"/>
  <c r="AZ317" i="12"/>
  <c r="AZ315" i="12"/>
  <c r="AZ316" i="12"/>
  <c r="AZ313" i="12"/>
  <c r="AZ318" i="12"/>
  <c r="AZ319" i="12"/>
  <c r="AZ314" i="12"/>
  <c r="AZ320" i="12"/>
  <c r="AZ305" i="12"/>
  <c r="AZ306" i="12"/>
  <c r="AZ303" i="12"/>
  <c r="AZ308" i="12"/>
  <c r="AZ309" i="12"/>
  <c r="AZ304" i="12"/>
  <c r="AZ302" i="12"/>
  <c r="AZ307" i="12"/>
  <c r="AY83" i="12"/>
  <c r="AY95" i="12" s="1"/>
  <c r="AY84" i="12"/>
  <c r="AY96" i="12" s="1"/>
  <c r="AX84" i="12"/>
  <c r="AX96" i="12" s="1"/>
  <c r="AX80" i="12"/>
  <c r="AX92" i="12" s="1"/>
  <c r="AV564" i="12"/>
  <c r="AZ712" i="12"/>
  <c r="AZ701" i="12" s="1"/>
  <c r="BB339" i="12"/>
  <c r="BB340" i="12"/>
  <c r="BB338" i="12"/>
  <c r="BB337" i="12"/>
  <c r="BB336" i="12"/>
  <c r="BB335" i="12"/>
  <c r="BB334" i="12"/>
  <c r="BB333" i="12"/>
  <c r="BA208" i="12"/>
  <c r="BA212" i="12" s="1"/>
  <c r="BA181" i="12"/>
  <c r="BA187" i="12" s="1"/>
  <c r="AY80" i="12"/>
  <c r="AY92" i="12" s="1"/>
  <c r="AY79" i="12"/>
  <c r="AY91" i="12" s="1"/>
  <c r="AX79" i="12"/>
  <c r="AX91" i="12" s="1"/>
  <c r="AX86" i="12"/>
  <c r="AX98" i="12" s="1"/>
  <c r="BB523" i="12"/>
  <c r="BD285" i="12"/>
  <c r="AY85" i="12"/>
  <c r="AY97" i="12" s="1"/>
  <c r="AY81" i="12"/>
  <c r="AY93" i="12" s="1"/>
  <c r="AX82" i="12"/>
  <c r="AX94" i="12" s="1"/>
  <c r="AX83" i="12"/>
  <c r="AX95" i="12" s="1"/>
  <c r="BA529" i="12"/>
  <c r="BA715" i="12" s="1"/>
  <c r="BA704" i="12" s="1"/>
  <c r="BA526" i="12"/>
  <c r="BA560" i="12" s="1"/>
  <c r="BA527" i="12"/>
  <c r="BA713" i="12" s="1"/>
  <c r="BA702" i="12" s="1"/>
  <c r="BA532" i="12"/>
  <c r="BA718" i="12" s="1"/>
  <c r="BA707" i="12" s="1"/>
  <c r="BA533" i="12"/>
  <c r="BA719" i="12" s="1"/>
  <c r="BA708" i="12" s="1"/>
  <c r="BA530" i="12"/>
  <c r="BA716" i="12" s="1"/>
  <c r="BA705" i="12" s="1"/>
  <c r="BA531" i="12"/>
  <c r="BA717" i="12" s="1"/>
  <c r="BA706" i="12" s="1"/>
  <c r="BA528" i="12"/>
  <c r="BA714" i="12" s="1"/>
  <c r="BA703" i="12" s="1"/>
  <c r="BC338" i="12"/>
  <c r="BC336" i="12"/>
  <c r="BC339" i="12"/>
  <c r="BC333" i="12"/>
  <c r="BC334" i="12"/>
  <c r="BC335" i="12"/>
  <c r="BC340" i="12"/>
  <c r="BC337" i="12"/>
  <c r="AZ326" i="12"/>
  <c r="AZ324" i="12"/>
  <c r="AZ323" i="12"/>
  <c r="AZ330" i="12"/>
  <c r="AZ329" i="12"/>
  <c r="AZ328" i="12"/>
  <c r="AZ325" i="12"/>
  <c r="AZ327" i="12"/>
  <c r="AY82" i="12"/>
  <c r="AY94" i="12" s="1"/>
  <c r="AY86" i="12"/>
  <c r="AY98" i="12" s="1"/>
  <c r="AX81" i="12"/>
  <c r="AX93" i="12" s="1"/>
  <c r="AX85" i="12"/>
  <c r="AX97" i="12" s="1"/>
  <c r="AE51" i="6" l="1"/>
  <c r="AE58" i="6"/>
  <c r="AE63" i="6" s="1"/>
  <c r="AE49" i="6"/>
  <c r="AE54" i="6" s="1"/>
  <c r="AE60" i="6"/>
  <c r="AD69" i="6"/>
  <c r="Y135" i="6"/>
  <c r="Y131" i="6" s="1"/>
  <c r="AE135" i="6"/>
  <c r="AE131" i="6" s="1"/>
  <c r="AE67" i="6" s="1"/>
  <c r="AE72" i="6" s="1"/>
  <c r="AD53" i="6"/>
  <c r="AD62" i="6"/>
  <c r="V73" i="6"/>
  <c r="U74" i="6"/>
  <c r="X71" i="6"/>
  <c r="V65" i="6"/>
  <c r="W64" i="6"/>
  <c r="W55" i="6"/>
  <c r="V56" i="6"/>
  <c r="AW564" i="12"/>
  <c r="AZ559" i="12"/>
  <c r="AZ561" i="12" s="1"/>
  <c r="X69" i="6"/>
  <c r="U26" i="7"/>
  <c r="S29" i="7"/>
  <c r="AZ83" i="12"/>
  <c r="AZ95" i="12" s="1"/>
  <c r="AZ81" i="12"/>
  <c r="AZ93" i="12" s="1"/>
  <c r="AZ85" i="12"/>
  <c r="AZ97" i="12" s="1"/>
  <c r="AZ82" i="12"/>
  <c r="AZ94" i="12" s="1"/>
  <c r="BA308" i="12"/>
  <c r="BA309" i="12"/>
  <c r="BA303" i="12"/>
  <c r="BA306" i="12"/>
  <c r="BA305" i="12"/>
  <c r="BA304" i="12"/>
  <c r="BA302" i="12"/>
  <c r="BA307" i="12"/>
  <c r="AX562" i="12"/>
  <c r="AF87" i="6" s="1"/>
  <c r="AF78" i="6" s="1"/>
  <c r="AX563" i="12"/>
  <c r="AF135" i="6" s="1"/>
  <c r="AF131" i="6" s="1"/>
  <c r="BA320" i="12"/>
  <c r="BA319" i="12"/>
  <c r="BA313" i="12"/>
  <c r="BA318" i="12"/>
  <c r="BA315" i="12"/>
  <c r="BA316" i="12"/>
  <c r="BA317" i="12"/>
  <c r="BA314" i="12"/>
  <c r="BB257" i="12"/>
  <c r="BB528" i="12"/>
  <c r="BB714" i="12" s="1"/>
  <c r="BB703" i="12" s="1"/>
  <c r="BB531" i="12"/>
  <c r="BB717" i="12" s="1"/>
  <c r="BB706" i="12" s="1"/>
  <c r="BB527" i="12"/>
  <c r="BB713" i="12" s="1"/>
  <c r="BB702" i="12" s="1"/>
  <c r="BB526" i="12"/>
  <c r="BB560" i="12" s="1"/>
  <c r="BB533" i="12"/>
  <c r="BB719" i="12" s="1"/>
  <c r="BB708" i="12" s="1"/>
  <c r="BB532" i="12"/>
  <c r="BB718" i="12" s="1"/>
  <c r="BB707" i="12" s="1"/>
  <c r="BB529" i="12"/>
  <c r="BB715" i="12" s="1"/>
  <c r="BB704" i="12" s="1"/>
  <c r="BB530" i="12"/>
  <c r="BB716" i="12" s="1"/>
  <c r="BB705" i="12" s="1"/>
  <c r="AX99" i="12"/>
  <c r="AF93" i="6" s="1"/>
  <c r="AF90" i="6" s="1"/>
  <c r="AZ79" i="12"/>
  <c r="AZ91" i="12" s="1"/>
  <c r="BA257" i="12"/>
  <c r="AY562" i="12"/>
  <c r="AG87" i="6" s="1"/>
  <c r="AG78" i="6" s="1"/>
  <c r="AY563" i="12"/>
  <c r="AG135" i="6" s="1"/>
  <c r="AG131" i="6" s="1"/>
  <c r="BE285" i="12"/>
  <c r="AZ86" i="12"/>
  <c r="AZ98" i="12" s="1"/>
  <c r="BB181" i="12"/>
  <c r="BB187" i="12" s="1"/>
  <c r="AZ84" i="12"/>
  <c r="AZ96" i="12" s="1"/>
  <c r="AZ80" i="12"/>
  <c r="AZ92" i="12" s="1"/>
  <c r="BA712" i="12"/>
  <c r="BA701" i="12" s="1"/>
  <c r="BD289" i="12"/>
  <c r="AY99" i="12"/>
  <c r="AG93" i="6" s="1"/>
  <c r="AG90" i="6" s="1"/>
  <c r="BB208" i="12"/>
  <c r="BB212" i="12" s="1"/>
  <c r="BB15" i="6" l="1" a="1"/>
  <c r="BB15" i="6" s="1"/>
  <c r="AE62" i="6"/>
  <c r="AE69" i="6"/>
  <c r="AG49" i="6"/>
  <c r="AG54" i="6" s="1"/>
  <c r="AG60" i="6"/>
  <c r="AG67" i="6"/>
  <c r="AG72" i="6" s="1"/>
  <c r="AG51" i="6"/>
  <c r="AG58" i="6"/>
  <c r="AG63" i="6" s="1"/>
  <c r="AG69" i="6"/>
  <c r="AF49" i="6"/>
  <c r="AF54" i="6" s="1"/>
  <c r="AF60" i="6"/>
  <c r="AF67" i="6"/>
  <c r="AF72" i="6" s="1"/>
  <c r="AF51" i="6"/>
  <c r="AF58" i="6"/>
  <c r="AF63" i="6" s="1"/>
  <c r="AF69" i="6"/>
  <c r="AE53" i="6"/>
  <c r="BB38" i="6"/>
  <c r="V74" i="6"/>
  <c r="W73" i="6"/>
  <c r="Y69" i="6"/>
  <c r="Y67" i="6"/>
  <c r="Y72" i="6" s="1"/>
  <c r="W65" i="6"/>
  <c r="X64" i="6"/>
  <c r="X55" i="6"/>
  <c r="W56" i="6"/>
  <c r="V26" i="7"/>
  <c r="AW15" i="6" a="1"/>
  <c r="T29" i="7"/>
  <c r="AX564" i="12"/>
  <c r="BB329" i="12"/>
  <c r="BB327" i="12"/>
  <c r="BB328" i="12"/>
  <c r="BB330" i="12"/>
  <c r="BB325" i="12"/>
  <c r="BB324" i="12"/>
  <c r="BB323" i="12"/>
  <c r="BB326" i="12"/>
  <c r="BB320" i="12"/>
  <c r="BB315" i="12"/>
  <c r="BB318" i="12"/>
  <c r="BB319" i="12"/>
  <c r="BB316" i="12"/>
  <c r="BB317" i="12"/>
  <c r="BB314" i="12"/>
  <c r="BB313" i="12"/>
  <c r="BB308" i="12"/>
  <c r="BB303" i="12"/>
  <c r="BB305" i="12"/>
  <c r="BB306" i="12"/>
  <c r="BB304" i="12"/>
  <c r="BB309" i="12"/>
  <c r="BB302" i="12"/>
  <c r="BB307" i="12"/>
  <c r="BB712" i="12"/>
  <c r="BB701" i="12" s="1"/>
  <c r="AY564" i="12"/>
  <c r="AZ563" i="12"/>
  <c r="AH135" i="6" s="1"/>
  <c r="AH131" i="6" s="1"/>
  <c r="AZ562" i="12"/>
  <c r="AH87" i="6" s="1"/>
  <c r="AH78" i="6" s="1"/>
  <c r="BA330" i="12"/>
  <c r="BA86" i="12" s="1"/>
  <c r="BA98" i="12" s="1"/>
  <c r="BA329" i="12"/>
  <c r="BA85" i="12" s="1"/>
  <c r="BA97" i="12" s="1"/>
  <c r="BA328" i="12"/>
  <c r="BA84" i="12" s="1"/>
  <c r="BA96" i="12" s="1"/>
  <c r="BA326" i="12"/>
  <c r="BA82" i="12" s="1"/>
  <c r="BA94" i="12" s="1"/>
  <c r="BA327" i="12"/>
  <c r="BA83" i="12" s="1"/>
  <c r="BA95" i="12" s="1"/>
  <c r="BA325" i="12"/>
  <c r="BA81" i="12" s="1"/>
  <c r="BA93" i="12" s="1"/>
  <c r="BA324" i="12"/>
  <c r="BA80" i="12" s="1"/>
  <c r="BA92" i="12" s="1"/>
  <c r="BA323" i="12"/>
  <c r="BA559" i="12" s="1"/>
  <c r="BC257" i="12"/>
  <c r="BD338" i="12"/>
  <c r="BD339" i="12"/>
  <c r="BD333" i="12"/>
  <c r="BD336" i="12"/>
  <c r="BD335" i="12"/>
  <c r="BD334" i="12"/>
  <c r="BD337" i="12"/>
  <c r="BD340" i="12"/>
  <c r="BF285" i="12"/>
  <c r="BF289" i="12" s="1"/>
  <c r="BD523" i="12"/>
  <c r="AZ99" i="12"/>
  <c r="AH93" i="6" s="1"/>
  <c r="AH90" i="6" s="1"/>
  <c r="BC208" i="12"/>
  <c r="BC212" i="12" s="1"/>
  <c r="BC181" i="12"/>
  <c r="BC187" i="12" s="1"/>
  <c r="BE289" i="12"/>
  <c r="BC523" i="12"/>
  <c r="BB16" i="6" l="1"/>
  <c r="AF53" i="6"/>
  <c r="AG53" i="6" s="1"/>
  <c r="BB17" i="6"/>
  <c r="BB24" i="6"/>
  <c r="BB41" i="6"/>
  <c r="BB37" i="6"/>
  <c r="BB26" i="6"/>
  <c r="BB33" i="6"/>
  <c r="BB30" i="6"/>
  <c r="BB35" i="6"/>
  <c r="BB19" i="6"/>
  <c r="BB40" i="6"/>
  <c r="BB31" i="6"/>
  <c r="BB23" i="6"/>
  <c r="BB18" i="6"/>
  <c r="BB21" i="6"/>
  <c r="BB22" i="6"/>
  <c r="BB42" i="6"/>
  <c r="BB20" i="6"/>
  <c r="BB34" i="6"/>
  <c r="BB39" i="6"/>
  <c r="BB28" i="6"/>
  <c r="BB36" i="6"/>
  <c r="BB29" i="6"/>
  <c r="BB25" i="6"/>
  <c r="BB27" i="6"/>
  <c r="BB43" i="6"/>
  <c r="BB32" i="6"/>
  <c r="AH51" i="6"/>
  <c r="AH58" i="6"/>
  <c r="AH63" i="6" s="1"/>
  <c r="AH69" i="6"/>
  <c r="AH49" i="6"/>
  <c r="AH54" i="6" s="1"/>
  <c r="AH60" i="6"/>
  <c r="AH67" i="6"/>
  <c r="AH72" i="6" s="1"/>
  <c r="AF62" i="6"/>
  <c r="AG62" i="6" s="1"/>
  <c r="W74" i="6"/>
  <c r="X73" i="6"/>
  <c r="Y71" i="6"/>
  <c r="Z71" i="6" s="1"/>
  <c r="AA71" i="6" s="1"/>
  <c r="AB71" i="6" s="1"/>
  <c r="AC71" i="6" s="1"/>
  <c r="AD71" i="6" s="1"/>
  <c r="AE71" i="6" s="1"/>
  <c r="AF71" i="6" s="1"/>
  <c r="AG71" i="6" s="1"/>
  <c r="Y64" i="6"/>
  <c r="X65" i="6"/>
  <c r="X56" i="6"/>
  <c r="Y55" i="6"/>
  <c r="BB559" i="12"/>
  <c r="BB561" i="12" s="1"/>
  <c r="U29" i="7"/>
  <c r="AW19" i="6"/>
  <c r="AV19" i="6" s="1"/>
  <c r="AW22" i="6"/>
  <c r="AV22" i="6" s="1"/>
  <c r="AW25" i="6"/>
  <c r="AV25" i="6" s="1"/>
  <c r="AW32" i="6"/>
  <c r="AV32" i="6" s="1"/>
  <c r="AW31" i="6"/>
  <c r="AV31" i="6" s="1"/>
  <c r="AW35" i="6"/>
  <c r="AV35" i="6" s="1"/>
  <c r="AW20" i="6"/>
  <c r="AV20" i="6" s="1"/>
  <c r="AW26" i="6"/>
  <c r="AV26" i="6" s="1"/>
  <c r="AW29" i="6"/>
  <c r="AV29" i="6" s="1"/>
  <c r="AW17" i="6"/>
  <c r="AV17" i="6" s="1"/>
  <c r="AW18" i="6"/>
  <c r="AV18" i="6" s="1"/>
  <c r="AW21" i="6"/>
  <c r="AV21" i="6" s="1"/>
  <c r="AW23" i="6"/>
  <c r="AV23" i="6" s="1"/>
  <c r="AW28" i="6"/>
  <c r="AV28" i="6" s="1"/>
  <c r="AW30" i="6"/>
  <c r="AV30" i="6" s="1"/>
  <c r="AW33" i="6"/>
  <c r="AV33" i="6" s="1"/>
  <c r="AW34" i="6"/>
  <c r="AV34" i="6" s="1"/>
  <c r="AW24" i="6"/>
  <c r="AV24" i="6" s="1"/>
  <c r="AW16" i="6"/>
  <c r="AV16" i="6" s="1"/>
  <c r="AW27" i="6"/>
  <c r="AV27" i="6" s="1"/>
  <c r="AW15" i="6"/>
  <c r="AV15" i="6" s="1"/>
  <c r="BB82" i="12"/>
  <c r="BB94" i="12" s="1"/>
  <c r="BB86" i="12"/>
  <c r="BB98" i="12" s="1"/>
  <c r="BC303" i="12"/>
  <c r="BC302" i="12"/>
  <c r="BC309" i="12"/>
  <c r="BC308" i="12"/>
  <c r="BC307" i="12"/>
  <c r="BC304" i="12"/>
  <c r="BC306" i="12"/>
  <c r="BC305" i="12"/>
  <c r="BD181" i="12"/>
  <c r="BD527" i="12"/>
  <c r="BD713" i="12" s="1"/>
  <c r="BD702" i="12" s="1"/>
  <c r="BD526" i="12"/>
  <c r="BD560" i="12" s="1"/>
  <c r="BD530" i="12"/>
  <c r="BD716" i="12" s="1"/>
  <c r="BD705" i="12" s="1"/>
  <c r="BD533" i="12"/>
  <c r="BD719" i="12" s="1"/>
  <c r="BD708" i="12" s="1"/>
  <c r="BD528" i="12"/>
  <c r="BD714" i="12" s="1"/>
  <c r="BD703" i="12" s="1"/>
  <c r="BD531" i="12"/>
  <c r="BD717" i="12" s="1"/>
  <c r="BD706" i="12" s="1"/>
  <c r="BD529" i="12"/>
  <c r="BD715" i="12" s="1"/>
  <c r="BD704" i="12" s="1"/>
  <c r="BD532" i="12"/>
  <c r="BD718" i="12" s="1"/>
  <c r="BD707" i="12" s="1"/>
  <c r="BC329" i="12"/>
  <c r="BC326" i="12"/>
  <c r="BC327" i="12"/>
  <c r="BC324" i="12"/>
  <c r="BC325" i="12"/>
  <c r="BC323" i="12"/>
  <c r="BC330" i="12"/>
  <c r="BC328" i="12"/>
  <c r="BB79" i="12"/>
  <c r="BB91" i="12" s="1"/>
  <c r="BB84" i="12"/>
  <c r="BB96" i="12" s="1"/>
  <c r="BC526" i="12"/>
  <c r="BC560" i="12" s="1"/>
  <c r="BC531" i="12"/>
  <c r="BC717" i="12" s="1"/>
  <c r="BC706" i="12" s="1"/>
  <c r="BC532" i="12"/>
  <c r="BC718" i="12" s="1"/>
  <c r="BC707" i="12" s="1"/>
  <c r="BC529" i="12"/>
  <c r="BC715" i="12" s="1"/>
  <c r="BC704" i="12" s="1"/>
  <c r="BC530" i="12"/>
  <c r="BC716" i="12" s="1"/>
  <c r="BC705" i="12" s="1"/>
  <c r="BC527" i="12"/>
  <c r="BC713" i="12" s="1"/>
  <c r="BC702" i="12" s="1"/>
  <c r="BC528" i="12"/>
  <c r="BC714" i="12" s="1"/>
  <c r="BC703" i="12" s="1"/>
  <c r="BC533" i="12"/>
  <c r="BC719" i="12" s="1"/>
  <c r="BC708" i="12" s="1"/>
  <c r="BC317" i="12"/>
  <c r="BC314" i="12"/>
  <c r="BC316" i="12"/>
  <c r="BC315" i="12"/>
  <c r="BC313" i="12"/>
  <c r="BC320" i="12"/>
  <c r="BC319" i="12"/>
  <c r="BC318" i="12"/>
  <c r="BE523" i="12"/>
  <c r="BD257" i="12"/>
  <c r="BB80" i="12"/>
  <c r="BB92" i="12" s="1"/>
  <c r="BB83" i="12"/>
  <c r="BB95" i="12" s="1"/>
  <c r="BF333" i="12"/>
  <c r="BF340" i="12"/>
  <c r="BF339" i="12"/>
  <c r="BF338" i="12"/>
  <c r="BF337" i="12"/>
  <c r="BF334" i="12"/>
  <c r="BF336" i="12"/>
  <c r="BF335" i="12"/>
  <c r="BE333" i="12"/>
  <c r="BE334" i="12"/>
  <c r="BE340" i="12"/>
  <c r="BE339" i="12"/>
  <c r="BE337" i="12"/>
  <c r="BE336" i="12"/>
  <c r="BE335" i="12"/>
  <c r="BE338" i="12"/>
  <c r="BD208" i="12"/>
  <c r="BG285" i="12"/>
  <c r="BG289" i="12" s="1"/>
  <c r="BA79" i="12"/>
  <c r="BA91" i="12" s="1"/>
  <c r="BA99" i="12" s="1"/>
  <c r="AI93" i="6" s="1"/>
  <c r="AI90" i="6" s="1"/>
  <c r="BA561" i="12"/>
  <c r="AZ564" i="12"/>
  <c r="BB81" i="12"/>
  <c r="BB93" i="12" s="1"/>
  <c r="BB85" i="12"/>
  <c r="BB97" i="12" s="1"/>
  <c r="AH71" i="6" l="1"/>
  <c r="AH62" i="6"/>
  <c r="Y65" i="6"/>
  <c r="Z64" i="6"/>
  <c r="Y56" i="6"/>
  <c r="Z55" i="6"/>
  <c r="AH53" i="6"/>
  <c r="Y73" i="6"/>
  <c r="X74" i="6"/>
  <c r="BC559" i="12"/>
  <c r="V29" i="7"/>
  <c r="BE529" i="12"/>
  <c r="BE715" i="12" s="1"/>
  <c r="BE704" i="12" s="1"/>
  <c r="BE526" i="12"/>
  <c r="BE560" i="12" s="1"/>
  <c r="BE527" i="12"/>
  <c r="BE713" i="12" s="1"/>
  <c r="BE702" i="12" s="1"/>
  <c r="BE532" i="12"/>
  <c r="BE718" i="12" s="1"/>
  <c r="BE707" i="12" s="1"/>
  <c r="BE533" i="12"/>
  <c r="BE719" i="12" s="1"/>
  <c r="BE708" i="12" s="1"/>
  <c r="BE530" i="12"/>
  <c r="BE716" i="12" s="1"/>
  <c r="BE705" i="12" s="1"/>
  <c r="BE531" i="12"/>
  <c r="BE717" i="12" s="1"/>
  <c r="BE706" i="12" s="1"/>
  <c r="BE528" i="12"/>
  <c r="BE714" i="12" s="1"/>
  <c r="BE703" i="12" s="1"/>
  <c r="BE208" i="12"/>
  <c r="BE212" i="12" s="1"/>
  <c r="BD324" i="12"/>
  <c r="BD330" i="12"/>
  <c r="BD327" i="12"/>
  <c r="BD325" i="12"/>
  <c r="BD328" i="12"/>
  <c r="BD323" i="12"/>
  <c r="BD326" i="12"/>
  <c r="BD329" i="12"/>
  <c r="BB562" i="12"/>
  <c r="AJ87" i="6" s="1"/>
  <c r="AJ78" i="6" s="1"/>
  <c r="BB563" i="12"/>
  <c r="AJ135" i="6" s="1"/>
  <c r="AJ131" i="6" s="1"/>
  <c r="BC82" i="12"/>
  <c r="BC94" i="12" s="1"/>
  <c r="BD712" i="12"/>
  <c r="BD701" i="12" s="1"/>
  <c r="BG338" i="12"/>
  <c r="BG339" i="12"/>
  <c r="BG336" i="12"/>
  <c r="BG337" i="12"/>
  <c r="BG334" i="12"/>
  <c r="BG333" i="12"/>
  <c r="BG340" i="12"/>
  <c r="BG335" i="12"/>
  <c r="BB99" i="12"/>
  <c r="AJ93" i="6" s="1"/>
  <c r="BC81" i="12"/>
  <c r="BC93" i="12" s="1"/>
  <c r="BH285" i="12"/>
  <c r="BC712" i="12"/>
  <c r="BC701" i="12" s="1"/>
  <c r="BC79" i="12" s="1"/>
  <c r="BC91" i="12" s="1"/>
  <c r="BC84" i="12"/>
  <c r="BC96" i="12" s="1"/>
  <c r="BC80" i="12"/>
  <c r="BC92" i="12" s="1"/>
  <c r="BE181" i="12"/>
  <c r="BF523" i="12"/>
  <c r="BC85" i="12"/>
  <c r="BC97" i="12" s="1"/>
  <c r="BA562" i="12"/>
  <c r="AI87" i="6" s="1"/>
  <c r="AI78" i="6" s="1"/>
  <c r="BA563" i="12"/>
  <c r="AI135" i="6" s="1"/>
  <c r="AI131" i="6" s="1"/>
  <c r="BD212" i="12"/>
  <c r="BE257" i="12"/>
  <c r="BC86" i="12"/>
  <c r="BC98" i="12" s="1"/>
  <c r="BC83" i="12"/>
  <c r="BC95" i="12" s="1"/>
  <c r="BD187" i="12"/>
  <c r="AJ90" i="6" l="1"/>
  <c r="AJ60" i="6" s="1"/>
  <c r="W2" i="7"/>
  <c r="W6" i="7" s="1"/>
  <c r="AJ51" i="6"/>
  <c r="AJ49" i="6"/>
  <c r="W7" i="7"/>
  <c r="AI51" i="6"/>
  <c r="AI58" i="6"/>
  <c r="AI69" i="6"/>
  <c r="AI49" i="6"/>
  <c r="AI54" i="6" s="1"/>
  <c r="AI60" i="6"/>
  <c r="AI67" i="6"/>
  <c r="Z65" i="6"/>
  <c r="AA64" i="6"/>
  <c r="Y74" i="6"/>
  <c r="Z73" i="6"/>
  <c r="AA55" i="6"/>
  <c r="Z56" i="6"/>
  <c r="BC99" i="12"/>
  <c r="AK93" i="6" s="1"/>
  <c r="BF181" i="12"/>
  <c r="BE328" i="12"/>
  <c r="BE327" i="12"/>
  <c r="BE326" i="12"/>
  <c r="BE329" i="12"/>
  <c r="BE324" i="12"/>
  <c r="BE325" i="12"/>
  <c r="BE323" i="12"/>
  <c r="BE330" i="12"/>
  <c r="BA564" i="12"/>
  <c r="BC561" i="12"/>
  <c r="BI285" i="12"/>
  <c r="BI289" i="12" s="1"/>
  <c r="BB564" i="12"/>
  <c r="BD303" i="12"/>
  <c r="BD302" i="12"/>
  <c r="BD308" i="12"/>
  <c r="BD309" i="12"/>
  <c r="BD307" i="12"/>
  <c r="BD304" i="12"/>
  <c r="BD305" i="12"/>
  <c r="BD306" i="12"/>
  <c r="BF257" i="12"/>
  <c r="BH289" i="12"/>
  <c r="BF208" i="12"/>
  <c r="BE712" i="12"/>
  <c r="BE701" i="12" s="1"/>
  <c r="BF526" i="12"/>
  <c r="BF560" i="12" s="1"/>
  <c r="BF531" i="12"/>
  <c r="BF717" i="12" s="1"/>
  <c r="BF706" i="12" s="1"/>
  <c r="BF532" i="12"/>
  <c r="BF718" i="12" s="1"/>
  <c r="BF707" i="12" s="1"/>
  <c r="BF527" i="12"/>
  <c r="BF713" i="12" s="1"/>
  <c r="BF702" i="12" s="1"/>
  <c r="BF530" i="12"/>
  <c r="BF716" i="12" s="1"/>
  <c r="BF705" i="12" s="1"/>
  <c r="BF533" i="12"/>
  <c r="BF719" i="12" s="1"/>
  <c r="BF708" i="12" s="1"/>
  <c r="BF528" i="12"/>
  <c r="BF714" i="12" s="1"/>
  <c r="BF703" i="12" s="1"/>
  <c r="BF529" i="12"/>
  <c r="BF715" i="12" s="1"/>
  <c r="BF704" i="12" s="1"/>
  <c r="BD317" i="12"/>
  <c r="BD315" i="12"/>
  <c r="BD314" i="12"/>
  <c r="BD313" i="12"/>
  <c r="BD320" i="12"/>
  <c r="BD319" i="12"/>
  <c r="BD316" i="12"/>
  <c r="BD318" i="12"/>
  <c r="BE187" i="12"/>
  <c r="BE314" i="12"/>
  <c r="BE320" i="12"/>
  <c r="BE317" i="12"/>
  <c r="BE319" i="12"/>
  <c r="BE318" i="12"/>
  <c r="BE313" i="12"/>
  <c r="BE316" i="12"/>
  <c r="BE315" i="12"/>
  <c r="AJ69" i="6" l="1"/>
  <c r="AJ67" i="6"/>
  <c r="AJ72" i="6" s="1"/>
  <c r="AJ58" i="6"/>
  <c r="AJ63" i="6" s="1"/>
  <c r="AK90" i="6"/>
  <c r="X2" i="7"/>
  <c r="X6" i="7" s="1"/>
  <c r="AJ54" i="6"/>
  <c r="W28" i="7" s="1"/>
  <c r="W25" i="7"/>
  <c r="AA73" i="6"/>
  <c r="Z74" i="6"/>
  <c r="AI72" i="6"/>
  <c r="AI71" i="6"/>
  <c r="AI63" i="6"/>
  <c r="AI62" i="6"/>
  <c r="AB55" i="6"/>
  <c r="AA56" i="6"/>
  <c r="AB64" i="6"/>
  <c r="AA65" i="6"/>
  <c r="AI53" i="6"/>
  <c r="AJ53" i="6" s="1"/>
  <c r="BD559" i="12"/>
  <c r="BD561" i="12" s="1"/>
  <c r="BD563" i="12" s="1"/>
  <c r="AL135" i="6" s="1"/>
  <c r="AL131" i="6" s="1"/>
  <c r="BD85" i="12"/>
  <c r="BD97" i="12" s="1"/>
  <c r="BD83" i="12"/>
  <c r="BD95" i="12" s="1"/>
  <c r="BD82" i="12"/>
  <c r="BD94" i="12" s="1"/>
  <c r="BD79" i="12"/>
  <c r="BD91" i="12" s="1"/>
  <c r="BD86" i="12"/>
  <c r="BD98" i="12" s="1"/>
  <c r="BD84" i="12"/>
  <c r="BD96" i="12" s="1"/>
  <c r="BD80" i="12"/>
  <c r="BD92" i="12" s="1"/>
  <c r="BD81" i="12"/>
  <c r="BD93" i="12" s="1"/>
  <c r="BE306" i="12"/>
  <c r="BE83" i="12" s="1"/>
  <c r="BE95" i="12" s="1"/>
  <c r="BE303" i="12"/>
  <c r="BE80" i="12" s="1"/>
  <c r="BE92" i="12" s="1"/>
  <c r="BE304" i="12"/>
  <c r="BE81" i="12" s="1"/>
  <c r="BE93" i="12" s="1"/>
  <c r="BE309" i="12"/>
  <c r="BE86" i="12" s="1"/>
  <c r="BE98" i="12" s="1"/>
  <c r="BE302" i="12"/>
  <c r="BE79" i="12" s="1"/>
  <c r="BE91" i="12" s="1"/>
  <c r="BE308" i="12"/>
  <c r="BE85" i="12" s="1"/>
  <c r="BE97" i="12" s="1"/>
  <c r="BE307" i="12"/>
  <c r="BE84" i="12" s="1"/>
  <c r="BE96" i="12" s="1"/>
  <c r="BE305" i="12"/>
  <c r="BE82" i="12" s="1"/>
  <c r="BE94" i="12" s="1"/>
  <c r="BF712" i="12"/>
  <c r="BF701" i="12" s="1"/>
  <c r="BF329" i="12"/>
  <c r="BF327" i="12"/>
  <c r="BF330" i="12"/>
  <c r="BF328" i="12"/>
  <c r="BF325" i="12"/>
  <c r="BF326" i="12"/>
  <c r="BF323" i="12"/>
  <c r="BF324" i="12"/>
  <c r="BI339" i="12"/>
  <c r="BI337" i="12"/>
  <c r="BI334" i="12"/>
  <c r="BI335" i="12"/>
  <c r="BI340" i="12"/>
  <c r="BI333" i="12"/>
  <c r="BI336" i="12"/>
  <c r="BI338" i="12"/>
  <c r="BG523" i="12"/>
  <c r="BJ285" i="12"/>
  <c r="BG181" i="12"/>
  <c r="BG187" i="12" s="1"/>
  <c r="BG208" i="12"/>
  <c r="BG212" i="12" s="1"/>
  <c r="BF212" i="12"/>
  <c r="BH340" i="12"/>
  <c r="BH338" i="12"/>
  <c r="BH337" i="12"/>
  <c r="BH339" i="12"/>
  <c r="BH336" i="12"/>
  <c r="BH333" i="12"/>
  <c r="BH334" i="12"/>
  <c r="BH335" i="12"/>
  <c r="BC563" i="12"/>
  <c r="AK135" i="6" s="1"/>
  <c r="AK131" i="6" s="1"/>
  <c r="BC562" i="12"/>
  <c r="AK87" i="6" s="1"/>
  <c r="AK78" i="6" s="1"/>
  <c r="BF187" i="12"/>
  <c r="AJ62" i="6" l="1"/>
  <c r="AJ71" i="6"/>
  <c r="AK51" i="6"/>
  <c r="AK58" i="6"/>
  <c r="AK63" i="6" s="1"/>
  <c r="AK69" i="6"/>
  <c r="AK49" i="6"/>
  <c r="AK53" i="6" s="1"/>
  <c r="AK60" i="6"/>
  <c r="AK67" i="6"/>
  <c r="AK72" i="6" s="1"/>
  <c r="X7" i="7"/>
  <c r="W26" i="7"/>
  <c r="AB56" i="6"/>
  <c r="AC55" i="6"/>
  <c r="AC64" i="6"/>
  <c r="AB65" i="6"/>
  <c r="AB73" i="6"/>
  <c r="AA74" i="6"/>
  <c r="BE559" i="12"/>
  <c r="BE561" i="12" s="1"/>
  <c r="BE562" i="12" s="1"/>
  <c r="AM87" i="6" s="1"/>
  <c r="AM78" i="6" s="1"/>
  <c r="BD99" i="12"/>
  <c r="AL93" i="6" s="1"/>
  <c r="BD562" i="12"/>
  <c r="BC564" i="12"/>
  <c r="BF314" i="12"/>
  <c r="BF319" i="12"/>
  <c r="BF320" i="12"/>
  <c r="BF315" i="12"/>
  <c r="BF313" i="12"/>
  <c r="BF318" i="12"/>
  <c r="BF316" i="12"/>
  <c r="BF317" i="12"/>
  <c r="BK285" i="12"/>
  <c r="BK289" i="12" s="1"/>
  <c r="BH208" i="12"/>
  <c r="BH212" i="12" s="1"/>
  <c r="BJ289" i="12"/>
  <c r="BG305" i="12"/>
  <c r="BG308" i="12"/>
  <c r="BG303" i="12"/>
  <c r="BG304" i="12"/>
  <c r="BG309" i="12"/>
  <c r="BG306" i="12"/>
  <c r="BG307" i="12"/>
  <c r="BG302" i="12"/>
  <c r="BG317" i="12"/>
  <c r="BG316" i="12"/>
  <c r="BG315" i="12"/>
  <c r="BG313" i="12"/>
  <c r="BG318" i="12"/>
  <c r="BG319" i="12"/>
  <c r="BG320" i="12"/>
  <c r="BG314" i="12"/>
  <c r="BG526" i="12"/>
  <c r="BG560" i="12" s="1"/>
  <c r="BG531" i="12"/>
  <c r="BG717" i="12" s="1"/>
  <c r="BG706" i="12" s="1"/>
  <c r="BG532" i="12"/>
  <c r="BG718" i="12" s="1"/>
  <c r="BG707" i="12" s="1"/>
  <c r="BG529" i="12"/>
  <c r="BG715" i="12" s="1"/>
  <c r="BG704" i="12" s="1"/>
  <c r="BG530" i="12"/>
  <c r="BG716" i="12" s="1"/>
  <c r="BG705" i="12" s="1"/>
  <c r="BG527" i="12"/>
  <c r="BG713" i="12" s="1"/>
  <c r="BG702" i="12" s="1"/>
  <c r="BG528" i="12"/>
  <c r="BG714" i="12" s="1"/>
  <c r="BG703" i="12" s="1"/>
  <c r="BG533" i="12"/>
  <c r="BG719" i="12" s="1"/>
  <c r="BG708" i="12" s="1"/>
  <c r="BH523" i="12"/>
  <c r="BF308" i="12"/>
  <c r="BF305" i="12"/>
  <c r="BF303" i="12"/>
  <c r="BF306" i="12"/>
  <c r="BF304" i="12"/>
  <c r="BF307" i="12"/>
  <c r="BF302" i="12"/>
  <c r="BF309" i="12"/>
  <c r="BH181" i="12"/>
  <c r="BE99" i="12"/>
  <c r="AM93" i="6" s="1"/>
  <c r="BG257" i="12"/>
  <c r="AK62" i="6" l="1"/>
  <c r="AM90" i="6"/>
  <c r="AM58" i="6" s="1"/>
  <c r="AM63" i="6" s="1"/>
  <c r="Z2" i="7"/>
  <c r="Z6" i="7" s="1"/>
  <c r="AL90" i="6"/>
  <c r="Y2" i="7"/>
  <c r="Y6" i="7" s="1"/>
  <c r="AM49" i="6"/>
  <c r="AM51" i="6"/>
  <c r="Z7" i="7"/>
  <c r="BD564" i="12"/>
  <c r="AL87" i="6"/>
  <c r="AL78" i="6" s="1"/>
  <c r="X26" i="7"/>
  <c r="AK54" i="6"/>
  <c r="X28" i="7" s="1"/>
  <c r="X25" i="7"/>
  <c r="AK71" i="6"/>
  <c r="AD64" i="6"/>
  <c r="AC65" i="6"/>
  <c r="AD55" i="6"/>
  <c r="AC56" i="6"/>
  <c r="AB74" i="6"/>
  <c r="AC73" i="6"/>
  <c r="BF559" i="12"/>
  <c r="BF561" i="12" s="1"/>
  <c r="BF562" i="12" s="1"/>
  <c r="AN87" i="6" s="1"/>
  <c r="AN78" i="6" s="1"/>
  <c r="BF84" i="12"/>
  <c r="BF96" i="12" s="1"/>
  <c r="BF86" i="12"/>
  <c r="BF98" i="12" s="1"/>
  <c r="BE563" i="12"/>
  <c r="BF83" i="12"/>
  <c r="BF95" i="12" s="1"/>
  <c r="BF81" i="12"/>
  <c r="BF93" i="12" s="1"/>
  <c r="BF79" i="12"/>
  <c r="BF91" i="12" s="1"/>
  <c r="BF80" i="12"/>
  <c r="BF92" i="12" s="1"/>
  <c r="BF85" i="12"/>
  <c r="BF97" i="12" s="1"/>
  <c r="BF82" i="12"/>
  <c r="BF94" i="12" s="1"/>
  <c r="BK338" i="12"/>
  <c r="BK337" i="12"/>
  <c r="BK336" i="12"/>
  <c r="BK339" i="12"/>
  <c r="BK334" i="12"/>
  <c r="BK335" i="12"/>
  <c r="BK333" i="12"/>
  <c r="BK340" i="12"/>
  <c r="BI257" i="12"/>
  <c r="BG323" i="12"/>
  <c r="BG559" i="12" s="1"/>
  <c r="BG328" i="12"/>
  <c r="BG84" i="12" s="1"/>
  <c r="BG96" i="12" s="1"/>
  <c r="BG329" i="12"/>
  <c r="BG85" i="12" s="1"/>
  <c r="BG97" i="12" s="1"/>
  <c r="BG324" i="12"/>
  <c r="BG80" i="12" s="1"/>
  <c r="BG92" i="12" s="1"/>
  <c r="BG327" i="12"/>
  <c r="BG83" i="12" s="1"/>
  <c r="BG95" i="12" s="1"/>
  <c r="BG330" i="12"/>
  <c r="BG86" i="12" s="1"/>
  <c r="BG98" i="12" s="1"/>
  <c r="BG325" i="12"/>
  <c r="BG81" i="12" s="1"/>
  <c r="BG93" i="12" s="1"/>
  <c r="BG326" i="12"/>
  <c r="BG82" i="12" s="1"/>
  <c r="BG94" i="12" s="1"/>
  <c r="BH319" i="12"/>
  <c r="BH314" i="12"/>
  <c r="BH316" i="12"/>
  <c r="BH317" i="12"/>
  <c r="BH315" i="12"/>
  <c r="BH320" i="12"/>
  <c r="BH313" i="12"/>
  <c r="BH318" i="12"/>
  <c r="BH257" i="12"/>
  <c r="BI181" i="12"/>
  <c r="BI187" i="12" s="1"/>
  <c r="BJ523" i="12"/>
  <c r="BI208" i="12"/>
  <c r="BI212" i="12" s="1"/>
  <c r="BJ335" i="12"/>
  <c r="BJ333" i="12"/>
  <c r="BJ338" i="12"/>
  <c r="BJ339" i="12"/>
  <c r="BJ340" i="12"/>
  <c r="BJ334" i="12"/>
  <c r="BJ337" i="12"/>
  <c r="BJ336" i="12"/>
  <c r="BH187" i="12"/>
  <c r="BH531" i="12"/>
  <c r="BH717" i="12" s="1"/>
  <c r="BH706" i="12" s="1"/>
  <c r="BH529" i="12"/>
  <c r="BH715" i="12" s="1"/>
  <c r="BH704" i="12" s="1"/>
  <c r="BH527" i="12"/>
  <c r="BH713" i="12" s="1"/>
  <c r="BH702" i="12" s="1"/>
  <c r="BH532" i="12"/>
  <c r="BH718" i="12" s="1"/>
  <c r="BH707" i="12" s="1"/>
  <c r="BH526" i="12"/>
  <c r="BH560" i="12" s="1"/>
  <c r="BH533" i="12"/>
  <c r="BH719" i="12" s="1"/>
  <c r="BH708" i="12" s="1"/>
  <c r="BH530" i="12"/>
  <c r="BH716" i="12" s="1"/>
  <c r="BH705" i="12" s="1"/>
  <c r="BH528" i="12"/>
  <c r="BH714" i="12" s="1"/>
  <c r="BH703" i="12" s="1"/>
  <c r="BG712" i="12"/>
  <c r="BG701" i="12" s="1"/>
  <c r="BI523" i="12"/>
  <c r="AM60" i="6" l="1"/>
  <c r="AN51" i="6"/>
  <c r="AN49" i="6"/>
  <c r="AA7" i="7"/>
  <c r="AL49" i="6"/>
  <c r="AL60" i="6"/>
  <c r="AL67" i="6"/>
  <c r="AL72" i="6" s="1"/>
  <c r="AL51" i="6"/>
  <c r="AL58" i="6"/>
  <c r="AL69" i="6"/>
  <c r="Y7" i="7"/>
  <c r="AM54" i="6"/>
  <c r="Z28" i="7" s="1"/>
  <c r="Z25" i="7"/>
  <c r="BE564" i="12"/>
  <c r="AM135" i="6"/>
  <c r="AM131" i="6" s="1"/>
  <c r="AE55" i="6"/>
  <c r="AD56" i="6"/>
  <c r="AD73" i="6"/>
  <c r="AC74" i="6"/>
  <c r="AD65" i="6"/>
  <c r="AE64" i="6"/>
  <c r="BF99" i="12"/>
  <c r="AN93" i="6" s="1"/>
  <c r="BF563" i="12"/>
  <c r="BI302" i="12"/>
  <c r="BI303" i="12"/>
  <c r="BI308" i="12"/>
  <c r="BI309" i="12"/>
  <c r="BI306" i="12"/>
  <c r="BI305" i="12"/>
  <c r="BI307" i="12"/>
  <c r="BI304" i="12"/>
  <c r="BI320" i="12"/>
  <c r="BI319" i="12"/>
  <c r="BI317" i="12"/>
  <c r="BI318" i="12"/>
  <c r="BI315" i="12"/>
  <c r="BI316" i="12"/>
  <c r="BI313" i="12"/>
  <c r="BI314" i="12"/>
  <c r="BH712" i="12"/>
  <c r="BH701" i="12" s="1"/>
  <c r="BK523" i="12"/>
  <c r="BG79" i="12"/>
  <c r="BG91" i="12" s="1"/>
  <c r="BG99" i="12" s="1"/>
  <c r="AO93" i="6" s="1"/>
  <c r="BG561" i="12"/>
  <c r="BH303" i="12"/>
  <c r="BH308" i="12"/>
  <c r="BH309" i="12"/>
  <c r="BH304" i="12"/>
  <c r="BH306" i="12"/>
  <c r="BH307" i="12"/>
  <c r="BH305" i="12"/>
  <c r="BH302" i="12"/>
  <c r="BJ532" i="12"/>
  <c r="BJ718" i="12" s="1"/>
  <c r="BJ707" i="12" s="1"/>
  <c r="BJ530" i="12"/>
  <c r="BJ716" i="12" s="1"/>
  <c r="BJ705" i="12" s="1"/>
  <c r="BJ528" i="12"/>
  <c r="BJ714" i="12" s="1"/>
  <c r="BJ703" i="12" s="1"/>
  <c r="BJ527" i="12"/>
  <c r="BJ713" i="12" s="1"/>
  <c r="BJ702" i="12" s="1"/>
  <c r="BJ529" i="12"/>
  <c r="BJ715" i="12" s="1"/>
  <c r="BJ704" i="12" s="1"/>
  <c r="BJ526" i="12"/>
  <c r="BJ560" i="12" s="1"/>
  <c r="BJ533" i="12"/>
  <c r="BJ719" i="12" s="1"/>
  <c r="BJ708" i="12" s="1"/>
  <c r="BJ531" i="12"/>
  <c r="BJ717" i="12" s="1"/>
  <c r="BJ706" i="12" s="1"/>
  <c r="BJ181" i="12"/>
  <c r="BJ187" i="12" s="1"/>
  <c r="BJ257" i="12"/>
  <c r="BI531" i="12"/>
  <c r="BI717" i="12" s="1"/>
  <c r="BI706" i="12" s="1"/>
  <c r="BI528" i="12"/>
  <c r="BI714" i="12" s="1"/>
  <c r="BI703" i="12" s="1"/>
  <c r="BI529" i="12"/>
  <c r="BI715" i="12" s="1"/>
  <c r="BI704" i="12" s="1"/>
  <c r="BI526" i="12"/>
  <c r="BI560" i="12" s="1"/>
  <c r="BI527" i="12"/>
  <c r="BI713" i="12" s="1"/>
  <c r="BI702" i="12" s="1"/>
  <c r="BI532" i="12"/>
  <c r="BI718" i="12" s="1"/>
  <c r="BI707" i="12" s="1"/>
  <c r="BI533" i="12"/>
  <c r="BI719" i="12" s="1"/>
  <c r="BI708" i="12" s="1"/>
  <c r="BI530" i="12"/>
  <c r="BI716" i="12" s="1"/>
  <c r="BI705" i="12" s="1"/>
  <c r="BJ208" i="12"/>
  <c r="BJ212" i="12" s="1"/>
  <c r="BH324" i="12"/>
  <c r="BH327" i="12"/>
  <c r="BH330" i="12"/>
  <c r="BH329" i="12"/>
  <c r="BH328" i="12"/>
  <c r="BH325" i="12"/>
  <c r="BH323" i="12"/>
  <c r="BH326" i="12"/>
  <c r="BI324" i="12"/>
  <c r="BI323" i="12"/>
  <c r="BI330" i="12"/>
  <c r="BI325" i="12"/>
  <c r="BI328" i="12"/>
  <c r="BI326" i="12"/>
  <c r="BI327" i="12"/>
  <c r="BI329" i="12"/>
  <c r="BF564" i="12" l="1"/>
  <c r="AN135" i="6"/>
  <c r="AN131" i="6" s="1"/>
  <c r="AM69" i="6"/>
  <c r="AM67" i="6"/>
  <c r="AM72" i="6" s="1"/>
  <c r="AL71" i="6"/>
  <c r="AN54" i="6"/>
  <c r="AA28" i="7" s="1"/>
  <c r="AA25" i="7"/>
  <c r="AO90" i="6"/>
  <c r="AB2" i="7"/>
  <c r="AB6" i="7" s="1"/>
  <c r="AN90" i="6"/>
  <c r="AA2" i="7"/>
  <c r="AA6" i="7" s="1"/>
  <c r="AL63" i="6"/>
  <c r="AL62" i="6"/>
  <c r="AM62" i="6" s="1"/>
  <c r="AL54" i="6"/>
  <c r="Y28" i="7" s="1"/>
  <c r="Y25" i="7"/>
  <c r="AL53" i="6"/>
  <c r="AE73" i="6"/>
  <c r="AD74" i="6"/>
  <c r="AF64" i="6"/>
  <c r="AE65" i="6"/>
  <c r="AF55" i="6"/>
  <c r="AE56" i="6"/>
  <c r="BI559" i="12"/>
  <c r="BH559" i="12"/>
  <c r="BH561" i="12" s="1"/>
  <c r="BH82" i="12"/>
  <c r="BH94" i="12" s="1"/>
  <c r="BH83" i="12"/>
  <c r="BH95" i="12" s="1"/>
  <c r="BI82" i="12"/>
  <c r="BI94" i="12" s="1"/>
  <c r="BH81" i="12"/>
  <c r="BH93" i="12" s="1"/>
  <c r="BI81" i="12"/>
  <c r="BI93" i="12" s="1"/>
  <c r="BI83" i="12"/>
  <c r="BI95" i="12" s="1"/>
  <c r="BH86" i="12"/>
  <c r="BH98" i="12" s="1"/>
  <c r="BH80" i="12"/>
  <c r="BH92" i="12" s="1"/>
  <c r="BI85" i="12"/>
  <c r="BI97" i="12" s="1"/>
  <c r="BH85" i="12"/>
  <c r="BH97" i="12" s="1"/>
  <c r="BK532" i="12"/>
  <c r="BK718" i="12" s="1"/>
  <c r="BK707" i="12" s="1"/>
  <c r="BK527" i="12"/>
  <c r="BK713" i="12" s="1"/>
  <c r="BK702" i="12" s="1"/>
  <c r="BK530" i="12"/>
  <c r="BK716" i="12" s="1"/>
  <c r="BK705" i="12" s="1"/>
  <c r="BK533" i="12"/>
  <c r="BK719" i="12" s="1"/>
  <c r="BK708" i="12" s="1"/>
  <c r="BK528" i="12"/>
  <c r="BK714" i="12" s="1"/>
  <c r="BK703" i="12" s="1"/>
  <c r="BK531" i="12"/>
  <c r="BK717" i="12" s="1"/>
  <c r="BK706" i="12" s="1"/>
  <c r="BK526" i="12"/>
  <c r="BK560" i="12" s="1"/>
  <c r="BK529" i="12"/>
  <c r="BK715" i="12" s="1"/>
  <c r="BK704" i="12" s="1"/>
  <c r="BI86" i="12"/>
  <c r="BI98" i="12" s="1"/>
  <c r="BH79" i="12"/>
  <c r="BH91" i="12" s="1"/>
  <c r="BK208" i="12"/>
  <c r="BK212" i="12" s="1"/>
  <c r="BK181" i="12"/>
  <c r="BK187" i="12" s="1"/>
  <c r="BJ316" i="12"/>
  <c r="BJ317" i="12"/>
  <c r="BJ315" i="12"/>
  <c r="BJ314" i="12"/>
  <c r="BJ313" i="12"/>
  <c r="BJ320" i="12"/>
  <c r="BJ319" i="12"/>
  <c r="BJ318" i="12"/>
  <c r="BJ306" i="12"/>
  <c r="BJ304" i="12"/>
  <c r="BJ305" i="12"/>
  <c r="BJ302" i="12"/>
  <c r="BJ307" i="12"/>
  <c r="BJ308" i="12"/>
  <c r="BJ303" i="12"/>
  <c r="BJ309" i="12"/>
  <c r="BJ712" i="12"/>
  <c r="BJ701" i="12" s="1"/>
  <c r="BI712" i="12"/>
  <c r="BI701" i="12" s="1"/>
  <c r="BI79" i="12" s="1"/>
  <c r="BI91" i="12" s="1"/>
  <c r="BK257" i="12"/>
  <c r="BG562" i="12"/>
  <c r="AO87" i="6" s="1"/>
  <c r="AO78" i="6" s="1"/>
  <c r="BG563" i="12"/>
  <c r="AO135" i="6" s="1"/>
  <c r="AO131" i="6" s="1"/>
  <c r="BI84" i="12"/>
  <c r="BI96" i="12" s="1"/>
  <c r="BI80" i="12"/>
  <c r="BI92" i="12" s="1"/>
  <c r="BH84" i="12"/>
  <c r="BH96" i="12" s="1"/>
  <c r="BJ327" i="12"/>
  <c r="BJ328" i="12"/>
  <c r="BJ326" i="12"/>
  <c r="BJ325" i="12"/>
  <c r="BJ324" i="12"/>
  <c r="BJ323" i="12"/>
  <c r="BJ330" i="12"/>
  <c r="BJ329" i="12"/>
  <c r="AM53" i="6" l="1"/>
  <c r="Y26" i="7"/>
  <c r="AO51" i="6"/>
  <c r="AO58" i="6"/>
  <c r="AO63" i="6" s="1"/>
  <c r="AO69" i="6"/>
  <c r="AO67" i="6"/>
  <c r="AO72" i="6" s="1"/>
  <c r="AO49" i="6"/>
  <c r="AO60" i="6"/>
  <c r="AB7" i="7"/>
  <c r="AN60" i="6"/>
  <c r="AN58" i="6"/>
  <c r="AN63" i="6" s="1"/>
  <c r="AN67" i="6"/>
  <c r="AN72" i="6" s="1"/>
  <c r="AN69" i="6"/>
  <c r="AM71" i="6"/>
  <c r="AG64" i="6"/>
  <c r="AF65" i="6"/>
  <c r="AF56" i="6"/>
  <c r="AG55" i="6"/>
  <c r="AF73" i="6"/>
  <c r="AE74" i="6"/>
  <c r="BJ559" i="12"/>
  <c r="BJ561" i="12" s="1"/>
  <c r="BJ85" i="12"/>
  <c r="BJ97" i="12" s="1"/>
  <c r="BJ81" i="12"/>
  <c r="BJ93" i="12" s="1"/>
  <c r="BJ86" i="12"/>
  <c r="BJ98" i="12" s="1"/>
  <c r="BJ80" i="12"/>
  <c r="BJ92" i="12" s="1"/>
  <c r="BG564" i="12"/>
  <c r="BI99" i="12"/>
  <c r="AQ93" i="6" s="1"/>
  <c r="BK327" i="12"/>
  <c r="BK324" i="12"/>
  <c r="BK325" i="12"/>
  <c r="BK330" i="12"/>
  <c r="BK323" i="12"/>
  <c r="BK326" i="12"/>
  <c r="BK329" i="12"/>
  <c r="BK328" i="12"/>
  <c r="BK317" i="12"/>
  <c r="BK314" i="12"/>
  <c r="BK315" i="12"/>
  <c r="BK316" i="12"/>
  <c r="BK313" i="12"/>
  <c r="BK319" i="12"/>
  <c r="BK318" i="12"/>
  <c r="BK320" i="12"/>
  <c r="BJ82" i="12"/>
  <c r="BJ94" i="12" s="1"/>
  <c r="BI561" i="12"/>
  <c r="BK307" i="12"/>
  <c r="BK304" i="12"/>
  <c r="BK305" i="12"/>
  <c r="BK306" i="12"/>
  <c r="BK303" i="12"/>
  <c r="BK302" i="12"/>
  <c r="BK309" i="12"/>
  <c r="BK308" i="12"/>
  <c r="BH563" i="12"/>
  <c r="AP135" i="6" s="1"/>
  <c r="AP131" i="6" s="1"/>
  <c r="BH562" i="12"/>
  <c r="AP87" i="6" s="1"/>
  <c r="AP78" i="6" s="1"/>
  <c r="BK712" i="12"/>
  <c r="BK701" i="12" s="1"/>
  <c r="BJ79" i="12"/>
  <c r="BJ91" i="12" s="1"/>
  <c r="BJ84" i="12"/>
  <c r="BJ96" i="12" s="1"/>
  <c r="BH99" i="12"/>
  <c r="AP93" i="6" s="1"/>
  <c r="BJ83" i="12"/>
  <c r="BJ95" i="12" s="1"/>
  <c r="AN71" i="6" l="1"/>
  <c r="AO71" i="6" s="1"/>
  <c r="AN62" i="6"/>
  <c r="AO62" i="6" s="1"/>
  <c r="AO54" i="6"/>
  <c r="AB28" i="7" s="1"/>
  <c r="AB25" i="7"/>
  <c r="AP90" i="6"/>
  <c r="AP58" i="6" s="1"/>
  <c r="AP63" i="6" s="1"/>
  <c r="AC2" i="7"/>
  <c r="AC6" i="7" s="1"/>
  <c r="AP49" i="6"/>
  <c r="AP51" i="6"/>
  <c r="AC7" i="7"/>
  <c r="AQ90" i="6"/>
  <c r="AD2" i="7"/>
  <c r="AD6" i="7" s="1"/>
  <c r="AN53" i="6"/>
  <c r="Z26" i="7"/>
  <c r="AH55" i="6"/>
  <c r="AG56" i="6"/>
  <c r="AF74" i="6"/>
  <c r="AG73" i="6"/>
  <c r="AH64" i="6"/>
  <c r="AG65" i="6"/>
  <c r="BK559" i="12"/>
  <c r="BK561" i="12" s="1"/>
  <c r="BH564" i="12"/>
  <c r="BK84" i="12"/>
  <c r="BK96" i="12" s="1"/>
  <c r="BJ99" i="12"/>
  <c r="AR93" i="6" s="1"/>
  <c r="BK85" i="12"/>
  <c r="BK97" i="12" s="1"/>
  <c r="BK81" i="12"/>
  <c r="BK93" i="12" s="1"/>
  <c r="BJ562" i="12"/>
  <c r="AR87" i="6" s="1"/>
  <c r="AR78" i="6" s="1"/>
  <c r="BJ563" i="12"/>
  <c r="AR135" i="6" s="1"/>
  <c r="AR131" i="6" s="1"/>
  <c r="BK86" i="12"/>
  <c r="BK98" i="12" s="1"/>
  <c r="BI563" i="12"/>
  <c r="AQ135" i="6" s="1"/>
  <c r="AQ131" i="6" s="1"/>
  <c r="BI562" i="12"/>
  <c r="AQ87" i="6" s="1"/>
  <c r="AQ78" i="6" s="1"/>
  <c r="BK82" i="12"/>
  <c r="BK94" i="12" s="1"/>
  <c r="BK80" i="12"/>
  <c r="BK92" i="12" s="1"/>
  <c r="BK79" i="12"/>
  <c r="BK91" i="12" s="1"/>
  <c r="BK83" i="12"/>
  <c r="BK95" i="12" s="1"/>
  <c r="AP67" i="6" l="1"/>
  <c r="AP72" i="6" s="1"/>
  <c r="AP69" i="6"/>
  <c r="AP60" i="6"/>
  <c r="AO53" i="6"/>
  <c r="AA26" i="7"/>
  <c r="AP62" i="6"/>
  <c r="AP54" i="6"/>
  <c r="AC28" i="7" s="1"/>
  <c r="AC25" i="7"/>
  <c r="AR90" i="6"/>
  <c r="AR60" i="6" s="1"/>
  <c r="AE2" i="7"/>
  <c r="AE6" i="7" s="1"/>
  <c r="AQ49" i="6"/>
  <c r="AQ60" i="6"/>
  <c r="AQ67" i="6"/>
  <c r="AQ72" i="6" s="1"/>
  <c r="AQ51" i="6"/>
  <c r="AQ69" i="6"/>
  <c r="AQ58" i="6"/>
  <c r="AQ63" i="6" s="1"/>
  <c r="AD7" i="7"/>
  <c r="AR51" i="6"/>
  <c r="AR49" i="6"/>
  <c r="AE7" i="7"/>
  <c r="AP71" i="6"/>
  <c r="AH73" i="6"/>
  <c r="AG74" i="6"/>
  <c r="AH65" i="6"/>
  <c r="AI64" i="6"/>
  <c r="AI55" i="6"/>
  <c r="AH56" i="6"/>
  <c r="BK99" i="12"/>
  <c r="AS93" i="6" s="1"/>
  <c r="BI564" i="12"/>
  <c r="BJ564" i="12"/>
  <c r="BK563" i="12"/>
  <c r="AS135" i="6" s="1"/>
  <c r="AS131" i="6" s="1"/>
  <c r="BK562" i="12"/>
  <c r="AS87" i="6" s="1"/>
  <c r="AS78" i="6" s="1"/>
  <c r="AR67" i="6" l="1"/>
  <c r="AR72" i="6" s="1"/>
  <c r="AR58" i="6"/>
  <c r="AR63" i="6" s="1"/>
  <c r="AQ71" i="6"/>
  <c r="AR69" i="6"/>
  <c r="AQ54" i="6"/>
  <c r="AD28" i="7" s="1"/>
  <c r="AD25" i="7"/>
  <c r="AI56" i="6"/>
  <c r="AJ55" i="6"/>
  <c r="AQ62" i="6"/>
  <c r="AI65" i="6"/>
  <c r="AJ64" i="6"/>
  <c r="AR54" i="6"/>
  <c r="AE28" i="7" s="1"/>
  <c r="AE25" i="7"/>
  <c r="AS51" i="6"/>
  <c r="AS49" i="6"/>
  <c r="AF7" i="7"/>
  <c r="AS90" i="6"/>
  <c r="AS69" i="6" s="1"/>
  <c r="AF2" i="7"/>
  <c r="AF6" i="7" s="1"/>
  <c r="AP53" i="6"/>
  <c r="AB26" i="7"/>
  <c r="AI73" i="6"/>
  <c r="AH74" i="6"/>
  <c r="BK564" i="12"/>
  <c r="AR71" i="6" l="1"/>
  <c r="AR62" i="6"/>
  <c r="AQ53" i="6"/>
  <c r="AC26" i="7"/>
  <c r="AS60" i="6"/>
  <c r="AS58" i="6"/>
  <c r="AS63" i="6" s="1"/>
  <c r="AK55" i="6"/>
  <c r="AJ56" i="6"/>
  <c r="W29" i="7"/>
  <c r="AS54" i="6"/>
  <c r="AF28" i="7" s="1"/>
  <c r="AF25" i="7"/>
  <c r="AJ65" i="6"/>
  <c r="AK64" i="6"/>
  <c r="AI74" i="6"/>
  <c r="AJ73" i="6"/>
  <c r="AS67" i="6"/>
  <c r="AS72" i="6" s="1"/>
  <c r="AS62" i="6" l="1"/>
  <c r="AL64" i="6"/>
  <c r="AK65" i="6"/>
  <c r="AK73" i="6"/>
  <c r="AJ74" i="6"/>
  <c r="AL55" i="6"/>
  <c r="AK56" i="6"/>
  <c r="X29" i="7"/>
  <c r="AS71" i="6"/>
  <c r="AR53" i="6"/>
  <c r="AD26" i="7"/>
  <c r="AL73" i="6" l="1"/>
  <c r="AK74" i="6"/>
  <c r="AS53" i="6"/>
  <c r="AF26" i="7" s="1"/>
  <c r="AE26" i="7"/>
  <c r="AL56" i="6"/>
  <c r="AM55" i="6"/>
  <c r="Y29" i="7"/>
  <c r="AM64" i="6"/>
  <c r="AL65" i="6"/>
  <c r="AN64" i="6" l="1"/>
  <c r="AM65" i="6"/>
  <c r="AN55" i="6"/>
  <c r="AM56" i="6"/>
  <c r="Z29" i="7"/>
  <c r="AL74" i="6"/>
  <c r="AM73" i="6"/>
  <c r="AO55" i="6" l="1"/>
  <c r="AN56" i="6"/>
  <c r="AA29" i="7"/>
  <c r="AN73" i="6"/>
  <c r="AM74" i="6"/>
  <c r="AN65" i="6"/>
  <c r="AO64" i="6"/>
  <c r="AO73" i="6" l="1"/>
  <c r="AN74" i="6"/>
  <c r="AP64" i="6"/>
  <c r="AO65" i="6"/>
  <c r="AP55" i="6"/>
  <c r="AO56" i="6"/>
  <c r="AB29" i="7"/>
  <c r="AQ64" i="6" l="1"/>
  <c r="AP65" i="6"/>
  <c r="AP56" i="6"/>
  <c r="AQ55" i="6"/>
  <c r="AC29" i="7"/>
  <c r="AP73" i="6"/>
  <c r="AO74" i="6"/>
  <c r="AR55" i="6" l="1"/>
  <c r="AQ56" i="6"/>
  <c r="AD29" i="7"/>
  <c r="AP74" i="6"/>
  <c r="AQ73" i="6"/>
  <c r="AR64" i="6"/>
  <c r="AQ65" i="6"/>
  <c r="AR65" i="6" l="1"/>
  <c r="AS64" i="6"/>
  <c r="AS65" i="6" s="1"/>
  <c r="AR73" i="6"/>
  <c r="AQ74" i="6"/>
  <c r="AS55" i="6"/>
  <c r="AR56" i="6"/>
  <c r="AE29" i="7"/>
  <c r="AS73" i="6" l="1"/>
  <c r="AS74" i="6" s="1"/>
  <c r="AR74" i="6"/>
  <c r="AS56" i="6"/>
  <c r="AF29" i="7"/>
  <c r="A1" i="8" s="1" a="1"/>
  <c r="U38" i="8" l="1"/>
  <c r="E30" i="8"/>
  <c r="S21" i="8"/>
  <c r="M12" i="8"/>
  <c r="S3" i="8"/>
  <c r="U40" i="8"/>
  <c r="E32" i="8"/>
  <c r="S23" i="8"/>
  <c r="Q14" i="8"/>
  <c r="S5" i="8"/>
  <c r="K37" i="8"/>
  <c r="Y28" i="8"/>
  <c r="W19" i="8"/>
  <c r="Y10" i="8"/>
  <c r="I2" i="8"/>
  <c r="W37" i="8"/>
  <c r="G29" i="8"/>
  <c r="U20" i="8"/>
  <c r="W11" i="8"/>
  <c r="C1" i="8"/>
  <c r="T34" i="8"/>
  <c r="I40" i="8"/>
  <c r="W31" i="8"/>
  <c r="G23" i="8"/>
  <c r="E14" i="8"/>
  <c r="G5" i="8"/>
  <c r="I42" i="8"/>
  <c r="W33" i="8"/>
  <c r="G25" i="8"/>
  <c r="E16" i="8"/>
  <c r="G7" i="8"/>
  <c r="AC38" i="8"/>
  <c r="M30" i="8"/>
  <c r="K21" i="8"/>
  <c r="U12" i="8"/>
  <c r="AA3" i="8"/>
  <c r="K39" i="8"/>
  <c r="Y30" i="8"/>
  <c r="I22" i="8"/>
  <c r="W13" i="8"/>
  <c r="Y4" i="8"/>
  <c r="H36" i="8"/>
  <c r="AA41" i="8"/>
  <c r="K33" i="8"/>
  <c r="K41" i="8"/>
  <c r="W15" i="8"/>
  <c r="AA43" i="8"/>
  <c r="Y26" i="8"/>
  <c r="Y8" i="8"/>
  <c r="A32" i="8"/>
  <c r="M14" i="8"/>
  <c r="AC40" i="8"/>
  <c r="AA23" i="8"/>
  <c r="M6" i="8"/>
  <c r="J29" i="8"/>
  <c r="X20" i="8"/>
  <c r="H12" i="8"/>
  <c r="R3" i="8"/>
  <c r="C38" i="8"/>
  <c r="Q29" i="8"/>
  <c r="V37" i="8"/>
  <c r="F29" i="8"/>
  <c r="T20" i="8"/>
  <c r="N11" i="8"/>
  <c r="AB2" i="8"/>
  <c r="B37" i="8"/>
  <c r="A20" i="8"/>
  <c r="A2" i="8"/>
  <c r="Q30" i="8"/>
  <c r="Y12" i="8"/>
  <c r="W35" i="8"/>
  <c r="E18" i="8"/>
  <c r="V43" i="8"/>
  <c r="U22" i="8"/>
  <c r="U4" i="8"/>
  <c r="G33" i="8"/>
  <c r="S15" i="8"/>
  <c r="M38" i="8"/>
  <c r="Y20" i="8"/>
  <c r="K3" i="8"/>
  <c r="C13" i="8"/>
  <c r="K29" i="8"/>
  <c r="A26" i="8"/>
  <c r="E2" i="8"/>
  <c r="P24" i="8"/>
  <c r="J13" i="8"/>
  <c r="AD1" i="8"/>
  <c r="I33" i="8"/>
  <c r="AD12" i="8"/>
  <c r="Q36" i="8"/>
  <c r="A28" i="8"/>
  <c r="O19" i="8"/>
  <c r="A10" i="8"/>
  <c r="O1" i="8"/>
  <c r="Q38" i="8"/>
  <c r="A30" i="8"/>
  <c r="O21" i="8"/>
  <c r="E12" i="8"/>
  <c r="W43" i="8"/>
  <c r="G35" i="8"/>
  <c r="U26" i="8"/>
  <c r="S17" i="8"/>
  <c r="U8" i="8"/>
  <c r="F43" i="8"/>
  <c r="S35" i="8"/>
  <c r="C27" i="8"/>
  <c r="Q18" i="8"/>
  <c r="S9" i="8"/>
  <c r="B41" i="8"/>
  <c r="P32" i="8"/>
  <c r="E38" i="8"/>
  <c r="S29" i="8"/>
  <c r="C21" i="8"/>
  <c r="S11" i="8"/>
  <c r="C3" i="8"/>
  <c r="E40" i="8"/>
  <c r="S31" i="8"/>
  <c r="C23" i="8"/>
  <c r="A14" i="8"/>
  <c r="C5" i="8"/>
  <c r="Y36" i="8"/>
  <c r="I28" i="8"/>
  <c r="G19" i="8"/>
  <c r="I10" i="8"/>
  <c r="W1" i="8"/>
  <c r="G37" i="8"/>
  <c r="U28" i="8"/>
  <c r="E20" i="8"/>
  <c r="G11" i="8"/>
  <c r="B43" i="8"/>
  <c r="D34" i="8"/>
  <c r="W39" i="8"/>
  <c r="G31" i="8"/>
  <c r="Y32" i="8"/>
  <c r="C11" i="8"/>
  <c r="S39" i="8"/>
  <c r="Q22" i="8"/>
  <c r="Q4" i="8"/>
  <c r="W27" i="8"/>
  <c r="W9" i="8"/>
  <c r="U36" i="8"/>
  <c r="S19" i="8"/>
  <c r="H42" i="8"/>
  <c r="F27" i="8"/>
  <c r="T18" i="8"/>
  <c r="AD9" i="8"/>
  <c r="N1" i="8"/>
  <c r="AC35" i="8"/>
  <c r="AC2" i="8"/>
  <c r="R35" i="8"/>
  <c r="B27" i="8"/>
  <c r="P18" i="8"/>
  <c r="J9" i="8"/>
  <c r="S1" i="8"/>
  <c r="G39" i="8"/>
  <c r="G15" i="8"/>
  <c r="K43" i="8"/>
  <c r="I26" i="8"/>
  <c r="I8" i="8"/>
  <c r="O31" i="8"/>
  <c r="AA13" i="8"/>
  <c r="M40" i="8"/>
  <c r="M18" i="8"/>
  <c r="N43" i="8"/>
  <c r="AC28" i="8"/>
  <c r="AC10" i="8"/>
  <c r="E34" i="8"/>
  <c r="Q16" i="8"/>
  <c r="C43" i="8"/>
  <c r="G41" i="8"/>
  <c r="K11" i="8"/>
  <c r="G21" i="8"/>
  <c r="J37" i="8"/>
  <c r="Z21" i="8"/>
  <c r="P10" i="8"/>
  <c r="Y41" i="8"/>
  <c r="AC42" i="8"/>
  <c r="M34" i="8"/>
  <c r="AA25" i="8"/>
  <c r="Y16" i="8"/>
  <c r="AA7" i="8"/>
  <c r="L42" i="8"/>
  <c r="M36" i="8"/>
  <c r="AA27" i="8"/>
  <c r="Y18" i="8"/>
  <c r="AA9" i="8"/>
  <c r="S41" i="8"/>
  <c r="C33" i="8"/>
  <c r="Q24" i="8"/>
  <c r="O15" i="8"/>
  <c r="Q6" i="8"/>
  <c r="A42" i="8"/>
  <c r="O33" i="8"/>
  <c r="AC24" i="8"/>
  <c r="M16" i="8"/>
  <c r="O7" i="8"/>
  <c r="AB38" i="8"/>
  <c r="L30" i="8"/>
  <c r="A36" i="8"/>
  <c r="O27" i="8"/>
  <c r="AC18" i="8"/>
  <c r="O9" i="8"/>
  <c r="AD43" i="8"/>
  <c r="A38" i="8"/>
  <c r="O29" i="8"/>
  <c r="AC20" i="8"/>
  <c r="O11" i="8"/>
  <c r="G43" i="8"/>
  <c r="U34" i="8"/>
  <c r="E26" i="8"/>
  <c r="C17" i="8"/>
  <c r="E8" i="8"/>
  <c r="S43" i="8"/>
  <c r="C35" i="8"/>
  <c r="Q26" i="8"/>
  <c r="A18" i="8"/>
  <c r="C9" i="8"/>
  <c r="P40" i="8"/>
  <c r="AD31" i="8"/>
  <c r="S37" i="8"/>
  <c r="C29" i="8"/>
  <c r="Y24" i="8"/>
  <c r="Y6" i="8"/>
  <c r="K35" i="8"/>
  <c r="W17" i="8"/>
  <c r="Q40" i="8"/>
  <c r="O23" i="8"/>
  <c r="O5" i="8"/>
  <c r="M32" i="8"/>
  <c r="K15" i="8"/>
  <c r="Z37" i="8"/>
  <c r="B25" i="8"/>
  <c r="P16" i="8"/>
  <c r="Z7" i="8"/>
  <c r="K42" i="8"/>
  <c r="Y33" i="8"/>
  <c r="D42" i="8"/>
  <c r="N33" i="8"/>
  <c r="AB24" i="8"/>
  <c r="Z15" i="8"/>
  <c r="F7" i="8"/>
  <c r="J41" i="8"/>
  <c r="U30" i="8"/>
  <c r="Q10" i="8"/>
  <c r="C39" i="8"/>
  <c r="A22" i="8"/>
  <c r="A4" i="8"/>
  <c r="G27" i="8"/>
  <c r="G9" i="8"/>
  <c r="C37" i="8"/>
  <c r="S13" i="8"/>
  <c r="W41" i="8"/>
  <c r="U24" i="8"/>
  <c r="U6" i="8"/>
  <c r="AA29" i="8"/>
  <c r="A12" i="8"/>
  <c r="Y38" i="8"/>
  <c r="E24" i="8"/>
  <c r="I38" i="8"/>
  <c r="Y14" i="8"/>
  <c r="N31" i="8"/>
  <c r="U14" i="8"/>
  <c r="W25" i="8"/>
  <c r="AC30" i="8"/>
  <c r="AA39" i="8"/>
  <c r="K5" i="8"/>
  <c r="K25" i="8"/>
  <c r="AA35" i="8"/>
  <c r="C41" i="8"/>
  <c r="A6" i="8"/>
  <c r="AA15" i="8"/>
  <c r="O35" i="8"/>
  <c r="C31" i="8"/>
  <c r="G1" i="8"/>
  <c r="AB22" i="8"/>
  <c r="U31" i="8"/>
  <c r="V13" i="8"/>
  <c r="I6" i="8"/>
  <c r="AC22" i="8"/>
  <c r="O37" i="8"/>
  <c r="S7" i="8"/>
  <c r="Q8" i="8"/>
  <c r="J7" i="8"/>
  <c r="S30" i="8"/>
  <c r="D36" i="8"/>
  <c r="L24" i="8"/>
  <c r="T12" i="8"/>
  <c r="U2" i="8"/>
  <c r="J33" i="8"/>
  <c r="X24" i="8"/>
  <c r="V15" i="8"/>
  <c r="B7" i="8"/>
  <c r="F41" i="8"/>
  <c r="T32" i="8"/>
  <c r="D24" i="8"/>
  <c r="B15" i="8"/>
  <c r="L6" i="8"/>
  <c r="W42" i="8"/>
  <c r="I31" i="8"/>
  <c r="M23" i="8"/>
  <c r="K6" i="8"/>
  <c r="F24" i="8"/>
  <c r="X5" i="8"/>
  <c r="C24" i="8"/>
  <c r="V1" i="8"/>
  <c r="O32" i="8"/>
  <c r="I25" i="8"/>
  <c r="E7" i="8"/>
  <c r="AD24" i="8"/>
  <c r="T7" i="8"/>
  <c r="E35" i="8"/>
  <c r="J30" i="8"/>
  <c r="K19" i="8"/>
  <c r="E36" i="8"/>
  <c r="G13" i="8"/>
  <c r="AB30" i="8"/>
  <c r="D18" i="8"/>
  <c r="X6" i="8"/>
  <c r="S38" i="8"/>
  <c r="AA1" i="8"/>
  <c r="L32" i="8"/>
  <c r="F21" i="8"/>
  <c r="X8" i="8"/>
  <c r="H40" i="8"/>
  <c r="T30" i="8"/>
  <c r="D22" i="8"/>
  <c r="B13" i="8"/>
  <c r="L4" i="8"/>
  <c r="P38" i="8"/>
  <c r="AD29" i="8"/>
  <c r="AB20" i="8"/>
  <c r="L12" i="8"/>
  <c r="V3" i="8"/>
  <c r="A39" i="8"/>
  <c r="B42" i="8"/>
  <c r="C18" i="8"/>
  <c r="P43" i="8"/>
  <c r="X17" i="8"/>
  <c r="L43" i="8"/>
  <c r="U17" i="8"/>
  <c r="K40" i="8"/>
  <c r="AA28" i="8"/>
  <c r="AC19" i="8"/>
  <c r="Y1" i="8"/>
  <c r="T19" i="8"/>
  <c r="I43" i="8"/>
  <c r="Q31" i="8"/>
  <c r="AC23" i="8"/>
  <c r="Y5" i="8"/>
  <c r="T23" i="8"/>
  <c r="J6" i="8"/>
  <c r="G34" i="8"/>
  <c r="AC27" i="8"/>
  <c r="AA10" i="8"/>
  <c r="E4" i="8"/>
  <c r="I20" i="8"/>
  <c r="K23" i="8"/>
  <c r="AD39" i="8"/>
  <c r="N23" i="8"/>
  <c r="R11" i="8"/>
  <c r="M43" i="8"/>
  <c r="G32" i="8"/>
  <c r="F37" i="8"/>
  <c r="AD25" i="8"/>
  <c r="H14" i="8"/>
  <c r="L2" i="8"/>
  <c r="L34" i="8"/>
  <c r="Z25" i="8"/>
  <c r="X16" i="8"/>
  <c r="D8" i="8"/>
  <c r="P42" i="8"/>
  <c r="V33" i="8"/>
  <c r="F25" i="8"/>
  <c r="D16" i="8"/>
  <c r="N7" i="8"/>
  <c r="Z1" i="8"/>
  <c r="S32" i="8"/>
  <c r="Q25" i="8"/>
  <c r="O8" i="8"/>
  <c r="J26" i="8"/>
  <c r="AB7" i="8"/>
  <c r="G26" i="8"/>
  <c r="Y7" i="8"/>
  <c r="AC33" i="8"/>
  <c r="M27" i="8"/>
  <c r="I9" i="8"/>
  <c r="D27" i="8"/>
  <c r="X9" i="8"/>
  <c r="S36" i="8"/>
  <c r="R34" i="8"/>
  <c r="S27" i="8"/>
  <c r="P2" i="8"/>
  <c r="L16" i="8"/>
  <c r="L18" i="8"/>
  <c r="X26" i="8"/>
  <c r="W34" i="8"/>
  <c r="D11" i="8"/>
  <c r="AD32" i="8"/>
  <c r="W38" i="8"/>
  <c r="E11" i="8"/>
  <c r="R22" i="8"/>
  <c r="M41" i="8"/>
  <c r="J38" i="8"/>
  <c r="Y9" i="8"/>
  <c r="P25" i="8"/>
  <c r="AB3" i="8"/>
  <c r="K16" i="8"/>
  <c r="H35" i="8"/>
  <c r="T13" i="8"/>
  <c r="V40" i="8"/>
  <c r="Q11" i="8"/>
  <c r="J28" i="8"/>
  <c r="AB9" i="8"/>
  <c r="G18" i="8"/>
  <c r="B6" i="8"/>
  <c r="E17" i="8"/>
  <c r="J36" i="8"/>
  <c r="H15" i="8"/>
  <c r="T39" i="8"/>
  <c r="T25" i="8"/>
  <c r="N10" i="8"/>
  <c r="A16" i="8"/>
  <c r="B11" i="8"/>
  <c r="N25" i="8"/>
  <c r="J25" i="8"/>
  <c r="F33" i="8"/>
  <c r="Y43" i="8"/>
  <c r="H25" i="8"/>
  <c r="E33" i="8"/>
  <c r="V8" i="8"/>
  <c r="M15" i="8"/>
  <c r="Y40" i="8"/>
  <c r="W5" i="8"/>
  <c r="U16" i="8"/>
  <c r="M22" i="8"/>
  <c r="K31" i="8"/>
  <c r="X36" i="8"/>
  <c r="I16" i="8"/>
  <c r="K27" i="8"/>
  <c r="Q32" i="8"/>
  <c r="O41" i="8"/>
  <c r="AC6" i="8"/>
  <c r="AC26" i="8"/>
  <c r="O13" i="8"/>
  <c r="E28" i="8"/>
  <c r="L14" i="8"/>
  <c r="Z39" i="8"/>
  <c r="B5" i="8"/>
  <c r="Y34" i="8"/>
  <c r="AC4" i="8"/>
  <c r="M20" i="8"/>
  <c r="AC34" i="8"/>
  <c r="V27" i="8"/>
  <c r="T4" i="8"/>
  <c r="I4" i="8"/>
  <c r="AB32" i="8"/>
  <c r="V21" i="8"/>
  <c r="Z9" i="8"/>
  <c r="X40" i="8"/>
  <c r="F31" i="8"/>
  <c r="T22" i="8"/>
  <c r="R13" i="8"/>
  <c r="AB4" i="8"/>
  <c r="B39" i="8"/>
  <c r="P30" i="8"/>
  <c r="N21" i="8"/>
  <c r="AB12" i="8"/>
  <c r="H4" i="8"/>
  <c r="Y39" i="8"/>
  <c r="K28" i="8"/>
  <c r="E19" i="8"/>
  <c r="C2" i="8"/>
  <c r="Z18" i="8"/>
  <c r="P1" i="8"/>
  <c r="W18" i="8"/>
  <c r="A41" i="8"/>
  <c r="U29" i="8"/>
  <c r="A21" i="8"/>
  <c r="AA2" i="8"/>
  <c r="V20" i="8"/>
  <c r="J1" i="8"/>
  <c r="K32" i="8"/>
  <c r="M26" i="8"/>
  <c r="E42" i="8"/>
  <c r="I30" i="8"/>
  <c r="A8" i="8"/>
  <c r="T26" i="8"/>
  <c r="N15" i="8"/>
  <c r="D4" i="8"/>
  <c r="M35" i="8"/>
  <c r="AB40" i="8"/>
  <c r="V29" i="8"/>
  <c r="N17" i="8"/>
  <c r="D6" i="8"/>
  <c r="R37" i="8"/>
  <c r="P28" i="8"/>
  <c r="N19" i="8"/>
  <c r="X10" i="8"/>
  <c r="H2" i="8"/>
  <c r="L36" i="8"/>
  <c r="Z27" i="8"/>
  <c r="X18" i="8"/>
  <c r="D10" i="8"/>
  <c r="R1" i="8"/>
  <c r="G36" i="8"/>
  <c r="P33" i="8"/>
  <c r="Y13" i="8"/>
  <c r="AD34" i="8"/>
  <c r="P13" i="8"/>
  <c r="Z34" i="8"/>
  <c r="M13" i="8"/>
  <c r="M37" i="8"/>
  <c r="H37" i="8"/>
  <c r="S14" i="8"/>
  <c r="R36" i="8"/>
  <c r="L15" i="8"/>
  <c r="C40" i="8"/>
  <c r="W28" i="8"/>
  <c r="S18" i="8"/>
  <c r="Q1" i="8"/>
  <c r="L19" i="8"/>
  <c r="E43" i="8"/>
  <c r="M31" i="8"/>
  <c r="U23" i="8"/>
  <c r="S6" i="8"/>
  <c r="U32" i="8"/>
  <c r="Y2" i="8"/>
  <c r="O17" i="8"/>
  <c r="F35" i="8"/>
  <c r="H20" i="8"/>
  <c r="AB8" i="8"/>
  <c r="W40" i="8"/>
  <c r="A29" i="8"/>
  <c r="P34" i="8"/>
  <c r="J23" i="8"/>
  <c r="AB10" i="8"/>
  <c r="T42" i="8"/>
  <c r="H32" i="8"/>
  <c r="V23" i="8"/>
  <c r="T14" i="8"/>
  <c r="AD5" i="8"/>
  <c r="D40" i="8"/>
  <c r="R31" i="8"/>
  <c r="B23" i="8"/>
  <c r="AD13" i="8"/>
  <c r="J5" i="8"/>
  <c r="E41" i="8"/>
  <c r="Y29" i="8"/>
  <c r="I21" i="8"/>
  <c r="G4" i="8"/>
  <c r="B22" i="8"/>
  <c r="T3" i="8"/>
  <c r="AC21" i="8"/>
  <c r="S42" i="8"/>
  <c r="A31" i="8"/>
  <c r="E23" i="8"/>
  <c r="A5" i="8"/>
  <c r="I32" i="8"/>
  <c r="Y42" i="8"/>
  <c r="W7" i="8"/>
  <c r="K13" i="8"/>
  <c r="Y22" i="8"/>
  <c r="M42" i="8"/>
  <c r="K7" i="8"/>
  <c r="I18" i="8"/>
  <c r="A24" i="8"/>
  <c r="AC32" i="8"/>
  <c r="L38" i="8"/>
  <c r="Q20" i="8"/>
  <c r="I36" i="8"/>
  <c r="U10" i="8"/>
  <c r="V5" i="8"/>
  <c r="J31" i="8"/>
  <c r="F39" i="8"/>
  <c r="G17" i="8"/>
  <c r="Q28" i="8"/>
  <c r="U42" i="8"/>
  <c r="E6" i="8"/>
  <c r="F19" i="8"/>
  <c r="E39" i="8"/>
  <c r="N41" i="8"/>
  <c r="H30" i="8"/>
  <c r="B19" i="8"/>
  <c r="T6" i="8"/>
  <c r="D38" i="8"/>
  <c r="B29" i="8"/>
  <c r="P20" i="8"/>
  <c r="J11" i="8"/>
  <c r="X2" i="8"/>
  <c r="AB36" i="8"/>
  <c r="L28" i="8"/>
  <c r="J19" i="8"/>
  <c r="T10" i="8"/>
  <c r="D2" i="8"/>
  <c r="AA36" i="8"/>
  <c r="T35" i="8"/>
  <c r="AA14" i="8"/>
  <c r="D37" i="8"/>
  <c r="R14" i="8"/>
  <c r="AD36" i="8"/>
  <c r="O14" i="8"/>
  <c r="G38" i="8"/>
  <c r="L39" i="8"/>
  <c r="U15" i="8"/>
  <c r="V38" i="8"/>
  <c r="N16" i="8"/>
  <c r="AA40" i="8"/>
  <c r="M29" i="8"/>
  <c r="M8" i="8"/>
  <c r="C25" i="8"/>
  <c r="O25" i="8"/>
  <c r="R41" i="8"/>
  <c r="AD23" i="8"/>
  <c r="X12" i="8"/>
  <c r="AC43" i="8"/>
  <c r="W32" i="8"/>
  <c r="H38" i="8"/>
  <c r="P26" i="8"/>
  <c r="X14" i="8"/>
  <c r="N3" i="8"/>
  <c r="AB34" i="8"/>
  <c r="L26" i="8"/>
  <c r="J17" i="8"/>
  <c r="T8" i="8"/>
  <c r="J43" i="8"/>
  <c r="H34" i="8"/>
  <c r="V25" i="8"/>
  <c r="T16" i="8"/>
  <c r="AD7" i="8"/>
  <c r="O42" i="8"/>
  <c r="M33" i="8"/>
  <c r="S26" i="8"/>
  <c r="Q9" i="8"/>
  <c r="L27" i="8"/>
  <c r="AD8" i="8"/>
  <c r="I27" i="8"/>
  <c r="AA8" i="8"/>
  <c r="S34" i="8"/>
  <c r="V28" i="8"/>
  <c r="K10" i="8"/>
  <c r="F28" i="8"/>
  <c r="Z10" i="8"/>
  <c r="I37" i="8"/>
  <c r="V36" i="8"/>
  <c r="K14" i="8"/>
  <c r="B36" i="8"/>
  <c r="D15" i="8"/>
  <c r="AC39" i="8"/>
  <c r="S28" i="8"/>
  <c r="M19" i="8"/>
  <c r="K2" i="8"/>
  <c r="C15" i="8"/>
  <c r="Q34" i="8"/>
  <c r="Q12" i="8"/>
  <c r="X28" i="8"/>
  <c r="R17" i="8"/>
  <c r="H6" i="8"/>
  <c r="Q37" i="8"/>
  <c r="Z43" i="8"/>
  <c r="Z31" i="8"/>
  <c r="D20" i="8"/>
  <c r="H8" i="8"/>
  <c r="V39" i="8"/>
  <c r="D30" i="8"/>
  <c r="R21" i="8"/>
  <c r="P12" i="8"/>
  <c r="Z3" i="8"/>
  <c r="AD37" i="8"/>
  <c r="N29" i="8"/>
  <c r="L20" i="8"/>
  <c r="V11" i="8"/>
  <c r="F3" i="8"/>
  <c r="K38" i="8"/>
  <c r="AB39" i="8"/>
  <c r="A17" i="8"/>
  <c r="L41" i="8"/>
  <c r="V16" i="8"/>
  <c r="H41" i="8"/>
  <c r="S16" i="8"/>
  <c r="Q39" i="8"/>
  <c r="T43" i="8"/>
  <c r="Y17" i="8"/>
  <c r="AD42" i="8"/>
  <c r="M4" i="8"/>
  <c r="K9" i="8"/>
  <c r="Q2" i="8"/>
  <c r="X22" i="8"/>
  <c r="S25" i="8"/>
  <c r="X38" i="8"/>
  <c r="N35" i="8"/>
  <c r="K1" i="8"/>
  <c r="P8" i="8"/>
  <c r="S10" i="8"/>
  <c r="AC9" i="8"/>
  <c r="F30" i="8"/>
  <c r="AC36" i="8"/>
  <c r="J21" i="8"/>
  <c r="B35" i="8"/>
  <c r="X32" i="8"/>
  <c r="T40" i="8"/>
  <c r="Z5" i="8"/>
  <c r="I5" i="8"/>
  <c r="U43" i="8"/>
  <c r="AB23" i="8"/>
  <c r="C10" i="8"/>
  <c r="F36" i="8"/>
  <c r="W29" i="8"/>
  <c r="B3" i="8"/>
  <c r="AB16" i="8"/>
  <c r="AB18" i="8"/>
  <c r="J27" i="8"/>
  <c r="Q35" i="8"/>
  <c r="F12" i="8"/>
  <c r="D35" i="8"/>
  <c r="R18" i="8"/>
  <c r="M39" i="8"/>
  <c r="E27" i="8"/>
  <c r="R25" i="8"/>
  <c r="D28" i="8"/>
  <c r="V9" i="8"/>
  <c r="B9" i="8"/>
  <c r="V30" i="8"/>
  <c r="O12" i="8"/>
  <c r="Y21" i="8"/>
  <c r="T29" i="8"/>
  <c r="Y37" i="8"/>
  <c r="Q21" i="8"/>
  <c r="H31" i="8"/>
  <c r="R38" i="8"/>
  <c r="E5" i="8"/>
  <c r="AB17" i="8"/>
  <c r="P29" i="8"/>
  <c r="U1" i="8"/>
  <c r="N14" i="8"/>
  <c r="O6" i="8"/>
  <c r="AD28" i="8"/>
  <c r="M1" i="8"/>
  <c r="V10" i="8"/>
  <c r="C8" i="8"/>
  <c r="B16" i="8"/>
  <c r="W21" i="8"/>
  <c r="E31" i="8"/>
  <c r="Z33" i="8"/>
  <c r="T24" i="8"/>
  <c r="O24" i="8"/>
  <c r="W6" i="8"/>
  <c r="Y35" i="8"/>
  <c r="U3" i="8"/>
  <c r="F16" i="8"/>
  <c r="K36" i="8"/>
  <c r="Y25" i="8"/>
  <c r="M3" i="8"/>
  <c r="F20" i="8"/>
  <c r="AB35" i="8"/>
  <c r="E9" i="8"/>
  <c r="N26" i="8"/>
  <c r="B8" i="8"/>
  <c r="Q27" i="8"/>
  <c r="AA4" i="8"/>
  <c r="AB21" i="8"/>
  <c r="R4" i="8"/>
  <c r="K4" i="8"/>
  <c r="P37" i="8"/>
  <c r="U9" i="8"/>
  <c r="AD26" i="8"/>
  <c r="T9" i="8"/>
  <c r="AA16" i="8"/>
  <c r="X33" i="8"/>
  <c r="AA11" i="8"/>
  <c r="AC16" i="8"/>
  <c r="U39" i="8"/>
  <c r="L10" i="8"/>
  <c r="D14" i="8"/>
  <c r="P22" i="8"/>
  <c r="E29" i="8"/>
  <c r="R2" i="8"/>
  <c r="C22" i="8"/>
  <c r="A33" i="8"/>
  <c r="AC7" i="8"/>
  <c r="N20" i="8"/>
  <c r="I39" i="8"/>
  <c r="AB31" i="8"/>
  <c r="U7" i="8"/>
  <c r="L23" i="8"/>
  <c r="A1" i="8"/>
  <c r="U13" i="8"/>
  <c r="AD30" i="8"/>
  <c r="H11" i="8"/>
  <c r="L35" i="8"/>
  <c r="S8" i="8"/>
  <c r="F26" i="8"/>
  <c r="X7" i="8"/>
  <c r="K12" i="8"/>
  <c r="X1" i="8"/>
  <c r="G14" i="8"/>
  <c r="B32" i="8"/>
  <c r="D13" i="8"/>
  <c r="W26" i="8"/>
  <c r="L21" i="8"/>
  <c r="F6" i="8"/>
  <c r="A34" i="8"/>
  <c r="F5" i="8"/>
  <c r="R19" i="8"/>
  <c r="B21" i="8"/>
  <c r="AB28" i="8"/>
  <c r="U37" i="8"/>
  <c r="T15" i="8"/>
  <c r="P41" i="8"/>
  <c r="Q41" i="8"/>
  <c r="G12" i="8"/>
  <c r="V24" i="8"/>
  <c r="C42" i="8"/>
  <c r="N40" i="8"/>
  <c r="AC11" i="8"/>
  <c r="R26" i="8"/>
  <c r="F8" i="8"/>
  <c r="AC17" i="8"/>
  <c r="L37" i="8"/>
  <c r="V14" i="8"/>
  <c r="AB43" i="8"/>
  <c r="E13" i="8"/>
  <c r="AD10" i="8"/>
  <c r="N38" i="8"/>
  <c r="AD2" i="8"/>
  <c r="Z42" i="8"/>
  <c r="O22" i="8"/>
  <c r="N2" i="8"/>
  <c r="Z24" i="8"/>
  <c r="AA12" i="8"/>
  <c r="V26" i="8"/>
  <c r="H3" i="8"/>
  <c r="AD16" i="8"/>
  <c r="AA20" i="8"/>
  <c r="AA22" i="8"/>
  <c r="W23" i="8"/>
  <c r="I14" i="8"/>
  <c r="AC14" i="8"/>
  <c r="U18" i="8"/>
  <c r="I24" i="8"/>
  <c r="AA31" i="8"/>
  <c r="R27" i="8"/>
  <c r="AB26" i="8"/>
  <c r="X34" i="8"/>
  <c r="A43" i="8"/>
  <c r="R28" i="8"/>
  <c r="I35" i="8"/>
  <c r="AB11" i="8"/>
  <c r="C7" i="8"/>
  <c r="N9" i="8"/>
  <c r="Z23" i="8"/>
  <c r="H24" i="8"/>
  <c r="D32" i="8"/>
  <c r="AC41" i="8"/>
  <c r="D23" i="8"/>
  <c r="Y31" i="8"/>
  <c r="R6" i="8"/>
  <c r="AB27" i="8"/>
  <c r="E15" i="8"/>
  <c r="AA5" i="8"/>
  <c r="AA34" i="8"/>
  <c r="R5" i="8"/>
  <c r="H10" i="8"/>
  <c r="H18" i="8"/>
  <c r="L31" i="8"/>
  <c r="V32" i="8"/>
  <c r="Q13" i="8"/>
  <c r="J14" i="8"/>
  <c r="U33" i="8"/>
  <c r="K17" i="8"/>
  <c r="Z13" i="8"/>
  <c r="P4" i="8"/>
  <c r="M2" i="8"/>
  <c r="Q43" i="8"/>
  <c r="R30" i="8"/>
  <c r="J32" i="8"/>
  <c r="O16" i="8"/>
  <c r="H17" i="8"/>
  <c r="Q33" i="8"/>
  <c r="G16" i="8"/>
  <c r="H21" i="8"/>
  <c r="Y27" i="8"/>
  <c r="X43" i="8"/>
  <c r="D9" i="8"/>
  <c r="I23" i="8"/>
  <c r="Z36" i="8"/>
  <c r="T5" i="8"/>
  <c r="AB37" i="8"/>
  <c r="W22" i="8"/>
  <c r="B28" i="8"/>
  <c r="N6" i="8"/>
  <c r="B40" i="8"/>
  <c r="I12" i="8"/>
  <c r="N39" i="8"/>
  <c r="T36" i="8"/>
  <c r="H16" i="8"/>
  <c r="R15" i="8"/>
  <c r="M7" i="8"/>
  <c r="K26" i="8"/>
  <c r="N32" i="8"/>
  <c r="F38" i="8"/>
  <c r="P9" i="8"/>
  <c r="AA32" i="8"/>
  <c r="O20" i="8"/>
  <c r="T37" i="8"/>
  <c r="Z14" i="8"/>
  <c r="O26" i="8"/>
  <c r="C4" i="8"/>
  <c r="F22" i="8"/>
  <c r="X3" i="8"/>
  <c r="U21" i="8"/>
  <c r="H43" i="8"/>
  <c r="T17" i="8"/>
  <c r="AD4" i="8"/>
  <c r="T33" i="8"/>
  <c r="A27" i="8"/>
  <c r="S4" i="8"/>
  <c r="V22" i="8"/>
  <c r="L5" i="8"/>
  <c r="M5" i="8"/>
  <c r="AD14" i="8"/>
  <c r="AC12" i="8"/>
  <c r="B33" i="8"/>
  <c r="O28" i="8"/>
  <c r="AD41" i="8"/>
  <c r="N5" i="8"/>
  <c r="N13" i="8"/>
  <c r="G20" i="8"/>
  <c r="Y19" i="8"/>
  <c r="AC3" i="8"/>
  <c r="C26" i="8"/>
  <c r="S2" i="8"/>
  <c r="B14" i="8"/>
  <c r="U35" i="8"/>
  <c r="W24" i="8"/>
  <c r="I1" i="8"/>
  <c r="D19" i="8"/>
  <c r="H33" i="8"/>
  <c r="Q7" i="8"/>
  <c r="L25" i="8"/>
  <c r="AD6" i="8"/>
  <c r="AC25" i="8"/>
  <c r="Y3" i="8"/>
  <c r="Z20" i="8"/>
  <c r="P3" i="8"/>
  <c r="G2" i="8"/>
  <c r="J34" i="8"/>
  <c r="K8" i="8"/>
  <c r="AB25" i="8"/>
  <c r="R8" i="8"/>
  <c r="AC13" i="8"/>
  <c r="R12" i="8"/>
  <c r="Z12" i="8"/>
  <c r="E10" i="8"/>
  <c r="A37" i="8"/>
  <c r="V7" i="8"/>
  <c r="Z11" i="8"/>
  <c r="Z19" i="8"/>
  <c r="X37" i="8"/>
  <c r="D39" i="8"/>
  <c r="W16" i="8"/>
  <c r="G30" i="8"/>
  <c r="AA6" i="8"/>
  <c r="J18" i="8"/>
  <c r="O38" i="8"/>
  <c r="X29" i="8"/>
  <c r="Q5" i="8"/>
  <c r="J22" i="8"/>
  <c r="X41" i="8"/>
  <c r="Y11" i="8"/>
  <c r="Z28" i="8"/>
  <c r="F10" i="8"/>
  <c r="F32" i="8"/>
  <c r="I7" i="8"/>
  <c r="E21" i="8"/>
  <c r="J16" i="8"/>
  <c r="D25" i="8"/>
  <c r="S12" i="8"/>
  <c r="H19" i="8"/>
  <c r="F42" i="8"/>
  <c r="P7" i="8"/>
  <c r="AD38" i="8"/>
  <c r="K24" i="8"/>
  <c r="E1" i="8"/>
  <c r="AA18" i="8"/>
  <c r="AD18" i="8"/>
  <c r="AD20" i="8"/>
  <c r="O39" i="8"/>
  <c r="Z41" i="8"/>
  <c r="Z29" i="8"/>
  <c r="G40" i="8"/>
  <c r="AC8" i="8"/>
  <c r="O36" i="8"/>
  <c r="AD3" i="8"/>
  <c r="F9" i="8"/>
  <c r="F17" i="8"/>
  <c r="U27" i="8"/>
  <c r="N28" i="8"/>
  <c r="M11" i="8"/>
  <c r="Z38" i="8"/>
  <c r="V35" i="8"/>
  <c r="C30" i="8"/>
  <c r="R43" i="8"/>
  <c r="P6" i="8"/>
  <c r="P14" i="8"/>
  <c r="I34" i="8"/>
  <c r="AA33" i="8"/>
  <c r="M24" i="8"/>
  <c r="R33" i="8"/>
  <c r="A40" i="8"/>
  <c r="AD15" i="8"/>
  <c r="J15" i="8"/>
  <c r="Z17" i="8"/>
  <c r="H26" i="8"/>
  <c r="C34" i="8"/>
  <c r="B10" i="8"/>
  <c r="Z30" i="8"/>
  <c r="AC37" i="8"/>
  <c r="C19" i="8"/>
  <c r="I41" i="8"/>
  <c r="D12" i="8"/>
  <c r="F15" i="8"/>
  <c r="R23" i="8"/>
  <c r="O30" i="8"/>
  <c r="V4" i="8"/>
  <c r="G24" i="8"/>
  <c r="O34" i="8"/>
  <c r="R10" i="8"/>
  <c r="E22" i="8"/>
  <c r="D26" i="8"/>
  <c r="L40" i="8"/>
  <c r="P36" i="8"/>
  <c r="O3" i="8"/>
  <c r="R9" i="8"/>
  <c r="W12" i="8"/>
  <c r="C12" i="8"/>
  <c r="N34" i="8"/>
  <c r="P5" i="8"/>
  <c r="AA30" i="8"/>
  <c r="S33" i="8"/>
  <c r="K34" i="8"/>
  <c r="AD35" i="8"/>
  <c r="J35" i="8"/>
  <c r="H29" i="8"/>
  <c r="A11" i="8"/>
  <c r="H13" i="8"/>
  <c r="W4" i="8"/>
  <c r="T11" i="8"/>
  <c r="AC29" i="8"/>
  <c r="O4" i="8"/>
  <c r="AB15" i="8"/>
  <c r="G22" i="8"/>
  <c r="P27" i="8"/>
  <c r="Z4" i="8"/>
  <c r="M17" i="8"/>
  <c r="B24" i="8"/>
  <c r="L1" i="8"/>
  <c r="R24" i="8"/>
  <c r="I11" i="8"/>
  <c r="X23" i="8"/>
  <c r="F2" i="8"/>
  <c r="D17" i="8"/>
  <c r="AD11" i="8"/>
  <c r="L22" i="8"/>
  <c r="F13" i="8"/>
  <c r="R7" i="8"/>
  <c r="AB6" i="8"/>
  <c r="Z6" i="8"/>
  <c r="G8" i="8"/>
  <c r="W20" i="8"/>
  <c r="Z26" i="8"/>
  <c r="F4" i="8"/>
  <c r="I29" i="8"/>
  <c r="C14" i="8"/>
  <c r="D29" i="8"/>
  <c r="J10" i="8"/>
  <c r="S20" i="8"/>
  <c r="T41" i="8"/>
  <c r="Z16" i="8"/>
  <c r="L3" i="8"/>
  <c r="C16" i="8"/>
  <c r="V34" i="8"/>
  <c r="L13" i="8"/>
  <c r="M25" i="8"/>
  <c r="N22" i="8"/>
  <c r="M21" i="8"/>
  <c r="V42" i="8"/>
  <c r="N18" i="8"/>
  <c r="D1" i="8"/>
  <c r="X35" i="8"/>
  <c r="P11" i="8"/>
  <c r="M28" i="8"/>
  <c r="V19" i="8"/>
  <c r="AD33" i="8"/>
  <c r="V31" i="8"/>
  <c r="R39" i="8"/>
  <c r="X4" i="8"/>
  <c r="E3" i="8"/>
  <c r="U41" i="8"/>
  <c r="X21" i="8"/>
  <c r="U19" i="8"/>
  <c r="AB33" i="8"/>
  <c r="N8" i="8"/>
  <c r="C32" i="8"/>
  <c r="K18" i="8"/>
  <c r="P35" i="8"/>
  <c r="X13" i="8"/>
  <c r="AA24" i="8"/>
  <c r="A3" i="8"/>
  <c r="D21" i="8"/>
  <c r="V2" i="8"/>
  <c r="K20" i="8"/>
  <c r="D41" i="8"/>
  <c r="R16" i="8"/>
  <c r="H1" i="8"/>
  <c r="L29" i="8"/>
  <c r="U25" i="8"/>
  <c r="Q3" i="8"/>
  <c r="T21" i="8"/>
  <c r="J4" i="8"/>
  <c r="I3" i="8"/>
  <c r="AB1" i="8"/>
  <c r="O43" i="8"/>
  <c r="H28" i="8"/>
  <c r="X42" i="8"/>
  <c r="T38" i="8"/>
  <c r="J3" i="8"/>
  <c r="F11" i="8"/>
  <c r="AC15" i="8"/>
  <c r="Q15" i="8"/>
  <c r="Z40" i="8"/>
  <c r="A25" i="8"/>
  <c r="N42" i="8"/>
  <c r="V12" i="8"/>
  <c r="A35" i="8"/>
  <c r="S22" i="8"/>
  <c r="AB41" i="8"/>
  <c r="B18" i="8"/>
  <c r="B30" i="8"/>
  <c r="G6" i="8"/>
  <c r="J24" i="8"/>
  <c r="AB5" i="8"/>
  <c r="S24" i="8"/>
  <c r="W2" i="8"/>
  <c r="F18" i="8"/>
  <c r="J42" i="8"/>
  <c r="V6" i="8"/>
  <c r="AB29" i="8"/>
  <c r="L9" i="8"/>
  <c r="T31" i="8"/>
  <c r="W10" i="8"/>
  <c r="P15" i="8"/>
  <c r="O2" i="8"/>
  <c r="D5" i="8"/>
  <c r="AD17" i="8"/>
  <c r="AD19" i="8"/>
  <c r="AD21" i="8"/>
  <c r="G28" i="8"/>
  <c r="T28" i="8"/>
  <c r="Z32" i="8"/>
  <c r="D43" i="8"/>
  <c r="V17" i="8"/>
  <c r="J40" i="8"/>
  <c r="L11" i="8"/>
  <c r="AC5" i="8"/>
  <c r="U5" i="8"/>
  <c r="AB42" i="8"/>
  <c r="AC31" i="8"/>
  <c r="P21" i="8"/>
  <c r="N24" i="8"/>
  <c r="J12" i="8"/>
  <c r="Z8" i="8"/>
  <c r="F34" i="8"/>
  <c r="AB13" i="8"/>
  <c r="F23" i="8"/>
  <c r="K30" i="8"/>
  <c r="F1" i="8"/>
  <c r="H9" i="8"/>
  <c r="B2" i="8"/>
  <c r="Y23" i="8"/>
  <c r="L17" i="8"/>
  <c r="M10" i="8"/>
  <c r="N37" i="8"/>
  <c r="P17" i="8"/>
  <c r="W30" i="8"/>
  <c r="Q23" i="8"/>
  <c r="A19" i="8"/>
  <c r="M9" i="8"/>
  <c r="J8" i="8"/>
  <c r="AA19" i="8"/>
  <c r="K22" i="8"/>
  <c r="E37" i="8"/>
  <c r="AD27" i="8"/>
  <c r="W36" i="8"/>
  <c r="G3" i="8"/>
  <c r="U11" i="8"/>
  <c r="H5" i="8"/>
  <c r="O10" i="8"/>
  <c r="V18" i="8"/>
  <c r="P19" i="8"/>
  <c r="AA42" i="8"/>
  <c r="E25" i="8"/>
  <c r="S40" i="8"/>
  <c r="J2" i="8"/>
  <c r="B38" i="8"/>
  <c r="I15" i="8"/>
  <c r="F14" i="8"/>
  <c r="Q42" i="8"/>
  <c r="B31" i="8"/>
  <c r="N4" i="8"/>
  <c r="R42" i="8"/>
  <c r="I19" i="8"/>
  <c r="W14" i="8"/>
  <c r="J20" i="8"/>
  <c r="Z2" i="8"/>
  <c r="B17" i="8"/>
  <c r="T2" i="8"/>
  <c r="Q17" i="8"/>
  <c r="I17" i="8"/>
  <c r="AC1" i="8"/>
  <c r="N30" i="8"/>
  <c r="X11" i="8"/>
  <c r="N36" i="8"/>
  <c r="AA21" i="8"/>
  <c r="A23" i="8"/>
  <c r="AA37" i="8"/>
  <c r="Z35" i="8"/>
  <c r="Z22" i="8"/>
  <c r="J39" i="8"/>
  <c r="C36" i="8"/>
  <c r="AA26" i="8"/>
  <c r="H23" i="8"/>
  <c r="C28" i="8"/>
  <c r="Q19" i="8"/>
  <c r="W3" i="8"/>
  <c r="B26" i="8"/>
  <c r="B34" i="8"/>
  <c r="A15" i="8"/>
  <c r="G10" i="8"/>
  <c r="D3" i="8"/>
  <c r="D31" i="8"/>
  <c r="L8" i="8"/>
  <c r="O40" i="8"/>
  <c r="I13" i="8"/>
  <c r="A13" i="8"/>
  <c r="P39" i="8"/>
  <c r="R32" i="8"/>
  <c r="C20" i="8"/>
  <c r="P31" i="8"/>
  <c r="X30" i="8"/>
  <c r="H39" i="8"/>
  <c r="X31" i="8"/>
  <c r="L33" i="8"/>
  <c r="B20" i="8"/>
  <c r="O18" i="8"/>
  <c r="X19" i="8"/>
  <c r="R20" i="8"/>
  <c r="AD22" i="8"/>
  <c r="C6" i="8"/>
  <c r="AB14" i="8"/>
  <c r="B1" i="8"/>
  <c r="G42" i="8"/>
  <c r="N27" i="8"/>
  <c r="AD40" i="8"/>
  <c r="X39" i="8"/>
  <c r="D7" i="8"/>
  <c r="F40" i="8"/>
  <c r="B4" i="8"/>
  <c r="V41" i="8"/>
  <c r="A9" i="8"/>
  <c r="W8" i="8"/>
  <c r="D33" i="8"/>
  <c r="H27" i="8"/>
  <c r="Y15" i="8"/>
  <c r="P23" i="8"/>
  <c r="H22" i="8"/>
  <c r="AB19" i="8"/>
  <c r="X25" i="8"/>
  <c r="T27" i="8"/>
  <c r="X15" i="8"/>
  <c r="B12" i="8"/>
  <c r="R40" i="8"/>
  <c r="H7" i="8"/>
  <c r="R29" i="8"/>
  <c r="AA38" i="8"/>
  <c r="L7" i="8"/>
  <c r="N12" i="8"/>
  <c r="T1" i="8"/>
  <c r="X27" i="8"/>
  <c r="A7" i="8"/>
  <c r="AA17" i="8"/>
  <c r="W102" i="12" l="1"/>
  <c r="W112" i="12" s="1"/>
  <c r="W120" i="12" s="1"/>
</calcChain>
</file>

<file path=xl/comments1.xml><?xml version="1.0" encoding="utf-8"?>
<comments xmlns="http://schemas.openxmlformats.org/spreadsheetml/2006/main">
  <authors>
    <author/>
  </authors>
  <commentList>
    <comment ref="H39" authorId="0" shapeId="0">
      <text>
        <r>
          <rPr>
            <sz val="11"/>
            <color rgb="FF000000"/>
            <rFont val="Calibri"/>
            <family val="2"/>
          </rPr>
          <t>Deciding about the scope of your assessment is important before starting answering the different questions. Many questions of the mechanism will refer back to the scope you decide here. 
Examples of scope can be a research project, a research lab or a sub-discipline data infrastructure.
If you decide to run this mechanism at the level of your entire organisation, please consider two potential methodologies:
1) You have sufficient existing information at the organisational level to fill in the detailed questions of this mechanism or you will collect the information before filling in the mechanism. For example the average time spent for all your researchers on different research activities and sub-activities.
2) You would prefer not to conduct external surveys in order to complete the mechanism. In this case we would advise you to fill in the mechanism multiple times at a lower scope and to aggregate the results in order to extend them at the organisational level. For example if you conduct the mechanism for multiple departments inside your data infrastructure before comparing the results, and see whether some results can be extrapolated.</t>
        </r>
      </text>
    </comment>
  </commentList>
</comments>
</file>

<file path=xl/comments2.xml><?xml version="1.0" encoding="utf-8"?>
<comments xmlns="http://schemas.openxmlformats.org/spreadsheetml/2006/main">
  <authors>
    <author/>
  </authors>
  <commentList>
    <comment ref="F40" authorId="0" shapeId="0">
      <text>
        <r>
          <rPr>
            <sz val="11"/>
            <color rgb="FF000000"/>
            <rFont val="Calibri"/>
            <family val="2"/>
          </rPr>
          <t>The mechanism will calculate the costs and benefits for this period of time.</t>
        </r>
      </text>
    </comment>
    <comment ref="F56" authorId="0" shapeId="0">
      <text>
        <r>
          <rPr>
            <sz val="11"/>
            <color rgb="FF000000"/>
            <rFont val="Calibri"/>
            <family val="2"/>
          </rPr>
          <t>Knowing what proportion of your data cannot be made open allows the mechanism to be more accurate.</t>
        </r>
      </text>
    </comment>
    <comment ref="F57" authorId="0" shapeId="0">
      <text>
        <r>
          <rPr>
            <sz val="11"/>
            <color rgb="FF000000"/>
            <rFont val="Calibri"/>
            <family val="2"/>
          </rPr>
          <t>to be removed
	-Florian Barthelemy (BE)</t>
        </r>
      </text>
    </comment>
    <comment ref="H57" authorId="0" shapeId="0">
      <text>
        <r>
          <rPr>
            <sz val="11"/>
            <color rgb="FF000000"/>
            <rFont val="Calibri"/>
            <family val="2"/>
          </rPr>
          <t>+barthelemy.florian@pwc.com merge 3-&gt;1
	-Dennis Hens (BE)
+ cell legacy
	-Christophe Bahim (BE)
_Marked as resolved_
	-Christophe Bahim (BE)
_Re-opened_
	-Christophe Bahim (BE)</t>
        </r>
      </text>
    </comment>
    <comment ref="F92" authorId="0" shapeId="0">
      <text>
        <r>
          <rPr>
            <sz val="11"/>
            <color rgb="FF000000"/>
            <rFont val="Calibri"/>
            <family val="2"/>
          </rPr>
          <t xml:space="preserve">Feel free to change the types of profile and their related information at your convenience. For example, if you would like to only use one profile, do not hesitate to remove all other profiles and only keep the needed information for the generic profile you chose. </t>
        </r>
      </text>
    </comment>
    <comment ref="F101" authorId="0" shapeId="0">
      <text>
        <r>
          <rPr>
            <sz val="11"/>
            <color rgb="FF000000"/>
            <rFont val="Calibri"/>
            <family val="2"/>
          </rPr>
          <t>For example, over the last years, PhD researchers in the scope of this assessment have worked on average on 1.5 projects per year.</t>
        </r>
      </text>
    </comment>
  </commentList>
</comments>
</file>

<file path=xl/comments3.xml><?xml version="1.0" encoding="utf-8"?>
<comments xmlns="http://schemas.openxmlformats.org/spreadsheetml/2006/main">
  <authors>
    <author/>
    <author>Florian Barthelemy</author>
  </authors>
  <commentList>
    <comment ref="E16" authorId="0" shapeId="0">
      <text>
        <r>
          <rPr>
            <sz val="11"/>
            <color rgb="FF000000"/>
            <rFont val="Calibri"/>
            <family val="2"/>
          </rPr>
          <t>As part of this activity, we considered the following costs and benefits from becoming compliant to the FAIR principles:
COSTS:
- Example: Cost due to the longer data retention period (Q10)
DIRECT BENEFIT:
- Example: Benefit thanks to reduced number of repositories (Q10)
INDIRECT BENEFITS:
- Example: Time saved for finding relevant data thanks to metadata (Q3-Q5)
SPILLOVER BENEFIT:
- Example: Saving in time for external reusers thanks to the implementation of the FAIR principles in creating, collection and integrating (Q13)</t>
        </r>
      </text>
    </comment>
    <comment ref="E17" authorId="0" shapeId="0">
      <text>
        <r>
          <rPr>
            <sz val="11"/>
            <color rgb="FF000000"/>
            <rFont val="Calibri"/>
            <family val="2"/>
          </rPr>
          <t>Ex: Collecting data refers to the activities of finding relevant data and accessing the data.</t>
        </r>
      </text>
    </comment>
    <comment ref="E18" authorId="0" shapeId="0">
      <text>
        <r>
          <rPr>
            <sz val="11"/>
            <color rgb="FF000000"/>
            <rFont val="Calibri"/>
            <family val="2"/>
          </rPr>
          <t>Definitions available in the glossary:
Metadata standard
Local metadata standard</t>
        </r>
      </text>
    </comment>
    <comment ref="B22" authorId="0" shapeId="0">
      <text>
        <r>
          <rPr>
            <sz val="11"/>
            <color rgb="FF000000"/>
            <rFont val="Calibri"/>
            <family val="2"/>
          </rPr>
          <t>The percentages in blue are based on aggregated numbers from desk research. These numbers can be reused in case it is impossible for you to estimate it.
Note that the name of the profiles should not be changed in this part of the questionnaire.</t>
        </r>
      </text>
    </comment>
    <comment ref="C27" authorId="0" shapeId="0">
      <text>
        <r>
          <rPr>
            <sz val="11"/>
            <color rgb="FF000000"/>
            <rFont val="Calibri"/>
            <family val="2"/>
          </rPr>
          <t>(Research) project development / project initiation</t>
        </r>
      </text>
    </comment>
    <comment ref="C28" authorId="0" shapeId="0">
      <text>
        <r>
          <rPr>
            <sz val="11"/>
            <color rgb="FF000000"/>
            <rFont val="Calibri"/>
            <family val="2"/>
          </rPr>
          <t>Planning of a project</t>
        </r>
      </text>
    </comment>
    <comment ref="C29" authorId="0" shapeId="0">
      <text>
        <r>
          <rPr>
            <sz val="11"/>
            <color rgb="FF000000"/>
            <rFont val="Calibri"/>
            <family val="2"/>
          </rPr>
          <t>Creation and collection of the data</t>
        </r>
      </text>
    </comment>
    <comment ref="C30" authorId="0" shapeId="0">
      <text>
        <r>
          <rPr>
            <sz val="11"/>
            <color rgb="FF000000"/>
            <rFont val="Calibri"/>
            <family val="2"/>
          </rPr>
          <t>Pre-processing and data cleansing</t>
        </r>
      </text>
    </comment>
    <comment ref="C31" authorId="0" shapeId="0">
      <text>
        <r>
          <rPr>
            <sz val="11"/>
            <color rgb="FF000000"/>
            <rFont val="Calibri"/>
            <family val="2"/>
          </rPr>
          <t>Integration of the data</t>
        </r>
      </text>
    </comment>
    <comment ref="C32" authorId="0" shapeId="0">
      <text>
        <r>
          <rPr>
            <sz val="11"/>
            <color rgb="FF000000"/>
            <rFont val="Calibri"/>
            <family val="2"/>
          </rPr>
          <t>Analysis of the data</t>
        </r>
      </text>
    </comment>
    <comment ref="C33" authorId="0" shapeId="0">
      <text>
        <r>
          <rPr>
            <sz val="11"/>
            <color rgb="FF000000"/>
            <rFont val="Calibri"/>
            <family val="2"/>
          </rPr>
          <t>Redaction of the report</t>
        </r>
      </text>
    </comment>
    <comment ref="C34" authorId="0" shapeId="0">
      <text>
        <r>
          <rPr>
            <sz val="11"/>
            <color rgb="FF000000"/>
            <rFont val="Calibri"/>
            <family val="2"/>
          </rPr>
          <t>Publication</t>
        </r>
      </text>
    </comment>
    <comment ref="C35" authorId="0" shapeId="0">
      <text>
        <r>
          <rPr>
            <sz val="11"/>
            <color rgb="FF000000"/>
            <rFont val="Calibri"/>
            <family val="2"/>
          </rPr>
          <t xml:space="preserve">Peer review </t>
        </r>
      </text>
    </comment>
    <comment ref="A40" authorId="0" shapeId="0">
      <text>
        <r>
          <rPr>
            <sz val="11"/>
            <color rgb="FF000000"/>
            <rFont val="Calibri"/>
            <family val="2"/>
          </rPr>
          <t>As part of this activity, we considered the following costs and benefits from becoming compliant to the FAIR principles:
COST:
- Cost faced due to the identification of grant duplication
INDIRECT BENEFIT:
- Benefit due to extra funds available on a yearly-basis (example of H2020 for 2014-2016)</t>
        </r>
      </text>
    </comment>
    <comment ref="A47" authorId="0" shapeId="0">
      <text>
        <r>
          <rPr>
            <sz val="11"/>
            <color rgb="FF000000"/>
            <rFont val="Calibri"/>
            <family val="2"/>
          </rPr>
          <t xml:space="preserve">As part of this activity, we considered the following costs and benefits from becoming compliant to the FAIR principles:
COST:
- Additional time required to create DMPs for each new research project
</t>
        </r>
      </text>
    </comment>
    <comment ref="A54" authorId="0" shapeId="0">
      <text>
        <r>
          <rPr>
            <sz val="11"/>
            <color rgb="FF000000"/>
            <rFont val="Calibri"/>
            <family val="2"/>
          </rPr>
          <t>As part of this activity, we considered the following costs and benefits from becoming compliant to the FAIR principles:
COSTS:
- Cost due to the longer data retention period (Q9)
DIRECT BENEFIT:
- Benefit thanks to reduced number of repositories (Q9)
INDIRECT BENEFITS:
- Time saved in collecting data (Q3-Q5, Q6, Q8)
- Time saved for finding relevant data thanks to metadata (Q3-Q5)
- Time saved for finding relevant data thanks to global standardised PIDs (Q3-Q5)
- Time saved in accessing more easily data not immediately available (Q6)
- Time saved in identifying and understanding more easily the licence of a dataset (Q7)
- Licensing saving to access studies (Q8)</t>
        </r>
      </text>
    </comment>
    <comment ref="B54" authorId="0" shapeId="0">
      <text>
        <r>
          <rPr>
            <sz val="11"/>
            <color rgb="FF000000"/>
            <rFont val="Calibri"/>
            <family val="2"/>
          </rPr>
          <t>Please note that the questions under this activity look closely at the costs and benefits you encounter when producing a new dataset or reusing an existing one. The costs and benefits for pre-processing, integrating or storing the data are analysed in details later on.</t>
        </r>
      </text>
    </comment>
    <comment ref="B59" authorId="0" shapeId="0">
      <text>
        <r>
          <rPr>
            <sz val="11"/>
            <color rgb="FF000000"/>
            <rFont val="Calibri"/>
            <family val="2"/>
          </rPr>
          <t>Collecting data refers to the activities of finding relevant data and accessing the data.</t>
        </r>
      </text>
    </comment>
    <comment ref="B67" authorId="0" shapeId="0">
      <text>
        <r>
          <rPr>
            <sz val="11"/>
            <color rgb="FF000000"/>
            <rFont val="Calibri"/>
            <family val="2"/>
          </rPr>
          <t>Please note that the questions 5-6 refer to finding existing data which may be relevant for you. The questions are going into more details with regard to the time spent collecting existing data.
If datasets comply with multiple standards, please take into account the most widely recognized standard in your answers.
Even in the case you are not yet applying it, please insert at least an estimation for the percentage of time required for using 'Recognized metadat standards with machine-readable formats' for a certain proportion (e.g. 1%).</t>
        </r>
      </text>
    </comment>
    <comment ref="C74" authorId="0" shapeId="0">
      <text>
        <r>
          <rPr>
            <sz val="11"/>
            <color rgb="FF000000"/>
            <rFont val="Calibri"/>
            <family val="2"/>
          </rPr>
          <t>Metadata standard
Local metadata standard</t>
        </r>
      </text>
    </comment>
    <comment ref="C75" authorId="0" shapeId="0">
      <text>
        <r>
          <rPr>
            <sz val="11"/>
            <color rgb="FF000000"/>
            <rFont val="Calibri"/>
            <family val="2"/>
          </rPr>
          <t>Metadata standard
Recognized metadata standard</t>
        </r>
      </text>
    </comment>
    <comment ref="C76" authorId="0" shapeId="0">
      <text>
        <r>
          <rPr>
            <sz val="11"/>
            <color rgb="FF000000"/>
            <rFont val="Calibri"/>
            <family val="2"/>
          </rPr>
          <t>Metadata standard
Recognized metadata standard
Machine readability</t>
        </r>
      </text>
    </comment>
    <comment ref="C88" authorId="0" shapeId="0">
      <text>
        <r>
          <rPr>
            <sz val="11"/>
            <color rgb="FF000000"/>
            <rFont val="Calibri"/>
            <family val="2"/>
          </rPr>
          <t>Metadata standard
Local metadata standard</t>
        </r>
      </text>
    </comment>
    <comment ref="C89" authorId="0" shapeId="0">
      <text>
        <r>
          <rPr>
            <sz val="11"/>
            <color rgb="FF000000"/>
            <rFont val="Calibri"/>
            <family val="2"/>
          </rPr>
          <t>Metadata standard
Recognized metadata standard</t>
        </r>
      </text>
    </comment>
    <comment ref="C90" authorId="0" shapeId="0">
      <text>
        <r>
          <rPr>
            <sz val="11"/>
            <color rgb="FF000000"/>
            <rFont val="Calibri"/>
            <family val="2"/>
          </rPr>
          <t>Metadata standard
Recognized metadata standard
Machine readability</t>
        </r>
      </text>
    </comment>
    <comment ref="B100" authorId="0" shapeId="0">
      <text>
        <r>
          <rPr>
            <sz val="11"/>
            <color rgb="FF000000"/>
            <rFont val="Calibri"/>
            <family val="2"/>
          </rPr>
          <t>If you are not using or planning to use machine-readability for collecting/harvesting (meta)data, please fill in 0% to this question.</t>
        </r>
      </text>
    </comment>
    <comment ref="C100" authorId="0" shapeId="0">
      <text>
        <r>
          <rPr>
            <sz val="11"/>
            <color rgb="FF000000"/>
            <rFont val="Calibri"/>
            <family val="2"/>
          </rPr>
          <t>Machine readability</t>
        </r>
      </text>
    </comment>
    <comment ref="B104" authorId="0" shapeId="0">
      <text>
        <r>
          <rPr>
            <sz val="11"/>
            <color rgb="FF000000"/>
            <rFont val="Calibri"/>
            <family val="2"/>
          </rPr>
          <t>Please note that this question focuses on the access to external existing data and not to your storage mix.
Different access points will enable a person to access data in a more or less efficient way. For example, if you need to install a software or wait that a person send you a hard drive will require different times.</t>
        </r>
      </text>
    </comment>
    <comment ref="C104" authorId="0" shapeId="0">
      <text>
        <r>
          <rPr>
            <sz val="11"/>
            <color rgb="FF000000"/>
            <rFont val="Calibri"/>
            <family val="2"/>
          </rPr>
          <t>Access point</t>
        </r>
      </text>
    </comment>
    <comment ref="B119" authorId="0" shapeId="0">
      <text>
        <r>
          <rPr>
            <sz val="11"/>
            <color rgb="FF000000"/>
            <rFont val="Calibri"/>
            <family val="2"/>
          </rPr>
          <t>Even in the case you are not yet applying it, please insert at least an estimation for the percentage of time required for using 'There is a standardised licence (human and machine readable)' for a certain proportion (e.g. 1%).</t>
        </r>
      </text>
    </comment>
    <comment ref="C119" authorId="0" shapeId="0">
      <text>
        <r>
          <rPr>
            <sz val="11"/>
            <color rgb="FF000000"/>
            <rFont val="Calibri"/>
            <family val="2"/>
          </rPr>
          <t>Standardised licence
Local licence
Machine readability</t>
        </r>
      </text>
    </comment>
    <comment ref="B136" authorId="0" shapeId="0">
      <text>
        <r>
          <rPr>
            <sz val="11"/>
            <color rgb="FF000000"/>
            <rFont val="Calibri"/>
            <family val="2"/>
          </rPr>
          <t>Please note that we consider here all data you create or reuse as part of the scope of this assessment.</t>
        </r>
      </text>
    </comment>
    <comment ref="B139" authorId="0" shapeId="0">
      <text>
        <r>
          <rPr>
            <sz val="11"/>
            <color rgb="FF000000"/>
            <rFont val="Calibri"/>
            <family val="2"/>
          </rPr>
          <t>Please adapt the years to have at least four years filled in with volumes of data. It can represent historical data or forecasts for the next years.
For example, if your project started in 2017 and has therefore not produced yet a considerable amount of data, please consider giving an approximation of the volumes for 2019-2021.</t>
        </r>
      </text>
    </comment>
    <comment ref="B142" authorId="0" shapeId="0">
      <text>
        <r>
          <rPr>
            <sz val="11"/>
            <color rgb="FF000000"/>
            <rFont val="Calibri"/>
            <family val="2"/>
          </rPr>
          <t>In order to apply the FAIR principles, we assume that core existing datasets reused could be duplicated in case the initial storage facility in which the datasets were found does not ensure the persistence of the datasets.</t>
        </r>
      </text>
    </comment>
    <comment ref="A151" authorId="0" shapeId="0">
      <text>
        <r>
          <rPr>
            <sz val="11"/>
            <color rgb="FF000000"/>
            <rFont val="Calibri"/>
            <family val="2"/>
          </rPr>
          <t xml:space="preserve">As part of this activity, we considered the following costs and benefits from becoming compliant to the FAIR principles:
COSTS:
- Cost faced due to non-open import/export formats (Q10a)
- Additional time required for complying with recognized metadata standards (Q10b)
- Additional time required for assigning global standardised PIDs (Q10b)
- Additional cost in time to move towards global standardised PIDs (Q10b)
- Cost to comply with global standardised PIDs (Q10b)
- Additional cost in time to move towards reproducible methods and results (Q10c)
- Investment cost (Data Policies) (Q10d)
- Operational cost (Data Policies) (Q10d)
</t>
        </r>
      </text>
    </comment>
    <comment ref="B156" authorId="0" shapeId="0">
      <text>
        <r>
          <rPr>
            <sz val="11"/>
            <color rgb="FF000000"/>
            <rFont val="Calibri"/>
            <family val="2"/>
          </rPr>
          <t>This includes activities such as describing your data following metadata standards or assigning PIDs to your data.</t>
        </r>
      </text>
    </comment>
    <comment ref="C157" authorId="0" shapeId="0">
      <text>
        <r>
          <rPr>
            <sz val="11"/>
            <color rgb="FF000000"/>
            <rFont val="Calibri"/>
            <family val="2"/>
          </rPr>
          <t>Reproducibility</t>
        </r>
      </text>
    </comment>
    <comment ref="B170" authorId="0" shapeId="0">
      <text>
        <r>
          <rPr>
            <sz val="11"/>
            <color rgb="FF000000"/>
            <rFont val="Calibri"/>
            <family val="2"/>
          </rPr>
          <t xml:space="preserve">This question is different from the one on reproducible methods and results. While complying with recognized metadata standards definitely contributes to the reproducibility of the methods and results, it is not sufficient in many cases. However, recognized metadata standards have other impacts such as better findability and accessibility of the data which are estimated here. </t>
        </r>
      </text>
    </comment>
    <comment ref="B183" authorId="0" shapeId="0">
      <text>
        <r>
          <rPr>
            <sz val="11"/>
            <color rgb="FF000000"/>
            <rFont val="Calibri"/>
            <family val="2"/>
          </rPr>
          <t>Please note that the sum of time for describing your data with metadata and assigning a PID should be equal to 100%.</t>
        </r>
      </text>
    </comment>
    <comment ref="B185" authorId="0" shapeId="0">
      <text>
        <r>
          <rPr>
            <sz val="11"/>
            <color rgb="FF000000"/>
            <rFont val="Calibri"/>
            <family val="2"/>
          </rPr>
          <t>Please note that the sum of time for describing your data with metadata and assigning a PID should be equal to 100%.
Even in the case you are not yet applying it, please insert at least an estimation for the percentage of time required for using 'Global standardised PIDs' for a certain proportion (e.g. 1%).</t>
        </r>
      </text>
    </comment>
    <comment ref="B199" authorId="0" shapeId="0">
      <text>
        <r>
          <rPr>
            <sz val="11"/>
            <color rgb="FF000000"/>
            <rFont val="Calibri"/>
            <family val="2"/>
          </rPr>
          <t>For examples of pricing requested by organisations providing persistent identifiers, please look at: https://www.medra.org/stdoc/2017_Doi_pricelist.pdf (in €)
or https://www.crossref.org/fees/ (in $)</t>
        </r>
      </text>
    </comment>
    <comment ref="C201" authorId="0" shapeId="0">
      <text>
        <r>
          <rPr>
            <sz val="11"/>
            <color rgb="FF000000"/>
            <rFont val="Calibri"/>
            <family val="2"/>
          </rPr>
          <t>Reproducibility</t>
        </r>
      </text>
    </comment>
    <comment ref="B210" authorId="0" shapeId="0">
      <text>
        <r>
          <rPr>
            <sz val="11"/>
            <color rgb="FF000000"/>
            <rFont val="Calibri"/>
            <family val="2"/>
          </rPr>
          <t>This question is different from the one on recognized metadata standards. While complying with recognized metadata standards definitely contributes to the reproducibility of the methods and results, it is not sufficient in many cases. Therefore, the impacts of the implementation of FAIR on reproducibility are measured here, independently from your answers on the questions above.
Please note that this question refers to the additional time required for one dataset and its related metadata. You do not need to evaluate this time for all datasets and metadata you produce/reuse.</t>
        </r>
      </text>
    </comment>
    <comment ref="A235" authorId="0" shapeId="0">
      <text>
        <r>
          <rPr>
            <sz val="11"/>
            <color rgb="FF000000"/>
            <rFont val="Calibri"/>
            <family val="2"/>
          </rPr>
          <t>As part of this activity, we considered the following costs and benefits from becoming compliant to the FAIR principles:
INDIRECT BENEFITS:
- Saving in time for internal reusers thanks to the implementation of the FAIR principles in creating, collection and integrating (Q11)
- Time saved due to changing types, formats and quality of datasets (Q11)
- Time saved thanks to the decreasing amount of unresolvable data quality issues (Q11)
SPILLOVER BENEFIT:
- Saving in time for external reusers thanks to the implementation of the FAIR principles in creating, collection and integrating (Q12)</t>
        </r>
      </text>
    </comment>
    <comment ref="B237" authorId="1" shapeId="0">
      <text>
        <r>
          <rPr>
            <sz val="11"/>
            <color indexed="81"/>
            <rFont val="Calibri"/>
            <family val="2"/>
            <scheme val="minor"/>
          </rPr>
          <t>Even in the case you are not yet applying it, please insert at least an estimation for the percentage of time required for using 'machine readable data following standardised formats' for a certain proportion (e.g. 1%).</t>
        </r>
      </text>
    </comment>
    <comment ref="C240" authorId="0" shapeId="0">
      <text>
        <r>
          <rPr>
            <sz val="11"/>
            <color rgb="FF000000"/>
            <rFont val="Calibri"/>
            <family val="2"/>
          </rPr>
          <t>Machine readability</t>
        </r>
      </text>
    </comment>
    <comment ref="C241" authorId="0" shapeId="0">
      <text>
        <r>
          <rPr>
            <sz val="11"/>
            <color rgb="FF000000"/>
            <rFont val="Calibri"/>
            <family val="2"/>
          </rPr>
          <t>Machine readability</t>
        </r>
      </text>
    </comment>
    <comment ref="A257" authorId="0" shapeId="0">
      <text>
        <r>
          <rPr>
            <sz val="11"/>
            <color rgb="FF000000"/>
            <rFont val="Calibri"/>
            <family val="2"/>
          </rPr>
          <t xml:space="preserve">As part of this activity, we considered the following costs and benefits from becoming compliant to the FAIR principles:
COST:
- Time spent documenting steps of the analysis process
</t>
        </r>
      </text>
    </comment>
    <comment ref="A270" authorId="0" shapeId="0">
      <text>
        <r>
          <rPr>
            <sz val="11"/>
            <color rgb="FF000000"/>
            <rFont val="Calibri"/>
            <family val="2"/>
          </rPr>
          <t xml:space="preserve">As part of this activity, we considered the following costs and benefits from becoming compliant to the FAIR principles:
COSTS:
- Decreasing revenue from licensing fees and royalties (Q16)
DIRECT BENEFITS:
- Publishing costs saved thanks to open access (Q14-Q15)
- Time benefit for using standardised licences (Q16)
INDIRECT BENEFIT:
- Time saved thanks to less retractions of published works (Q17)
</t>
        </r>
      </text>
    </comment>
    <comment ref="B287" authorId="1" shapeId="0">
      <text>
        <r>
          <rPr>
            <sz val="11"/>
            <color indexed="81"/>
            <rFont val="Calibri"/>
            <family val="2"/>
            <scheme val="minor"/>
          </rPr>
          <t>Even in the case you are not yet applying it, please insert at least an estimation for the percentage of time required for using 'standardised licences' for a certain proportion (e.g. 1%).</t>
        </r>
      </text>
    </comment>
    <comment ref="A303" authorId="0" shapeId="0">
      <text>
        <r>
          <rPr>
            <sz val="11"/>
            <color rgb="FF000000"/>
            <rFont val="Calibri"/>
            <family val="2"/>
          </rPr>
          <t>As part of this activity, we considered the following costs and benefits from becoming compliant to the FAIR principles:
INDIRECT BENEFITS:
- Time saved thanks to the reduced amount of peer reviews required
- Time saved on peer reviews thanks to the compliance with the FAIR principles</t>
        </r>
      </text>
    </comment>
    <comment ref="A319" authorId="0" shapeId="0">
      <text>
        <r>
          <rPr>
            <sz val="11"/>
            <color rgb="FF000000"/>
            <rFont val="Calibri"/>
            <family val="2"/>
          </rPr>
          <t xml:space="preserve">As part of this activity, we considered the following costs and benefits from becoming compliant to the FAIR principles:
COSTS:
- Project Management costs
</t>
        </r>
      </text>
    </comment>
    <comment ref="A338" authorId="0" shapeId="0">
      <text>
        <r>
          <rPr>
            <sz val="11"/>
            <color rgb="FF000000"/>
            <rFont val="Calibri"/>
            <family val="2"/>
          </rPr>
          <t xml:space="preserve">As part of this activity, we considered the following costs and benefits from becoming compliant to the FAIR principles:
COSTS:
- Implementation training costs
- Recurring training costs
- Marketing and raising awareness costs
</t>
        </r>
      </text>
    </comment>
    <comment ref="A348" authorId="0" shapeId="0">
      <text>
        <r>
          <rPr>
            <sz val="11"/>
            <color rgb="FF000000"/>
            <rFont val="Calibri"/>
            <family val="2"/>
          </rPr>
          <t>As part of this activity, we considered the following costs and benefits from becoming compliant to the FAIR principles:
COSTS:
- Data stewardship costs</t>
        </r>
      </text>
    </comment>
    <comment ref="B348" authorId="0" shapeId="0">
      <text>
        <r>
          <rPr>
            <sz val="11"/>
            <color rgb="FF000000"/>
            <rFont val="Calibri"/>
            <family val="2"/>
          </rPr>
          <t>Even though the way the literature describes data steward is directly related to the activities of research performing organisations, this question is probably relevant for data infrastructures as they deal with data management activities.</t>
        </r>
      </text>
    </comment>
    <comment ref="C348" authorId="0" shapeId="0">
      <text>
        <r>
          <rPr>
            <sz val="11"/>
            <color rgb="FF000000"/>
            <rFont val="Calibri"/>
            <family val="2"/>
          </rPr>
          <t>Data steward</t>
        </r>
      </text>
    </comment>
    <comment ref="B354" authorId="0" shapeId="0">
      <text>
        <r>
          <rPr>
            <sz val="11"/>
            <color rgb="FF000000"/>
            <rFont val="Calibri"/>
            <family val="2"/>
          </rPr>
          <t>According to the book: Data Stewardship for Open Science: Implementing FAIR Principles, the estimated ideal number of FTEs needed for data stewardship should be 1 per 20 researchers.</t>
        </r>
      </text>
    </comment>
    <comment ref="A386" authorId="0" shapeId="0">
      <text>
        <r>
          <rPr>
            <sz val="11"/>
            <color rgb="FF000000"/>
            <rFont val="Calibri"/>
            <family val="2"/>
          </rPr>
          <t xml:space="preserve">As part of this activity, we considered the following costs and benefits from becoming compliant to the FAIR principles:
COSTS:
- Software maintenance costs
- Additional cost because of the reduced period between two innovation cycles of the basic IT infrastructure
</t>
        </r>
      </text>
    </comment>
    <comment ref="C394" authorId="0" shapeId="0">
      <text>
        <r>
          <rPr>
            <sz val="11"/>
            <color rgb="FF000000"/>
            <rFont val="Calibri"/>
            <family val="2"/>
          </rPr>
          <t>IT infrastructure</t>
        </r>
      </text>
    </comment>
    <comment ref="A403" authorId="0" shapeId="0">
      <text>
        <r>
          <rPr>
            <sz val="11"/>
            <color rgb="FF000000"/>
            <rFont val="Calibri"/>
            <family val="2"/>
          </rPr>
          <t xml:space="preserve">As part of this activity, we considered the following costs and benefits from becoming compliant to the FAIR principles:
COSTS:
- Other likely costs
DIRECT BENEFITS:
- Other likely benefits
</t>
        </r>
      </text>
    </comment>
  </commentList>
</comments>
</file>

<file path=xl/comments4.xml><?xml version="1.0" encoding="utf-8"?>
<comments xmlns="http://schemas.openxmlformats.org/spreadsheetml/2006/main">
  <authors>
    <author/>
  </authors>
  <commentList>
    <comment ref="A80" authorId="0" shapeId="0">
      <text>
        <r>
          <rPr>
            <sz val="11"/>
            <color rgb="FF000000"/>
            <rFont val="Calibri"/>
            <family val="2"/>
          </rPr>
          <t>Cost savings and avoidance</t>
        </r>
      </text>
    </comment>
  </commentList>
</comments>
</file>

<file path=xl/sharedStrings.xml><?xml version="1.0" encoding="utf-8"?>
<sst xmlns="http://schemas.openxmlformats.org/spreadsheetml/2006/main" count="2488" uniqueCount="1136">
  <si>
    <t>STATUS</t>
  </si>
  <si>
    <t>Results</t>
  </si>
  <si>
    <t>Glossary</t>
  </si>
  <si>
    <t>FAIR cost-benefit measuring mechanism</t>
  </si>
  <si>
    <t>CONTEXT</t>
  </si>
  <si>
    <t>&lt;hidden&gt;</t>
  </si>
  <si>
    <t>Adherence to the FAIR principles and their facets</t>
  </si>
  <si>
    <t>The European Commission is conducting a study to determine the value of FAIR data, within and across scientific disciplines, both in economic and non-economic terms, and to contrast it against the current situation where a majority of research data is not adhering to the FAIR principles (i.e. un-FAIR). From this study there are three underlying objectives:</t>
  </si>
  <si>
    <t>INSTRUCTIONS</t>
  </si>
  <si>
    <t xml:space="preserve">Obj01: To determine the cost of not having FAIR research data for the EU science and innovation system and as a result to the EU data economy </t>
  </si>
  <si>
    <t>Obj02: To estimate the costs and benefits of FAIR research data, both in economic and non-economic terms</t>
  </si>
  <si>
    <t>Obj03: To provide recommendations on the next steps concerning making research data FAIR</t>
  </si>
  <si>
    <t>OBJECTIVE OF THE MECHANISM</t>
  </si>
  <si>
    <t>This document provides a mechanism for measuring the value of FAIR research data, using a Cost-Benefit Analysis. It allows measuring the benefits and the costs of the latter in monetary terms and computing its overall value so as to enable research actors (e.g. research performing organisations, research data infrastructures) to decide on the implementation of the FAIR principles.</t>
  </si>
  <si>
    <t>METHODOLOGY</t>
  </si>
  <si>
    <t>https://github.com/FAIRMetrics/Metrics</t>
  </si>
  <si>
    <t>https://indico.cern.ch/event/588219/contributions/2384979/attachments/1426152/2188462/Dillo_Doorn_-_Assessing_FAIRness_CERN_Geneva_13-03-2017-3.pdf</t>
  </si>
  <si>
    <t>The Cost-Benefit Analysis (CBA) is one of the standard evaluation tools applied in the definition of the social and economic impacts in European Commission Impact Assessments. To arrive at a cost/benefit of fully adhering to the FAIR principles you will be asked to provide three types of input:</t>
  </si>
  <si>
    <t>&lt;select&gt;</t>
  </si>
  <si>
    <t>*</t>
  </si>
  <si>
    <t>1. Inputs about your organisation/business unit/project</t>
  </si>
  <si>
    <t>2. Inputs about your current adherence to the FAIR principles</t>
  </si>
  <si>
    <t>Never applied</t>
  </si>
  <si>
    <t>3. Inputs about the way you are currently conducting research, manipulating data but also the costs of storage, licencing currently faced</t>
  </si>
  <si>
    <t xml:space="preserve">In this model, you will come across 4 types of sheet: </t>
  </si>
  <si>
    <t>Rarely applied</t>
  </si>
  <si>
    <t>Partially applied</t>
  </si>
  <si>
    <t>Frequently applied</t>
  </si>
  <si>
    <t>Extensively applied</t>
  </si>
  <si>
    <t>&lt;/hidden&gt;</t>
  </si>
  <si>
    <t>1. Introduction sheet (here), which gives an overview of the context and the mechanism</t>
  </si>
  <si>
    <t>2. Input sheets, which request the respondent to provide data</t>
  </si>
  <si>
    <t>3. Result sheets, which display the added value of FAIR research data based on the data previously entered</t>
  </si>
  <si>
    <t>4. Annex sheets, which provide further explanation to the respondent. Calculations and assumptions are also nested in the Annex sheets.</t>
  </si>
  <si>
    <t>Each specific sheet is further described and categorised in the table below. A general guidance on how to either interpret or fill a sheet is also given on each sheet.</t>
  </si>
  <si>
    <t>AUDIENCE AND ROLES</t>
  </si>
  <si>
    <t>QUESTIONNAIRE</t>
  </si>
  <si>
    <t>The intended audience of the mechanism is mainly research performing organisations and data infrastructures. Depending on your profile, some questions will not be relevant for you. In such a case, please replace the pre-filled values by 0.</t>
  </si>
  <si>
    <t>Please decide what is the exact scope of this assessment:</t>
  </si>
  <si>
    <t>This mechanism is expected to be filled in by a person or a group of people in the organisation with the following characteristics:</t>
  </si>
  <si>
    <t>i</t>
  </si>
  <si>
    <t>1) Access to information regarding the salaries, the time spent on data related activities or the costs of data management practices (e.g. storage costs, licences fees)</t>
  </si>
  <si>
    <t>2) Understanding of the specificities of the FAIR principles</t>
  </si>
  <si>
    <t>3) Knowledge of the costs in specific areas of the organisation such as the ones related to the IT infrastructure or softwares</t>
  </si>
  <si>
    <t>Text</t>
  </si>
  <si>
    <t xml:space="preserve">Typically, project managers or data management officers within your organisations would be able to assess the costs and benefits of applying the FAIR principles. In any case, we advise you to have one person coordinating the assessment and gathering the right information. </t>
  </si>
  <si>
    <t>Research lab</t>
  </si>
  <si>
    <t>Should you need help to compete the questionnaire, please refer to the FAQ which is below the questionnaire</t>
  </si>
  <si>
    <t>To be Findable</t>
  </si>
  <si>
    <t>INTRODUCTORY DEFINITIONS</t>
  </si>
  <si>
    <t>F1.</t>
  </si>
  <si>
    <t>(meta)data is assigned a globally unique and eternally persistent identifier</t>
  </si>
  <si>
    <t xml:space="preserve">FAIR: </t>
  </si>
  <si>
    <t>Findable, Accesible, Interoperable and Reusable research data. Detailed explanations are included in the FAQ of the sheet 2.1 Input_FAIR_Facets.</t>
  </si>
  <si>
    <t>Benefits:</t>
  </si>
  <si>
    <t>benefits are the measurable outcome stemming from the adoption of the FAIR principles. Benefits are encompassing the cost savings and cost avoidance which can be derived from the adoption of the FAIR principles</t>
  </si>
  <si>
    <t>Costs:</t>
  </si>
  <si>
    <t>costs refer to the amount to be paid or given up. The cost of becoming FAIR is a monetary valuation of the necessary effort, material, resources, etc.</t>
  </si>
  <si>
    <t>Quantitative costs and benefits:</t>
  </si>
  <si>
    <t>costs and benefits that are possible to compute in order to determine a financial value (objective and verifiable information)</t>
  </si>
  <si>
    <t>Qualitative costs and benefits:</t>
  </si>
  <si>
    <t>costs and benefits hardly possible to turn into a financial value (mostly subjective information)</t>
  </si>
  <si>
    <t>Further definitions of terms used throughout the following sheets can be found here (On the Glossary sheet)</t>
  </si>
  <si>
    <t>Q1.</t>
  </si>
  <si>
    <t>For your data/metadata, is there a scheme to uniquely identify the digital resources?</t>
  </si>
  <si>
    <t>STRUCTURE OF THE MECHANISM</t>
  </si>
  <si>
    <t>Part of the mechanism</t>
  </si>
  <si>
    <t xml:space="preserve">Q2. </t>
  </si>
  <si>
    <t>Is there a policy that describes what the provider will do in the event an identifier scheme becomes deprecated?</t>
  </si>
  <si>
    <t>F2.</t>
  </si>
  <si>
    <t>data is described with rich metadata (defined by R1 below)</t>
  </si>
  <si>
    <t>Are your digital resource described using machine-readable metadata?</t>
  </si>
  <si>
    <t>Name</t>
  </si>
  <si>
    <t>Tab content</t>
  </si>
  <si>
    <t>1. Introduction</t>
  </si>
  <si>
    <t>F3.</t>
  </si>
  <si>
    <t>metadata clearly and explicitly includes the identifier of the data it describes</t>
  </si>
  <si>
    <t>Does your metadata document contain the globally unique and persistent identifier for the digital resource?</t>
  </si>
  <si>
    <t>F4.</t>
  </si>
  <si>
    <t>(meta)data is registered or indexed in a searchable resource</t>
  </si>
  <si>
    <t>General overview of the Mechanism</t>
  </si>
  <si>
    <t>Can your digital resources be found by using web-based search engines?</t>
  </si>
  <si>
    <t>2. Input Data</t>
  </si>
  <si>
    <t>2.1 FAIR Facets</t>
  </si>
  <si>
    <t xml:space="preserve">To be Accessible </t>
  </si>
  <si>
    <t>A1.</t>
  </si>
  <si>
    <t>(meta)data is retrievable by their identifier using a standardised communications protocol</t>
  </si>
  <si>
    <t>2.2 General_Information</t>
  </si>
  <si>
    <t>A1.1.</t>
  </si>
  <si>
    <t>the protocol is open, free, and universally implementable</t>
  </si>
  <si>
    <t xml:space="preserve">Q1. </t>
  </si>
  <si>
    <t>Regarding the nature and use limitations of your access protocol, is your protocol open, free and universally implementable?</t>
  </si>
  <si>
    <t>A1.2.</t>
  </si>
  <si>
    <t>the protocol allows for an authentication and authorization procedure, where necessary</t>
  </si>
  <si>
    <t>Specification of a protocol to access restricted content?</t>
  </si>
  <si>
    <t>2.3 Questionnaire</t>
  </si>
  <si>
    <t>A2.</t>
  </si>
  <si>
    <t>metadata is accessible, even when the data are no longer available</t>
  </si>
  <si>
    <t>Information on how researchers spend their time, but also about storage, subscription fees, etc. (to be filled in)</t>
  </si>
  <si>
    <t>Are your metadata persistent even in the abscence/removal of data?</t>
  </si>
  <si>
    <t>3. Results</t>
  </si>
  <si>
    <t>A3.</t>
  </si>
  <si>
    <t>(meta)data is openly accessible*</t>
  </si>
  <si>
    <t>Results of the cost-benefit analysis</t>
  </si>
  <si>
    <t>4. Annexes</t>
  </si>
  <si>
    <t>Explanation sheet about the different factors estimated in this mechanism.</t>
  </si>
  <si>
    <t>Is your data accessible under an open licence?</t>
  </si>
  <si>
    <t>Calc_time</t>
  </si>
  <si>
    <t>Technical sheet computing the value of time spent/saved.</t>
  </si>
  <si>
    <t xml:space="preserve">To be Interoperable </t>
  </si>
  <si>
    <t>Calc_Misc</t>
  </si>
  <si>
    <t>Technical sheet computing the value about subcription fees, etc.</t>
  </si>
  <si>
    <t>Calc_Storage</t>
  </si>
  <si>
    <t>Technical sheet computing the value about storage</t>
  </si>
  <si>
    <t>I1.</t>
  </si>
  <si>
    <t>(meta)data uses a formal, accessible, shared, and broadly applicable language for knowledge representation</t>
  </si>
  <si>
    <t>Glossary defining the terms used throughout the sheet</t>
  </si>
  <si>
    <t>Are you using formal, accessible, shared, and broadly applicable language(s) for knowledge representation?</t>
  </si>
  <si>
    <t>Researchers_Salaries</t>
  </si>
  <si>
    <t>I2.</t>
  </si>
  <si>
    <t>(meta)data uses vocabularies that follow FAIR principles</t>
  </si>
  <si>
    <t>Technical sheet computing the salaries of researchers/per country</t>
  </si>
  <si>
    <t>Are the metadata values and qualified relations themselves FAIR? For example, terms from open, community-accepted vocabularies published in an appropriate knowledge-exchange format?</t>
  </si>
  <si>
    <t>I3.</t>
  </si>
  <si>
    <t>(meta)data includes qualified references to other (meta)data</t>
  </si>
  <si>
    <t>Do relationships within (meta)data, and between local and third-party data, have explicit and 'useful' semantic meaning?</t>
  </si>
  <si>
    <t>To be Reusable</t>
  </si>
  <si>
    <t>R1.</t>
  </si>
  <si>
    <t>meta(data) is richly described with a plurality of accurate and relevant attributes</t>
  </si>
  <si>
    <t>R1.1.</t>
  </si>
  <si>
    <t>(meta)data is released with a clear and accessible data usage licence</t>
  </si>
  <si>
    <t>Do BOTH (independently) your data and its associated metadata have licence documents existing with the ability to retrieve those documents?</t>
  </si>
  <si>
    <t>R1.2.</t>
  </si>
  <si>
    <t>(meta)data is associated with detailed provenance</t>
  </si>
  <si>
    <t>Is there provenance information associated with the data, covering at least two primary types of provenance information:</t>
  </si>
  <si>
    <t>- who/what/when produced the data (i.e. for citation)</t>
  </si>
  <si>
    <t>- why/how was the data produced (i.e. to understand context and relevance of the data)</t>
  </si>
  <si>
    <t>R1.3.</t>
  </si>
  <si>
    <t>(meta)data meets domain-relevant community standards</t>
  </si>
  <si>
    <t>Are your resources certified by a recognized body as meeting community standards?</t>
  </si>
  <si>
    <t>RESULTS</t>
  </si>
  <si>
    <t>Overall FAIRness</t>
  </si>
  <si>
    <t>General information questionnaire</t>
  </si>
  <si>
    <t>Here below are two frames to fill in. The first one is mandatory, the second one is optional. Pre-filled values in blue can be replaced by actual values when filling in the form.</t>
  </si>
  <si>
    <t>Findable</t>
  </si>
  <si>
    <t>Note</t>
  </si>
  <si>
    <t>Pre-filled values are present all along the document in case you would not be able to answer a specific question. Other cells and values should not be altered, as this might generate errors and affect the accuracy of calculations.*</t>
  </si>
  <si>
    <t>Accessible</t>
  </si>
  <si>
    <t>Interoperable</t>
  </si>
  <si>
    <t>Reusable</t>
  </si>
  <si>
    <t xml:space="preserve">General questionnaire </t>
  </si>
  <si>
    <t>GENERAL INFORMATION</t>
  </si>
  <si>
    <t>*This question was added to the set of principles and sub-principles established in:</t>
  </si>
  <si>
    <t>Instructions</t>
  </si>
  <si>
    <t>https://github.com/FAIRMetrics/Metrics/blob/master/ALL.pdf</t>
  </si>
  <si>
    <t>https://www.force11.org/group/fairgroup/fairprinciples</t>
  </si>
  <si>
    <t>1)</t>
  </si>
  <si>
    <t>(meta)data are assigned a globally unique and eternally persistent identifier</t>
  </si>
  <si>
    <t>First fill in the percentage of time spent (referred to also as 'time') in the 9 actitvites (e.g. research development, planning of a research project, creation and collection of the data, etc.) per research profile</t>
  </si>
  <si>
    <t>Go to &gt;</t>
  </si>
  <si>
    <t>data are described with rich metadata (defined by R1 below)</t>
  </si>
  <si>
    <t>metadata clearly and explicitly include the identifier of the data it describes</t>
  </si>
  <si>
    <t>(meta)data are registered or indexed in a searchable resource</t>
  </si>
  <si>
    <t>(meta)data are retrievable by their identifier using a standardised communications protocol</t>
  </si>
  <si>
    <t>2)</t>
  </si>
  <si>
    <t xml:space="preserve">Secondly, scroll further down and anwser all the questions related to each specific activity from the firs table. To do so,  please fill in all the light grey boxes. </t>
  </si>
  <si>
    <t>metadata are accessible, even when the data are no longer available</t>
  </si>
  <si>
    <t>2.1)</t>
  </si>
  <si>
    <t>(meta)data use a formal, accessible, shared, and broadly applicable language for knowledge representation</t>
  </si>
  <si>
    <t>(meta)data use vocabularies that follow FAIR principles</t>
  </si>
  <si>
    <t>(meta)data include qualified references to other (meta)data</t>
  </si>
  <si>
    <t>Every blue coloured-figure is to be replaced by figures related to your activities. Should you not specifically know how to answer a question, leave it as it is (figures are based on general assumptions)</t>
  </si>
  <si>
    <t>meta(data) are richly described with a plurality of accurate and relevant attributes</t>
  </si>
  <si>
    <t>(meta)data are released with a clear and accessible data usage licence</t>
  </si>
  <si>
    <t>(meta)data are associated with detailed provenance</t>
  </si>
  <si>
    <t>(meta)data meet domain-relevant community standards</t>
  </si>
  <si>
    <t>2.2)</t>
  </si>
  <si>
    <t>2.3)</t>
  </si>
  <si>
    <t>For questions about averages, please fill out the average for 1 year.</t>
  </si>
  <si>
    <t>FAQ - HOW TO COMPLETE THE QUESTIONNAIRE</t>
  </si>
  <si>
    <t>What is the current year?</t>
  </si>
  <si>
    <t>Year</t>
  </si>
  <si>
    <t>Please select the type and the role of your organisation?</t>
  </si>
  <si>
    <t>Government</t>
  </si>
  <si>
    <t>F1. (meta)data are assigned a globally unique and eternally persistent identifier</t>
  </si>
  <si>
    <t>Academic</t>
  </si>
  <si>
    <t>Private</t>
  </si>
  <si>
    <t>Non-profit</t>
  </si>
  <si>
    <t>What is being measured?</t>
  </si>
  <si>
    <t>Both</t>
  </si>
  <si>
    <t>Research performing organisation</t>
  </si>
  <si>
    <t>Legend</t>
  </si>
  <si>
    <t>Data infrastructure</t>
  </si>
  <si>
    <t>Other</t>
  </si>
  <si>
    <t>What must be provided?</t>
  </si>
  <si>
    <t>F</t>
  </si>
  <si>
    <t>In which country is your organisation located?</t>
  </si>
  <si>
    <t>Bulgaria</t>
  </si>
  <si>
    <t>Information about which factors of costs and benefits are taken into account in the estimation</t>
  </si>
  <si>
    <t>Additional information on understanding the question</t>
  </si>
  <si>
    <t>G</t>
  </si>
  <si>
    <t>#</t>
  </si>
  <si>
    <t>Terms explained in the Glossary tab of the mechanism</t>
  </si>
  <si>
    <t>Row</t>
  </si>
  <si>
    <t>Percentage of time when doing research and/or data management activities spent on:</t>
  </si>
  <si>
    <t>What is a valid result?</t>
  </si>
  <si>
    <t>Column</t>
  </si>
  <si>
    <t>How many years do you estimate that will you need for completing the implementation of the FAIR principles?</t>
  </si>
  <si>
    <t>Years</t>
  </si>
  <si>
    <t>Whether there is a scheme to uniquely identify the digital resource.
// 
Whether there is a policy that describes what the provider will do in the event an identifier scheme becomes deprecated.</t>
  </si>
  <si>
    <t>Information</t>
  </si>
  <si>
    <t>URL to a registered identifier scheme.
//
A URL that resolves to a document containing the relevant policy.</t>
  </si>
  <si>
    <t>An identifer scheme is valid if and only if it is described in a repository that can register and present such identifer schemes (e.g. fairsharing.org). Information about the identifier scheme must be presented with a machine-readable document containing the FM1 attribute with the URL to where the scheme is described.
//
Use an HTTP GET on URL provided.</t>
  </si>
  <si>
    <t>Present or Absent
//
Present (a 200,202,203 or 206 HTTP response after resolving all and any prior redirects. e.g. 301 -&gt; 302 -&gt; 200 OK.) or Absent (any other HTTP code)</t>
  </si>
  <si>
    <t>The availability of machine-readable metadata that describes a digital resource.</t>
  </si>
  <si>
    <t>A URL to a document that contains machine-readable metadata for the digital resource. Furthermore, the file format must be specifed.</t>
  </si>
  <si>
    <t>HTTP GET on the metadata URL. A response of [a 200,202,203 or 206 HTTP response after resolving all and any prior redirects. e.g. 301 -&gt; 302 -&gt; 200 OK.] indicates that there is indeed a document. The second URL should resolve to the record of a registered file format (e.g. DCAT,DICOM, schema.org etc.) in a registry like FAIRsharing.</t>
  </si>
  <si>
    <t>Machine-readable or Machine-not-readable</t>
  </si>
  <si>
    <t>Whether the metadata document contains the globally unique and persistent identifier for the digital resource.</t>
  </si>
  <si>
    <t>The URL of the metadata and the IRI of the digital resource it describes.</t>
  </si>
  <si>
    <t>Parsing the metadata for the given digital resource IRI.</t>
  </si>
  <si>
    <t>Present or absent</t>
  </si>
  <si>
    <t>The degree to which the digital resource can be found using web-based search engines.</t>
  </si>
  <si>
    <t>&lt;hidden&gt;Compliance to the FAIR principles&lt;/hidden&gt;</t>
  </si>
  <si>
    <t>The persistent identifier of the resource and one or more URLs that give search results of different search engines.</t>
  </si>
  <si>
    <t>(Research) project development / project initiation</t>
  </si>
  <si>
    <t>We perform an HTTP GET on the URLs provided and attempt to to find the persistent identifier in the page that is returned. A second step is to follow each of the top 10 hits and examine the resulting documents for presence of the identifier.</t>
  </si>
  <si>
    <t>More info ...</t>
  </si>
  <si>
    <t>true - &gt; the persistent identifier was found in the search results.</t>
  </si>
  <si>
    <t>The nature and use limitations of the access protocol.</t>
  </si>
  <si>
    <t>i) A URL to the description of the protocol
ii) true/false as to whether the protocol is open source
iii) true/false as to whether the protocol is (royalty) free</t>
  </si>
  <si>
    <t>Concerning the average level of compliance to FAIR in the EU-28, please pick one of these scenario:</t>
  </si>
  <si>
    <t>Do an HTTP get on the URL to see if it returns a valid document. Ideally, we would have a universal database of communication protocols from which we can check this URL. We also check whether questions 2 and 3 are true or false.</t>
  </si>
  <si>
    <t>High level</t>
  </si>
  <si>
    <t>The HTTP GET on the URL should return a 200,202,203 or 206 HTTP response after resolving all and any prior redirects. e.g. 301 -&gt; 302 -&gt; 200 OK. The other two should be false</t>
  </si>
  <si>
    <t>Planning of a project</t>
  </si>
  <si>
    <t>Specification of a protocol to access restricted content.</t>
  </si>
  <si>
    <t>i) true/false concerning whether authorization is needed
ii) a description of the process to obtain access to restricted
content.</t>
  </si>
  <si>
    <t>computational validation of the data provided</t>
  </si>
  <si>
    <t>Lowest level</t>
  </si>
  <si>
    <t>Low level</t>
  </si>
  <si>
    <t>Medium level</t>
  </si>
  <si>
    <t>a valid answer contains a true or false for the first question. if true, a non-empty textual description for the process is provided.</t>
  </si>
  <si>
    <t>Creation and collection of the data</t>
  </si>
  <si>
    <t>The existence of metadata even in the absence/removal of data</t>
  </si>
  <si>
    <t>Which percentage of your data do you estimate that cannot be made open because of one of the following reasons: Copyright restrictions / Confidentiality requirements / Contractual clauses</t>
  </si>
  <si>
    <t>%</t>
  </si>
  <si>
    <t>URL to a formal metadata longevity plan</t>
  </si>
  <si>
    <t>Pre-processing and data cleansing</t>
  </si>
  <si>
    <t>Resolve the URL</t>
  </si>
  <si>
    <t>With which exchange rates can the tool work</t>
  </si>
  <si>
    <t>- Successful resolution
- Returns a document that represents a plan or policy of some kind
- Preferably certified (e.g. DSA)</t>
  </si>
  <si>
    <t>Pound - Euro</t>
  </si>
  <si>
    <t>Integration of the data</t>
  </si>
  <si>
    <t>use of a formal, accessible, shared, and broadly applicable language for knowledge representation.</t>
  </si>
  <si>
    <t>Analysis of the data</t>
  </si>
  <si>
    <t>Dollar - Euro</t>
  </si>
  <si>
    <t>URL to the specification of the language</t>
  </si>
  <si>
    <t>- The language must have a BNF (or other specification language)
- The URL resolves (accessible)
- The document has an IANA media-type (i.e. it insufficiently widely-accepted and shared that it has been registered)
- The language can be arbitrarily extended (e.g. PDBml can be used to represent knowledge, but only about proteins)</t>
  </si>
  <si>
    <t>BNF found</t>
  </si>
  <si>
    <t>Redaction of the report</t>
  </si>
  <si>
    <t>The metadata values and qualified relations should themselves be FAIR, for example, terms from open, community-accepted vocabularies published in an appropriate knowledge-exchange format.</t>
  </si>
  <si>
    <t>Publication</t>
  </si>
  <si>
    <t>IRIs representing the vocabularies used for (meta)data</t>
  </si>
  <si>
    <t>Resolve UUIDs, check FAIRness of the returned document(s)</t>
  </si>
  <si>
    <t xml:space="preserve">Peer review </t>
  </si>
  <si>
    <t>Successful resolution; document is amenable to machine-parsing and identification of terms within it.</t>
  </si>
  <si>
    <t>Relationships within (meta)data, and between local and third-party data, have explicit and 'useful' semantic meaning</t>
  </si>
  <si>
    <t>Linksets (in the formal sense) representing part or all of your resource</t>
  </si>
  <si>
    <t>The linksets must have qualified references
At least one of the links must be in a different Web domain (or the equivalent of a different namespace for non-URI identifiers)</t>
  </si>
  <si>
    <t>- References are qualified
- Qualities are beyond "Xref" or "is related to"
- One of the cross-references points outwards to a distinct namespace</t>
  </si>
  <si>
    <t>The information to be entered in this frame is optional. If no information is provided, the calculations will be made using the average salary for researchers of your sector in your country. Filling in this frame will increase the accuracy of the results for your organisation or project.</t>
  </si>
  <si>
    <t>Please answer all the questions below - For the sake of clarity, each question is categorized under an activity</t>
  </si>
  <si>
    <t>The existence of a license document, for BOTH (independently) the data and its associated metadata, and the ability to retrieve those documents</t>
  </si>
  <si>
    <t>IRI of the license (e.g. its URL) for the data license and for the metadata license</t>
  </si>
  <si>
    <t>Resolve the IRI(s) using its associated resolution protocol</t>
  </si>
  <si>
    <t>HUMAN RESSOURCES</t>
  </si>
  <si>
    <t>A document containing the license information</t>
  </si>
  <si>
    <t>That there is provenance information associated with the data, covering at least two primary types of provenance information:
- Who/what/When produced the data (i.e. for citation)
- Why/How was the data produced (i.e. to understand context and relevance of the data)</t>
  </si>
  <si>
    <t>Two URLs (IRIs). One of these URLs points to one of the vocabularies used to describe citational provenance (e.g. Dublin Core). The second points to one of the vocabularies (likely domain-specific) that is used to describe contextual provenance (e.g. EDAM)</t>
  </si>
  <si>
    <t>We resolve the URLs/IRIs according to their associated protocols.</t>
  </si>
  <si>
    <t>IRI 1 should resolve to a recognized citation provenance standard such as Dublin Core.
IRI 2 should resolve to some vocabulary that itself passes basic tests of FAIRness.</t>
  </si>
  <si>
    <t>Certification, from a recognized body, of the resource meeting community standards.</t>
  </si>
  <si>
    <t>A certification saying that the resource is compliant</t>
  </si>
  <si>
    <t>Validate the electronic signature as coming from a community authority (e.g. a Verisign signature)</t>
  </si>
  <si>
    <t>Grant application</t>
  </si>
  <si>
    <t>Successful signature validation</t>
  </si>
  <si>
    <t xml:space="preserve">* Source : </t>
  </si>
  <si>
    <t>For the scope you chose for this assessment:</t>
  </si>
  <si>
    <t>-</t>
  </si>
  <si>
    <t>What is the average annual external funding you receive via grants?</t>
  </si>
  <si>
    <t>EUR (€)</t>
  </si>
  <si>
    <t>Salary Factor</t>
  </si>
  <si>
    <t>Profile</t>
  </si>
  <si>
    <t>PhD researcher</t>
  </si>
  <si>
    <t>Lecturer/Researcher (Academic)</t>
  </si>
  <si>
    <t>Lecturer assistant/Research assistant (Academic)</t>
  </si>
  <si>
    <t>Data analyst</t>
  </si>
  <si>
    <t>Profile 7</t>
  </si>
  <si>
    <t>Data scientist</t>
  </si>
  <si>
    <t>Data steward</t>
  </si>
  <si>
    <t>Post-doctoral researcher</t>
  </si>
  <si>
    <t>Project Manager</t>
  </si>
  <si>
    <t>Research fellow</t>
  </si>
  <si>
    <t>Data management plan (DMP)</t>
  </si>
  <si>
    <t>Profile 1</t>
  </si>
  <si>
    <t>Profile 2</t>
  </si>
  <si>
    <t>Profile 3</t>
  </si>
  <si>
    <t>Profile 4</t>
  </si>
  <si>
    <t>Which percentage of your current projects created a DMP?</t>
  </si>
  <si>
    <t>Profile 5</t>
  </si>
  <si>
    <t>Profile 6</t>
  </si>
  <si>
    <t>Compared to the total time allocted to the planning of the project, which percentage of time is spent on average on creating the DMP?</t>
  </si>
  <si>
    <t>Profile 8</t>
  </si>
  <si>
    <t>Which profiles work in research projects in your organisation:</t>
  </si>
  <si>
    <t xml:space="preserve"> </t>
  </si>
  <si>
    <t xml:space="preserve">What is the estimated percentage of time spent on: </t>
  </si>
  <si>
    <t>Sumcheck</t>
  </si>
  <si>
    <t>Collecting existing data</t>
  </si>
  <si>
    <t>Number of employees per profile</t>
  </si>
  <si>
    <t>Under the collection of existing data, how is your time distributed between finding relevant data, identifying the licence to know if you can reuse the data, and accessing the data selected?</t>
  </si>
  <si>
    <t>Finding data</t>
  </si>
  <si>
    <t>Identifying &amp; understanding licence</t>
  </si>
  <si>
    <t>Accessing data</t>
  </si>
  <si>
    <t>Generating new data</t>
  </si>
  <si>
    <t xml:space="preserve">i. </t>
  </si>
  <si>
    <t>/</t>
  </si>
  <si>
    <t>Percentage of time dedicated to research and data management activities</t>
  </si>
  <si>
    <t xml:space="preserve">What is the time spent for finding existing data, expressed as a percentage of the time spent collecting existing data, when there is: </t>
  </si>
  <si>
    <t>Average salary (gross, yearly)</t>
  </si>
  <si>
    <t>No metadata at all</t>
  </si>
  <si>
    <t>No metadata standards</t>
  </si>
  <si>
    <t>Local metadata standards</t>
  </si>
  <si>
    <t>Recognized metadata standard</t>
  </si>
  <si>
    <t>Recognized metadata standard with machine-readable formats</t>
  </si>
  <si>
    <t>No Identifier</t>
  </si>
  <si>
    <t>Local PIDs</t>
  </si>
  <si>
    <t>Global standardised PIDs</t>
  </si>
  <si>
    <t>Percentage of existing datasets previously found which have:</t>
  </si>
  <si>
    <t>No metadata</t>
  </si>
  <si>
    <t>Recognized metadata standards</t>
  </si>
  <si>
    <t>Recognized metadata standards with machine-readable formats</t>
  </si>
  <si>
    <t>To your knowledge, what proportion of (meta)data in the long-term could you collect in an automated way thanks to machine readability?</t>
  </si>
  <si>
    <t>Percentage of relevant existing datasets kept for reuse compared to the total number of datasets found:</t>
  </si>
  <si>
    <t>What is the distribution of the different access points that you use for accessing external existing data and how much time do you spend for accessing the data on those points?</t>
  </si>
  <si>
    <t>Proportion</t>
  </si>
  <si>
    <t>Using cloud storage services (e.g. Google Drive, Office 365, Dropbox, AWS)</t>
  </si>
  <si>
    <t>Using portable storage such as CDs, DVDs, memory sticks etc.</t>
  </si>
  <si>
    <t>By upload to a third-party web site or FTP server accessible to reusers</t>
  </si>
  <si>
    <t>Institutional file-sharing service and on-premise storage</t>
  </si>
  <si>
    <t>International data repository (e.g. EBI)</t>
  </si>
  <si>
    <t>What is the estimated time spent for finding the licence or usage conditions of the required data, and if any, what is the percentage of the time spent for understanding the licensing conditions:</t>
  </si>
  <si>
    <t>There is no licence</t>
  </si>
  <si>
    <t>There is a local licence (human readable)</t>
  </si>
  <si>
    <t>There is a standardised licence (human and machine readable)</t>
  </si>
  <si>
    <t>Concerning the existing data you reuse:</t>
  </si>
  <si>
    <t>How much does your organisation pay per year for the data acquisition (e.g. licensing fees or royalties) as part of the scope of this assessment?</t>
  </si>
  <si>
    <t>What is the percentage of data available in open access?</t>
  </si>
  <si>
    <t>Data storage</t>
  </si>
  <si>
    <t>Number of datasets created and/or reused</t>
  </si>
  <si>
    <t>Average working hours per week</t>
  </si>
  <si>
    <t>TB</t>
  </si>
  <si>
    <t>Average working hours per work day (Monday - Friday)</t>
  </si>
  <si>
    <t>Among the total volume of data created and/or reused, what is the percentage deleted during the project (and consequently never persistently stored)?</t>
  </si>
  <si>
    <t>On how many repositories, on average, are you storing the same data?</t>
  </si>
  <si>
    <t>Please exclude local disk (e.g. USB sticks, hard drives, etc.) as well as backups/archiving</t>
  </si>
  <si>
    <t>Average working days per year</t>
  </si>
  <si>
    <t xml:space="preserve">In an optimal scenario, what is the average minimum number of repositories where your data would need to be stored? </t>
  </si>
  <si>
    <t>Excluding local disks and back-ups</t>
  </si>
  <si>
    <t>In your discipline, how many years would represent a persistent retention period?</t>
  </si>
  <si>
    <t>Average number of projects on which this profile worked per year</t>
  </si>
  <si>
    <t xml:space="preserve">What is the estimated distribution of time spent on the following activities: </t>
  </si>
  <si>
    <t>Average cost per working hour</t>
  </si>
  <si>
    <t>a)</t>
  </si>
  <si>
    <t>Data or metadata cleansing and wrangling</t>
  </si>
  <si>
    <t>b)</t>
  </si>
  <si>
    <t>Describing in accordance with metadata standards and assigning a PID</t>
  </si>
  <si>
    <t>c)</t>
  </si>
  <si>
    <t>Describing datasets to enable methods and results reproducibility</t>
  </si>
  <si>
    <t>d)</t>
  </si>
  <si>
    <t>Creating and maintaining policies</t>
  </si>
  <si>
    <t>a) Other data cleansing and wrangling costs</t>
  </si>
  <si>
    <t>* Pre-filled value were drawn from a desk research and previous work conducted about FAIR research data</t>
  </si>
  <si>
    <t xml:space="preserve">Do all your existing data processing softwares support open import / export formats? </t>
  </si>
  <si>
    <t>No</t>
  </si>
  <si>
    <t>Yes</t>
  </si>
  <si>
    <t>What is the estimated cost for implementing such import / export interface for all your data processing softwares?</t>
  </si>
  <si>
    <t xml:space="preserve">b) Describing in accordance with metadata standards and assigning a PID (detailed estimation) </t>
  </si>
  <si>
    <t xml:space="preserve">What proportion of your data is described using: </t>
  </si>
  <si>
    <t>% Proportion</t>
  </si>
  <si>
    <t>How much time do you spend for describing your data?</t>
  </si>
  <si>
    <t>What is the distribution of the use of identifiers for your data, and what is the percentage of time spent per case:</t>
  </si>
  <si>
    <t>Local PID</t>
  </si>
  <si>
    <t>Which additional amount of time is required, as an investment during the implementation of FAIR, to start complying with global standardised PIDs?</t>
  </si>
  <si>
    <t xml:space="preserve">What is the recurrent direct cost for complying with global standardised PIDs? </t>
  </si>
  <si>
    <t>Which proportion of your dataset(s) are described enough to make them reproducible?</t>
  </si>
  <si>
    <t>Very well described datasets</t>
  </si>
  <si>
    <t>Well described datasets</t>
  </si>
  <si>
    <t>Approximately described datasets</t>
  </si>
  <si>
    <t>Not really well described datasets</t>
  </si>
  <si>
    <t>Not described datasets</t>
  </si>
  <si>
    <t xml:space="preserve">d) Creating and maintaining data management policies (detailed estimation) </t>
  </si>
  <si>
    <t>Do you have policy documents describing the following elements and when was the last update?</t>
  </si>
  <si>
    <t>Present?</t>
  </si>
  <si>
    <t>Last update?</t>
  </si>
  <si>
    <t>- data management: defining processes for creating, updating, maintaining, retiring datasets (incl. persistent availability of different versions of a dataset)</t>
  </si>
  <si>
    <t>YES</t>
  </si>
  <si>
    <t>Less than 1 year</t>
  </si>
  <si>
    <t>- metadata management (incl. assigning the right licence)</t>
  </si>
  <si>
    <t>More than 2 years</t>
  </si>
  <si>
    <t>- the management of persistent identifiers</t>
  </si>
  <si>
    <t>NO</t>
  </si>
  <si>
    <t>Not created</t>
  </si>
  <si>
    <t>Between 1 and 2 years</t>
  </si>
  <si>
    <t>How frequently do you maintain the policies?</t>
  </si>
  <si>
    <t>In order to create and maintain it, do you prefer to work with internal employees or opt for external providers?</t>
  </si>
  <si>
    <t>Internal employees</t>
  </si>
  <si>
    <t>External provider</t>
  </si>
  <si>
    <t>When using internal employees, which profile is mostly involved?</t>
  </si>
  <si>
    <t xml:space="preserve">What is the distribution of your data along the following cases, and what is the percentage of time spent on integrating existing data and on improving data quality per case: </t>
  </si>
  <si>
    <t>% Time spent</t>
  </si>
  <si>
    <t>non-machine readable data</t>
  </si>
  <si>
    <t>non-machine readable data in PDF or similar formats</t>
  </si>
  <si>
    <t xml:space="preserve"> Time (E23:L23)</t>
  </si>
  <si>
    <t>What is the percentage of existing datasets for which you spend time improving data quality</t>
  </si>
  <si>
    <t>Among the datasets for which you spent time improving the quality, what is the percentage of existing data which cannot be used because of insufficient quality?</t>
  </si>
  <si>
    <t>For all the datasets you produced/stored as part of the scope of this assessment, what is your estimation of the total number of reuses per year:</t>
  </si>
  <si>
    <t>Internal reusers (for the scope of the assessment)</t>
  </si>
  <si>
    <t>External reusers</t>
  </si>
  <si>
    <t>Number of reusers</t>
  </si>
  <si>
    <t>Do you document every step of the data analysis process and how much time does it take you?</t>
  </si>
  <si>
    <t>Which steps do you record?</t>
  </si>
  <si>
    <t>Select</t>
  </si>
  <si>
    <t>The majority of the steps are recorded</t>
  </si>
  <si>
    <t>What is your estimation of the time spent as a percentage of the total time spent on analysing data?</t>
  </si>
  <si>
    <t>All steps are recorded</t>
  </si>
  <si>
    <t>Some steps are recorded</t>
  </si>
  <si>
    <t>A few steps are recorded</t>
  </si>
  <si>
    <t>No step is recorded</t>
  </si>
  <si>
    <t>On average, how many datasets do you registrer online/publish per year?</t>
  </si>
  <si>
    <t>Non-open</t>
  </si>
  <si>
    <t>Open accessible</t>
  </si>
  <si>
    <t>Data</t>
  </si>
  <si>
    <t>Number of datasets published</t>
  </si>
  <si>
    <t>Can you provide an estimate of the cost of registering/publishing?</t>
  </si>
  <si>
    <t>Yes, I will input the figure</t>
  </si>
  <si>
    <t>No, please give me an estimate</t>
  </si>
  <si>
    <t>Cost of publishing</t>
  </si>
  <si>
    <t>How do you licence your data (in terms of percentage per type of licence used)? 
For each category, how much time do you spend as a percentage of the time required for registering and publishing the data on a repository:</t>
  </si>
  <si>
    <t>Time spent</t>
  </si>
  <si>
    <t>no standardised licences</t>
  </si>
  <si>
    <t>local licences</t>
  </si>
  <si>
    <t>standardised licences</t>
  </si>
  <si>
    <t>What is the average income from data licensing fees or royalties? (applicable for the scope of filling out the questionnaire)</t>
  </si>
  <si>
    <t>Retraction</t>
  </si>
  <si>
    <t>Which percentage of the total number of published studies gets retracted or needs to be modified due to insufficient access to supporting data, no reproducibility or the retraction of other related studies?</t>
  </si>
  <si>
    <t>Which percentage of the time spent on a retracted study remains valuable for other purposes? (e.g. republication, reuse, etc.)?</t>
  </si>
  <si>
    <t>Peer review</t>
  </si>
  <si>
    <t>On average, how many peer review(s) per year are your researchers conducting?</t>
  </si>
  <si>
    <t>What is the average number of peer review(s)/researcher/year in your discipline?</t>
  </si>
  <si>
    <t>Within the scope of this assessment, what is the average number of publications a researcher is conducting per year?</t>
  </si>
  <si>
    <t>In the long term, would a FAIR-compliant publication require as many peer reviews as the current average in your sector of research?</t>
  </si>
  <si>
    <t>Yes/No</t>
  </si>
  <si>
    <t>If no, what would be for you the minimum number of peer review(s) from which you would be confident in the publication process?</t>
  </si>
  <si>
    <t>Which % of time spent will you save when low quality results during peer reviews are retracted/double checks, etc?</t>
  </si>
  <si>
    <t>Other FAIR-related activities</t>
  </si>
  <si>
    <t>Project management</t>
  </si>
  <si>
    <t>Project management: coordinate all activities and keep track of the deadlines and implementation progress of the transition becoming FAIR.</t>
  </si>
  <si>
    <t># FTE</t>
  </si>
  <si>
    <t>E.g. negotiate contracts/storage, set-up implementation plan, create and execute communication plan, reorganisation, hiring people, write process to transfer data to chosen repository + do the transfer/clean etc)</t>
  </si>
  <si>
    <t>Type of profile which will be part of the PM</t>
  </si>
  <si>
    <t>When no specific profile was chosen, which is the average gross salary per year for such a PM profile?</t>
  </si>
  <si>
    <t xml:space="preserve">Cultural change and awareness raising </t>
  </si>
  <si>
    <t>How much would you devote to marketing purpose, raise awareness activities during your implementation of the FAIR principles ?</t>
  </si>
  <si>
    <t xml:space="preserve">Data stewardship </t>
  </si>
  <si>
    <t>How many FTEs are working on data stewardship activities?</t>
  </si>
  <si>
    <t>&lt;hidden-not used&gt;</t>
  </si>
  <si>
    <t>How many data stewards do you currently have?</t>
  </si>
  <si>
    <t>What proportion of their time do you estimate they allocate to data stewardship activities?</t>
  </si>
  <si>
    <t>What would be your proportion of data steward per researchers to fully comply to the FAIR principles?</t>
  </si>
  <si>
    <t>1 per</t>
  </si>
  <si>
    <t>researchers</t>
  </si>
  <si>
    <t>Percentage of time allocated to data stewardship per data steward ( &gt;&lt; research)?</t>
  </si>
  <si>
    <t>Would you rather train your employees or hire external people for data stewardship activities?</t>
  </si>
  <si>
    <t>Mix</t>
  </si>
  <si>
    <t>Internal Rate of Return</t>
  </si>
  <si>
    <t>Percent</t>
  </si>
  <si>
    <t>What is the estimated cost for training employees to become data stewards?</t>
  </si>
  <si>
    <t>Train</t>
  </si>
  <si>
    <t>Hire</t>
  </si>
  <si>
    <t>Present Value of Total Benefits</t>
  </si>
  <si>
    <t>Present Value of Total Costs</t>
  </si>
  <si>
    <t>No specific profile</t>
  </si>
  <si>
    <t>Which salary would you be ready to pay yearly for hiring a new data steward?</t>
  </si>
  <si>
    <t>Discount Rate</t>
  </si>
  <si>
    <t>IT costs</t>
  </si>
  <si>
    <t xml:space="preserve">Percent </t>
  </si>
  <si>
    <t>Base Year</t>
  </si>
  <si>
    <t>What are the estimated additional software costs incurred due to the FAIR implementation and compliance, e.g. provision of metadata validation or persistent identifier services?</t>
  </si>
  <si>
    <t>Additional software costs</t>
  </si>
  <si>
    <t>On average, how long is the period between two innovation cycles of your IT infrastructure to store and manage research data?</t>
  </si>
  <si>
    <t>Number of period</t>
  </si>
  <si>
    <t>Decrease</t>
  </si>
  <si>
    <t>Increase</t>
  </si>
  <si>
    <t>How much do you estimate that an innovation cycle of your basic IT infrastructure costs you on average per year?</t>
  </si>
  <si>
    <t>Other likely costs or benefits</t>
  </si>
  <si>
    <t>Are there any other costs that you incur at the moment which might not be the case anymore when being FAIR compliant? E.g. legal advice on verifying the use of licensed data, etc.</t>
  </si>
  <si>
    <t>Are there any other costs that will be incurred when setting up FAIR principles?</t>
  </si>
  <si>
    <t>Interactive charts</t>
  </si>
  <si>
    <t>THANK YOU FOR FILLING OUT THIS QUESTIONNAIRE</t>
  </si>
  <si>
    <t>SEE THE RESULTS</t>
  </si>
  <si>
    <t>Detailed results</t>
  </si>
  <si>
    <t>Year Index</t>
  </si>
  <si>
    <t>Column letter</t>
  </si>
  <si>
    <t>Letter</t>
  </si>
  <si>
    <t>Column index</t>
  </si>
  <si>
    <t>Projected inflation</t>
  </si>
  <si>
    <t>Saving in efficient time usage</t>
  </si>
  <si>
    <t>Saving in storage costs</t>
  </si>
  <si>
    <t>Time saved thanks to less retractions of published works</t>
  </si>
  <si>
    <t>Benefit due to extra funds available on a yearly-basis (example of H2020 for 2014-2016)</t>
  </si>
  <si>
    <t>Licensing saving to access studies</t>
  </si>
  <si>
    <t>Cost Savings &amp; Avoidance</t>
  </si>
  <si>
    <t>Direct benefits of using FAIR</t>
  </si>
  <si>
    <t>Total operational cost in EUR of time spent to become FAIR</t>
  </si>
  <si>
    <t>Software maintenance costs</t>
  </si>
  <si>
    <t>Data stewardship costs</t>
  </si>
  <si>
    <t>Cost faced due to the identification of grant duplication</t>
  </si>
  <si>
    <t>Decreasing revenue from licensing fees and royalties</t>
  </si>
  <si>
    <t>Cost of storage due to increased retention</t>
  </si>
  <si>
    <t>Additional cost because of the reduced period between two innovation cycles of the basic IT infrastructure</t>
  </si>
  <si>
    <t>Marketing and raising awareness costs</t>
  </si>
  <si>
    <t>Recurring costs</t>
  </si>
  <si>
    <t>Cost faced due to non-open import/export formats</t>
  </si>
  <si>
    <t>Investment cost (Data Policies)</t>
  </si>
  <si>
    <t>Project Management costs</t>
  </si>
  <si>
    <t>Total investment cost in EUR of time spent to become FAIR</t>
  </si>
  <si>
    <t>Non-recurring costs</t>
  </si>
  <si>
    <t>Direct costs of implementing FAIR</t>
  </si>
  <si>
    <t>Present Value</t>
  </si>
  <si>
    <t>Cumulative Present Value</t>
  </si>
  <si>
    <t>Currency</t>
  </si>
  <si>
    <t>Case study 1</t>
  </si>
  <si>
    <t xml:space="preserve">Breakeven Point </t>
  </si>
  <si>
    <t>Sources: 
https://www.force11.org/group/fairgroup/fairprinciples
https://www.go-fair.org/fair-principles/
https://www.crcpress.com/Data-Stewardship-for-Open-Science-Implementing-FAIR-Principles/Mons/p/book/9780815348184</t>
  </si>
  <si>
    <t>Sources:
https://ec.europa.eu/programmes/horizon2020/sites/horizon2020/files/h2020_threeyearson_a4_horizontal_2018_web.pdf</t>
  </si>
  <si>
    <t>Category</t>
  </si>
  <si>
    <t>Type</t>
  </si>
  <si>
    <t>Research Performing Organisation</t>
  </si>
  <si>
    <t>Data Infrastructure</t>
  </si>
  <si>
    <t>Description</t>
  </si>
  <si>
    <t>FAIR impact</t>
  </si>
  <si>
    <t>Rationale</t>
  </si>
  <si>
    <t>Net Cash Flow (including indirect benefits)</t>
  </si>
  <si>
    <t>Cultural change and awareness raising</t>
  </si>
  <si>
    <t>Data stewardship</t>
  </si>
  <si>
    <t>Storage</t>
  </si>
  <si>
    <t>Each new project dealing with data (producing, integrating, storing, managing), will have to create a clear, detailed and up-to-date Data Management Plan.</t>
  </si>
  <si>
    <t xml:space="preserve">With the application of the FAIR principles, funders will increasingly demand to know essential information about the data activities. </t>
  </si>
  <si>
    <t>Under the planning phase of a project, some of the profiles work a certain average amount of time on writing DMPs for projects. This amount is dedicated to a certain amount of projects compared to the total amount of projects conducted in the organisation or under the scope of this assessment (e.g. a department, a project). 
The average time is expressed as a percentage of the time spent for the phase because the profiles can also allocate time to activities other than DMPs under the planning of the project. 
The proportion of projects for which a DMP is created is also asked as a percentage of the total number of projects.</t>
  </si>
  <si>
    <t>Increased quality and quantity of metadata will improve the findability of data, decreasing the average time spent by a person for finding existing data.</t>
  </si>
  <si>
    <t>With the FAIR ecosystem growing steadily at the EU level, the quality and quantity of metadata will increase globally as required by the FAIR principles.</t>
  </si>
  <si>
    <t>Under the phase creation and collection of the data, we assume that the time is spent between the collection of existing data and the production of new data.  An average percentage of time is asked for each of the two activities and the sum of the percentages should be equal to 100%. From the percentage of time for collecting existing data, we look in more details at the proportion of data collected which follows different levels of metadata standards and different levels of PIDs. For each level of metadata and PIDs, we also ask for the percentage of time spent for finding the data. This assumes that, in general, the time required to find a dataset will change depending on the two variables (metadata and PIDs). The sum of the percentages of time for the metadata and PIDs should be equal to 100%, meaning that 100% of the time of the profiles involved in finding existing data is covered by the different levels proposed.</t>
  </si>
  <si>
    <t>Increased quality and quantity of Persistent Identifiers will improve the findability of data, decreasing the average time spent by a person for finding existing data.</t>
  </si>
  <si>
    <t>With the FAIR ecosystem growing steadily at the EU level, the quality and quantity of PIDs will increase globally as required by the FAIR principles.</t>
  </si>
  <si>
    <t>Certain existing datasets are difficult to access because of the storage type. By increasing the use of storage types which are easily accessible (e.g. through Internet), a person will require less time on average to access a dataset.</t>
  </si>
  <si>
    <t>The FAIR principles realise that most data is accessible through the Internet. They therefore push to use a standardized, open, free and universally implementable protocol and that sensitive data should at least indicate a point of contact.</t>
  </si>
  <si>
    <t>Under the phase creation and collection of the data, we ask the assessor about the different options of storage and, for each option, the time needed to access the data. This is described in the results as a benefit as we assume that the storage options with access points on the Internet require less time than other types of storage options with no Internet access (e.g. external drives).</t>
  </si>
  <si>
    <t>People inside your organisation/the scope of your assessment can benefit from the FAIR-compliant data produced. As a result, they will gain time in finding, integrating and analysing the your existing data made available.</t>
  </si>
  <si>
    <t>By complying with the FAIR principles and applying it to the data produced under the scope of this assessment, the organisation will enable each reuser of the data produced to save time for finding, accessing, interoperating and reusing it.</t>
  </si>
  <si>
    <t>This benefit is measured thanks to an estimation of the number of internal reusers for the data produced/made available under the scope of this assessment. We assume that this number of reusers will save approximately the same amount of time as the time assessed by the organisation for collecting the data, integrating and reusing it.</t>
  </si>
  <si>
    <t>People outside your organisation/the scope of your assessment can benefit from the FAIR-compliant data produced. As a result, they will gain time in finding, integrating and analysing the your existing data made available.</t>
  </si>
  <si>
    <t>This spill-over benefit is measured thanks to an estimation of the number of external reusers for the data produced/made available under the scope of this assessment. We assume that this number of reusers will save approximately the same amount of time as the time assessed by the organisation for collecting the data, integrating and reusing it.</t>
  </si>
  <si>
    <t>Increased quality and quantity of licences will decrease the time needed for a person to identify the conditions under which existing data can be reused.</t>
  </si>
  <si>
    <t>With the FAIR ecosystem growing steadily at the EU level, the quality and quantity of licences will increase globally. The FAIR principles ask for clear and accessible data usage licence, with clear conditions human and machine readable.</t>
  </si>
  <si>
    <t>Under the phase creation and collection of the data, the assessor is asked about the time spent for identifying and understanding the licence attached to all relevant existing datasets the organisation would have liked to reuse. This time is expressed as a percentage of the total time for collecting existing data. The assessor also needs to provide the percentage of time spent for identifying and understanding the licences depending on the level of quality of the licence from no licence until standardised machine readable licence.</t>
  </si>
  <si>
    <t xml:space="preserve">As part of the data collection and production activities, people will gain time in finding and accessing data. </t>
  </si>
  <si>
    <t>The FAIR principles, especially the findability and accessibility principles, require several conditions which, once applied globally to data, will benefit the people reusing the data.</t>
  </si>
  <si>
    <t>For importing and exporting data in open formats, the data processing software needs to have the interface enabling it. If not implemented yet, this represents a cost.</t>
  </si>
  <si>
    <t>In order to apply extensively the FAIR principles, each organisation dealing with data should use software enabling open formats import/export functionalities.</t>
  </si>
  <si>
    <t>For this factor, the assessor is directly asked to estimate the cost for implementing such functionalities in the relevant software as the cost might vary significantly from one piece of software to another.</t>
  </si>
  <si>
    <t xml:space="preserve">The FAIR principles indicate the need to apply domain relevant community metadata standards, to include references between metadata and to describe metadata in a rich manner.  </t>
  </si>
  <si>
    <t>Under the phase pre-processing and data cleansing, the assessor is asked about the time spent for different activities:
- Data or metadata cleansing and wrangling
- Describing in accordance with metadata standards and assigning a PID
- Describing datasets to enable methods and results reproducibility
- Creating and maintaining policies 
Under the second activity, the assessor is invited to provide multiple inputs: 
- which proportion of data in his/her organisaiton currently following different levels of metadata standardisation. 
- the total percentage of time spent on describing data using recognized metadata standards
The sum of the times indicated by the assessor to assign PIDs and to describe the data in accordance with recognized metadata standards should be equal to 100%. This sum represents the time dedicated to the second activity.</t>
  </si>
  <si>
    <t xml:space="preserve">The FAIR principles require each metadata and data to be assigned a PID. </t>
  </si>
  <si>
    <t>Under the phase pre-processing and data cleansing, the assessor is asked about the time spent for different activities:
- Data or metadata cleansing and wrangling
- Describing in accordance with metadata standards and assigning a PID
- Describing datasets to enable methods and results reproducibility
- Creating and maintaining policies 
Under the second activity, the assessor is invited to provide the proportions of data in his/her organisation currently following different levels of PID standardisation and the time allocated to each proportion.
The sum of the times indicated by the assessor for the different proportions plus the time needed to describe the data in accordance with recognized metadata standards should be equal to 100%. This sum represents the time dedicated to the second activity.</t>
  </si>
  <si>
    <t>Besides the time required for assigning standardised PIDs, the organisation will also need to pay an external organisation to manage the PIDs (e.g. DOI).</t>
  </si>
  <si>
    <t>Under the phase pre-processing and data cleansing, the assessor is asked about the time spent for different activities:
- Data or metadata cleansing and wrangling
- Describing in accordance with metadata standards and assigning a PID
- Describing datasets to enable methods and results reproducibility
- Creating and maintaining policies 
Under the second activity, the assessor must estimate the recurring cost, in addition to the cost in time, for complying with global standardised PIDs. This cost is directly expressed in EUR (€).</t>
  </si>
  <si>
    <t>Under the phase pre-processing and data cleansing, the assessor is asked about the time spent for different activities:
- Data or metadata cleansing and wrangling
- Describing in accordance with metadata standards and assigning a PID
- Describing datasets to enable methods and results reproducibility
- Creating and maintaining policies 
Under the second activity, the assessor is invited to provide the time required, in addition to the time for the activity, in order to implement the global standardised PIDs. Such costs represents the price required by an external organisation to guarantee the persistency of identifiers.</t>
  </si>
  <si>
    <t>One of the FAIR principles clearly states that metadata and data should be richly described with a plurality of accurate and relevant attributes.</t>
  </si>
  <si>
    <t>Under the phase pre-processing and data cleansing, the assessor is asked about the time spent for different activities:
- Data or metadata cleansing and wrangling
- Describing in accordance with metadata standards and assigning a PID
- Describing datasets to enable methods and results reproducibility
- Creating and maintaining policies 
Under the third activity, the assessor is invited to provide the time required, in addition to the time indicated for the activity, in order to describe the data with a sufficient quality to enable methds and resutls reproducibility.</t>
  </si>
  <si>
    <t>In order to normalise the way employees manage data, clear policy documents should be created, covering topics such as:
- data management
- metadata management
- persistent ID management
Creating these documents will require time in order to describe processes tailored to the needs of the organisation and respecting international standards.</t>
  </si>
  <si>
    <t xml:space="preserve">While the FAIR principles do not require directly to create and maintain policy documents, the application of the principles requires an organisation to respect standards consistently. Documenting the processes and standards to be respected within the organisation will help achieve this consistency. </t>
  </si>
  <si>
    <t>Under the phase pre-processing and data cleansing, the assessor is invited to confirm whether certain types of policy document are present within his/her organisation. For each type of policy, the assessor should also indicate when the document was updated for the last time.
Besides the specific questions on the types of policy, the assessor should also answer if the creation of the documents is done internally or externally. For internal work on the creation and maintenance of the policies, the salary of the profile indicated by the assessor is used. For external work, an assumption is used to estimate the daily price of a consulting company.
Finally, the time required to create and maintain each type of policy document is estimated based on the time indicated in existing past projects. A percentage of the time estimated is variable depending on the size of the organisation (or for the scope of this assessment).</t>
  </si>
  <si>
    <t>In order to normalise the way employees manage data, clear policy documents should be maintained. These document should cover topics such as:
- data management
- metadata management
- persistent ID management
Maintaining these documents will require time in order to update the processes depending on the needs of the organisation and the evolving international standards.</t>
  </si>
  <si>
    <t>Under the phase pre-processing and data cleansing, the assessor is invited to confirm whether certain types of policy document are present within his/her organisation. For each type of policy, the assessor should also indicate when the document was updated for the last time.
Besides the specific questions on the types of policy, the assessor should also answer how often policy documents are supposed to be maintained and if this is done internally or externally. For internal work on the maintenance of the policies, the salary of the profile indicated by the assessor is used. For external work, an assumption is used to estimate the daily price of a consulting company.
Finally, the time required to create and maintain each type of policy document is estimated based on the time indicated in existing past projects. A percentage of the time estimated is variable depending on the size of the organisation (or for the scope of this assessment).</t>
  </si>
  <si>
    <t>Certain types and formats of datasets require more efforts to be integrated with other datasets than other. By increasing the use of machine-readable, standardised formats, the integration time will decrease.
In the same logic, by: 
- documenting the processes followed in the analysis of the data, 
- publishing the data openly, or 
- improving the data skills of the people involved in the data management,
the amount of data quality issues will decrease. This will save time and decrease the probability that a dataset could not be reused because of its quality.</t>
  </si>
  <si>
    <t>The FAIR principles support the use of machine-readable data to the maximal extent possible. They also push for the highest quality of data and metadata possible.</t>
  </si>
  <si>
    <t>Under the phase integration of the data, the assessor is requested to provide the proportion of datasets which are following certain formats of characteristics. For these proportions, the assessor is also asked to estimate the percentage of time required for integrating the data together. The sum of all proportions should be equal to 100%.
The assessor is then invited to answer to a similar question regarding data quality. For data quality, the assessor must estimates the percentage of existing data which is not reused because of insufficient quality. For this percentage, the whole time dedicated to find and access this dataset is lost.</t>
  </si>
  <si>
    <t>When using data, organisations may face data quality issues. Some of these issues could remain unsolved for various reasons. For those issues, the time invested by the organisation to resolve them will be lost as well as the time allocated to the dataset containing the issue(s) if the organisation decides not to reuse the entire dataset. By improving the average data quality, organisations will need to spend less time to solve data quality issues.</t>
  </si>
  <si>
    <t>The FAIR principles emphasize the importance of high-quality data and metadata.</t>
  </si>
  <si>
    <t>Under the phase integration of the data, some time can be spent on improving the quality of the data. Therefore, the assessor is asked to estimate the proportion of datasets for which this statement is true and the related percentage of time spent for improving the quality. This represents a first part of the cost. The second part consists in the percentage of datasets which cannot be used because of insufficient quality. For these datasets, all the time dedicated by people before this phase is lost.</t>
  </si>
  <si>
    <t>Documenting extensively the different steps followed when analysing data requires a considerable amount of time represented by this cost in time.</t>
  </si>
  <si>
    <t>The application of the FAIR principles regarding the documentation of the data does not directly require to describe each step of the analysis workflow. However, in order to ensure the transparency and the reusability of the analysis performed on a dataset, such documentation would be required.</t>
  </si>
  <si>
    <t>Under the phase analysis of the data, the assessor needs to estimate qualitatively the proportion of steps documented on average for the analysis of data. For this proportion, the assessor must also provide a percentage of time under this phase spent on this documentation activity.</t>
  </si>
  <si>
    <t>By using standardised licences, an organisation will normally gain some time in allocating the correct licence to one dataset compared to the cases where no standard or a local standard is used.</t>
  </si>
  <si>
    <t xml:space="preserve">Under the phase registration and publication of the data, we assume that a certain percentage of time is spent on assigning licences to data. This percentage of time for assigning licences can be broken down into more details following different levels of standardisation of licences. For each level of standardisation, the assessor is asked to fill in the proportion of data receiving this level of licences and the time (in %) required for this proportion. The total time for all levels should be equal to the percentage of time for assingning licences in general. </t>
  </si>
  <si>
    <t>B</t>
  </si>
  <si>
    <t>Different studies have demonstrated the reduced average costs for publishing data in open access. As the openness of data is considered as part of the scope of this mechanism, the rapid growth of open access will directly impact the costs faced to publish data.</t>
  </si>
  <si>
    <t xml:space="preserve">Even though the FAIR principles do not require data to be made openly accessible, they strongly advise to make it as open as possible. Metadata should always be made available in open access. </t>
  </si>
  <si>
    <t>Under the publication phase, the assessor should provide the number of datasets published or registered per year in open and non-open access. For the two options, the assessor should also give an estimate of the costs faced for publishing a dataset. If he or she cannot estimate it, an average result will be considered instead based on existing studies.
The saving comes from the increasing proportion of openly accessible data which we forecasted based on historical data.</t>
  </si>
  <si>
    <t>By improving the average quality and accessibility of research data, the average amount of peer reviews necessary for research performing organisations to be confident in reusing existing data should decrease. This would directly impact the time spent by peer reviewers on average as less peer reviews will be required to achieve a certain level of confidence in the results.</t>
  </si>
  <si>
    <t>Under the peer review phase, the assessor needs to estimate the average number of peer reviews per researcher. The same question is asked for researchers in the research discipline of the assessor. The third question asks the assessor whether, based on his/her experience, better data quality and transparence thanks to the FAIR principles could result in less peer reviews in general. If yes, the assessor is asked about the minimum number of peer reviews for which he or she would be confident in the quality of the work. In combination with the average amount of projects per year per profile provided in the General input sheet, the potential amount of peer reviews saved is estimated.</t>
  </si>
  <si>
    <t>With more and more research performing organisations complying with the FAIR principles, the average quality and accessibility of research data will increase. This will directly impact the average time spent by each peer reviewer.</t>
  </si>
  <si>
    <t>Independently from the amount of peer reviews, each peer review should require less time thanks to the FAIR principles (e.g. higher quality of data and metadata). The potential gain in time is estimated by multiplying the time spent by each profile on peer review activities by the time saved for integrating data due to the FAIR principles.</t>
  </si>
  <si>
    <t>In order to correctly manage the implementation project of the FAIR principles, time should be allocated by certain profiles for project management activities.</t>
  </si>
  <si>
    <t>This factor estimates the annual cost faced by an organisation or in the scope of this assessment for managing the implementation of the FAIR principles. We estimate this by asking for the additional number of  project managers needed for complying with the FAIR principles. For the additional FTEs required, the assessor gives the salary of one profile or fills in a gross monthly salary.</t>
  </si>
  <si>
    <t>Data stewardship activities represent the core set of activities at the heart of the implementation of the FAIR principles. Independently from the business activities, in order to comply with the FAIR principles, data stewards will be required.</t>
  </si>
  <si>
    <t>This factor estimates the annual cost faced by an organisation or in the scope of this assessment for training and/or hiring data stewards, maintaining their capabilities, and paying the additional salaries if new ones are hired. We estimate this by comparing the current number of  data stewards present to the number of stewards required (as FTEs) for complying with the FAIR principles. For the additional stewards required, the assessor needs to decide if they will be hired, trained internally or a mix between both. If the mixed approach is picked up, the proportion of trained people is required. Based on these inputs, the cost is estimated using the salary of one profile and the training costs.</t>
  </si>
  <si>
    <t>The implementation of the FAIR principles will require some cultural changes and raising awareness activities. These activities will request time and materials from the organisation. For example for creating a promotional video, for preparing tutorials, for involving all levels of people involved in data activities, for designing a communication campaign etc.</t>
  </si>
  <si>
    <t>The practical implementation of the FAIR principles will require some cultural changes and raising awareness activities.</t>
  </si>
  <si>
    <t>The assessor is asked in this case to directly estimate the potential additional costs for marketing and raising awareness activities. Similarly to most of the costs related to the implementation of the FAIR principles, this cost is maximal when the organisation (or the scope defined in this assessment) will fully comply with the FAIR principles.</t>
  </si>
  <si>
    <t>With the implementation of the FAIR principles, most organisations will need new software for validating metadata or providing persistent identifier services. This software will represent a cost for organisations.</t>
  </si>
  <si>
    <t>The practical implementation of the FAIR principles will require the use of software and most probably of new software for the organisations implementing the principles.</t>
  </si>
  <si>
    <t>The assessor is asked in this case to directly estimate the potential additional costs for implementing and maintaining the software. Similarly to most of the costs related to the implementation of the FAIR principles, this cost is maximal when the organisation (or the scope defined in this assessment) will fully comply with the FAIR principles.</t>
  </si>
  <si>
    <t>The staff dealing with data needs to be trained to the new practices.</t>
  </si>
  <si>
    <t>The FAIR principles require specific practices in a set of areas described throughout this sheet for each cost and benefit estimated.</t>
  </si>
  <si>
    <t>At the end of the questionnaire, once the assessor has a obtained a good overview of the requirements for implementing the FAIR principles, we ask him/her to estimate the number of training days each profile will need in order to apply the FAIR principles. We assume that the trainings will mostly be given internally by the profile with the right capabilities and knowledge of the FAIR principles and their requirements. For example, while each profile may have a rather small amount of days for training activities, one or two profiles will receive a many more days in order to train the other profiles. The total cost for the training activities is then estimated by using the salary of each profile.</t>
  </si>
  <si>
    <t xml:space="preserve">With new people joining, people reaching new positions and to keep people informed of the best and new practices, recurrent trainings will be required. </t>
  </si>
  <si>
    <t>The FAIR principles require specific practices in a set of areas described throughout this sheet for each cost and benefit estimated. The persistence of these practices is as important as their implementation.</t>
  </si>
  <si>
    <t>At the end of the questionnaire, once the assessor has a obtained a good overview of the requirements for implementing the FAIR principles, we ask him/her to estimate the number of training days each profile will need in order to maintain their capabilities related to the FAIR principles. We assume that the trainings will mostly be given internally by the profile with the right capabilities and knowledge of the FAIR principles and their requirements. For example, while each profile may have a rather small amount of days for training activities, one or two profiles will receive a many more days in order to train the other profiles. The total cost for the training activities is then estimated by using the salary of each profile.</t>
  </si>
  <si>
    <t>With the implementation of the FAIR principles, funders will more easily detect grant duplication and reallocate the duplicated funds to other projects. As a result, each organisation receiving grants will potentially lose some funds proportionate to the total amount of funds received.</t>
  </si>
  <si>
    <t>By supporting the access to data and the creation of DMPs, the FAIR principles indirectly improve the ability for a funder to know the state-of-the-art and how funds from other funders are used.</t>
  </si>
  <si>
    <t>As no organisation would acknowledge the fact that some grants are duplicated, this estimation is only partially based on input from the assessor on the average annual external funding received via grants. The percentage of duplicate grants is determined following a methodology applied by a study in the United States: https://www.healthra.org/download-resource/?resource-url=/wp-content/uploads/2013/11/Garner_Nature_1_2013.pdf . The study analysed the grant applications of important funders in the US and estimated the percentage of potential duplicate grants based on similarity scores and manual inspections.</t>
  </si>
  <si>
    <t>The additional funds coming from the identification of duplicate funds will be allocated to organisations submitting grant applications.</t>
  </si>
  <si>
    <t>As the exact distribution of the additional funds between the different grant applications is uncertain, we assume that this distribution depends directly on the current number of grants won on average per year by an organisation. We apply this number to the funds allocated by H2020 between 2014 and 2016, namely 8,266,266,667€ allocated to 4634 grants. By applying the percentage of duplicated grant applications to the average fund received by each grant, we obtain a number in euro representing the additional funds available per grant. This amount is then applied to the number of won grants for the scope of this assessment.</t>
  </si>
  <si>
    <t>With the increase of data available in open access, organisations will save money from licensing and royalties.</t>
  </si>
  <si>
    <t xml:space="preserve">While the FAIR principles do not include officially the requirement to make data as open as possible, as closed as necessary, they strongly support the adoption of open access. </t>
  </si>
  <si>
    <t>For estimating the potential saving in money thanks to external data becoming more and more openly accessible, the assessor is asked to give:
- the average amount of money paid per year for all licensing costs and royalties in the scope of this assessment for data acquisition; and
- the estimated percentage of data available in open access in his/her discipline/sector.
Every extra percent of data available in open access compared to the estimated percentage will potentially decrease the amount of money paid per year. The evolution of open access is assumed to grow from the percentage filled in by the assessor until approximately 71% in 2058. 71% represents the situation in which all data will be available in open access except for copyright restrictions/confidentiality requirements/contractual clauses. 2058 is the year in which we assume that the FAIR principles will be generally implemented at the European level.</t>
  </si>
  <si>
    <t>With the increasing proportion of data available in open access, the licensing revenues and royalties for the organisation will decrease.</t>
  </si>
  <si>
    <t>For estimating the potential saving in money thanks to external data becoming more and more openly accessible, the assessor is asked to give:
- the average amount of money received per year for all licensing revenues and royalties in the scope of this assessment for data acquisition; and
- the estimated percentage of data made  available in open access as part of the scope of this assessment.
Every extra percent of data available in open access compared to the estimated percentage will potentially decrease the amount of money received per year. The evolution of open access is assumed to grow from the percentage filled in by the assessor until 100% less the percentage provided by the assessor regarding data that cannot be made open because of copyright restrictions/confidentiality requirements/contractual clauses.</t>
  </si>
  <si>
    <t>Net Cash Flow (including external spill-overs)</t>
  </si>
  <si>
    <t>On average, by applying the FAIR principles, organisations should face less and less retractions of published works. This would have a general impact on the time invested in research and/or in storing activities.</t>
  </si>
  <si>
    <t>The time saved from the reduced amount of researches retracted is estimated based on:
- the time spent on a project by each profile
- the time lost if a publication is retracted
- an aggregated assumption of the reduced risk per type of retraction</t>
  </si>
  <si>
    <t>With the application of the FAIR principles, more capacities will be required concerning the IT infrastructure (hardware storage capacity, network capabilities, etc.). This additional pressure on the IT infrastructures will increase the pace at which an infrastructure will require to be updated.</t>
  </si>
  <si>
    <t>The assessor is requested to estimate the average time between two innovation cycles of the IT infrastructure, how this time will be impacted by the implementation of the FAIR principles, and how much does one innovation cycle cost on average. The impact on the period between two innovation cycles is used to estimate the cost (or benefit) of implementing the FAIR principles.</t>
  </si>
  <si>
    <t>By using less repositories where datasets are duplicated, an organisation will directly reduce the total volume of data stored, with a direct impact on the storage costs related.</t>
  </si>
  <si>
    <t xml:space="preserve">When applying the FAIR principles, an organisation should pay attention not to duplicate a dataset in multiple repositories without a clear reason. Examples of justifications are: ensuring the persistence of datasets at the basis of key outcomes or making datasets accessible in different regions of the world without too long delays. </t>
  </si>
  <si>
    <t>For estimating this benefit, two types of inputs are required: the variation between the actual number of repositories used compared to the minimal number needed AND the cost faced in the past five years, for the scope of this assessment, for storing the data created and/or reused. 
For the second type of inputs, the average volume of data created and/or reused in the last five years is reduced by the percentage of volume deleted before being stored. The volume obtained represents the volume stored per year. Once multiplied by the average annual cost of storage faced by the organisation for the storage portfolio used (e.g. cloud storage, institutional storage, etc.), it gives an estimate of the total cost faced by the organisation, under the scope of this assessment, for storing data.
The first type of inputs is then applied to the cost estimated to give the potential benefit.</t>
  </si>
  <si>
    <t>OC</t>
  </si>
  <si>
    <t>By storing data persistently, an organisation will most probably have to extend the current period during which data is stored. This impacts directly the average volume of data stored and consequently the cost associated.</t>
  </si>
  <si>
    <t>The FAIR principles explicitly require to make at least the metadata accessible persistently. As part of this mechanism, we include therefore all data that the assessor decides to report as part of the volume stored on average per year.</t>
  </si>
  <si>
    <t>For estimating this benefit, two types of inputs are required: the variation between the current retention period and a persistent retention period in the discipline of the assessment AND the cost faced in the past five years, for the scope of this assessment, for storing the data created and/or reused. 
For the second type of inputs, the average volume of data created and/or reused in the last five years is reduced by the percentage of volume deleted before being stored. The volume obtained represents the volume stored per year. Once multiplied by the average annual cost of storage faced by the organisation for the storage portfolio used (e.g. cloud storage, institutional storage, etc.), it gives an estimate of the total cost faced by the organisation, under the scope of this assessment, for storing data.
The first type of inputs is then applied to the cost estimated to give the potential additional cost as from the extra year of retention due to the FAIR implementation.</t>
  </si>
  <si>
    <t>Besides the benefits estimated in this mechanism, the assessor may have a good estimate of other benefits for his/her organisation thanks to the FAIR principles.</t>
  </si>
  <si>
    <t>The estimate provided by the assessor is directly integrated in the results.</t>
  </si>
  <si>
    <t>IC</t>
  </si>
  <si>
    <t>Besides the costs estimated in this mechanism, the assessor may have a good estimate of other costs faced by his/her organisation to become FAIR.</t>
  </si>
  <si>
    <t>GLOSSARY</t>
  </si>
  <si>
    <t>Source</t>
  </si>
  <si>
    <t>INDEX</t>
  </si>
  <si>
    <t>Research development is the step in the research life cycle where conception activities are involved. In this phase, several elements are created including the research idea, the content and the structure of the planned research (e.g. stating the research problem, its scope and bounds, etc.)</t>
  </si>
  <si>
    <t>Access point</t>
  </si>
  <si>
    <t>A technological mean used to obtain a digital resource.</t>
  </si>
  <si>
    <t xml:space="preserve">Analysis of the data is the activity in the research life cycle where the data is processed with the ultimate purpose to extract useful information, to elicit insights and eventually to formulate observations and conclusions. Analysis of the data or data modelling is often performed using specific software’s, tools or methodologies. </t>
  </si>
  <si>
    <t>Cost-saving measures are any actions that lower current spending, investment, or debt levels. They result in a tangible financial benefit for the organization.
Cost avoidance measures are any actions that avoid having to incur costs in the future. They represent potential increases in costs that are averted through specific preemptive actions.
It is assumed that cost savings and cost avoidance due to the implementation of the principles do not occur in year 0 as the implementation simply requires some time.</t>
  </si>
  <si>
    <t>https://medium.com/@lianabeloliver/cost-savings-and-cost-avoidance-why-you-should-know-the-difference-2eb627965067</t>
  </si>
  <si>
    <t>Creating and maintaining a policy</t>
  </si>
  <si>
    <t>Refers to the efforts spent (in terms of human capital and money) to create a course or principles of action adopted by an organisation or an individual.</t>
  </si>
  <si>
    <t>Creation and collection of the data is the step in the research life cycle where data is created (i.e. through observations, experiments or simulations), and potentially useful and existing data is found and obtained. This step also includes the performance of veracity checks on the data</t>
  </si>
  <si>
    <t>According to TU Delft, some of the key roles of a data steward are: 
"- Assisting in planning the collection, management and publication of data in new and ongoing projects
- Helping writing Data Management Plans (and Paragraphs)
- Linking to other sources of expertise in university (ICT, Legal, advice on Tools ...)
- Persuading researchers on the importance of data management
- Understanding broader trends in research data management across their faculty and advising on potential solutions across faculties or university as a whole
- Running faculty or department specific training
- Connecting with Data Stewardship community, and maintaining regular contact with research data centres, especially over publication of research data
- Providing advice on specific issues related to data and publication practices in faculty disciplines
- Gathering quantitative and qualitative metrics to assess the success of Data Stewardship"
The main differentiator between a data manager and a data steward is that a data steward looks beyond the use of data only by its creator but also by potential reusers.</t>
  </si>
  <si>
    <t>https://openworking.wordpress.com/2017/01/04/role-of-data-stewards-and-data-stewardship-community/</t>
  </si>
  <si>
    <t xml:space="preserve">The discount rate is the interest rate charged to commercial banks and other depository institutions for loans received from the Central Bank. In our case, the discount rate refers to the interest rate used in our discounted cash flow analysis to determine the present value of future cash flows. </t>
  </si>
  <si>
    <t>https://www.investopedia.com/terms/d/discountrate.asp</t>
  </si>
  <si>
    <t>Growth rate used to calculate the benefit of FAIR, as the benefit would profit to the entire science community</t>
  </si>
  <si>
    <t xml:space="preserve">Integration of the data is the activity in the research life cycle where data from disparate sources is aggregated to form one homogeneous dataset that can be analysed. As research data volume is surging , data integration becomes necessary to be able to aggregate data from multiple sources (and from different formats). </t>
  </si>
  <si>
    <t xml:space="preserve">Internal Rate of Return (IRR) is a metric used in capital budgeting to estimate the profitability of potential investments. Internal rate of return is a discount rate that makes the  net present value (NPV) of all cash flows from a particular project equal to zero. </t>
  </si>
  <si>
    <t>https://www.investopedia.com/terms/i/irr.asp</t>
  </si>
  <si>
    <t>IT infrastructure</t>
  </si>
  <si>
    <t>"All of the hardware, software, networks, facilities etc. that are required to develop, test, deliver, monitor,
control or support applications and IT services. The term includes all of the information technology but not
the associated people, processes and documentation."</t>
  </si>
  <si>
    <t>https://www.axelos.com/corporate/media/files/glossaries/itil_2011_glossary_gb-v1-0.pdf</t>
  </si>
  <si>
    <t>Growth rate used to calculate the cost of FAIR, as the costs are only faced by a specific organisation</t>
  </si>
  <si>
    <t>Local Licence</t>
  </si>
  <si>
    <t>As part of this mechanism, we understand a local licence as a bespoke or custom-made licence. A bespoke or custom-made licence is created by the data publisher and introduces specific conditions with which the user must comply. Bespoke or custom-made licences can be written by the publisher or adapted from a standard licence through the addition of new conditions and/or the modification of existing ones.
Bespoke and custom-made licences can increase complexity for users of open data.
They may introduce specific conditions that limit usage, restrict data integration and, in some cases, are difficult for users to comply with.</t>
  </si>
  <si>
    <t>https://www.europeandataportal.eu/elearning/en/module4/#/id/co-01</t>
  </si>
  <si>
    <t>Local metadata standard</t>
  </si>
  <si>
    <t>A local metadata standard is a set of elements defined at the organisational level or with no activities to make it used by external parties in an interoperable way.</t>
  </si>
  <si>
    <t>Machine readability</t>
  </si>
  <si>
    <t>Acceptable machine readable structures include XML, RSS feed, CSV, RDF, JSON, TXT, XLS(X), and KML formats. Formats that are not machine readable include PDF, HTML, DOC(X), anything scanned, anything faxed, and anything typed in an email (Suszan, 2014). Standard’s ought to compliment techniques to provide human and machine readable structures for the data. Publishing data as machine readable includes (1) established standard vocabularies, (2) enriching the HTML resources with metadata, semantics, and identifiers, (3) and implementing simple, manageable, and stable URIs (Bennett and Harvey, 2009). Data tables, according to the standard’s specification, should be normalized so to be incorporated into a relational database.</t>
  </si>
  <si>
    <t>https://datastandards.directory/glossary</t>
  </si>
  <si>
    <t>Metadata</t>
  </si>
  <si>
    <t>"Metadata is descriptive or contextual information which refers to or is associated with another object or resource. This usually takes the form of a structured set of elements which describe the information resource and assists in the identification, location and retrieval of it by users, while facilitating content and access management."</t>
  </si>
  <si>
    <t>http://www.dcc.ac.uk/resources/briefing-papers/standards-watch-papers/what-are-metadata-standards</t>
  </si>
  <si>
    <t>Metadata standard</t>
  </si>
  <si>
    <t>"Metadata is made up of a number of elements which can be categorised into the different functions they support. A metadata standard will normally support a number of defined functions, and will specify elements which make these possible.
- Descriptive Metadata enables identification, location and retrieval of information resources by users, often including the use of controlled vocabularies for classification and indexing and links to related resources.
- Technical Metadata describes the technical processes used to produce, or required to use a digital object.
- Administrative Metadata is used to manage administrative aspects of the digital object such as intellectual property rights and acquisition. Administrative Metadata also documents information concerning the creation, alteration and version control of the metadata itself. This is sometimes known as meta-metadata!
- Use Metadata manages user access, user tracking and multi-versioning information.
- Preservation Metadata, amongst other things, documents actions which have been undertaken to preserve a digital resource such as migrations and checksum calculations.
Metadata Schemas develop in response to a community need and often gain wide acceptance, or are widely used while still in development. Maintenance by nationally or internationally recognised centres of excellence, such as the Library of Congress, or support from a professional body increases both visibility and take-up so that they become a community's standard schema."</t>
  </si>
  <si>
    <t>The Net Present Value (NVP) is the difference between the present value of cash inflows and the present value of cash outflows over a period of time. NVP is used in capital budgeting to analyze the profitability of a projected investment or project.</t>
  </si>
  <si>
    <t>https://www.investopedia.com/terms/n/npv.asp</t>
  </si>
  <si>
    <t>Peer review is the step in the research life cycle where research work is evaluated by other researchers with relevant expertise or experience before the work can be endorsed, published or presented.</t>
  </si>
  <si>
    <t>Planning of a research project is the step in the research life cycle where the research workflow is designed. Is also part of this phase, the creation of a Data Management Plan (DPM) which will serve the purpose of guidelines about data issues.</t>
  </si>
  <si>
    <t>Pre-processing and describing the data is the step in the research life cycle where inspection and checks are performed to improve and ensure data quality. Data modelling and data cleansing also take place in this step.</t>
  </si>
  <si>
    <t>Publication is the step in the research life cycle where the data description is updated accurately by changing the metadata or by inserting new information compared to the metadata filled in during the pre-processing phase. The (meta)data is then registered (i.e. stored) online e.g. on web servers and published using the adequate channels.</t>
  </si>
  <si>
    <t xml:space="preserve">As opposed to local metadata standards, a recognized metadata standard is a set of elements widely accepted or used within a community and maintained by national or international recognised centres of excellence. Examples of recognized standards are Dublin Core, Darwin Core, [...]    </t>
  </si>
  <si>
    <t>Redaction of the report is the activity of the research life cycle where multiple source texts are combined and/or redacted to make a report describing the work carried out and the conclusion stemming from it</t>
  </si>
  <si>
    <t>Reproducibility</t>
  </si>
  <si>
    <t>A terminology proposed by Steven N. Goodman*, Daniele Fanelli and John P. A. Ioannidis to distinguish between the various interpretations of reproducibility describes the three following terms:
- "Methods reproducibility is meant to capture the original meaning of reproducibility, that is, the ability to implement, as exactly as possible, the experimental and computational procedures, with the same data and tools, to obtain the same results.
- Results reproducibility refers to what was previously described as “replication,” that is, the production of corroborating results in a new study, having followed the same experimental methods.
- Inferential reproducibility, not often recognized as a separate concept, is the making of knowledge claims of similar strength from a study replication or reanalysis. This is not identical to results reproducibility, because not all investigators will draw the same conclusions from the same results, or they might make different analytical choices that lead to different inferences from the same data."</t>
  </si>
  <si>
    <t>http://stm.sciencemag.org/content/8/341/341ps12.full</t>
  </si>
  <si>
    <t>Standardised licence</t>
  </si>
  <si>
    <t>As opposed to local licences, a standardised licence is a set of elements widely accepted or used within a community and maintained by national or international recognised centres of excellence. Examples of recognized standards are CC-BY and UK-OGL.</t>
  </si>
  <si>
    <t>Indirect benefits of using FAIR</t>
  </si>
  <si>
    <t>Calculation - other aspects</t>
  </si>
  <si>
    <t>Time evolution</t>
  </si>
  <si>
    <t>Implementation costs</t>
  </si>
  <si>
    <t>Operational costs</t>
  </si>
  <si>
    <t>Benefits</t>
  </si>
  <si>
    <t>Duplication of grants</t>
  </si>
  <si>
    <t>Time needed for a 2nd request as a % of the 1st request</t>
  </si>
  <si>
    <t>Assumption: request could be copied, now that's impossible and the work should be done for ca. 50% of the time for the original request</t>
  </si>
  <si>
    <t>Total salary budget per project</t>
  </si>
  <si>
    <t>Operational costs when implementing FAIR</t>
  </si>
  <si>
    <t xml:space="preserve">Operational costs </t>
  </si>
  <si>
    <t>Licensing</t>
  </si>
  <si>
    <t>Spill-over effects</t>
  </si>
  <si>
    <t>Total spill-over  effects</t>
  </si>
  <si>
    <t>Input time</t>
  </si>
  <si>
    <t>Spill-over effects for external reusers</t>
  </si>
  <si>
    <t>Time saved</t>
  </si>
  <si>
    <t>Collecting data and reports</t>
  </si>
  <si>
    <t>Integrating data</t>
  </si>
  <si>
    <t>What is the average time spent on a project</t>
  </si>
  <si>
    <t>DAYS</t>
  </si>
  <si>
    <t>Registering and publishing the data and reports</t>
  </si>
  <si>
    <t>Peer reviewing</t>
  </si>
  <si>
    <t>Days at risk to be lost due to retraction</t>
  </si>
  <si>
    <t>Total % of time lost</t>
  </si>
  <si>
    <t>Total cost of days lost for all researchers per profile</t>
  </si>
  <si>
    <t>Total EUR of time saved when becoming FAIR</t>
  </si>
  <si>
    <t>Decrease of retraction risk</t>
  </si>
  <si>
    <t>Total time spent</t>
  </si>
  <si>
    <t>Other likely benefits</t>
  </si>
  <si>
    <t>Total other benefits in EUR other than time saved when becoming FAIR</t>
  </si>
  <si>
    <t>Time spent to become FAIR - Implementation Costs</t>
  </si>
  <si>
    <t>Total percentage of time</t>
  </si>
  <si>
    <t>Programme set-up: training activities</t>
  </si>
  <si>
    <t>Total cost in EUR</t>
  </si>
  <si>
    <t xml:space="preserve">Implementation costs spent to become FAIR </t>
  </si>
  <si>
    <t>Other likely costs</t>
  </si>
  <si>
    <t>Total investment cost in EUR other than time spent to become FAIR</t>
  </si>
  <si>
    <t>Grand total</t>
  </si>
  <si>
    <t>Time spent to become FAIR - Operational Costs</t>
  </si>
  <si>
    <t>Total percentage of time spent</t>
  </si>
  <si>
    <t xml:space="preserve">Operationals costs spent to become FAIR </t>
  </si>
  <si>
    <t>Total operational cost in EUR other than time spent to become FAIR</t>
  </si>
  <si>
    <t>From Input Time</t>
  </si>
  <si>
    <t>Linear (FORECAST)</t>
  </si>
  <si>
    <t>Exponential (GROWTH)</t>
  </si>
  <si>
    <t>Exponential MAX (GROWTH)</t>
  </si>
  <si>
    <t>Retention Period</t>
  </si>
  <si>
    <t>Data Volume During Retention</t>
  </si>
  <si>
    <t>Price</t>
  </si>
  <si>
    <t>Price (current) vs # repositories</t>
  </si>
  <si>
    <t>Benefit thanks to reduced number of repositories</t>
  </si>
  <si>
    <t>Cost due to the longer data retention period</t>
  </si>
  <si>
    <t>EUR</t>
  </si>
  <si>
    <t>€/TB</t>
  </si>
  <si>
    <t>Current</t>
  </si>
  <si>
    <t>FAIR</t>
  </si>
  <si>
    <t>€</t>
  </si>
  <si>
    <t xml:space="preserve">Data </t>
  </si>
  <si>
    <t>Exponential (Max)</t>
  </si>
  <si>
    <t>Exponential</t>
  </si>
  <si>
    <t>Current retention period (Years)</t>
  </si>
  <si>
    <t>FAIR retention period (Years)</t>
  </si>
  <si>
    <t>Current number of repositories</t>
  </si>
  <si>
    <t>Ideal number of repositories</t>
  </si>
  <si>
    <t>Total</t>
  </si>
  <si>
    <t>Percentage of data that is actually stored</t>
  </si>
  <si>
    <t>Trend line formula (5)</t>
  </si>
  <si>
    <t>eur</t>
  </si>
  <si>
    <t>Trend line formula (4)</t>
  </si>
  <si>
    <t>Trend line formula (3)</t>
  </si>
  <si>
    <t>Duplication</t>
  </si>
  <si>
    <t>Source 2 : Facts and figures</t>
  </si>
  <si>
    <t>https://ec.europa.eu/programmes/horizon2020/sites/horizon2020/files/h2020_threeyearson_a4_horizontal_2018_web.pdf</t>
  </si>
  <si>
    <t>Average yearly EU contribution in H2020 between 2014-2016</t>
  </si>
  <si>
    <t>Number of grant agreements in H2020 per year between 2014-2016</t>
  </si>
  <si>
    <t>Trend line formula (2)</t>
  </si>
  <si>
    <t>Source 1 : Same work, twice the money?</t>
  </si>
  <si>
    <t>https://www.healthra.org/download-resource/?resource-url=/wp-content/uploads/2013/11/Garner_Nature_1_2013.pdf</t>
  </si>
  <si>
    <t>Percentage of similarity score higher than 0.8 (and 0.65 for the first funder)</t>
  </si>
  <si>
    <t>Percentage of pairs with suspicious overlaps</t>
  </si>
  <si>
    <t>Average size of the first award of the pair compared to the second</t>
  </si>
  <si>
    <t>Percentage of duplicated grant applications</t>
  </si>
  <si>
    <t>Funder</t>
  </si>
  <si>
    <t>Dates available</t>
  </si>
  <si>
    <t>Number of applications</t>
  </si>
  <si>
    <t>Reviewed digitally</t>
  </si>
  <si>
    <t>Reviewed manually</t>
  </si>
  <si>
    <t>Suspicious overlaps within the hypotheses, aims or goals</t>
  </si>
  <si>
    <t>Susan J. Komen for the Cure</t>
  </si>
  <si>
    <t>2003-2011</t>
  </si>
  <si>
    <t>Department of Defense</t>
  </si>
  <si>
    <t>1993-2011</t>
  </si>
  <si>
    <t>Department of Energy</t>
  </si>
  <si>
    <t>1995-2009</t>
  </si>
  <si>
    <t>National Science Foundation</t>
  </si>
  <si>
    <t>1985-2012</t>
  </si>
  <si>
    <t>National Institute of Health</t>
  </si>
  <si>
    <t>Percentage</t>
  </si>
  <si>
    <t>Weighted average impact of FAIR on the percentage of articles retracted</t>
  </si>
  <si>
    <t>Reasons for rectracting a published article</t>
  </si>
  <si>
    <t>Errors</t>
  </si>
  <si>
    <t>Non-reproducibility</t>
  </si>
  <si>
    <t>Fraud</t>
  </si>
  <si>
    <t>Multiple submissions</t>
  </si>
  <si>
    <t>Plagiarism</t>
  </si>
  <si>
    <t>Selfplagiarism (sub part of plagiarism)</t>
  </si>
  <si>
    <t>Other misconduct</t>
  </si>
  <si>
    <t>Unkown reasons</t>
  </si>
  <si>
    <t>Source 1</t>
  </si>
  <si>
    <t>https://www.sciencedirect.com/science/article/pii/S0048733317301543</t>
  </si>
  <si>
    <t>Source 2</t>
  </si>
  <si>
    <t>https://www.ncbi.nlm.nih.gov/pmc/articles/PMC3558294/#R29</t>
  </si>
  <si>
    <t>Source 3</t>
  </si>
  <si>
    <t>http://www.pnas.org/content/109/42/17028.full?linkType=FULL&amp;resid=109/42/17028&amp;journalCode=pnas</t>
  </si>
  <si>
    <t>Source 4</t>
  </si>
  <si>
    <t>https://www.ncbi.nlm.nih.gov/pubmed/21486985</t>
  </si>
  <si>
    <t>Average</t>
  </si>
  <si>
    <t>Reduced average</t>
  </si>
  <si>
    <t>Impact of FAIR on the percentage of articles retracted</t>
  </si>
  <si>
    <t>Country Total Yearly Salary Average of researchers in EU25 and Associated Countries per sector of activity (2006, N=6110, Business Enterprise Sector)</t>
  </si>
  <si>
    <t>Yearly salaray averages divided by labour cost levels</t>
  </si>
  <si>
    <t>Average Yearly salary in Euro (N=6110)</t>
  </si>
  <si>
    <t>Austria</t>
  </si>
  <si>
    <t>Linear</t>
  </si>
  <si>
    <t>Belgium</t>
  </si>
  <si>
    <t>Croatia</t>
  </si>
  <si>
    <t>Cyprus</t>
  </si>
  <si>
    <t>Czech Republic</t>
  </si>
  <si>
    <t>Denmark</t>
  </si>
  <si>
    <t>Estonia</t>
  </si>
  <si>
    <t>N/A</t>
  </si>
  <si>
    <t>Finland</t>
  </si>
  <si>
    <t>France</t>
  </si>
  <si>
    <t>Germany</t>
  </si>
  <si>
    <t>Greece</t>
  </si>
  <si>
    <t>Hungary</t>
  </si>
  <si>
    <t>Ireland</t>
  </si>
  <si>
    <t>Italy</t>
  </si>
  <si>
    <t>Latvia</t>
  </si>
  <si>
    <t>Lithuania</t>
  </si>
  <si>
    <t>Luxembourg</t>
  </si>
  <si>
    <t>Malta</t>
  </si>
  <si>
    <t>Netherlands</t>
  </si>
  <si>
    <t>Poland</t>
  </si>
  <si>
    <t>Portugal</t>
  </si>
  <si>
    <t>Romania</t>
  </si>
  <si>
    <t>Slovakia</t>
  </si>
  <si>
    <t>Slovenia</t>
  </si>
  <si>
    <t>Spain</t>
  </si>
  <si>
    <t>Sweden</t>
  </si>
  <si>
    <t>UK</t>
  </si>
  <si>
    <t>=Average</t>
  </si>
  <si>
    <t>Country Total Yearly Salary Average of researchers in EU25 and Associated Countries per sector of activity (2006, N=6110, Researcher in Governement)</t>
  </si>
  <si>
    <t xml:space="preserve">Total </t>
  </si>
  <si>
    <t>Country Total Yearly Salary Average of researchers in EU25 and Associated Countries per sector of activity (2006, N=6110, Researcher in Higher Education)</t>
  </si>
  <si>
    <t xml:space="preserve">Several types </t>
  </si>
  <si>
    <t>Additional time required to create DMPs for each new research project</t>
  </si>
  <si>
    <t>L</t>
  </si>
  <si>
    <t>+</t>
  </si>
  <si>
    <t>CORRECTIVE COEFFICIENTS IN EU-25 AND ASSOCIATED COUNTRIES (2006)</t>
  </si>
  <si>
    <t>Purchasing Power Parities (PPP): A rate of exchange that accounts for price</t>
  </si>
  <si>
    <t>differences across countries, allowing international comparisons of real output and</t>
  </si>
  <si>
    <t>incomes.</t>
  </si>
  <si>
    <t>Purchasing Power Standard (PPS): It represents the PPP transformed into a</t>
  </si>
  <si>
    <t>standardised form with the EU region as a base (EU = 1). A fictitious "average"</t>
  </si>
  <si>
    <t>currency of all EU members is selected as an artificial unit (currency).</t>
  </si>
  <si>
    <t>Labour cost index for Professional, scientific and technical activities</t>
  </si>
  <si>
    <t>Labour cost levels by NACE Rev. 2 activity [lc_lci_lev]</t>
  </si>
  <si>
    <t>GEO/TIME</t>
  </si>
  <si>
    <t>2006Q4</t>
  </si>
  <si>
    <t>European Union (EU6-1972, EU9-1980, EU10-1985, EU12-1994, EU15-2004, EU25-2006, EU27-2013, EU28)</t>
  </si>
  <si>
    <t>European Union (current composition)</t>
  </si>
  <si>
    <t>European Union (before the accession of Croatia)</t>
  </si>
  <si>
    <t>:</t>
  </si>
  <si>
    <t>European Union (15 countries)</t>
  </si>
  <si>
    <t>Euro area (19 countries)</t>
  </si>
  <si>
    <t>Euro area (EA11-2000, EA12-2006, EA13-2007, EA15-2008, EA16-2010, EA17-2013, EA18-2014, EA19)</t>
  </si>
  <si>
    <t>Euro area (18 countries)</t>
  </si>
  <si>
    <t>Euro area (17 countries)</t>
  </si>
  <si>
    <t>Germany (until 1990 former territory of the FRG)</t>
  </si>
  <si>
    <t>United Kingdom</t>
  </si>
  <si>
    <t>S_ADJ</t>
  </si>
  <si>
    <t>Seasonally and calendar adjusted data</t>
  </si>
  <si>
    <t>Last update</t>
  </si>
  <si>
    <t>08.06.17</t>
  </si>
  <si>
    <t>UNIT</t>
  </si>
  <si>
    <t>Index, 2012=100</t>
  </si>
  <si>
    <t>Extracted on</t>
  </si>
  <si>
    <t>06.04.18</t>
  </si>
  <si>
    <t>NACE_R2</t>
  </si>
  <si>
    <t>Professional, scientific and technical activities</t>
  </si>
  <si>
    <t>Source of data</t>
  </si>
  <si>
    <t>Eurostat</t>
  </si>
  <si>
    <t>LCSTRUCT</t>
  </si>
  <si>
    <t>Labour cost for LCI (compensation of employees plus taxes minus subsidies)</t>
  </si>
  <si>
    <t>CURRENCY</t>
  </si>
  <si>
    <t>Euro</t>
  </si>
  <si>
    <t>Total labour costs (total)</t>
  </si>
  <si>
    <t>5)</t>
  </si>
  <si>
    <t>6)</t>
  </si>
  <si>
    <t>Current situation</t>
  </si>
  <si>
    <t>Ideal FAIR situation</t>
  </si>
  <si>
    <t>% Time</t>
  </si>
  <si>
    <t>Growth curve</t>
  </si>
  <si>
    <t>© Mathias Brandewinder, Clear Lines Consulting LLC</t>
  </si>
  <si>
    <t>http://www.clear-lines.com/blog/post/S-shaped-market-adoption-curve.aspx</t>
  </si>
  <si>
    <t>Start year of the model</t>
  </si>
  <si>
    <t>Global growth</t>
  </si>
  <si>
    <t>Time 1</t>
  </si>
  <si>
    <t>Level</t>
  </si>
  <si>
    <t>Value 1</t>
  </si>
  <si>
    <t>Time 2</t>
  </si>
  <si>
    <t>Value 2</t>
  </si>
  <si>
    <t>Peak</t>
  </si>
  <si>
    <t>Alpha</t>
  </si>
  <si>
    <t>T0</t>
  </si>
  <si>
    <t>Value</t>
  </si>
  <si>
    <t>Growth potential based on current year</t>
  </si>
  <si>
    <t>Local Growth</t>
  </si>
  <si>
    <t>Delta FAIR compliance</t>
  </si>
  <si>
    <t>Delta years</t>
  </si>
  <si>
    <t>Average progression</t>
  </si>
  <si>
    <t>https://www.statista.com/statistics/267908/inflation-rate-in-eu-and-euro-area/</t>
  </si>
  <si>
    <t>Index</t>
  </si>
  <si>
    <t>Sum</t>
  </si>
  <si>
    <t>Benefits Increase/Decrease</t>
  </si>
  <si>
    <t>Documenting analysis</t>
  </si>
  <si>
    <t>Factor</t>
  </si>
  <si>
    <t>Weighted</t>
  </si>
  <si>
    <t>Benefits (x1)</t>
  </si>
  <si>
    <t>Benefit (x2)</t>
  </si>
  <si>
    <t>Constant</t>
  </si>
  <si>
    <t>Benefits - Local Growth (end of the implementation)</t>
  </si>
  <si>
    <t>Global Growth (100% in 2058)</t>
  </si>
  <si>
    <t>Global Growth (Decrease)</t>
  </si>
  <si>
    <t>FAIR adoption globally</t>
  </si>
  <si>
    <t>In which year did the FAIR implementation start?</t>
  </si>
  <si>
    <t>To which extent was EU-28 compliant with FAIR when the implementation started?</t>
  </si>
  <si>
    <t>In which year will FAIR reach 50% of its implementation?</t>
  </si>
  <si>
    <t>Which maximal percentage of data/reports can be made open</t>
  </si>
  <si>
    <t xml:space="preserve">Data which could be made open equals to </t>
  </si>
  <si>
    <t>Assumption: We followed the guidelines from the European Research Council for "as open as possible as closed as necessarily" as detailed here: https://ec.europa.eu/research/participants/data/ref/h2020/other/hi/oa-pilot/h2020-hi-erc-oa-guide_en.pdf</t>
  </si>
  <si>
    <t xml:space="preserve">Source 1 </t>
  </si>
  <si>
    <t>DAF Survey 2016</t>
  </si>
  <si>
    <t>https://figshare.com/articles/Data_asset_framework_DAF_survey_results_2016/3796305</t>
  </si>
  <si>
    <t>Reasons for not sharing</t>
  </si>
  <si>
    <t>I don’t want others to see my data</t>
  </si>
  <si>
    <t>I don't know how to share it easily</t>
  </si>
  <si>
    <t>I want to keep the data to do further research</t>
  </si>
  <si>
    <t>I don’t have funding to cover the costs involved</t>
  </si>
  <si>
    <t>It is impractical to share the data due to its size</t>
  </si>
  <si>
    <t>It is impractical to share the data due to its format</t>
  </si>
  <si>
    <t>Never considered it</t>
  </si>
  <si>
    <t>No data centre for the discipline</t>
  </si>
  <si>
    <t>No re-use potential</t>
  </si>
  <si>
    <t>Not required by funder</t>
  </si>
  <si>
    <t>Sensitive/confidential data</t>
  </si>
  <si>
    <t>Waiting for the University to set up a data archive</t>
  </si>
  <si>
    <t>I don't have permission to share the data</t>
  </si>
  <si>
    <t>I want to patent/commercialise my research</t>
  </si>
  <si>
    <t>I don't want my data to be used for commercial purposes</t>
  </si>
  <si>
    <t>Other (please specify):</t>
  </si>
  <si>
    <t>Number of respondents for the question</t>
  </si>
  <si>
    <t>Data Sharing by Scientists: Practices and Perceptions</t>
  </si>
  <si>
    <t>https://www.ncbi.nlm.nih.gov/pmc/articles/PMC3126798/</t>
  </si>
  <si>
    <t>Reasons for not making data electronically available</t>
  </si>
  <si>
    <t>Insufficient Time</t>
  </si>
  <si>
    <t>Lack of fundind</t>
  </si>
  <si>
    <t>Do not Have Rights to Make Data Public</t>
  </si>
  <si>
    <t>No Place to Put Data</t>
  </si>
  <si>
    <t>Lack of Standards</t>
  </si>
  <si>
    <t>Sponsor does not Require</t>
  </si>
  <si>
    <t>Do not Need Data</t>
  </si>
  <si>
    <t>Other Reasons for Data Not Available</t>
  </si>
  <si>
    <t>Should not be Available</t>
  </si>
  <si>
    <t>DAF Report (2011)</t>
  </si>
  <si>
    <t>http://opus.bath.ac.uk/24960/1/DAF_report_May_2011.pdf</t>
  </si>
  <si>
    <t>Access Issues</t>
  </si>
  <si>
    <t>Other (please specify)</t>
  </si>
  <si>
    <t>Not applicable</t>
  </si>
  <si>
    <t>Lack of trust in systems/security</t>
  </si>
  <si>
    <t>Time/effort required</t>
  </si>
  <si>
    <t>Possible misinterpretation of data</t>
  </si>
  <si>
    <t>Commercial value of data</t>
  </si>
  <si>
    <t>IPR (Intellectual Property Rights)</t>
  </si>
  <si>
    <t>Confidentiality</t>
  </si>
  <si>
    <t>No issues</t>
  </si>
  <si>
    <t>Metadata (finding)</t>
  </si>
  <si>
    <t>Access points</t>
  </si>
  <si>
    <t>Open access benefit</t>
  </si>
  <si>
    <t>Open access</t>
  </si>
  <si>
    <t>Open access cost</t>
  </si>
  <si>
    <t>Metadata (machine-readability finding)</t>
  </si>
  <si>
    <t>Open access for publication</t>
  </si>
  <si>
    <t>Time change on finding existing (meta)data</t>
  </si>
  <si>
    <t>Glocal standardised PIDs</t>
  </si>
  <si>
    <t>Time change on finding existing data (PID)</t>
  </si>
  <si>
    <t>Percentage of Open Access (OA)</t>
  </si>
  <si>
    <t>New repartition of the non-easily accessible points</t>
  </si>
  <si>
    <t>Time change on accessing existing data</t>
  </si>
  <si>
    <t>Sum check</t>
  </si>
  <si>
    <t>Time saved in accessing more easily data not immediately available</t>
  </si>
  <si>
    <t>Time lost in identifying and understanding the licence of a dataset or report</t>
  </si>
  <si>
    <t>Time saved in identifying and understanding more easily the licence of a dataset</t>
  </si>
  <si>
    <t>Time saved in collecting data</t>
  </si>
  <si>
    <t>Number of datasets generated</t>
  </si>
  <si>
    <t>Time change due to FAIR</t>
  </si>
  <si>
    <t>What do you follow for describing your datasets and reports:</t>
  </si>
  <si>
    <t>% Proportion (weighted)</t>
  </si>
  <si>
    <t>Additional time required (ratio)</t>
  </si>
  <si>
    <t>Assumption</t>
  </si>
  <si>
    <t>Time change</t>
  </si>
  <si>
    <t>No identifier</t>
  </si>
  <si>
    <t>Local Persistent Identifier (PID)</t>
  </si>
  <si>
    <t>Recognized standard PID</t>
  </si>
  <si>
    <t>Cost to comply with global standardised PIDs</t>
  </si>
  <si>
    <t>Additional cost in time to move towards global standardised PIDs</t>
  </si>
  <si>
    <t>Additional cost in time to move towards reproducible methods and results</t>
  </si>
  <si>
    <t>Assumptions</t>
  </si>
  <si>
    <t>Policy document</t>
  </si>
  <si>
    <t>Time required (in mandays)</t>
  </si>
  <si>
    <t>Weighted amount of days</t>
  </si>
  <si>
    <t>Number of updates during the implementation period</t>
  </si>
  <si>
    <t>Number of updates during the global implementation of FAIR in EU</t>
  </si>
  <si>
    <t>Internal</t>
  </si>
  <si>
    <t>External ratio</t>
  </si>
  <si>
    <t>€/day</t>
  </si>
  <si>
    <t>Creation of policy documents</t>
  </si>
  <si>
    <t>Maintaining of policy documents</t>
  </si>
  <si>
    <t>Operational cost (Data Policies)</t>
  </si>
  <si>
    <t>Adapted time spent on integrating and solving errors:</t>
  </si>
  <si>
    <t>repairing bad quality data</t>
  </si>
  <si>
    <t>Among the relevant existing data found, which percentage will you not reuse because of insufficient quality?</t>
  </si>
  <si>
    <t>Time saved due to changing types, formats and quality of datasets</t>
  </si>
  <si>
    <t>Time saved thanks to the decreasing amount of unresolvable data quality issues</t>
  </si>
  <si>
    <t>years</t>
  </si>
  <si>
    <t>Total time saved on integrating data</t>
  </si>
  <si>
    <t>Saving in time for internal reusers thanks to the implementation of the FAIR principles in creating, collection and integrating</t>
  </si>
  <si>
    <t>SB</t>
  </si>
  <si>
    <t>Saving in time for external reusers thanks to the implementation of the FAIR principles in creating, collection and integrating</t>
  </si>
  <si>
    <t>Avg Salary</t>
  </si>
  <si>
    <t>Time wasted Creating and Collecting</t>
  </si>
  <si>
    <t>Time wasted integrating</t>
  </si>
  <si>
    <t>For the following categories, which percentage of your analysing time do you spend to record in your metadata the steps of the workflow you passed through when analysing your data?</t>
  </si>
  <si>
    <t>Improvement</t>
  </si>
  <si>
    <t>Extra time needed</t>
  </si>
  <si>
    <t>Time spent to become FAIR</t>
  </si>
  <si>
    <t>Time spent documenting steps of the analysis process</t>
  </si>
  <si>
    <t>NUMBERS</t>
  </si>
  <si>
    <t>total</t>
  </si>
  <si>
    <t>On average, how many datasets do you:</t>
  </si>
  <si>
    <t>publish</t>
  </si>
  <si>
    <t>FIGURES TO BE USED</t>
  </si>
  <si>
    <t>COST</t>
  </si>
  <si>
    <t>Estimated cost for publishing</t>
  </si>
  <si>
    <t>https://www.nature.com/news/open-access-the-true-cost-of-science-publishing-1.12676</t>
  </si>
  <si>
    <t>Table 1</t>
  </si>
  <si>
    <t>Table 2</t>
  </si>
  <si>
    <t>Table 3</t>
  </si>
  <si>
    <t>Refer to figure</t>
  </si>
  <si>
    <t>TOTAL COST</t>
  </si>
  <si>
    <t>Total cost</t>
  </si>
  <si>
    <t>Publishing costs saved thanks to open access</t>
  </si>
  <si>
    <t>Which percentage of the licences attributed to your data are compliant with following + how much time do you spent on this as a % of the total time required for registering and publishing?</t>
  </si>
  <si>
    <t>no standardised licence</t>
  </si>
  <si>
    <t>local standardised licences</t>
  </si>
  <si>
    <t>global standardised licence</t>
  </si>
  <si>
    <t>sum</t>
  </si>
  <si>
    <t>Average number of peer reviews/publication</t>
  </si>
  <si>
    <t>Average number of publications/researcher</t>
  </si>
  <si>
    <t>Impact of FAIR on the average number of peer reviews per article</t>
  </si>
  <si>
    <t>Average number of additional peer reviews wasted per publication because of not being FAIR</t>
  </si>
  <si>
    <t>Average number of peer reviews/researcher/year in your organisation</t>
  </si>
  <si>
    <t>Alternative source</t>
  </si>
  <si>
    <t>Average number of peer reviews/researcher/year in your sector</t>
  </si>
  <si>
    <t>--------&gt;</t>
  </si>
  <si>
    <t>Peer review: benefits, perceptions and alternatives</t>
  </si>
  <si>
    <t>http://citeseerx.ist.psu.edu/viewdoc/download?doi=10.1.1.214.9676&amp;rep=rep1&amp;type=pdf</t>
  </si>
  <si>
    <t>Time saved for each peer review thanks to the FAIR principles</t>
  </si>
  <si>
    <t>Time saved thanks to the reduced amount of peer reviews required</t>
  </si>
  <si>
    <t>Time saved on peer reviews thanks to the compliance with the FAIR principles</t>
  </si>
  <si>
    <t>Total time saved for peer reviews thanks to the FAIR principles</t>
  </si>
  <si>
    <t>Implementation training costs</t>
  </si>
  <si>
    <t>Recurring training costs</t>
  </si>
  <si>
    <r>
      <t xml:space="preserve">This mechanism relates to </t>
    </r>
    <r>
      <rPr>
        <b/>
        <i/>
        <sz val="9"/>
        <rFont val="Georgia"/>
        <family val="1"/>
      </rPr>
      <t>Obj02</t>
    </r>
    <r>
      <rPr>
        <sz val="9"/>
        <color rgb="FF000000"/>
        <rFont val="Georgia"/>
        <family val="1"/>
      </rPr>
      <t xml:space="preserve"> and aims to identify the costs and benefits of having FAIR research data.                                                                                                                                                                                                   </t>
    </r>
  </si>
  <si>
    <t>Summary_Calc</t>
  </si>
  <si>
    <r>
      <rPr>
        <b/>
        <i/>
        <sz val="9"/>
        <rFont val="Georgia"/>
        <family val="1"/>
      </rPr>
      <t>*Please note that all the questions and calculations apply to the scope defined by the user</t>
    </r>
    <r>
      <rPr>
        <sz val="9"/>
        <color rgb="FF000000"/>
        <rFont val="Georgia"/>
        <family val="1"/>
      </rPr>
      <t xml:space="preserve"> (i.e. if the user choses to answer the questions for a single project, all questions must be answered with that scope). This also implies that some questions which can be more easily answered at the corporate level, such as on IT costs, should be then applied to the scope you decided for this assessment.
If your objective is to obtain an estimation of the costs and benefits at the corporate level, some questions may consequently be applied directly to that level while others will need to be extrapolated.</t>
    </r>
  </si>
  <si>
    <r>
      <t xml:space="preserve">General information about your adherence to the FAIR facets </t>
    </r>
    <r>
      <rPr>
        <i/>
        <sz val="9"/>
        <rFont val="Georgia"/>
        <family val="1"/>
      </rPr>
      <t>(</t>
    </r>
    <r>
      <rPr>
        <i/>
        <u/>
        <sz val="9"/>
        <rFont val="Georgia"/>
        <family val="1"/>
      </rPr>
      <t>to be filled in</t>
    </r>
    <r>
      <rPr>
        <i/>
        <sz val="9"/>
        <rFont val="Georgia"/>
        <family val="1"/>
      </rPr>
      <t>)</t>
    </r>
  </si>
  <si>
    <r>
      <t>General information about your organisation or your project</t>
    </r>
    <r>
      <rPr>
        <i/>
        <sz val="9"/>
        <rFont val="Georgia"/>
        <family val="1"/>
      </rPr>
      <t xml:space="preserve"> (</t>
    </r>
    <r>
      <rPr>
        <i/>
        <u/>
        <sz val="9"/>
        <rFont val="Georgia"/>
        <family val="1"/>
      </rPr>
      <t>to be filled in</t>
    </r>
    <r>
      <rPr>
        <i/>
        <sz val="9"/>
        <rFont val="Georgia"/>
        <family val="1"/>
      </rPr>
      <t>)</t>
    </r>
  </si>
  <si>
    <r>
      <rPr>
        <sz val="11"/>
        <color rgb="FFFF0000"/>
        <rFont val="Georgia"/>
        <family val="1"/>
      </rPr>
      <t>*</t>
    </r>
    <r>
      <rPr>
        <sz val="11"/>
        <color rgb="FF000000"/>
        <rFont val="Georgia"/>
        <family val="1"/>
      </rPr>
      <t xml:space="preserve"> </t>
    </r>
    <r>
      <rPr>
        <i/>
        <sz val="11"/>
        <rFont val="Georgia"/>
        <family val="1"/>
      </rPr>
      <t>Mandatory information</t>
    </r>
  </si>
  <si>
    <r>
      <rPr>
        <sz val="9"/>
        <color rgb="FFFF0000"/>
        <rFont val="Georgia"/>
        <family val="1"/>
      </rPr>
      <t>*</t>
    </r>
    <r>
      <rPr>
        <sz val="9"/>
        <color rgb="FF000000"/>
        <rFont val="Georgia"/>
        <family val="1"/>
      </rPr>
      <t xml:space="preserve"> </t>
    </r>
    <r>
      <rPr>
        <i/>
        <sz val="9"/>
        <rFont val="Georgia"/>
        <family val="1"/>
      </rPr>
      <t>Mandatory information</t>
    </r>
  </si>
  <si>
    <t>From the dropdown menu related to each facet and on a scale from 1 to 5, please select the statement below that best represents your situation:</t>
  </si>
  <si>
    <r>
      <t xml:space="preserve">The following assessment is based on the efforts carried out by the </t>
    </r>
    <r>
      <rPr>
        <b/>
        <sz val="9"/>
        <rFont val="Georgia"/>
        <family val="1"/>
      </rPr>
      <t>FAIR Metrics Group</t>
    </r>
    <r>
      <rPr>
        <sz val="9"/>
        <color rgb="FF000000"/>
        <rFont val="Georgia"/>
        <family val="1"/>
      </rPr>
      <t xml:space="preserve"> to define metrics to </t>
    </r>
    <r>
      <rPr>
        <b/>
        <sz val="9"/>
        <rFont val="Georgia"/>
        <family val="1"/>
      </rPr>
      <t>assess the FAIRness of a digital resource.</t>
    </r>
  </si>
  <si>
    <t>The objective of the following set of questions is to estimate your organisation's compliance to the FAIR principles in order to calculate the baseline for the cost-benefit analysis. Each of the FAIR principles is divided into facets (e.g. F1 to F4 for the first principle 'Findable') which are stated in one sentence. One or two questions are asked for each facet in order to estimate your current compliance with the principles.</t>
  </si>
  <si>
    <t>How can it be measured?</t>
  </si>
  <si>
    <t xml:space="preserve">Please select a facet to get more information about what is measured, how to measure, etc. 
</t>
  </si>
  <si>
    <r>
      <t xml:space="preserve">For additional guidelines, please refer to the following websites:
</t>
    </r>
    <r>
      <rPr>
        <i/>
        <sz val="8"/>
        <color rgb="FF000000"/>
        <rFont val="Georgia"/>
        <family val="1"/>
      </rPr>
      <t>https://www.go-fair.org/fair-principles/
https://www.force11.org/group/fairgroup/fairprinciples
https://github.com/FAIRMetrics/Metrics/blob/master/ALL.pdf</t>
    </r>
  </si>
  <si>
    <r>
      <t xml:space="preserve">If you wish to enhance this mechanism and have significant results in implementing the FAIR principles to your organisation, please </t>
    </r>
    <r>
      <rPr>
        <b/>
        <u/>
        <sz val="9"/>
        <rFont val="Georgia"/>
        <family val="1"/>
      </rPr>
      <t>also</t>
    </r>
    <r>
      <rPr>
        <b/>
        <sz val="9"/>
        <rFont val="Georgia"/>
        <family val="1"/>
      </rPr>
      <t xml:space="preserve"> </t>
    </r>
    <r>
      <rPr>
        <sz val="9"/>
        <color rgb="FF000000"/>
        <rFont val="Georgia"/>
        <family val="1"/>
      </rPr>
      <t>provide detailed info within the second frame.</t>
    </r>
  </si>
  <si>
    <r>
      <t xml:space="preserve">What is the average annual cost of data storage expressed in TB/year
</t>
    </r>
    <r>
      <rPr>
        <i/>
        <sz val="8"/>
        <rFont val="Georgia"/>
        <family val="1"/>
      </rPr>
      <t>For a mix of storage type (e.g. cloud based, university server, etc.) and including archiving and back-up</t>
    </r>
  </si>
  <si>
    <r>
      <t xml:space="preserve">Each question to answer is numbered. Rows marked </t>
    </r>
    <r>
      <rPr>
        <b/>
        <i/>
        <sz val="9"/>
        <rFont val="Georgia"/>
        <family val="1"/>
      </rPr>
      <t>i.</t>
    </r>
    <r>
      <rPr>
        <sz val="9"/>
        <color rgb="FF000000"/>
        <rFont val="Georgia"/>
        <family val="1"/>
      </rPr>
      <t xml:space="preserve"> are here to indicate that the answers to the previous questions should equal 100%</t>
    </r>
  </si>
  <si>
    <r>
      <t xml:space="preserve">machine readable data following </t>
    </r>
    <r>
      <rPr>
        <u/>
        <sz val="9"/>
        <rFont val="Georgia"/>
        <family val="1"/>
      </rPr>
      <t xml:space="preserve">standardised </t>
    </r>
    <r>
      <rPr>
        <sz val="9"/>
        <color rgb="FF000000"/>
        <rFont val="Georgia"/>
        <family val="1"/>
      </rPr>
      <t>formats</t>
    </r>
  </si>
  <si>
    <r>
      <t xml:space="preserve">machine readable data following </t>
    </r>
    <r>
      <rPr>
        <u/>
        <sz val="9"/>
        <rFont val="Georgia"/>
        <family val="1"/>
      </rPr>
      <t xml:space="preserve">proprietary </t>
    </r>
    <r>
      <rPr>
        <sz val="9"/>
        <color rgb="FF000000"/>
        <rFont val="Georgia"/>
        <family val="1"/>
      </rPr>
      <t>formats</t>
    </r>
  </si>
  <si>
    <r>
      <rPr>
        <b/>
        <i/>
        <sz val="11"/>
        <color theme="0"/>
        <rFont val="Georgia"/>
        <family val="1"/>
      </rPr>
      <t>Benefits/Costs</t>
    </r>
    <r>
      <rPr>
        <sz val="11"/>
        <color theme="0"/>
        <rFont val="Georgia"/>
        <family val="1"/>
      </rPr>
      <t xml:space="preserve"> (Net Cash Flow)</t>
    </r>
  </si>
  <si>
    <r>
      <rPr>
        <b/>
        <i/>
        <sz val="9"/>
        <rFont val="Georgia"/>
        <family val="1"/>
      </rPr>
      <t>Direct benefits</t>
    </r>
    <r>
      <rPr>
        <sz val="9"/>
        <color rgb="FF000000"/>
        <rFont val="Georgia"/>
        <family val="1"/>
      </rPr>
      <t xml:space="preserve"> (Cash Inflow)</t>
    </r>
  </si>
  <si>
    <r>
      <rPr>
        <b/>
        <i/>
        <sz val="9"/>
        <rFont val="Georgia"/>
        <family val="1"/>
      </rPr>
      <t>Costs</t>
    </r>
    <r>
      <rPr>
        <sz val="9"/>
        <color rgb="FF000000"/>
        <rFont val="Georgia"/>
        <family val="1"/>
      </rPr>
      <t xml:space="preserve"> (Cash Outflow)</t>
    </r>
  </si>
  <si>
    <r>
      <rPr>
        <b/>
        <i/>
        <sz val="9"/>
        <rFont val="Georgia"/>
        <family val="1"/>
      </rPr>
      <t>Cumulative Net Benefits</t>
    </r>
    <r>
      <rPr>
        <sz val="9"/>
        <color rgb="FF000000"/>
        <rFont val="Georgia"/>
        <family val="1"/>
      </rPr>
      <t xml:space="preserve"> (Cumulative Net Cash Flow)</t>
    </r>
  </si>
  <si>
    <r>
      <rPr>
        <b/>
        <i/>
        <sz val="9"/>
        <rFont val="Georgia"/>
        <family val="1"/>
      </rPr>
      <t>Benefits</t>
    </r>
    <r>
      <rPr>
        <sz val="9"/>
        <color rgb="FF000000"/>
        <rFont val="Georgia"/>
        <family val="1"/>
      </rPr>
      <t xml:space="preserve"> (Cash Inflow)</t>
    </r>
  </si>
  <si>
    <t>Direct/indirect benefits and direct costs of complying with FAIR</t>
  </si>
  <si>
    <r>
      <t>As written in the FAIR principles, "</t>
    </r>
    <r>
      <rPr>
        <i/>
        <sz val="11"/>
        <rFont val="Georgia"/>
        <family val="1"/>
      </rPr>
      <t>(meta)data are released with a clear and accessible data usage license</t>
    </r>
    <r>
      <rPr>
        <sz val="11"/>
        <color rgb="FF000000"/>
        <rFont val="Georgia"/>
        <family val="1"/>
      </rPr>
      <t xml:space="preserve">". The clarity and accessibility are maximised when globally agreed as in the case of standards and machine-readable. </t>
    </r>
  </si>
  <si>
    <t>OC = Operation cost; 
B = Benefit (Direct and Indirect); 
IC = Implementation cost; 
SB = Spill-over benefit.</t>
  </si>
  <si>
    <t>Mandatory field</t>
  </si>
  <si>
    <t>By implementing the FAIR principles, especially concerning the persistent storage, do you estimate that this period will decrease or increase?</t>
  </si>
  <si>
    <t>By how many years do you estimate that this period will change?</t>
  </si>
  <si>
    <t>What is the average volume of data created/reused per year for all the employees as part of the scope of this assessment?</t>
  </si>
  <si>
    <t>What is the average data retention period?</t>
  </si>
  <si>
    <t>YES/NO &amp; duration</t>
  </si>
  <si>
    <t>Number of additional FTEs who will be required within the PM for the transition to complying to the FAIR principles:</t>
  </si>
  <si>
    <t>Yearly recurring days of training as from the moment the FAIR implementation went operational:</t>
  </si>
  <si>
    <t>Initial days of training required per profile to understand and comply with the FAIR principles (and with Data Stewardship):</t>
  </si>
  <si>
    <t>Please select below the definition:</t>
  </si>
  <si>
    <t>In order to fully comply to the FAIR principles, how many additional FTEs do you estimate you will need for data stewardship activities?</t>
  </si>
  <si>
    <t>Assign global standardised licence</t>
  </si>
  <si>
    <t>This cost represents the counterpart of the related benefit. While any organisation will gain time for collecting and producing data compliant with standardised PIDs, they will need to invest additional time to implement similar standards.  This cost is only related to the implementation phase of the FAIR principles.</t>
  </si>
  <si>
    <t>This cost represents the counterpart of the related benefit. While any organisation will gain time for collecting and producing data compliant with standardised PIDs, they will need to invest additional time to continuously comply with similar standards. This represents a regular cost faced to assign global standardised PIDs compared to non-standardised PIDs.</t>
  </si>
  <si>
    <t>An organsiation will need additional time to comply with recognized metadata standards compared to other metadata because more fields will be requested on average for the first. This factor is different from the one on reproducible methods and results. While complying with recognized metadata standards definitely contributes to the reproducibility of the methods and results, it is not sufficient in many cases. Therefore, the impacts of the implementation of FAIR on reproducibility are measured independently.</t>
  </si>
  <si>
    <t>For most of the assessments, moving from their current situation towards descriptions of data and metadata which would enable the reproducibility of the methods and results will require additional time allowance. This factor is different from the one on recognized metadata standards. While complying with recognized metadata standards definitely contributes to the reproducibility of the methods and results, it is not sufficient in many cases. Furthermore, recognized metadata standards have other impacts such as better findability and accessibility of the data which are not measured with this factor.</t>
  </si>
  <si>
    <t>Average funds received per grant agreement in H2020 between 2014-2016</t>
  </si>
  <si>
    <t>Proposals received between 2014-2016 for H2020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</si>
</sst>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0000"/>
    <numFmt numFmtId="165" formatCode="[$€]#,##0.00"/>
    <numFmt numFmtId="166" formatCode="[$€]#,##0"/>
    <numFmt numFmtId="167" formatCode="#,##0&quot;€&quot;"/>
    <numFmt numFmtId="168" formatCode="0.0%"/>
    <numFmt numFmtId="169" formatCode="[$£-809]#,##0.00"/>
    <numFmt numFmtId="170" formatCode="#,##0\ [$€-1]"/>
    <numFmt numFmtId="171" formatCode="#,##0.0"/>
    <numFmt numFmtId="172" formatCode="###0"/>
    <numFmt numFmtId="173" formatCode="0.0000%"/>
    <numFmt numFmtId="174" formatCode="0.0"/>
    <numFmt numFmtId="175" formatCode="0.000%"/>
  </numFmts>
  <fonts count="146">
    <font>
      <sz val="11"/>
      <color rgb="FF000000"/>
      <name val="Calibri"/>
    </font>
    <font>
      <b/>
      <sz val="11"/>
      <name val="Calibri"/>
      <family val="2"/>
    </font>
    <font>
      <sz val="9"/>
      <name val="Georgia"/>
      <family val="1"/>
    </font>
    <font>
      <sz val="11"/>
      <name val="Calibri"/>
      <family val="2"/>
    </font>
    <font>
      <b/>
      <i/>
      <sz val="9"/>
      <name val="Georgia"/>
      <family val="1"/>
    </font>
    <font>
      <b/>
      <sz val="10"/>
      <name val="Georgia"/>
      <family val="1"/>
    </font>
    <font>
      <b/>
      <i/>
      <sz val="9"/>
      <color rgb="FFA64D79"/>
      <name val="Georgia"/>
      <family val="1"/>
    </font>
    <font>
      <sz val="11"/>
      <name val="Georgia"/>
      <family val="1"/>
    </font>
    <font>
      <b/>
      <sz val="9"/>
      <name val="Georgia"/>
      <family val="1"/>
    </font>
    <font>
      <sz val="11"/>
      <name val="Calibri"/>
      <family val="2"/>
    </font>
    <font>
      <i/>
      <sz val="8"/>
      <name val="Georgia"/>
      <family val="1"/>
    </font>
    <font>
      <i/>
      <sz val="9"/>
      <name val="Georgia"/>
      <family val="1"/>
    </font>
    <font>
      <sz val="9"/>
      <color rgb="FF4A86E8"/>
      <name val="Georgia"/>
      <family val="1"/>
    </font>
    <font>
      <sz val="9"/>
      <color rgb="FFFFFFFF"/>
      <name val="Georgia"/>
      <family val="1"/>
    </font>
    <font>
      <b/>
      <i/>
      <sz val="10"/>
      <name val="Georgia"/>
      <family val="1"/>
    </font>
    <font>
      <sz val="9"/>
      <color rgb="FF000000"/>
      <name val="Georgia"/>
      <family val="1"/>
    </font>
    <font>
      <i/>
      <sz val="9"/>
      <color rgb="FF000000"/>
      <name val="Georgia"/>
      <family val="1"/>
    </font>
    <font>
      <b/>
      <i/>
      <sz val="10"/>
      <color rgb="FF000000"/>
      <name val="Georgia"/>
      <family val="1"/>
    </font>
    <font>
      <b/>
      <sz val="10"/>
      <color rgb="FFFFFFFF"/>
      <name val="Georgia"/>
      <family val="1"/>
    </font>
    <font>
      <sz val="10"/>
      <color rgb="FFFFFFFF"/>
      <name val="Georgia"/>
      <family val="1"/>
    </font>
    <font>
      <i/>
      <sz val="10"/>
      <name val="Georgia"/>
      <family val="1"/>
    </font>
    <font>
      <i/>
      <sz val="9"/>
      <color rgb="FFFFFFFF"/>
      <name val="Georgia"/>
      <family val="1"/>
    </font>
    <font>
      <b/>
      <sz val="9"/>
      <color rgb="FF000000"/>
      <name val="Georgia"/>
      <family val="1"/>
    </font>
    <font>
      <b/>
      <i/>
      <sz val="12"/>
      <color rgb="FFFFFFFF"/>
      <name val="Georgia"/>
      <family val="1"/>
    </font>
    <font>
      <sz val="8"/>
      <name val="Georgia"/>
      <family val="1"/>
    </font>
    <font>
      <b/>
      <sz val="9"/>
      <color rgb="FFFFFFFF"/>
      <name val="Georgia"/>
      <family val="1"/>
    </font>
    <font>
      <b/>
      <i/>
      <sz val="9"/>
      <color rgb="FF000000"/>
      <name val="Georgia"/>
      <family val="1"/>
    </font>
    <font>
      <sz val="9"/>
      <color rgb="FF5B9BD5"/>
      <name val="Georgia"/>
      <family val="1"/>
    </font>
    <font>
      <sz val="9"/>
      <color rgb="FFFF0000"/>
      <name val="Georgia"/>
      <family val="1"/>
    </font>
    <font>
      <sz val="11"/>
      <color rgb="FF000000"/>
      <name val="Inconsolata"/>
    </font>
    <font>
      <i/>
      <sz val="8"/>
      <color rgb="FF000000"/>
      <name val="Georgia"/>
      <family val="1"/>
    </font>
    <font>
      <sz val="11"/>
      <name val="Arial"/>
      <family val="2"/>
    </font>
    <font>
      <u/>
      <sz val="9"/>
      <name val="Georgia"/>
      <family val="1"/>
    </font>
    <font>
      <i/>
      <sz val="11"/>
      <name val="Calibri"/>
      <family val="2"/>
    </font>
    <font>
      <b/>
      <sz val="11"/>
      <color rgb="FFF9CB9C"/>
      <name val="Calibri"/>
      <family val="2"/>
    </font>
    <font>
      <sz val="7"/>
      <name val="Georgia"/>
      <family val="1"/>
    </font>
    <font>
      <b/>
      <i/>
      <sz val="7"/>
      <name val="Georgia"/>
      <family val="1"/>
    </font>
    <font>
      <b/>
      <sz val="11"/>
      <color rgb="FFF6B26B"/>
      <name val="Calibri"/>
      <family val="2"/>
    </font>
    <font>
      <b/>
      <sz val="11"/>
      <color rgb="FFE69138"/>
      <name val="Calibri"/>
      <family val="2"/>
    </font>
    <font>
      <sz val="10"/>
      <name val="Georgia"/>
      <family val="1"/>
    </font>
    <font>
      <b/>
      <sz val="11"/>
      <color rgb="FFFFFFFF"/>
      <name val="Calibri"/>
      <family val="2"/>
    </font>
    <font>
      <u/>
      <sz val="10"/>
      <color rgb="FF0000FF"/>
      <name val="Georgia"/>
      <family val="1"/>
    </font>
    <font>
      <sz val="10"/>
      <color rgb="FF000000"/>
      <name val="Georgia"/>
      <family val="1"/>
    </font>
    <font>
      <b/>
      <sz val="7"/>
      <color rgb="FFFFFFFF"/>
      <name val="Georgia"/>
      <family val="1"/>
    </font>
    <font>
      <sz val="9"/>
      <color rgb="FFCCCCCC"/>
      <name val="Georgia"/>
      <family val="1"/>
    </font>
    <font>
      <i/>
      <sz val="8"/>
      <color rgb="FF666666"/>
      <name val="Georgia"/>
      <family val="1"/>
    </font>
    <font>
      <b/>
      <i/>
      <sz val="9"/>
      <color rgb="FFFFFFFF"/>
      <name val="Georgia"/>
      <family val="1"/>
    </font>
    <font>
      <i/>
      <u/>
      <sz val="9"/>
      <color rgb="FFFFFFFF"/>
      <name val="Georgia"/>
      <family val="1"/>
    </font>
    <font>
      <u/>
      <sz val="9"/>
      <color rgb="FF0000FF"/>
      <name val="Georgia"/>
      <family val="1"/>
    </font>
    <font>
      <sz val="11"/>
      <color rgb="FF000000"/>
      <name val="Georgia"/>
      <family val="1"/>
    </font>
    <font>
      <b/>
      <sz val="7"/>
      <name val="Georgia"/>
      <family val="1"/>
    </font>
    <font>
      <b/>
      <i/>
      <sz val="7"/>
      <color rgb="FFFFFFFF"/>
      <name val="Georgia"/>
      <family val="1"/>
    </font>
    <font>
      <i/>
      <sz val="7"/>
      <name val="Georgia"/>
      <family val="1"/>
    </font>
    <font>
      <b/>
      <i/>
      <sz val="9"/>
      <color rgb="FFFF9900"/>
      <name val="Georgia"/>
      <family val="1"/>
    </font>
    <font>
      <i/>
      <u/>
      <sz val="8"/>
      <color rgb="FF000000"/>
      <name val="Georgia"/>
      <family val="1"/>
    </font>
    <font>
      <i/>
      <sz val="10"/>
      <color rgb="FF000000"/>
      <name val="Georgia"/>
      <family val="1"/>
    </font>
    <font>
      <sz val="10"/>
      <color rgb="FF4A86E8"/>
      <name val="Georgia"/>
      <family val="1"/>
    </font>
    <font>
      <i/>
      <sz val="10"/>
      <color rgb="FFFFFFFF"/>
      <name val="Georgia"/>
      <family val="1"/>
    </font>
    <font>
      <u/>
      <sz val="9"/>
      <color rgb="FF000000"/>
      <name val="Georgia"/>
      <family val="1"/>
    </font>
    <font>
      <b/>
      <i/>
      <sz val="7"/>
      <color rgb="FF000000"/>
      <name val="Georgia"/>
      <family val="1"/>
    </font>
    <font>
      <b/>
      <i/>
      <sz val="7"/>
      <name val="Calibri"/>
      <family val="2"/>
    </font>
    <font>
      <b/>
      <i/>
      <u/>
      <sz val="9"/>
      <name val="Georgia"/>
      <family val="1"/>
    </font>
    <font>
      <b/>
      <sz val="8"/>
      <name val="Georgia"/>
      <family val="1"/>
    </font>
    <font>
      <b/>
      <sz val="11"/>
      <name val="Calibri"/>
      <family val="2"/>
    </font>
    <font>
      <u/>
      <sz val="11"/>
      <color theme="10"/>
      <name val="Calibri"/>
      <family val="2"/>
    </font>
    <font>
      <b/>
      <sz val="9"/>
      <name val="Georgia"/>
      <family val="1"/>
    </font>
    <font>
      <sz val="9"/>
      <name val="Georgia"/>
      <family val="1"/>
    </font>
    <font>
      <b/>
      <sz val="9"/>
      <color theme="0"/>
      <name val="Georgia"/>
      <family val="1"/>
    </font>
    <font>
      <b/>
      <sz val="9"/>
      <color rgb="FFFFFFFF"/>
      <name val="Georgia"/>
      <family val="1"/>
    </font>
    <font>
      <sz val="11"/>
      <color rgb="FF000000"/>
      <name val="Georgia"/>
      <family val="1"/>
    </font>
    <font>
      <sz val="8"/>
      <name val="Georgia"/>
      <family val="1"/>
    </font>
    <font>
      <b/>
      <i/>
      <sz val="8"/>
      <name val="Georgia"/>
      <family val="1"/>
    </font>
    <font>
      <sz val="8"/>
      <color rgb="FF000000"/>
      <name val="Georgia"/>
      <family val="1"/>
    </font>
    <font>
      <b/>
      <i/>
      <sz val="9"/>
      <name val="Georgia"/>
      <family val="1"/>
    </font>
    <font>
      <sz val="9"/>
      <color rgb="FF000000"/>
      <name val="Georgia"/>
      <family val="1"/>
    </font>
    <font>
      <sz val="9"/>
      <color rgb="FFFFFFFF"/>
      <name val="Georgia"/>
      <family val="1"/>
    </font>
    <font>
      <sz val="11"/>
      <name val="Georgia"/>
      <family val="1"/>
    </font>
    <font>
      <sz val="10"/>
      <color rgb="FFFFFFFF"/>
      <name val="Georgia"/>
      <family val="1"/>
    </font>
    <font>
      <b/>
      <i/>
      <sz val="10"/>
      <name val="Georgia"/>
      <family val="1"/>
    </font>
    <font>
      <sz val="10"/>
      <color rgb="FF000000"/>
      <name val="Georgia"/>
      <family val="1"/>
    </font>
    <font>
      <sz val="10"/>
      <name val="Georgia"/>
      <family val="1"/>
    </font>
    <font>
      <b/>
      <sz val="10"/>
      <name val="Georgia"/>
      <family val="1"/>
    </font>
    <font>
      <b/>
      <sz val="12"/>
      <name val="Georgia"/>
      <family val="1"/>
    </font>
    <font>
      <i/>
      <sz val="9"/>
      <color rgb="FF666666"/>
      <name val="Georgia"/>
      <family val="1"/>
    </font>
    <font>
      <sz val="9"/>
      <color rgb="FF666666"/>
      <name val="Georgia"/>
      <family val="1"/>
    </font>
    <font>
      <u/>
      <sz val="9"/>
      <color rgb="FF0000FF"/>
      <name val="Georgia"/>
      <family val="1"/>
    </font>
    <font>
      <u/>
      <sz val="9"/>
      <color rgb="FFFFFFFF"/>
      <name val="Georgia"/>
      <family val="1"/>
    </font>
    <font>
      <i/>
      <sz val="9"/>
      <name val="Georgia"/>
      <family val="1"/>
    </font>
    <font>
      <i/>
      <u/>
      <sz val="9"/>
      <name val="Georgia"/>
      <family val="1"/>
    </font>
    <font>
      <b/>
      <i/>
      <sz val="9"/>
      <color rgb="FFFF0000"/>
      <name val="Georgia"/>
      <family val="1"/>
    </font>
    <font>
      <b/>
      <i/>
      <sz val="9"/>
      <color rgb="FFA64D79"/>
      <name val="Georgia"/>
      <family val="1"/>
    </font>
    <font>
      <b/>
      <i/>
      <sz val="16"/>
      <name val="Georgia"/>
      <family val="1"/>
    </font>
    <font>
      <i/>
      <sz val="8"/>
      <name val="Georgia"/>
      <family val="1"/>
    </font>
    <font>
      <b/>
      <sz val="11"/>
      <name val="Georgia"/>
      <family val="1"/>
    </font>
    <font>
      <i/>
      <u/>
      <sz val="8"/>
      <color rgb="FF0000FF"/>
      <name val="Georgia"/>
      <family val="1"/>
    </font>
    <font>
      <b/>
      <sz val="9"/>
      <color rgb="FFA64D79"/>
      <name val="Georgia"/>
      <family val="1"/>
    </font>
    <font>
      <b/>
      <sz val="9"/>
      <color rgb="FFCC0000"/>
      <name val="Georgia"/>
      <family val="1"/>
    </font>
    <font>
      <sz val="9"/>
      <color rgb="FF4A86E8"/>
      <name val="Georgia"/>
      <family val="1"/>
    </font>
    <font>
      <i/>
      <u/>
      <sz val="9"/>
      <color rgb="FF0000FF"/>
      <name val="Georgia"/>
      <family val="1"/>
    </font>
    <font>
      <b/>
      <sz val="10"/>
      <color rgb="FF134F5C"/>
      <name val="Georgia"/>
      <family val="1"/>
    </font>
    <font>
      <b/>
      <sz val="10"/>
      <color rgb="FF000000"/>
      <name val="Georgia"/>
      <family val="1"/>
    </font>
    <font>
      <b/>
      <i/>
      <sz val="9"/>
      <color rgb="FFC9DAF8"/>
      <name val="Georgia"/>
      <family val="1"/>
    </font>
    <font>
      <i/>
      <sz val="9"/>
      <color rgb="FF000000"/>
      <name val="Georgia"/>
      <family val="1"/>
    </font>
    <font>
      <i/>
      <sz val="9"/>
      <color rgb="FF4A86E8"/>
      <name val="Georgia"/>
      <family val="1"/>
    </font>
    <font>
      <b/>
      <sz val="9"/>
      <color rgb="FFC9DAF8"/>
      <name val="Georgia"/>
      <family val="1"/>
    </font>
    <font>
      <b/>
      <sz val="10"/>
      <color rgb="FFA2C4C9"/>
      <name val="Georgia"/>
      <family val="1"/>
    </font>
    <font>
      <b/>
      <sz val="9"/>
      <color rgb="FFA2C4C9"/>
      <name val="Georgia"/>
      <family val="1"/>
    </font>
    <font>
      <b/>
      <i/>
      <sz val="10"/>
      <color rgb="FF000000"/>
      <name val="Georgia"/>
      <family val="1"/>
    </font>
    <font>
      <b/>
      <sz val="9"/>
      <color rgb="FF76A5AF"/>
      <name val="Georgia"/>
      <family val="1"/>
    </font>
    <font>
      <b/>
      <sz val="9"/>
      <color rgb="FF134F5C"/>
      <name val="Georgia"/>
      <family val="1"/>
    </font>
    <font>
      <b/>
      <i/>
      <sz val="9"/>
      <color rgb="FF134F5C"/>
      <name val="Georgia"/>
      <family val="1"/>
    </font>
    <font>
      <i/>
      <sz val="10"/>
      <name val="Georgia"/>
      <family val="1"/>
    </font>
    <font>
      <i/>
      <sz val="11"/>
      <name val="Georgia"/>
      <family val="1"/>
    </font>
    <font>
      <sz val="11"/>
      <color rgb="FFFF0000"/>
      <name val="Georgia"/>
      <family val="1"/>
    </font>
    <font>
      <b/>
      <i/>
      <sz val="8"/>
      <color rgb="FFFF0000"/>
      <name val="Georgia"/>
      <family val="1"/>
    </font>
    <font>
      <sz val="9"/>
      <color rgb="FF999999"/>
      <name val="Georgia"/>
      <family val="1"/>
    </font>
    <font>
      <u/>
      <sz val="9"/>
      <name val="Georgia"/>
      <family val="1"/>
    </font>
    <font>
      <b/>
      <sz val="9"/>
      <color rgb="FF000000"/>
      <name val="Georgia"/>
      <family val="1"/>
    </font>
    <font>
      <b/>
      <i/>
      <sz val="9"/>
      <color rgb="FF000000"/>
      <name val="Georgia"/>
      <family val="1"/>
    </font>
    <font>
      <sz val="9"/>
      <color rgb="FFFF0000"/>
      <name val="Georgia"/>
      <family val="1"/>
    </font>
    <font>
      <i/>
      <sz val="8"/>
      <color rgb="FF000000"/>
      <name val="Georgia"/>
      <family val="1"/>
    </font>
    <font>
      <b/>
      <sz val="10"/>
      <color rgb="FFFFFFFF"/>
      <name val="Georgia"/>
      <family val="1"/>
    </font>
    <font>
      <b/>
      <i/>
      <u/>
      <sz val="9"/>
      <color rgb="FFFFFFFF"/>
      <name val="Georgia"/>
      <family val="1"/>
    </font>
    <font>
      <i/>
      <sz val="9"/>
      <color rgb="FFFFFFFF"/>
      <name val="Georgia"/>
      <family val="1"/>
    </font>
    <font>
      <sz val="15"/>
      <color rgb="FFFF0000"/>
      <name val="Georgia"/>
      <family val="1"/>
    </font>
    <font>
      <sz val="12"/>
      <color rgb="FFFF0000"/>
      <name val="Georgia"/>
      <family val="1"/>
    </font>
    <font>
      <sz val="9"/>
      <color rgb="FF5B9BD5"/>
      <name val="Georgia"/>
      <family val="1"/>
    </font>
    <font>
      <sz val="9"/>
      <color rgb="FFEFEFEF"/>
      <name val="Georgia"/>
      <family val="1"/>
    </font>
    <font>
      <sz val="9"/>
      <color rgb="FFD9D9D9"/>
      <name val="Georgia"/>
      <family val="1"/>
    </font>
    <font>
      <b/>
      <sz val="9"/>
      <color rgb="FF4A86E8"/>
      <name val="Georgia"/>
      <family val="1"/>
    </font>
    <font>
      <b/>
      <u/>
      <sz val="9"/>
      <name val="Georgia"/>
      <family val="1"/>
    </font>
    <font>
      <sz val="12"/>
      <name val="Georgia"/>
      <family val="1"/>
    </font>
    <font>
      <b/>
      <i/>
      <sz val="16"/>
      <color rgb="FFFFFFFF"/>
      <name val="Georgia"/>
      <family val="1"/>
    </font>
    <font>
      <b/>
      <i/>
      <sz val="12"/>
      <color rgb="FFFFFFFF"/>
      <name val="Georgia"/>
      <family val="1"/>
    </font>
    <font>
      <i/>
      <sz val="12"/>
      <color rgb="FFFFFFFF"/>
      <name val="Georgia"/>
      <family val="1"/>
    </font>
    <font>
      <u/>
      <sz val="9"/>
      <color theme="10"/>
      <name val="Georgia"/>
      <family val="1"/>
    </font>
    <font>
      <b/>
      <u/>
      <sz val="11"/>
      <color theme="0"/>
      <name val="Georgia"/>
      <family val="1"/>
    </font>
    <font>
      <b/>
      <i/>
      <sz val="11"/>
      <color theme="0"/>
      <name val="Georgia"/>
      <family val="1"/>
    </font>
    <font>
      <sz val="11"/>
      <color theme="0"/>
      <name val="Georgia"/>
      <family val="1"/>
    </font>
    <font>
      <b/>
      <sz val="7"/>
      <color rgb="FF000000"/>
      <name val="Georgia"/>
      <family val="1"/>
    </font>
    <font>
      <sz val="7"/>
      <color rgb="FF000000"/>
      <name val="Georgia"/>
      <family val="1"/>
    </font>
    <font>
      <sz val="7"/>
      <name val="Georgia"/>
      <family val="1"/>
    </font>
    <font>
      <b/>
      <i/>
      <sz val="7"/>
      <name val="Georgia"/>
      <family val="1"/>
    </font>
    <font>
      <sz val="14"/>
      <color rgb="FFFF0000"/>
      <name val="Georgia"/>
      <family val="1"/>
    </font>
    <font>
      <sz val="11"/>
      <color rgb="FF000000"/>
      <name val="Calibri"/>
      <family val="2"/>
    </font>
    <font>
      <sz val="11"/>
      <color indexed="81"/>
      <name val="Calibri"/>
      <family val="2"/>
      <scheme val="minor"/>
    </font>
  </fonts>
  <fills count="24">
    <fill>
      <patternFill patternType="none"/>
    </fill>
    <fill>
      <patternFill patternType="gray125"/>
    </fill>
    <fill>
      <patternFill patternType="solid">
        <fgColor rgb="FFEFEFEF"/>
        <bgColor rgb="FFEFEFEF"/>
      </patternFill>
    </fill>
    <fill>
      <patternFill patternType="solid">
        <fgColor rgb="FFD9D9D9"/>
        <bgColor rgb="FFD9D9D9"/>
      </patternFill>
    </fill>
    <fill>
      <patternFill patternType="solid">
        <fgColor rgb="FFF3F3F3"/>
        <bgColor rgb="FFF3F3F3"/>
      </patternFill>
    </fill>
    <fill>
      <patternFill patternType="solid">
        <fgColor rgb="FFCFE2F3"/>
        <bgColor rgb="FFCFE2F3"/>
      </patternFill>
    </fill>
    <fill>
      <patternFill patternType="solid">
        <fgColor rgb="FFFFFFFF"/>
        <bgColor rgb="FFFFFFFF"/>
      </patternFill>
    </fill>
    <fill>
      <patternFill patternType="solid">
        <fgColor rgb="FF6FA8DC"/>
        <bgColor rgb="FF6FA8DC"/>
      </patternFill>
    </fill>
    <fill>
      <patternFill patternType="solid">
        <fgColor rgb="FFDB536A"/>
        <bgColor rgb="FFDB536A"/>
      </patternFill>
    </fill>
    <fill>
      <patternFill patternType="solid">
        <fgColor rgb="FFDC6900"/>
        <bgColor rgb="FFDC6900"/>
      </patternFill>
    </fill>
    <fill>
      <patternFill patternType="solid">
        <fgColor rgb="FF808080"/>
        <bgColor rgb="FF808080"/>
      </patternFill>
    </fill>
    <fill>
      <patternFill patternType="solid">
        <fgColor rgb="FF980000"/>
        <bgColor rgb="FF980000"/>
      </patternFill>
    </fill>
    <fill>
      <patternFill patternType="solid">
        <fgColor rgb="FFD9EAD3"/>
        <bgColor rgb="FFD9EAD3"/>
      </patternFill>
    </fill>
    <fill>
      <patternFill patternType="solid">
        <fgColor rgb="FFF4CCCC"/>
        <bgColor rgb="FFF4CCCC"/>
      </patternFill>
    </fill>
    <fill>
      <patternFill patternType="solid">
        <fgColor rgb="FFE06666"/>
        <bgColor rgb="FFE06666"/>
      </patternFill>
    </fill>
    <fill>
      <patternFill patternType="solid">
        <fgColor rgb="FFFF9900"/>
        <bgColor rgb="FFFF9900"/>
      </patternFill>
    </fill>
    <fill>
      <patternFill patternType="solid">
        <fgColor rgb="FFCCCCCC"/>
        <bgColor rgb="FFCCCCCC"/>
      </patternFill>
    </fill>
    <fill>
      <patternFill patternType="solid">
        <fgColor rgb="FFEA9999"/>
        <bgColor rgb="FFEA9999"/>
      </patternFill>
    </fill>
    <fill>
      <patternFill patternType="solid">
        <fgColor rgb="FF999999"/>
        <bgColor rgb="FF999999"/>
      </patternFill>
    </fill>
    <fill>
      <patternFill patternType="solid">
        <fgColor rgb="FFB7B7B7"/>
        <bgColor rgb="FFB7B7B7"/>
      </patternFill>
    </fill>
    <fill>
      <patternFill patternType="solid">
        <fgColor rgb="FFF2B800"/>
        <bgColor rgb="FFDC6900"/>
      </patternFill>
    </fill>
    <fill>
      <patternFill patternType="solid">
        <fgColor rgb="FFF2B800"/>
        <bgColor indexed="64"/>
      </patternFill>
    </fill>
    <fill>
      <patternFill patternType="solid">
        <fgColor theme="0" tint="-4.9989318521683403E-2"/>
        <bgColor indexed="64"/>
      </patternFill>
    </fill>
    <fill>
      <patternFill patternType="solid">
        <fgColor rgb="FFEFEFEF"/>
        <bgColor indexed="64"/>
      </patternFill>
    </fill>
  </fills>
  <borders count="122">
    <border>
      <left/>
      <right/>
      <top/>
      <bottom/>
      <diagonal/>
    </border>
    <border>
      <left/>
      <right/>
      <top/>
      <bottom style="dotted">
        <color rgb="FF4A86E8"/>
      </bottom>
      <diagonal/>
    </border>
    <border>
      <left style="thin">
        <color rgb="FF4A86E8"/>
      </left>
      <right/>
      <top style="thin">
        <color rgb="FF4A86E8"/>
      </top>
      <bottom style="thin">
        <color rgb="FF4A86E8"/>
      </bottom>
      <diagonal/>
    </border>
    <border>
      <left/>
      <right/>
      <top style="thin">
        <color rgb="FF4A86E8"/>
      </top>
      <bottom style="thin">
        <color rgb="FF4A86E8"/>
      </bottom>
      <diagonal/>
    </border>
    <border>
      <left/>
      <right style="thin">
        <color rgb="FF4A86E8"/>
      </right>
      <top style="thin">
        <color rgb="FF4A86E8"/>
      </top>
      <bottom style="thin">
        <color rgb="FF4A86E8"/>
      </bottom>
      <diagonal/>
    </border>
    <border>
      <left/>
      <right style="thin">
        <color rgb="FF4A86E8"/>
      </right>
      <top/>
      <bottom/>
      <diagonal/>
    </border>
    <border>
      <left/>
      <right/>
      <top/>
      <bottom style="medium">
        <color rgb="FF6FA8DC"/>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right/>
      <top/>
      <bottom style="thick">
        <color rgb="FFA2C4C9"/>
      </bottom>
      <diagonal/>
    </border>
    <border>
      <left style="thin">
        <color rgb="FFFFFFFF"/>
      </left>
      <right/>
      <top/>
      <bottom/>
      <diagonal/>
    </border>
    <border>
      <left/>
      <right style="thin">
        <color rgb="FFFFFFFF"/>
      </right>
      <top/>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ck">
        <color rgb="FF76A5AF"/>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dotted">
        <color rgb="FF6D9EEB"/>
      </bottom>
      <diagonal/>
    </border>
    <border>
      <left/>
      <right/>
      <top/>
      <bottom style="thick">
        <color rgb="FF45818E"/>
      </bottom>
      <diagonal/>
    </border>
    <border>
      <left/>
      <right/>
      <top/>
      <bottom style="thick">
        <color rgb="FF134F5C"/>
      </bottom>
      <diagonal/>
    </border>
    <border>
      <left/>
      <right/>
      <top/>
      <bottom style="dotted">
        <color rgb="FF134F5C"/>
      </bottom>
      <diagonal/>
    </border>
    <border>
      <left/>
      <right/>
      <top/>
      <bottom/>
      <diagonal/>
    </border>
    <border>
      <left/>
      <right/>
      <top/>
      <bottom style="thin">
        <color rgb="FF92D050"/>
      </bottom>
      <diagonal/>
    </border>
    <border>
      <left/>
      <right/>
      <top/>
      <bottom style="medium">
        <color rgb="FFCC0000"/>
      </bottom>
      <diagonal/>
    </border>
    <border>
      <left style="thin">
        <color rgb="FF666666"/>
      </left>
      <right/>
      <top style="thin">
        <color rgb="FF666666"/>
      </top>
      <bottom/>
      <diagonal/>
    </border>
    <border>
      <left/>
      <right/>
      <top style="thin">
        <color rgb="FF666666"/>
      </top>
      <bottom/>
      <diagonal/>
    </border>
    <border>
      <left/>
      <right style="thin">
        <color rgb="FF000000"/>
      </right>
      <top style="thin">
        <color rgb="FF666666"/>
      </top>
      <bottom/>
      <diagonal/>
    </border>
    <border>
      <left style="thin">
        <color rgb="FF666666"/>
      </left>
      <right/>
      <top/>
      <bottom/>
      <diagonal/>
    </border>
    <border>
      <left style="medium">
        <color rgb="FFD9D9D9"/>
      </left>
      <right/>
      <top style="medium">
        <color rgb="FFD9D9D9"/>
      </top>
      <bottom style="medium">
        <color rgb="FFD9D9D9"/>
      </bottom>
      <diagonal/>
    </border>
    <border>
      <left/>
      <right/>
      <top style="medium">
        <color rgb="FFD9D9D9"/>
      </top>
      <bottom style="medium">
        <color rgb="FFD9D9D9"/>
      </bottom>
      <diagonal/>
    </border>
    <border>
      <left/>
      <right style="medium">
        <color rgb="FFD9D9D9"/>
      </right>
      <top style="medium">
        <color rgb="FFD9D9D9"/>
      </top>
      <bottom style="medium">
        <color rgb="FFD9D9D9"/>
      </bottom>
      <diagonal/>
    </border>
    <border>
      <left/>
      <right/>
      <top/>
      <bottom/>
      <diagonal/>
    </border>
    <border>
      <left/>
      <right/>
      <top/>
      <bottom style="thick">
        <color rgb="FFEA9999"/>
      </bottom>
      <diagonal/>
    </border>
    <border>
      <left style="thin">
        <color rgb="FFD9D9D9"/>
      </left>
      <right style="thin">
        <color rgb="FFD9D9D9"/>
      </right>
      <top style="thin">
        <color rgb="FFD9D9D9"/>
      </top>
      <bottom style="thin">
        <color rgb="FFD9D9D9"/>
      </bottom>
      <diagonal/>
    </border>
    <border>
      <left/>
      <right/>
      <top/>
      <bottom style="dotted">
        <color rgb="FFEA9999"/>
      </bottom>
      <diagonal/>
    </border>
    <border>
      <left/>
      <right style="thin">
        <color rgb="FFEFEFEF"/>
      </right>
      <top style="thin">
        <color rgb="FFEFEFEF"/>
      </top>
      <bottom style="thin">
        <color rgb="FFEFEFEF"/>
      </bottom>
      <diagonal/>
    </border>
    <border>
      <left/>
      <right/>
      <top/>
      <bottom style="dotted">
        <color rgb="FF980000"/>
      </bottom>
      <diagonal/>
    </border>
    <border>
      <left style="thin">
        <color rgb="FFFF0000"/>
      </left>
      <right style="thin">
        <color rgb="FFFF0000"/>
      </right>
      <top style="thin">
        <color rgb="FFFF0000"/>
      </top>
      <bottom style="thin">
        <color rgb="FFFF0000"/>
      </bottom>
      <diagonal/>
    </border>
    <border>
      <left/>
      <right/>
      <top/>
      <bottom style="double">
        <color rgb="FFEA9999"/>
      </bottom>
      <diagonal/>
    </border>
    <border>
      <left/>
      <right/>
      <top/>
      <bottom style="thick">
        <color rgb="FFEA9999"/>
      </bottom>
      <diagonal/>
    </border>
    <border>
      <left/>
      <right/>
      <top/>
      <bottom style="thick">
        <color rgb="FFE06666"/>
      </bottom>
      <diagonal/>
    </border>
    <border>
      <left style="thin">
        <color rgb="FF999999"/>
      </left>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right/>
      <top/>
      <bottom style="thick">
        <color rgb="FF4A86E8"/>
      </bottom>
      <diagonal/>
    </border>
    <border>
      <left/>
      <right/>
      <top/>
      <bottom style="thick">
        <color rgb="FF00FF00"/>
      </bottom>
      <diagonal/>
    </border>
    <border>
      <left/>
      <right/>
      <top/>
      <bottom style="thick">
        <color rgb="FFFF0000"/>
      </bottom>
      <diagonal/>
    </border>
    <border>
      <left style="thin">
        <color rgb="FFD9D9D9"/>
      </left>
      <right/>
      <top style="thin">
        <color rgb="FFD9D9D9"/>
      </top>
      <bottom/>
      <diagonal/>
    </border>
    <border>
      <left/>
      <right/>
      <top style="thin">
        <color rgb="FFD9D9D9"/>
      </top>
      <bottom/>
      <diagonal/>
    </border>
    <border>
      <left/>
      <right style="thin">
        <color rgb="FFD9D9D9"/>
      </right>
      <top style="thin">
        <color rgb="FFD9D9D9"/>
      </top>
      <bottom/>
      <diagonal/>
    </border>
    <border>
      <left style="thin">
        <color rgb="FFD9D9D9"/>
      </left>
      <right/>
      <top/>
      <bottom/>
      <diagonal/>
    </border>
    <border>
      <left/>
      <right style="thin">
        <color rgb="FFD9D9D9"/>
      </right>
      <top/>
      <bottom/>
      <diagonal/>
    </border>
    <border>
      <left style="thin">
        <color rgb="FFD9D9D9"/>
      </left>
      <right/>
      <top/>
      <bottom style="thin">
        <color rgb="FFD9D9D9"/>
      </bottom>
      <diagonal/>
    </border>
    <border>
      <left/>
      <right/>
      <top/>
      <bottom style="thin">
        <color rgb="FFD9D9D9"/>
      </bottom>
      <diagonal/>
    </border>
    <border>
      <left/>
      <right style="thin">
        <color rgb="FFD9D9D9"/>
      </right>
      <top/>
      <bottom style="thin">
        <color rgb="FFD9D9D9"/>
      </bottom>
      <diagonal/>
    </border>
    <border>
      <left style="thin">
        <color rgb="FFD9D9D9"/>
      </left>
      <right style="thin">
        <color rgb="FFD9D9D9"/>
      </right>
      <top style="thin">
        <color rgb="FFD9D9D9"/>
      </top>
      <bottom/>
      <diagonal/>
    </border>
    <border>
      <left style="thin">
        <color rgb="FFD9D9D9"/>
      </left>
      <right style="thin">
        <color rgb="FFD9D9D9"/>
      </right>
      <top/>
      <bottom style="thin">
        <color rgb="FFD9D9D9"/>
      </bottom>
      <diagonal/>
    </border>
    <border>
      <left style="thin">
        <color rgb="FFD9D9D9"/>
      </left>
      <right/>
      <top style="thin">
        <color rgb="FFD9D9D9"/>
      </top>
      <bottom style="thin">
        <color rgb="FFD9D9D9"/>
      </bottom>
      <diagonal/>
    </border>
    <border>
      <left/>
      <right style="thin">
        <color rgb="FFD9D9D9"/>
      </right>
      <top style="thin">
        <color rgb="FFD9D9D9"/>
      </top>
      <bottom style="thin">
        <color rgb="FFD9D9D9"/>
      </bottom>
      <diagonal/>
    </border>
    <border>
      <left/>
      <right/>
      <top style="thin">
        <color rgb="FF999999"/>
      </top>
      <bottom style="thin">
        <color rgb="FF999999"/>
      </bottom>
      <diagonal/>
    </border>
    <border>
      <left style="medium">
        <color rgb="FFCC0000"/>
      </left>
      <right/>
      <top style="medium">
        <color rgb="FFCC0000"/>
      </top>
      <bottom/>
      <diagonal/>
    </border>
    <border>
      <left/>
      <right style="medium">
        <color rgb="FFCC0000"/>
      </right>
      <top style="medium">
        <color rgb="FFCC0000"/>
      </top>
      <bottom/>
      <diagonal/>
    </border>
    <border>
      <left style="medium">
        <color rgb="FFCC0000"/>
      </left>
      <right/>
      <top/>
      <bottom/>
      <diagonal/>
    </border>
    <border>
      <left/>
      <right style="medium">
        <color rgb="FFCC0000"/>
      </right>
      <top/>
      <bottom/>
      <diagonal/>
    </border>
    <border>
      <left style="medium">
        <color rgb="FFCC0000"/>
      </left>
      <right/>
      <top/>
      <bottom style="medium">
        <color rgb="FFCC0000"/>
      </bottom>
      <diagonal/>
    </border>
    <border>
      <left/>
      <right style="medium">
        <color rgb="FFCC0000"/>
      </right>
      <top/>
      <bottom style="medium">
        <color rgb="FFCC0000"/>
      </bottom>
      <diagonal/>
    </border>
    <border>
      <left style="thin">
        <color rgb="FFB7B7B7"/>
      </left>
      <right/>
      <top style="thin">
        <color rgb="FFB7B7B7"/>
      </top>
      <bottom style="thin">
        <color rgb="FFB7B7B7"/>
      </bottom>
      <diagonal/>
    </border>
    <border>
      <left/>
      <right style="thin">
        <color rgb="FFB7B7B7"/>
      </right>
      <top style="thin">
        <color rgb="FFB7B7B7"/>
      </top>
      <bottom style="thin">
        <color rgb="FFB7B7B7"/>
      </bottom>
      <diagonal/>
    </border>
    <border>
      <left style="thin">
        <color rgb="FFB7B7B7"/>
      </left>
      <right style="thin">
        <color rgb="FF999999"/>
      </right>
      <top style="thin">
        <color rgb="FFB7B7B7"/>
      </top>
      <bottom/>
      <diagonal/>
    </border>
    <border>
      <left/>
      <right style="thin">
        <color rgb="FFB7B7B7"/>
      </right>
      <top style="thin">
        <color rgb="FFB7B7B7"/>
      </top>
      <bottom/>
      <diagonal/>
    </border>
    <border>
      <left style="thin">
        <color rgb="FFB7B7B7"/>
      </left>
      <right style="thin">
        <color rgb="FF999999"/>
      </right>
      <top/>
      <bottom/>
      <diagonal/>
    </border>
    <border>
      <left/>
      <right style="thin">
        <color rgb="FFB7B7B7"/>
      </right>
      <top/>
      <bottom/>
      <diagonal/>
    </border>
    <border>
      <left style="thin">
        <color rgb="FFB7B7B7"/>
      </left>
      <right style="thin">
        <color rgb="FF999999"/>
      </right>
      <top/>
      <bottom style="thin">
        <color rgb="FFB7B7B7"/>
      </bottom>
      <diagonal/>
    </border>
    <border>
      <left/>
      <right style="thin">
        <color rgb="FFB7B7B7"/>
      </right>
      <top/>
      <bottom style="thin">
        <color rgb="FFB7B7B7"/>
      </bottom>
      <diagonal/>
    </border>
    <border>
      <left style="thin">
        <color rgb="FF999999"/>
      </left>
      <right style="thin">
        <color rgb="FF999999"/>
      </right>
      <top style="thin">
        <color rgb="FF999999"/>
      </top>
      <bottom/>
      <diagonal/>
    </border>
    <border>
      <left style="thin">
        <color rgb="FF999999"/>
      </left>
      <right style="thin">
        <color rgb="FF999999"/>
      </right>
      <top/>
      <bottom style="thin">
        <color rgb="FF999999"/>
      </bottom>
      <diagonal/>
    </border>
    <border>
      <left/>
      <right/>
      <top/>
      <bottom style="thick">
        <color rgb="FF6D9EEB"/>
      </bottom>
      <diagonal/>
    </border>
    <border>
      <left style="thin">
        <color rgb="FFE06666"/>
      </left>
      <right style="thin">
        <color rgb="FFE06666"/>
      </right>
      <top style="thin">
        <color rgb="FFE06666"/>
      </top>
      <bottom style="thin">
        <color rgb="FFE06666"/>
      </bottom>
      <diagonal/>
    </border>
    <border>
      <left style="thin">
        <color rgb="FFD9D9D9"/>
      </left>
      <right style="thin">
        <color rgb="FFD9D9D9"/>
      </right>
      <top/>
      <bottom/>
      <diagonal/>
    </border>
    <border>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right/>
      <top style="thin">
        <color rgb="FFFFFFFF"/>
      </top>
      <bottom style="thin">
        <color rgb="FFFFFFFF"/>
      </bottom>
      <diagonal/>
    </border>
    <border>
      <left/>
      <right/>
      <top/>
      <bottom style="thin">
        <color rgb="FFFF0000"/>
      </bottom>
      <diagonal/>
    </border>
    <border>
      <left/>
      <right/>
      <top/>
      <bottom style="thin">
        <color rgb="FFFF0000"/>
      </bottom>
      <diagonal/>
    </border>
    <border>
      <left/>
      <right style="thin">
        <color rgb="FFFF0000"/>
      </right>
      <top/>
      <bottom/>
      <diagonal/>
    </border>
    <border>
      <left/>
      <right style="thin">
        <color rgb="FFFF0000"/>
      </right>
      <top/>
      <bottom style="thin">
        <color rgb="FFFF0000"/>
      </bottom>
      <diagonal/>
    </border>
    <border>
      <left style="thin">
        <color rgb="FFFF0000"/>
      </left>
      <right style="thin">
        <color rgb="FFD9D9D9"/>
      </right>
      <top style="thin">
        <color rgb="FFFF0000"/>
      </top>
      <bottom style="thin">
        <color rgb="FFFF0000"/>
      </bottom>
      <diagonal/>
    </border>
    <border>
      <left style="thin">
        <color rgb="FFD9D9D9"/>
      </left>
      <right style="thin">
        <color rgb="FFD9D9D9"/>
      </right>
      <top style="thin">
        <color rgb="FFFF0000"/>
      </top>
      <bottom style="thin">
        <color rgb="FFFF0000"/>
      </bottom>
      <diagonal/>
    </border>
    <border>
      <left style="thin">
        <color rgb="FFD9D9D9"/>
      </left>
      <right style="thin">
        <color rgb="FFFF0000"/>
      </right>
      <top style="thin">
        <color rgb="FFFF0000"/>
      </top>
      <bottom style="thin">
        <color rgb="FFFF0000"/>
      </bottom>
      <diagonal/>
    </border>
    <border>
      <left style="thin">
        <color rgb="FFFF0000"/>
      </left>
      <right/>
      <top style="thin">
        <color rgb="FFFF0000"/>
      </top>
      <bottom/>
      <diagonal/>
    </border>
    <border>
      <left/>
      <right style="thin">
        <color rgb="FFFF0000"/>
      </right>
      <top style="thin">
        <color rgb="FFFF0000"/>
      </top>
      <bottom/>
      <diagonal/>
    </border>
    <border>
      <left style="thin">
        <color rgb="FFFF0000"/>
      </left>
      <right/>
      <top/>
      <bottom/>
      <diagonal/>
    </border>
    <border>
      <left style="thin">
        <color rgb="FFFF0000"/>
      </left>
      <right/>
      <top/>
      <bottom style="thin">
        <color rgb="FFFF0000"/>
      </bottom>
      <diagonal/>
    </border>
    <border>
      <left style="thin">
        <color rgb="FFFF0000"/>
      </left>
      <right style="thin">
        <color rgb="FFFF0000"/>
      </right>
      <top style="thin">
        <color rgb="FFFF0000"/>
      </top>
      <bottom/>
      <diagonal/>
    </border>
    <border>
      <left style="thin">
        <color rgb="FFFF0000"/>
      </left>
      <right style="thin">
        <color rgb="FFFF0000"/>
      </right>
      <top/>
      <bottom/>
      <diagonal/>
    </border>
    <border>
      <left style="thin">
        <color rgb="FFFF0000"/>
      </left>
      <right style="thin">
        <color rgb="FFFF0000"/>
      </right>
      <top/>
      <bottom style="thin">
        <color rgb="FFFF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2">
    <xf numFmtId="0" fontId="0" fillId="0" borderId="0"/>
    <xf numFmtId="0" fontId="64" fillId="0" borderId="0" applyNumberFormat="0" applyFill="0" applyBorder="0" applyAlignment="0" applyProtection="0"/>
  </cellStyleXfs>
  <cellXfs count="1186">
    <xf numFmtId="0" fontId="0" fillId="0" borderId="0" xfId="0" applyFont="1" applyAlignment="1"/>
    <xf numFmtId="0" fontId="2" fillId="0" borderId="0" xfId="0" applyFont="1" applyAlignment="1">
      <alignment vertical="center"/>
    </xf>
    <xf numFmtId="0" fontId="3" fillId="2" borderId="0" xfId="0" applyFont="1" applyFill="1"/>
    <xf numFmtId="0" fontId="2" fillId="0" borderId="0" xfId="0" applyFont="1" applyAlignment="1">
      <alignment horizontal="center" vertical="center"/>
    </xf>
    <xf numFmtId="0" fontId="4" fillId="0" borderId="0" xfId="0" applyFont="1" applyAlignment="1">
      <alignment vertical="center"/>
    </xf>
    <xf numFmtId="0" fontId="2" fillId="2" borderId="0" xfId="0" applyFont="1" applyFill="1" applyAlignment="1">
      <alignment vertical="center"/>
    </xf>
    <xf numFmtId="0" fontId="3" fillId="0" borderId="0" xfId="0" applyFont="1" applyAlignment="1">
      <alignment vertical="center"/>
    </xf>
    <xf numFmtId="0" fontId="3" fillId="2" borderId="0" xfId="0" applyFont="1" applyFill="1" applyAlignment="1">
      <alignment vertical="center"/>
    </xf>
    <xf numFmtId="0" fontId="3" fillId="0" borderId="0" xfId="0" applyFont="1" applyAlignment="1">
      <alignment horizontal="center"/>
    </xf>
    <xf numFmtId="0" fontId="6" fillId="0" borderId="0" xfId="0" applyFont="1" applyAlignment="1">
      <alignment vertical="center"/>
    </xf>
    <xf numFmtId="0" fontId="8" fillId="0" borderId="0" xfId="0" applyFont="1" applyAlignment="1">
      <alignment vertical="center"/>
    </xf>
    <xf numFmtId="0" fontId="9" fillId="0" borderId="0" xfId="0" applyFont="1" applyAlignment="1">
      <alignment vertical="center"/>
    </xf>
    <xf numFmtId="0" fontId="2" fillId="0" borderId="0" xfId="0" applyFont="1" applyAlignment="1">
      <alignment vertical="center"/>
    </xf>
    <xf numFmtId="0" fontId="3" fillId="0" borderId="0" xfId="0" applyFont="1" applyAlignment="1">
      <alignment wrapText="1"/>
    </xf>
    <xf numFmtId="0" fontId="2" fillId="2" borderId="0" xfId="0" applyFont="1" applyFill="1" applyAlignment="1">
      <alignment horizontal="center" vertical="center"/>
    </xf>
    <xf numFmtId="0" fontId="11" fillId="0" borderId="0" xfId="0" applyFont="1" applyAlignment="1">
      <alignment vertical="center"/>
    </xf>
    <xf numFmtId="0" fontId="11" fillId="0" borderId="0" xfId="0" applyFont="1" applyAlignment="1">
      <alignment vertical="center"/>
    </xf>
    <xf numFmtId="0" fontId="3" fillId="0" borderId="17" xfId="0" applyFont="1" applyBorder="1"/>
    <xf numFmtId="0" fontId="3" fillId="0" borderId="26" xfId="0" applyFont="1" applyBorder="1"/>
    <xf numFmtId="0" fontId="7" fillId="0" borderId="0" xfId="0" applyFont="1" applyAlignment="1">
      <alignment vertical="center"/>
    </xf>
    <xf numFmtId="0" fontId="7" fillId="2" borderId="0" xfId="0" applyFont="1" applyFill="1" applyAlignment="1">
      <alignment vertical="center"/>
    </xf>
    <xf numFmtId="0" fontId="3" fillId="2" borderId="0" xfId="0" applyFont="1" applyFill="1" applyAlignment="1">
      <alignment vertical="center" wrapText="1"/>
    </xf>
    <xf numFmtId="0" fontId="10" fillId="0" borderId="0" xfId="0" applyFont="1" applyAlignment="1">
      <alignment horizontal="center" vertical="center"/>
    </xf>
    <xf numFmtId="0" fontId="25" fillId="0" borderId="0" xfId="0" applyFont="1" applyAlignment="1">
      <alignment vertical="center"/>
    </xf>
    <xf numFmtId="0" fontId="11" fillId="0" borderId="0" xfId="0" applyFont="1" applyAlignment="1">
      <alignment horizontal="center" vertical="center"/>
    </xf>
    <xf numFmtId="0" fontId="4" fillId="0" borderId="0" xfId="0" applyFont="1" applyAlignment="1">
      <alignment vertical="center"/>
    </xf>
    <xf numFmtId="0" fontId="16" fillId="0" borderId="0" xfId="0" applyFont="1" applyAlignment="1">
      <alignment horizontal="right" vertical="center"/>
    </xf>
    <xf numFmtId="0" fontId="12" fillId="0" borderId="0" xfId="0" applyFont="1" applyAlignment="1">
      <alignment horizontal="center" vertical="center" wrapText="1"/>
    </xf>
    <xf numFmtId="0" fontId="13" fillId="0" borderId="0" xfId="0" applyFont="1" applyAlignment="1">
      <alignment vertical="center"/>
    </xf>
    <xf numFmtId="0" fontId="15" fillId="0" borderId="0" xfId="0" applyFont="1" applyAlignment="1">
      <alignment vertical="center"/>
    </xf>
    <xf numFmtId="0" fontId="25" fillId="0" borderId="0" xfId="0" applyFont="1" applyAlignment="1">
      <alignment vertical="center"/>
    </xf>
    <xf numFmtId="0" fontId="2" fillId="2" borderId="0" xfId="0" applyFont="1" applyFill="1" applyAlignment="1">
      <alignment horizontal="right" vertical="center"/>
    </xf>
    <xf numFmtId="0" fontId="25" fillId="14" borderId="0" xfId="0" applyFont="1" applyFill="1" applyAlignment="1">
      <alignment vertical="center"/>
    </xf>
    <xf numFmtId="0" fontId="13" fillId="14" borderId="0" xfId="0" applyFont="1" applyFill="1" applyAlignment="1">
      <alignment vertical="center"/>
    </xf>
    <xf numFmtId="0" fontId="2" fillId="0" borderId="0" xfId="0" applyFont="1" applyAlignment="1">
      <alignment vertical="center" wrapText="1"/>
    </xf>
    <xf numFmtId="9" fontId="27" fillId="0" borderId="0" xfId="0" applyNumberFormat="1" applyFont="1" applyAlignment="1">
      <alignment horizontal="center" vertical="center"/>
    </xf>
    <xf numFmtId="0" fontId="15" fillId="0" borderId="0" xfId="0" applyFont="1" applyAlignment="1">
      <alignment vertical="center"/>
    </xf>
    <xf numFmtId="0" fontId="8" fillId="0" borderId="0" xfId="0" applyFont="1" applyAlignment="1">
      <alignment vertical="center"/>
    </xf>
    <xf numFmtId="0" fontId="9" fillId="0" borderId="0" xfId="0" applyFont="1"/>
    <xf numFmtId="0" fontId="2" fillId="0" borderId="0" xfId="0" applyFont="1" applyAlignment="1">
      <alignment horizontal="left" vertical="center"/>
    </xf>
    <xf numFmtId="0" fontId="2" fillId="0" borderId="0" xfId="0" applyFont="1" applyAlignment="1">
      <alignment horizontal="right" vertical="center"/>
    </xf>
    <xf numFmtId="0" fontId="4" fillId="0" borderId="43" xfId="0" applyFont="1" applyBorder="1" applyAlignment="1">
      <alignment vertical="center"/>
    </xf>
    <xf numFmtId="165" fontId="12" fillId="0" borderId="0" xfId="0" applyNumberFormat="1" applyFont="1" applyAlignment="1">
      <alignment horizontal="center" vertical="center"/>
    </xf>
    <xf numFmtId="0" fontId="2" fillId="0" borderId="0" xfId="0" applyFont="1" applyAlignment="1">
      <alignment horizontal="center" vertical="center"/>
    </xf>
    <xf numFmtId="0" fontId="8" fillId="13" borderId="0" xfId="0" applyFont="1" applyFill="1" applyAlignment="1">
      <alignment vertical="center"/>
    </xf>
    <xf numFmtId="0" fontId="2" fillId="13" borderId="0" xfId="0" applyFont="1" applyFill="1" applyAlignment="1">
      <alignment vertical="center"/>
    </xf>
    <xf numFmtId="0" fontId="4" fillId="0" borderId="43" xfId="0" applyFont="1" applyBorder="1" applyAlignment="1">
      <alignment vertical="center"/>
    </xf>
    <xf numFmtId="0" fontId="27" fillId="2" borderId="0" xfId="0" applyFont="1" applyFill="1" applyAlignment="1">
      <alignment horizontal="center" vertical="center"/>
    </xf>
    <xf numFmtId="0" fontId="2" fillId="0" borderId="0" xfId="0" applyFont="1" applyAlignment="1">
      <alignment horizontal="center"/>
    </xf>
    <xf numFmtId="0" fontId="2" fillId="0" borderId="0" xfId="0" applyFont="1" applyAlignment="1">
      <alignment horizontal="right" vertical="center"/>
    </xf>
    <xf numFmtId="0" fontId="16" fillId="3" borderId="0" xfId="0" applyFont="1" applyFill="1" applyAlignment="1">
      <alignment horizontal="center" vertical="center"/>
    </xf>
    <xf numFmtId="0" fontId="7" fillId="0" borderId="0" xfId="0" applyFont="1" applyAlignment="1">
      <alignment vertical="center"/>
    </xf>
    <xf numFmtId="0" fontId="27" fillId="0" borderId="0" xfId="0" applyFont="1" applyAlignment="1">
      <alignment horizontal="center" vertical="center"/>
    </xf>
    <xf numFmtId="0" fontId="26" fillId="0" borderId="0" xfId="0" applyFont="1" applyAlignment="1">
      <alignment horizontal="center" vertical="center"/>
    </xf>
    <xf numFmtId="0" fontId="3" fillId="0" borderId="0" xfId="0" applyFont="1" applyAlignment="1">
      <alignment vertical="center"/>
    </xf>
    <xf numFmtId="0" fontId="2" fillId="0" borderId="43" xfId="0" applyFont="1" applyBorder="1" applyAlignment="1">
      <alignment horizontal="center" vertical="center"/>
    </xf>
    <xf numFmtId="2" fontId="2" fillId="2" borderId="0" xfId="0" applyNumberFormat="1" applyFont="1" applyFill="1" applyAlignment="1">
      <alignment horizontal="center" vertical="center"/>
    </xf>
    <xf numFmtId="0" fontId="32" fillId="0" borderId="0" xfId="0" applyFont="1" applyAlignment="1">
      <alignment vertical="center"/>
    </xf>
    <xf numFmtId="0" fontId="2" fillId="0" borderId="0" xfId="0" applyFont="1" applyAlignment="1">
      <alignment vertical="center"/>
    </xf>
    <xf numFmtId="9" fontId="12" fillId="0" borderId="0" xfId="0" applyNumberFormat="1" applyFont="1" applyAlignment="1">
      <alignment horizontal="center" vertical="center"/>
    </xf>
    <xf numFmtId="9" fontId="27" fillId="0" borderId="0" xfId="0" applyNumberFormat="1" applyFont="1" applyAlignment="1">
      <alignment horizontal="center" vertical="center"/>
    </xf>
    <xf numFmtId="0" fontId="3" fillId="0" borderId="0" xfId="0" applyFont="1" applyAlignment="1">
      <alignment horizontal="center" vertical="center"/>
    </xf>
    <xf numFmtId="0" fontId="16" fillId="3" borderId="0" xfId="0" applyFont="1" applyFill="1" applyAlignment="1">
      <alignment horizontal="center" vertical="center" wrapText="1"/>
    </xf>
    <xf numFmtId="0" fontId="3" fillId="0" borderId="0" xfId="0" applyFont="1" applyAlignment="1"/>
    <xf numFmtId="0" fontId="3" fillId="0" borderId="0" xfId="0" applyFont="1" applyAlignment="1">
      <alignment wrapText="1"/>
    </xf>
    <xf numFmtId="166" fontId="3" fillId="0" borderId="0" xfId="0" applyNumberFormat="1" applyFont="1"/>
    <xf numFmtId="0" fontId="26" fillId="16" borderId="0" xfId="0" applyFont="1" applyFill="1" applyAlignment="1">
      <alignment horizontal="center" vertical="center"/>
    </xf>
    <xf numFmtId="0" fontId="7" fillId="0" borderId="0" xfId="0" applyFont="1" applyAlignment="1">
      <alignment horizontal="center" vertical="center"/>
    </xf>
    <xf numFmtId="0" fontId="13" fillId="14" borderId="0" xfId="0" applyFont="1" applyFill="1" applyAlignment="1">
      <alignment horizontal="center" vertical="center"/>
    </xf>
    <xf numFmtId="0" fontId="2" fillId="0" borderId="0" xfId="0" applyFont="1"/>
    <xf numFmtId="0" fontId="23" fillId="11" borderId="32" xfId="0" applyFont="1" applyFill="1" applyBorder="1" applyAlignment="1">
      <alignment vertical="center"/>
    </xf>
    <xf numFmtId="0" fontId="4" fillId="0" borderId="43" xfId="0" applyFont="1" applyBorder="1" applyAlignment="1">
      <alignment vertical="center"/>
    </xf>
    <xf numFmtId="0" fontId="4" fillId="0" borderId="43" xfId="0" applyFont="1" applyBorder="1" applyAlignment="1">
      <alignment horizontal="center" vertical="center"/>
    </xf>
    <xf numFmtId="0" fontId="19" fillId="11" borderId="0" xfId="0" applyFont="1" applyFill="1" applyAlignment="1">
      <alignment vertical="center"/>
    </xf>
    <xf numFmtId="0" fontId="12" fillId="2" borderId="0" xfId="0" applyFont="1" applyFill="1" applyAlignment="1">
      <alignment horizontal="center" vertical="center" wrapText="1"/>
    </xf>
    <xf numFmtId="0" fontId="7" fillId="11" borderId="0" xfId="0" applyFont="1" applyFill="1" applyAlignment="1">
      <alignment vertical="center"/>
    </xf>
    <xf numFmtId="0" fontId="2" fillId="11" borderId="0" xfId="0" applyFont="1" applyFill="1" applyAlignment="1">
      <alignment vertical="center"/>
    </xf>
    <xf numFmtId="0" fontId="12" fillId="0" borderId="0" xfId="0" applyFont="1" applyAlignment="1">
      <alignment horizontal="center" vertical="center"/>
    </xf>
    <xf numFmtId="0" fontId="2" fillId="0" borderId="43" xfId="0" applyFont="1" applyBorder="1" applyAlignment="1">
      <alignment horizontal="center" vertical="center"/>
    </xf>
    <xf numFmtId="0" fontId="4" fillId="0" borderId="0" xfId="0" applyFont="1" applyAlignment="1">
      <alignment horizontal="center" vertical="center"/>
    </xf>
    <xf numFmtId="0" fontId="15" fillId="2" borderId="0" xfId="0" applyFont="1" applyFill="1" applyAlignment="1">
      <alignment horizontal="center" vertical="center"/>
    </xf>
    <xf numFmtId="0" fontId="3" fillId="0" borderId="0" xfId="0" applyFont="1" applyAlignment="1">
      <alignment horizontal="center" vertical="center"/>
    </xf>
    <xf numFmtId="0" fontId="14" fillId="0" borderId="0" xfId="0" applyFont="1" applyAlignment="1">
      <alignment vertical="center"/>
    </xf>
    <xf numFmtId="0" fontId="22" fillId="0" borderId="0" xfId="0" applyFont="1" applyAlignment="1">
      <alignment vertical="center"/>
    </xf>
    <xf numFmtId="0" fontId="1" fillId="0" borderId="0" xfId="0" applyFont="1" applyAlignment="1">
      <alignment wrapText="1"/>
    </xf>
    <xf numFmtId="166" fontId="1" fillId="0" borderId="0" xfId="0" applyNumberFormat="1" applyFont="1"/>
    <xf numFmtId="0" fontId="34" fillId="0" borderId="0" xfId="0" applyFont="1" applyAlignment="1">
      <alignment wrapText="1"/>
    </xf>
    <xf numFmtId="166" fontId="34" fillId="0" borderId="0" xfId="0" applyNumberFormat="1" applyFont="1"/>
    <xf numFmtId="10" fontId="3" fillId="0" borderId="0" xfId="0" applyNumberFormat="1" applyFont="1"/>
    <xf numFmtId="166" fontId="2" fillId="2" borderId="0" xfId="0" applyNumberFormat="1" applyFont="1" applyFill="1" applyAlignment="1">
      <alignment horizontal="center" vertical="center"/>
    </xf>
    <xf numFmtId="165" fontId="3" fillId="0" borderId="0" xfId="0" applyNumberFormat="1" applyFont="1"/>
    <xf numFmtId="168" fontId="3" fillId="0" borderId="0" xfId="0" applyNumberFormat="1" applyFont="1"/>
    <xf numFmtId="9" fontId="3" fillId="0" borderId="0" xfId="0" applyNumberFormat="1" applyFont="1"/>
    <xf numFmtId="0" fontId="0" fillId="0" borderId="46" xfId="0" applyFont="1" applyBorder="1" applyAlignment="1"/>
    <xf numFmtId="0" fontId="0" fillId="0" borderId="0" xfId="0" applyFont="1" applyAlignment="1"/>
    <xf numFmtId="10" fontId="0" fillId="0" borderId="46" xfId="0" applyNumberFormat="1" applyFont="1" applyBorder="1" applyAlignment="1"/>
    <xf numFmtId="10" fontId="0" fillId="0" borderId="0" xfId="0" applyNumberFormat="1" applyFont="1" applyAlignment="1"/>
    <xf numFmtId="0" fontId="8" fillId="0" borderId="0" xfId="0" applyFont="1" applyAlignment="1">
      <alignment horizontal="center" vertical="center"/>
    </xf>
    <xf numFmtId="0" fontId="35" fillId="0" borderId="0" xfId="0" applyFont="1" applyAlignment="1">
      <alignment horizontal="center" vertical="center"/>
    </xf>
    <xf numFmtId="0" fontId="35" fillId="0" borderId="0" xfId="0" applyFont="1" applyAlignment="1">
      <alignment vertical="center"/>
    </xf>
    <xf numFmtId="0" fontId="36" fillId="0" borderId="0" xfId="0" applyFont="1" applyAlignment="1">
      <alignment horizontal="left" vertical="center"/>
    </xf>
    <xf numFmtId="0" fontId="36" fillId="0" borderId="0" xfId="0" applyFont="1" applyAlignment="1">
      <alignment horizontal="center" vertical="center"/>
    </xf>
    <xf numFmtId="0" fontId="36" fillId="0" borderId="0" xfId="0" applyFont="1" applyAlignment="1">
      <alignment horizontal="left" vertical="center"/>
    </xf>
    <xf numFmtId="0" fontId="36" fillId="0" borderId="0" xfId="0" applyFont="1" applyAlignment="1">
      <alignment horizontal="center" vertical="center"/>
    </xf>
    <xf numFmtId="166" fontId="37" fillId="0" borderId="0" xfId="0" applyNumberFormat="1" applyFont="1"/>
    <xf numFmtId="0" fontId="38" fillId="0" borderId="0" xfId="0" applyFont="1" applyAlignment="1">
      <alignment wrapText="1"/>
    </xf>
    <xf numFmtId="166" fontId="38" fillId="0" borderId="0" xfId="0" applyNumberFormat="1" applyFont="1"/>
    <xf numFmtId="0" fontId="38" fillId="0" borderId="0" xfId="0" applyFont="1"/>
    <xf numFmtId="0" fontId="8" fillId="0" borderId="0" xfId="0" applyFont="1" applyAlignment="1">
      <alignment horizontal="center" vertical="center"/>
    </xf>
    <xf numFmtId="0" fontId="39" fillId="0" borderId="0" xfId="0" applyFont="1"/>
    <xf numFmtId="0" fontId="39" fillId="0" borderId="0" xfId="0" applyFont="1" applyAlignment="1">
      <alignment vertical="center" wrapText="1"/>
    </xf>
    <xf numFmtId="0" fontId="39" fillId="0" borderId="0" xfId="0" applyFont="1" applyAlignment="1">
      <alignment vertical="top" wrapText="1"/>
    </xf>
    <xf numFmtId="0" fontId="39" fillId="2" borderId="0" xfId="0" applyFont="1" applyFill="1" applyAlignment="1">
      <alignment vertical="center" wrapText="1"/>
    </xf>
    <xf numFmtId="0" fontId="39" fillId="2" borderId="0" xfId="0" applyFont="1" applyFill="1"/>
    <xf numFmtId="0" fontId="39" fillId="2" borderId="0" xfId="0" applyFont="1" applyFill="1" applyAlignment="1">
      <alignment vertical="top" wrapText="1"/>
    </xf>
    <xf numFmtId="0" fontId="5" fillId="2" borderId="0" xfId="0" applyFont="1" applyFill="1" applyAlignment="1">
      <alignment horizontal="center" vertical="center" wrapText="1"/>
    </xf>
    <xf numFmtId="0" fontId="5" fillId="2" borderId="47" xfId="0" applyFont="1" applyFill="1" applyBorder="1" applyAlignment="1">
      <alignment horizontal="center" vertical="center" wrapText="1"/>
    </xf>
    <xf numFmtId="0" fontId="39" fillId="2" borderId="0" xfId="0" applyFont="1" applyFill="1" applyAlignment="1">
      <alignment vertical="center" wrapText="1"/>
    </xf>
    <xf numFmtId="0" fontId="5" fillId="2" borderId="0" xfId="0" applyFont="1" applyFill="1" applyAlignment="1">
      <alignment vertical="center" wrapText="1"/>
    </xf>
    <xf numFmtId="0" fontId="40" fillId="8" borderId="0" xfId="0" applyFont="1" applyFill="1" applyAlignment="1">
      <alignment vertical="center" wrapText="1"/>
    </xf>
    <xf numFmtId="0" fontId="5" fillId="13" borderId="0" xfId="0" applyFont="1" applyFill="1" applyAlignment="1">
      <alignment vertical="center" wrapText="1"/>
    </xf>
    <xf numFmtId="0" fontId="39" fillId="13" borderId="0" xfId="0" applyFont="1" applyFill="1" applyAlignment="1">
      <alignment vertical="center" wrapText="1"/>
    </xf>
    <xf numFmtId="0" fontId="41" fillId="2" borderId="0" xfId="0" applyFont="1" applyFill="1" applyAlignment="1">
      <alignment vertical="top" wrapText="1"/>
    </xf>
    <xf numFmtId="0" fontId="42" fillId="2" borderId="0" xfId="0" applyFont="1" applyFill="1" applyAlignment="1">
      <alignment vertical="center" wrapText="1"/>
    </xf>
    <xf numFmtId="0" fontId="25" fillId="0" borderId="0" xfId="0" applyFont="1" applyAlignment="1">
      <alignment horizontal="center" vertical="center"/>
    </xf>
    <xf numFmtId="166" fontId="25" fillId="0" borderId="0" xfId="0" applyNumberFormat="1" applyFont="1" applyAlignment="1">
      <alignment horizontal="center" vertical="center"/>
    </xf>
    <xf numFmtId="0" fontId="39" fillId="2" borderId="0" xfId="0" applyFont="1" applyFill="1" applyAlignment="1"/>
    <xf numFmtId="166" fontId="2" fillId="0" borderId="0" xfId="0" applyNumberFormat="1" applyFont="1" applyAlignment="1">
      <alignment horizontal="center" vertical="center"/>
    </xf>
    <xf numFmtId="0" fontId="39" fillId="0" borderId="0" xfId="0" applyFont="1" applyAlignment="1">
      <alignment horizontal="center" vertical="center"/>
    </xf>
    <xf numFmtId="0" fontId="5" fillId="0" borderId="0" xfId="0" applyFont="1" applyAlignment="1">
      <alignment horizontal="center" vertical="center"/>
    </xf>
    <xf numFmtId="0" fontId="18" fillId="11" borderId="32" xfId="0" applyFont="1" applyFill="1" applyBorder="1" applyAlignment="1">
      <alignment horizontal="center" vertical="center"/>
    </xf>
    <xf numFmtId="0" fontId="43" fillId="0" borderId="0" xfId="0" applyFont="1" applyAlignment="1">
      <alignment horizontal="left" vertical="center"/>
    </xf>
    <xf numFmtId="0" fontId="40" fillId="0" borderId="0" xfId="0" applyFont="1" applyAlignment="1">
      <alignment horizontal="center" vertical="center"/>
    </xf>
    <xf numFmtId="0" fontId="43" fillId="0" borderId="0" xfId="0" applyFont="1" applyAlignment="1">
      <alignment horizontal="center" vertical="center"/>
    </xf>
    <xf numFmtId="0" fontId="35" fillId="0" borderId="0" xfId="0" applyFont="1" applyAlignment="1">
      <alignment horizontal="center" vertical="center"/>
    </xf>
    <xf numFmtId="0" fontId="20" fillId="0" borderId="19" xfId="0" applyFont="1" applyBorder="1" applyAlignment="1">
      <alignment vertical="center"/>
    </xf>
    <xf numFmtId="0" fontId="14" fillId="0" borderId="21" xfId="0" applyFont="1" applyBorder="1" applyAlignment="1">
      <alignment vertical="center"/>
    </xf>
    <xf numFmtId="0" fontId="20" fillId="0" borderId="23" xfId="0" applyFont="1" applyBorder="1" applyAlignment="1">
      <alignment vertical="center"/>
    </xf>
    <xf numFmtId="0" fontId="14" fillId="0" borderId="24" xfId="0" applyFont="1" applyBorder="1" applyAlignment="1">
      <alignment vertical="center"/>
    </xf>
    <xf numFmtId="0" fontId="20" fillId="0" borderId="25" xfId="0" applyFont="1" applyBorder="1" applyAlignment="1">
      <alignment vertical="center"/>
    </xf>
    <xf numFmtId="0" fontId="14" fillId="0" borderId="27" xfId="0" applyFont="1" applyBorder="1" applyAlignment="1">
      <alignment vertical="center"/>
    </xf>
    <xf numFmtId="0" fontId="4" fillId="13" borderId="0" xfId="0" applyFont="1" applyFill="1" applyAlignment="1">
      <alignment vertical="center"/>
    </xf>
    <xf numFmtId="0" fontId="2" fillId="13" borderId="0" xfId="0" applyFont="1" applyFill="1" applyAlignment="1">
      <alignment horizontal="center" vertical="center"/>
    </xf>
    <xf numFmtId="0" fontId="39" fillId="0" borderId="0" xfId="0" applyFont="1" applyAlignment="1">
      <alignment horizontal="center" vertical="center"/>
    </xf>
    <xf numFmtId="0" fontId="5" fillId="0" borderId="0" xfId="0" applyFont="1" applyAlignment="1">
      <alignment horizontal="center" vertical="center"/>
    </xf>
    <xf numFmtId="165" fontId="15" fillId="0" borderId="0" xfId="0" applyNumberFormat="1" applyFont="1" applyAlignment="1">
      <alignment horizontal="center" vertical="center"/>
    </xf>
    <xf numFmtId="3" fontId="35" fillId="0" borderId="0" xfId="0" applyNumberFormat="1" applyFont="1" applyAlignment="1">
      <alignment horizontal="center" vertical="center"/>
    </xf>
    <xf numFmtId="0" fontId="25" fillId="18" borderId="0" xfId="0" applyFont="1" applyFill="1" applyAlignment="1">
      <alignment vertical="center"/>
    </xf>
    <xf numFmtId="0" fontId="25" fillId="18" borderId="0" xfId="0" applyFont="1" applyFill="1" applyAlignment="1">
      <alignment horizontal="center" vertical="center"/>
    </xf>
    <xf numFmtId="166" fontId="25" fillId="18" borderId="0" xfId="0" applyNumberFormat="1" applyFont="1" applyFill="1" applyAlignment="1">
      <alignment horizontal="center" vertical="center"/>
    </xf>
    <xf numFmtId="0" fontId="24" fillId="0" borderId="0" xfId="0" applyFont="1" applyAlignment="1">
      <alignment horizontal="left" vertical="center"/>
    </xf>
    <xf numFmtId="9" fontId="12" fillId="0" borderId="48" xfId="0" applyNumberFormat="1" applyFont="1" applyBorder="1" applyAlignment="1">
      <alignment horizontal="center" vertical="center"/>
    </xf>
    <xf numFmtId="0" fontId="44" fillId="0" borderId="0" xfId="0" applyFont="1" applyAlignment="1">
      <alignment vertical="center"/>
    </xf>
    <xf numFmtId="166" fontId="35" fillId="0" borderId="0" xfId="0" applyNumberFormat="1" applyFont="1" applyAlignment="1">
      <alignment horizontal="center" vertical="center"/>
    </xf>
    <xf numFmtId="0" fontId="45" fillId="0" borderId="0" xfId="0" applyFont="1" applyAlignment="1">
      <alignment vertical="center"/>
    </xf>
    <xf numFmtId="165" fontId="2" fillId="0" borderId="0" xfId="0" applyNumberFormat="1" applyFont="1" applyAlignment="1">
      <alignment vertical="center"/>
    </xf>
    <xf numFmtId="165" fontId="2" fillId="2" borderId="0" xfId="0" applyNumberFormat="1" applyFont="1" applyFill="1" applyAlignment="1">
      <alignment horizontal="center" vertical="center"/>
    </xf>
    <xf numFmtId="165" fontId="35" fillId="0" borderId="0" xfId="0" applyNumberFormat="1" applyFont="1" applyAlignment="1">
      <alignment horizontal="center" vertical="center"/>
    </xf>
    <xf numFmtId="0" fontId="14" fillId="13" borderId="0" xfId="0" applyFont="1" applyFill="1" applyAlignment="1">
      <alignment vertical="center"/>
    </xf>
    <xf numFmtId="0" fontId="7" fillId="13" borderId="0" xfId="0" applyFont="1" applyFill="1" applyAlignment="1">
      <alignment horizontal="center" vertical="center"/>
    </xf>
    <xf numFmtId="0" fontId="7" fillId="13" borderId="0" xfId="0" applyFont="1" applyFill="1" applyAlignment="1">
      <alignment vertical="center"/>
    </xf>
    <xf numFmtId="165" fontId="24" fillId="0" borderId="0" xfId="0" applyNumberFormat="1" applyFont="1" applyAlignment="1">
      <alignment horizontal="left" vertical="center"/>
    </xf>
    <xf numFmtId="0" fontId="2" fillId="3" borderId="0" xfId="0" applyFont="1" applyFill="1" applyAlignment="1">
      <alignment vertical="center"/>
    </xf>
    <xf numFmtId="0" fontId="46" fillId="11" borderId="32" xfId="0" applyFont="1" applyFill="1" applyBorder="1" applyAlignment="1">
      <alignment vertical="center"/>
    </xf>
    <xf numFmtId="0" fontId="21" fillId="11" borderId="0" xfId="0" applyFont="1" applyFill="1" applyAlignment="1">
      <alignment vertical="center"/>
    </xf>
    <xf numFmtId="0" fontId="21" fillId="11" borderId="0" xfId="0" applyFont="1" applyFill="1" applyAlignment="1">
      <alignment horizontal="center" vertical="center"/>
    </xf>
    <xf numFmtId="0" fontId="14" fillId="0" borderId="21" xfId="0" applyFont="1" applyBorder="1" applyAlignment="1">
      <alignment horizontal="center" vertical="center"/>
    </xf>
    <xf numFmtId="0" fontId="14" fillId="0" borderId="24" xfId="0" applyFont="1" applyBorder="1" applyAlignment="1">
      <alignment horizontal="center" vertical="center"/>
    </xf>
    <xf numFmtId="0" fontId="14" fillId="0" borderId="27" xfId="0" applyFont="1" applyBorder="1" applyAlignment="1">
      <alignment horizontal="center" vertical="center"/>
    </xf>
    <xf numFmtId="0" fontId="46" fillId="14" borderId="0" xfId="0" applyFont="1" applyFill="1" applyAlignment="1">
      <alignment vertical="center"/>
    </xf>
    <xf numFmtId="0" fontId="13" fillId="14" borderId="0" xfId="0" applyFont="1" applyFill="1" applyAlignment="1">
      <alignment vertical="center"/>
    </xf>
    <xf numFmtId="0" fontId="2" fillId="14" borderId="0" xfId="0" applyFont="1" applyFill="1" applyAlignment="1">
      <alignment vertical="center"/>
    </xf>
    <xf numFmtId="0" fontId="35" fillId="0" borderId="0" xfId="0" applyFont="1" applyAlignment="1">
      <alignment vertical="center"/>
    </xf>
    <xf numFmtId="0" fontId="4" fillId="0" borderId="51" xfId="0" applyFont="1" applyBorder="1" applyAlignment="1">
      <alignment vertical="center"/>
    </xf>
    <xf numFmtId="0" fontId="4" fillId="0" borderId="51" xfId="0" applyFont="1" applyBorder="1" applyAlignment="1">
      <alignment vertical="center"/>
    </xf>
    <xf numFmtId="0" fontId="4" fillId="0" borderId="51" xfId="0" applyFont="1" applyBorder="1" applyAlignment="1">
      <alignment horizontal="center" vertical="center"/>
    </xf>
    <xf numFmtId="0" fontId="4" fillId="0" borderId="51" xfId="0" applyFont="1" applyBorder="1" applyAlignment="1">
      <alignment horizontal="center" vertical="center"/>
    </xf>
    <xf numFmtId="0" fontId="4" fillId="0" borderId="52" xfId="0" applyFont="1" applyBorder="1" applyAlignment="1">
      <alignment vertical="center"/>
    </xf>
    <xf numFmtId="0" fontId="2" fillId="0" borderId="53" xfId="0" applyFont="1" applyBorder="1" applyAlignment="1">
      <alignment vertical="center"/>
    </xf>
    <xf numFmtId="0" fontId="2" fillId="0" borderId="53" xfId="0" applyFont="1" applyBorder="1" applyAlignment="1">
      <alignment vertical="center"/>
    </xf>
    <xf numFmtId="10" fontId="2" fillId="0" borderId="53" xfId="0" applyNumberFormat="1" applyFont="1" applyBorder="1" applyAlignment="1">
      <alignment horizontal="center" vertical="center"/>
    </xf>
    <xf numFmtId="10" fontId="2" fillId="0" borderId="54" xfId="0" applyNumberFormat="1" applyFont="1" applyBorder="1" applyAlignment="1">
      <alignment horizontal="center" vertical="center"/>
    </xf>
    <xf numFmtId="0" fontId="4" fillId="0" borderId="55" xfId="0" applyFont="1" applyBorder="1" applyAlignment="1">
      <alignment vertical="center"/>
    </xf>
    <xf numFmtId="10" fontId="2" fillId="0" borderId="0" xfId="0" applyNumberFormat="1" applyFont="1" applyAlignment="1">
      <alignment horizontal="center" vertical="center"/>
    </xf>
    <xf numFmtId="10" fontId="2" fillId="0" borderId="56" xfId="0" applyNumberFormat="1" applyFont="1" applyBorder="1" applyAlignment="1">
      <alignment horizontal="center" vertical="center"/>
    </xf>
    <xf numFmtId="2" fontId="2" fillId="0" borderId="0" xfId="0" applyNumberFormat="1" applyFont="1" applyAlignment="1">
      <alignment horizontal="center" vertical="center"/>
    </xf>
    <xf numFmtId="166" fontId="35" fillId="0" borderId="0" xfId="0" applyNumberFormat="1" applyFont="1" applyAlignment="1">
      <alignment horizontal="center" vertical="center"/>
    </xf>
    <xf numFmtId="166" fontId="35" fillId="0" borderId="0" xfId="0" applyNumberFormat="1" applyFont="1" applyAlignment="1">
      <alignment vertical="center"/>
    </xf>
    <xf numFmtId="1" fontId="2" fillId="2" borderId="0" xfId="0" applyNumberFormat="1" applyFont="1" applyFill="1" applyAlignment="1">
      <alignment horizontal="center" vertical="center"/>
    </xf>
    <xf numFmtId="10" fontId="2" fillId="0" borderId="0" xfId="0" applyNumberFormat="1" applyFont="1" applyAlignment="1">
      <alignment horizontal="center" vertical="center"/>
    </xf>
    <xf numFmtId="10" fontId="2" fillId="0" borderId="56" xfId="0" applyNumberFormat="1" applyFont="1" applyBorder="1" applyAlignment="1">
      <alignment horizontal="center" vertical="center"/>
    </xf>
    <xf numFmtId="0" fontId="8" fillId="0" borderId="55" xfId="0" applyFont="1" applyBorder="1" applyAlignment="1">
      <alignment vertical="center"/>
    </xf>
    <xf numFmtId="0" fontId="8" fillId="0" borderId="56" xfId="0" applyFont="1" applyBorder="1" applyAlignment="1">
      <alignment horizontal="center" vertical="center"/>
    </xf>
    <xf numFmtId="0" fontId="8" fillId="3" borderId="0" xfId="0" applyFont="1" applyFill="1" applyAlignment="1">
      <alignment vertical="center"/>
    </xf>
    <xf numFmtId="0" fontId="8" fillId="0" borderId="57" xfId="0" applyFont="1" applyBorder="1" applyAlignment="1">
      <alignment vertical="center"/>
    </xf>
    <xf numFmtId="0" fontId="8" fillId="0" borderId="58" xfId="0" applyFont="1" applyBorder="1" applyAlignment="1">
      <alignment vertical="center"/>
    </xf>
    <xf numFmtId="0" fontId="8" fillId="0" borderId="58" xfId="0" applyFont="1" applyBorder="1" applyAlignment="1">
      <alignment vertical="center"/>
    </xf>
    <xf numFmtId="10" fontId="8" fillId="0" borderId="58" xfId="0" applyNumberFormat="1" applyFont="1" applyBorder="1" applyAlignment="1">
      <alignment horizontal="center" vertical="center"/>
    </xf>
    <xf numFmtId="10" fontId="8" fillId="0" borderId="59" xfId="0" applyNumberFormat="1" applyFont="1" applyBorder="1" applyAlignment="1">
      <alignment horizontal="center" vertical="center"/>
    </xf>
    <xf numFmtId="0" fontId="22" fillId="0" borderId="0" xfId="0" applyFont="1" applyAlignment="1">
      <alignment horizontal="right" vertical="center"/>
    </xf>
    <xf numFmtId="0" fontId="25" fillId="18" borderId="0" xfId="0" applyFont="1" applyFill="1" applyAlignment="1">
      <alignment vertical="center"/>
    </xf>
    <xf numFmtId="166" fontId="25" fillId="18" borderId="0" xfId="0" applyNumberFormat="1" applyFont="1" applyFill="1" applyAlignment="1">
      <alignment horizontal="center" vertical="center"/>
    </xf>
    <xf numFmtId="9" fontId="12" fillId="2" borderId="48" xfId="0" applyNumberFormat="1" applyFont="1" applyFill="1" applyBorder="1" applyAlignment="1">
      <alignment horizontal="center" vertical="center"/>
    </xf>
    <xf numFmtId="165" fontId="2" fillId="0" borderId="0" xfId="0" applyNumberFormat="1" applyFont="1" applyAlignment="1">
      <alignment horizontal="center" vertical="center"/>
    </xf>
    <xf numFmtId="10" fontId="25" fillId="0" borderId="0" xfId="0" applyNumberFormat="1" applyFont="1" applyAlignment="1">
      <alignment horizontal="center" vertical="center"/>
    </xf>
    <xf numFmtId="0" fontId="25" fillId="0" borderId="0" xfId="0" applyFont="1" applyAlignment="1">
      <alignment horizontal="center" vertical="center"/>
    </xf>
    <xf numFmtId="0" fontId="26" fillId="0" borderId="0" xfId="0" applyFont="1" applyAlignment="1">
      <alignment horizontal="left" vertical="center"/>
    </xf>
    <xf numFmtId="0" fontId="16" fillId="0" borderId="60" xfId="0" applyFont="1" applyBorder="1" applyAlignment="1">
      <alignment horizontal="right" vertical="center"/>
    </xf>
    <xf numFmtId="166" fontId="26" fillId="0" borderId="61" xfId="0" applyNumberFormat="1" applyFont="1" applyBorder="1" applyAlignment="1">
      <alignment horizontal="left" vertical="center"/>
    </xf>
    <xf numFmtId="0" fontId="3" fillId="0" borderId="16" xfId="0" applyFont="1" applyBorder="1"/>
    <xf numFmtId="165" fontId="2" fillId="0" borderId="18" xfId="0" applyNumberFormat="1" applyFont="1" applyBorder="1" applyAlignment="1">
      <alignment horizontal="center" vertical="center"/>
    </xf>
    <xf numFmtId="0" fontId="2" fillId="0" borderId="0" xfId="0" applyFont="1" applyAlignment="1">
      <alignment vertical="center"/>
    </xf>
    <xf numFmtId="0" fontId="4" fillId="0" borderId="0" xfId="0" applyFont="1" applyAlignment="1">
      <alignment vertical="center"/>
    </xf>
    <xf numFmtId="10" fontId="4" fillId="0" borderId="0" xfId="0" applyNumberFormat="1" applyFont="1" applyAlignment="1">
      <alignment horizontal="center" vertical="center"/>
    </xf>
    <xf numFmtId="10" fontId="4" fillId="0" borderId="56" xfId="0" applyNumberFormat="1" applyFont="1" applyBorder="1" applyAlignment="1">
      <alignment horizontal="center" vertical="center"/>
    </xf>
    <xf numFmtId="165" fontId="11" fillId="0" borderId="0" xfId="0" applyNumberFormat="1" applyFont="1" applyAlignment="1">
      <alignment horizontal="center" vertical="center"/>
    </xf>
    <xf numFmtId="165" fontId="11" fillId="0" borderId="56" xfId="0" applyNumberFormat="1" applyFont="1" applyBorder="1" applyAlignment="1">
      <alignment horizontal="center" vertical="center"/>
    </xf>
    <xf numFmtId="0" fontId="4" fillId="0" borderId="57" xfId="0" applyFont="1" applyBorder="1" applyAlignment="1">
      <alignment vertical="center"/>
    </xf>
    <xf numFmtId="0" fontId="4" fillId="0" borderId="58" xfId="0" applyFont="1" applyBorder="1" applyAlignment="1">
      <alignment vertical="center"/>
    </xf>
    <xf numFmtId="0" fontId="4" fillId="0" borderId="58" xfId="0" applyFont="1" applyBorder="1" applyAlignment="1">
      <alignment vertical="center"/>
    </xf>
    <xf numFmtId="165" fontId="4" fillId="0" borderId="58" xfId="0" applyNumberFormat="1" applyFont="1" applyBorder="1" applyAlignment="1">
      <alignment horizontal="center" vertical="center"/>
    </xf>
    <xf numFmtId="165" fontId="4" fillId="0" borderId="59" xfId="0" applyNumberFormat="1" applyFont="1" applyBorder="1" applyAlignment="1">
      <alignment horizontal="center" vertical="center"/>
    </xf>
    <xf numFmtId="0" fontId="25" fillId="18" borderId="42" xfId="0" applyFont="1" applyFill="1" applyBorder="1" applyAlignment="1">
      <alignment vertical="center"/>
    </xf>
    <xf numFmtId="0" fontId="2" fillId="18" borderId="0" xfId="0" applyFont="1" applyFill="1" applyAlignment="1">
      <alignment vertical="center"/>
    </xf>
    <xf numFmtId="0" fontId="25" fillId="18" borderId="0" xfId="0" applyFont="1" applyFill="1" applyAlignment="1">
      <alignment vertical="center"/>
    </xf>
    <xf numFmtId="0" fontId="8" fillId="0" borderId="42" xfId="0" applyFont="1" applyBorder="1" applyAlignment="1">
      <alignment vertical="center"/>
    </xf>
    <xf numFmtId="0" fontId="4" fillId="0" borderId="19" xfId="0" applyFont="1" applyBorder="1" applyAlignment="1">
      <alignment vertical="center"/>
    </xf>
    <xf numFmtId="0" fontId="2" fillId="0" borderId="20" xfId="0" applyFont="1" applyBorder="1" applyAlignment="1">
      <alignment vertical="center"/>
    </xf>
    <xf numFmtId="0" fontId="2" fillId="0" borderId="20" xfId="0" applyFont="1" applyBorder="1" applyAlignment="1">
      <alignment vertical="center"/>
    </xf>
    <xf numFmtId="165" fontId="2" fillId="0" borderId="21" xfId="0" applyNumberFormat="1" applyFont="1" applyBorder="1" applyAlignment="1">
      <alignment horizontal="center" vertical="center"/>
    </xf>
    <xf numFmtId="0" fontId="4" fillId="0" borderId="23" xfId="0" applyFont="1" applyBorder="1" applyAlignment="1">
      <alignment vertical="center"/>
    </xf>
    <xf numFmtId="165" fontId="2" fillId="0" borderId="24" xfId="0" applyNumberFormat="1" applyFont="1" applyBorder="1" applyAlignment="1">
      <alignment horizontal="center" vertical="center"/>
    </xf>
    <xf numFmtId="0" fontId="2" fillId="0" borderId="0" xfId="0" applyFont="1" applyAlignment="1">
      <alignment vertical="center"/>
    </xf>
    <xf numFmtId="165" fontId="2" fillId="0" borderId="24" xfId="0" applyNumberFormat="1" applyFont="1" applyBorder="1" applyAlignment="1">
      <alignment horizontal="center" vertical="center"/>
    </xf>
    <xf numFmtId="0" fontId="4" fillId="0" borderId="25" xfId="0" applyFont="1" applyBorder="1" applyAlignment="1">
      <alignment vertical="center"/>
    </xf>
    <xf numFmtId="0" fontId="2" fillId="0" borderId="26" xfId="0" applyFont="1" applyBorder="1" applyAlignment="1">
      <alignment vertical="center"/>
    </xf>
    <xf numFmtId="165" fontId="2" fillId="0" borderId="27" xfId="0" applyNumberFormat="1" applyFont="1" applyBorder="1" applyAlignment="1">
      <alignment horizontal="center" vertical="center"/>
    </xf>
    <xf numFmtId="0" fontId="8" fillId="0" borderId="0" xfId="0" applyFont="1" applyAlignment="1">
      <alignment vertical="center"/>
    </xf>
    <xf numFmtId="9" fontId="2" fillId="0" borderId="0" xfId="0" applyNumberFormat="1" applyFont="1" applyAlignment="1">
      <alignment horizontal="center" vertical="center"/>
    </xf>
    <xf numFmtId="0" fontId="2" fillId="0" borderId="53" xfId="0" applyFont="1" applyBorder="1" applyAlignment="1">
      <alignment vertical="center"/>
    </xf>
    <xf numFmtId="0" fontId="8" fillId="0" borderId="0" xfId="0" applyFont="1" applyAlignment="1">
      <alignment vertical="center"/>
    </xf>
    <xf numFmtId="0" fontId="4" fillId="0" borderId="58" xfId="0" applyFont="1" applyBorder="1" applyAlignment="1">
      <alignment vertical="center"/>
    </xf>
    <xf numFmtId="10" fontId="4" fillId="0" borderId="58" xfId="0" applyNumberFormat="1" applyFont="1" applyBorder="1" applyAlignment="1">
      <alignment horizontal="center" vertical="center"/>
    </xf>
    <xf numFmtId="10" fontId="4" fillId="0" borderId="59" xfId="0" applyNumberFormat="1" applyFont="1" applyBorder="1" applyAlignment="1">
      <alignment horizontal="center" vertical="center"/>
    </xf>
    <xf numFmtId="10" fontId="8" fillId="0" borderId="0" xfId="0" applyNumberFormat="1" applyFont="1" applyAlignment="1">
      <alignment horizontal="center" vertical="center"/>
    </xf>
    <xf numFmtId="165" fontId="2" fillId="0" borderId="54" xfId="0" applyNumberFormat="1" applyFont="1" applyBorder="1" applyAlignment="1">
      <alignment horizontal="center" vertical="center"/>
    </xf>
    <xf numFmtId="165" fontId="2" fillId="0" borderId="56" xfId="0" applyNumberFormat="1" applyFont="1" applyBorder="1" applyAlignment="1">
      <alignment horizontal="center" vertical="center"/>
    </xf>
    <xf numFmtId="0" fontId="2" fillId="0" borderId="58" xfId="0" applyFont="1" applyBorder="1" applyAlignment="1">
      <alignment vertical="center"/>
    </xf>
    <xf numFmtId="0" fontId="3" fillId="0" borderId="58" xfId="0" applyFont="1" applyBorder="1"/>
    <xf numFmtId="165" fontId="2" fillId="0" borderId="59" xfId="0" applyNumberFormat="1" applyFont="1" applyBorder="1" applyAlignment="1">
      <alignment horizontal="center" vertical="center"/>
    </xf>
    <xf numFmtId="166" fontId="25" fillId="0" borderId="0" xfId="0" applyNumberFormat="1" applyFont="1" applyAlignment="1">
      <alignment horizontal="center" vertical="center"/>
    </xf>
    <xf numFmtId="0" fontId="3" fillId="3" borderId="0" xfId="0" applyFont="1" applyFill="1" applyAlignment="1">
      <alignment vertical="center"/>
    </xf>
    <xf numFmtId="0" fontId="8" fillId="3" borderId="0" xfId="0" applyFont="1" applyFill="1" applyAlignment="1">
      <alignment horizontal="center" vertical="center"/>
    </xf>
    <xf numFmtId="0" fontId="2" fillId="3" borderId="0" xfId="0" applyFont="1" applyFill="1" applyAlignment="1">
      <alignment vertical="center"/>
    </xf>
    <xf numFmtId="0" fontId="2" fillId="3" borderId="0" xfId="0" applyFont="1" applyFill="1" applyAlignment="1">
      <alignment horizontal="center" vertical="center"/>
    </xf>
    <xf numFmtId="0" fontId="36" fillId="3" borderId="0" xfId="0" applyFont="1" applyFill="1" applyAlignment="1">
      <alignment horizontal="center" vertical="center"/>
    </xf>
    <xf numFmtId="0" fontId="35" fillId="3" borderId="0" xfId="0" applyFont="1" applyFill="1" applyAlignment="1">
      <alignment horizontal="center" vertical="center"/>
    </xf>
    <xf numFmtId="0" fontId="35" fillId="3" borderId="0" xfId="0" applyFont="1" applyFill="1" applyAlignment="1">
      <alignment vertical="center"/>
    </xf>
    <xf numFmtId="0" fontId="36" fillId="0" borderId="52" xfId="0" applyFont="1" applyBorder="1" applyAlignment="1">
      <alignment horizontal="center" vertical="center"/>
    </xf>
    <xf numFmtId="10" fontId="35" fillId="0" borderId="53" xfId="0" applyNumberFormat="1" applyFont="1" applyBorder="1" applyAlignment="1">
      <alignment horizontal="center" vertical="center"/>
    </xf>
    <xf numFmtId="10" fontId="35" fillId="0" borderId="54" xfId="0" applyNumberFormat="1" applyFont="1" applyBorder="1" applyAlignment="1">
      <alignment horizontal="center" vertical="center"/>
    </xf>
    <xf numFmtId="10" fontId="35" fillId="0" borderId="0" xfId="0" applyNumberFormat="1" applyFont="1" applyAlignment="1">
      <alignment horizontal="center" vertical="center"/>
    </xf>
    <xf numFmtId="0" fontId="36" fillId="0" borderId="55" xfId="0" applyFont="1" applyBorder="1" applyAlignment="1">
      <alignment horizontal="center" vertical="center"/>
    </xf>
    <xf numFmtId="0" fontId="39" fillId="0" borderId="0" xfId="0" applyFont="1" applyAlignment="1">
      <alignment horizontal="center"/>
    </xf>
    <xf numFmtId="165" fontId="39" fillId="0" borderId="0" xfId="0" applyNumberFormat="1" applyFont="1" applyAlignment="1">
      <alignment horizontal="center"/>
    </xf>
    <xf numFmtId="1" fontId="2" fillId="0" borderId="0" xfId="0" applyNumberFormat="1" applyFont="1" applyAlignment="1">
      <alignment horizontal="center"/>
    </xf>
    <xf numFmtId="0" fontId="14" fillId="0" borderId="0" xfId="0" applyFont="1" applyAlignment="1">
      <alignment horizontal="left"/>
    </xf>
    <xf numFmtId="10" fontId="35" fillId="0" borderId="56" xfId="0" applyNumberFormat="1" applyFont="1" applyBorder="1" applyAlignment="1">
      <alignment horizontal="center" vertical="center"/>
    </xf>
    <xf numFmtId="1" fontId="39" fillId="0" borderId="0" xfId="0" applyNumberFormat="1" applyFont="1" applyAlignment="1">
      <alignment horizontal="center"/>
    </xf>
    <xf numFmtId="0" fontId="39" fillId="0" borderId="63" xfId="0" applyFont="1" applyBorder="1" applyAlignment="1"/>
    <xf numFmtId="0" fontId="39" fillId="0" borderId="64" xfId="0" applyFont="1" applyBorder="1" applyAlignment="1"/>
    <xf numFmtId="0" fontId="39" fillId="0" borderId="0" xfId="0" applyFont="1" applyAlignment="1">
      <alignment horizontal="center"/>
    </xf>
    <xf numFmtId="0" fontId="14" fillId="0" borderId="0" xfId="0" applyFont="1" applyAlignment="1">
      <alignment horizontal="center"/>
    </xf>
    <xf numFmtId="0" fontId="39" fillId="16" borderId="0" xfId="0" applyFont="1" applyFill="1" applyAlignment="1">
      <alignment horizontal="center"/>
    </xf>
    <xf numFmtId="165" fontId="39" fillId="16" borderId="0" xfId="0" applyNumberFormat="1" applyFont="1" applyFill="1" applyAlignment="1">
      <alignment horizontal="center"/>
    </xf>
    <xf numFmtId="0" fontId="39" fillId="0" borderId="65" xfId="0" applyFont="1" applyBorder="1" applyAlignment="1">
      <alignment horizontal="center"/>
    </xf>
    <xf numFmtId="165" fontId="39" fillId="0" borderId="67" xfId="0" applyNumberFormat="1" applyFont="1" applyBorder="1" applyAlignment="1">
      <alignment horizontal="center"/>
    </xf>
    <xf numFmtId="0" fontId="14" fillId="0" borderId="0" xfId="0" applyFont="1" applyAlignment="1">
      <alignment horizontal="center"/>
    </xf>
    <xf numFmtId="0" fontId="39" fillId="2" borderId="0" xfId="0" applyFont="1" applyFill="1" applyAlignment="1">
      <alignment horizontal="center"/>
    </xf>
    <xf numFmtId="165" fontId="39" fillId="2" borderId="0" xfId="0" applyNumberFormat="1" applyFont="1" applyFill="1" applyAlignment="1">
      <alignment horizontal="center"/>
    </xf>
    <xf numFmtId="1" fontId="42" fillId="6" borderId="0" xfId="0" applyNumberFormat="1" applyFont="1" applyFill="1" applyAlignment="1">
      <alignment horizontal="center"/>
    </xf>
    <xf numFmtId="1" fontId="42" fillId="2" borderId="0" xfId="0" applyNumberFormat="1" applyFont="1" applyFill="1" applyAlignment="1">
      <alignment horizontal="center"/>
    </xf>
    <xf numFmtId="0" fontId="42" fillId="6" borderId="0" xfId="0" applyFont="1" applyFill="1" applyAlignment="1">
      <alignment horizontal="center"/>
    </xf>
    <xf numFmtId="0" fontId="42" fillId="2" borderId="0" xfId="0" applyFont="1" applyFill="1" applyAlignment="1">
      <alignment horizontal="center"/>
    </xf>
    <xf numFmtId="0" fontId="39" fillId="2" borderId="0" xfId="0" applyFont="1" applyFill="1" applyAlignment="1">
      <alignment horizontal="center"/>
    </xf>
    <xf numFmtId="1" fontId="39" fillId="2" borderId="0" xfId="0" applyNumberFormat="1" applyFont="1" applyFill="1" applyAlignment="1">
      <alignment horizontal="center"/>
    </xf>
    <xf numFmtId="166" fontId="39" fillId="2" borderId="0" xfId="0" applyNumberFormat="1" applyFont="1" applyFill="1" applyAlignment="1">
      <alignment horizontal="center"/>
    </xf>
    <xf numFmtId="0" fontId="39" fillId="0" borderId="68" xfId="0" applyFont="1" applyBorder="1" applyAlignment="1">
      <alignment horizontal="center"/>
    </xf>
    <xf numFmtId="165" fontId="39" fillId="0" borderId="69" xfId="0" applyNumberFormat="1" applyFont="1" applyBorder="1" applyAlignment="1">
      <alignment horizontal="center"/>
    </xf>
    <xf numFmtId="0" fontId="39" fillId="0" borderId="70" xfId="0" applyFont="1" applyBorder="1" applyAlignment="1">
      <alignment horizontal="center"/>
    </xf>
    <xf numFmtId="0" fontId="36" fillId="0" borderId="57" xfId="0" applyFont="1" applyBorder="1" applyAlignment="1">
      <alignment horizontal="center" vertical="center"/>
    </xf>
    <xf numFmtId="165" fontId="39" fillId="0" borderId="72" xfId="0" applyNumberFormat="1" applyFont="1" applyBorder="1" applyAlignment="1">
      <alignment horizontal="center"/>
    </xf>
    <xf numFmtId="10" fontId="35" fillId="0" borderId="58" xfId="0" applyNumberFormat="1" applyFont="1" applyBorder="1" applyAlignment="1">
      <alignment horizontal="center" vertical="center"/>
    </xf>
    <xf numFmtId="0" fontId="42" fillId="0" borderId="0" xfId="0" applyFont="1"/>
    <xf numFmtId="1" fontId="39" fillId="0" borderId="0" xfId="0" applyNumberFormat="1" applyFont="1" applyAlignment="1">
      <alignment horizontal="center"/>
    </xf>
    <xf numFmtId="10" fontId="35" fillId="0" borderId="59" xfId="0" applyNumberFormat="1" applyFont="1" applyBorder="1" applyAlignment="1">
      <alignment horizontal="center" vertical="center"/>
    </xf>
    <xf numFmtId="165" fontId="42" fillId="2" borderId="0" xfId="0" applyNumberFormat="1" applyFont="1" applyFill="1" applyAlignment="1">
      <alignment horizontal="center"/>
    </xf>
    <xf numFmtId="0" fontId="39" fillId="2" borderId="65" xfId="0" applyFont="1" applyFill="1" applyBorder="1" applyAlignment="1">
      <alignment horizontal="center" vertical="center"/>
    </xf>
    <xf numFmtId="166" fontId="35" fillId="0" borderId="53" xfId="0" applyNumberFormat="1" applyFont="1" applyBorder="1" applyAlignment="1">
      <alignment horizontal="center" vertical="center"/>
    </xf>
    <xf numFmtId="0" fontId="39" fillId="2" borderId="70" xfId="0" applyFont="1" applyFill="1" applyBorder="1" applyAlignment="1">
      <alignment horizontal="center" vertical="center"/>
    </xf>
    <xf numFmtId="0" fontId="39" fillId="2" borderId="65" xfId="0" applyFont="1" applyFill="1" applyBorder="1" applyAlignment="1">
      <alignment horizontal="left" vertical="center"/>
    </xf>
    <xf numFmtId="0" fontId="39" fillId="2" borderId="67" xfId="0" applyFont="1" applyFill="1" applyBorder="1" applyAlignment="1">
      <alignment horizontal="center" vertical="center"/>
    </xf>
    <xf numFmtId="0" fontId="42" fillId="0" borderId="73" xfId="0" applyFont="1" applyBorder="1" applyAlignment="1">
      <alignment horizontal="center" vertical="center"/>
    </xf>
    <xf numFmtId="0" fontId="39" fillId="2" borderId="70" xfId="0" applyFont="1" applyFill="1" applyBorder="1" applyAlignment="1">
      <alignment horizontal="left" vertical="center"/>
    </xf>
    <xf numFmtId="0" fontId="39" fillId="2" borderId="72" xfId="0" applyFont="1" applyFill="1" applyBorder="1" applyAlignment="1">
      <alignment horizontal="center" vertical="center"/>
    </xf>
    <xf numFmtId="0" fontId="42" fillId="0" borderId="74" xfId="0" applyFont="1" applyBorder="1" applyAlignment="1">
      <alignment horizontal="center" vertical="center"/>
    </xf>
    <xf numFmtId="0" fontId="3" fillId="0" borderId="0" xfId="0" applyFont="1" applyAlignment="1">
      <alignment horizontal="left"/>
    </xf>
    <xf numFmtId="0" fontId="42" fillId="0" borderId="0" xfId="0" applyFont="1" applyAlignment="1">
      <alignment horizontal="center"/>
    </xf>
    <xf numFmtId="0" fontId="42" fillId="0" borderId="73" xfId="0" applyFont="1" applyBorder="1" applyAlignment="1">
      <alignment horizontal="center" vertical="center"/>
    </xf>
    <xf numFmtId="0" fontId="39" fillId="2" borderId="75" xfId="0" applyFont="1" applyFill="1" applyBorder="1" applyAlignment="1">
      <alignment horizontal="left" vertical="center"/>
    </xf>
    <xf numFmtId="0" fontId="39" fillId="2" borderId="76" xfId="0" applyFont="1" applyFill="1" applyBorder="1" applyAlignment="1">
      <alignment horizontal="center" vertical="center"/>
    </xf>
    <xf numFmtId="9" fontId="42" fillId="0" borderId="44" xfId="0" applyNumberFormat="1" applyFont="1" applyBorder="1" applyAlignment="1">
      <alignment horizontal="center" vertical="center"/>
    </xf>
    <xf numFmtId="10" fontId="12" fillId="0" borderId="0" xfId="0" applyNumberFormat="1" applyFont="1" applyAlignment="1">
      <alignment vertical="center"/>
    </xf>
    <xf numFmtId="166" fontId="35" fillId="0" borderId="0" xfId="0" applyNumberFormat="1" applyFont="1" applyAlignment="1">
      <alignment horizontal="center" vertical="center"/>
    </xf>
    <xf numFmtId="0" fontId="29" fillId="6" borderId="0" xfId="0" applyFont="1" applyFill="1" applyAlignment="1">
      <alignment horizontal="left"/>
    </xf>
    <xf numFmtId="0" fontId="21" fillId="17" borderId="0" xfId="0" applyFont="1" applyFill="1" applyAlignment="1">
      <alignment vertical="center"/>
    </xf>
    <xf numFmtId="0" fontId="31" fillId="0" borderId="0" xfId="0" applyFont="1" applyAlignment="1">
      <alignment vertical="center"/>
    </xf>
    <xf numFmtId="0" fontId="1" fillId="0" borderId="0" xfId="0" applyFont="1" applyAlignment="1">
      <alignment vertical="center"/>
    </xf>
    <xf numFmtId="0" fontId="21" fillId="13" borderId="0" xfId="0" applyFont="1" applyFill="1" applyAlignment="1">
      <alignment vertical="center"/>
    </xf>
    <xf numFmtId="0" fontId="47" fillId="13" borderId="42" xfId="0" applyFont="1" applyFill="1" applyBorder="1" applyAlignment="1">
      <alignment vertical="center"/>
    </xf>
    <xf numFmtId="0" fontId="2" fillId="13" borderId="42" xfId="0" applyFont="1" applyFill="1" applyBorder="1" applyAlignment="1">
      <alignment vertical="center"/>
    </xf>
    <xf numFmtId="167" fontId="12" fillId="0" borderId="0" xfId="0" applyNumberFormat="1" applyFont="1" applyAlignment="1">
      <alignment horizontal="center" vertical="center"/>
    </xf>
    <xf numFmtId="0" fontId="21" fillId="13" borderId="42" xfId="0" applyFont="1" applyFill="1" applyBorder="1" applyAlignment="1">
      <alignment vertical="center"/>
    </xf>
    <xf numFmtId="0" fontId="21" fillId="13" borderId="42" xfId="0" applyFont="1" applyFill="1" applyBorder="1" applyAlignment="1">
      <alignment vertical="center"/>
    </xf>
    <xf numFmtId="0" fontId="48" fillId="0" borderId="0" xfId="0" applyFont="1" applyAlignment="1">
      <alignment vertical="center"/>
    </xf>
    <xf numFmtId="0" fontId="2" fillId="0" borderId="0" xfId="0" applyFont="1" applyAlignment="1">
      <alignment vertical="center"/>
    </xf>
    <xf numFmtId="166" fontId="35" fillId="0" borderId="58" xfId="0" applyNumberFormat="1" applyFont="1" applyBorder="1" applyAlignment="1">
      <alignment horizontal="center" vertical="center"/>
    </xf>
    <xf numFmtId="3" fontId="2" fillId="0" borderId="0" xfId="0" applyNumberFormat="1" applyFont="1"/>
    <xf numFmtId="0" fontId="13" fillId="11" borderId="42" xfId="0" applyFont="1" applyFill="1" applyBorder="1" applyAlignment="1"/>
    <xf numFmtId="3" fontId="2" fillId="11" borderId="0" xfId="0" applyNumberFormat="1" applyFont="1" applyFill="1" applyAlignment="1"/>
    <xf numFmtId="3" fontId="2" fillId="11" borderId="42" xfId="0" applyNumberFormat="1" applyFont="1" applyFill="1" applyBorder="1" applyAlignment="1"/>
    <xf numFmtId="0" fontId="13" fillId="11" borderId="42" xfId="0" applyFont="1" applyFill="1" applyBorder="1" applyAlignment="1"/>
    <xf numFmtId="0" fontId="13" fillId="11" borderId="0" xfId="0" applyFont="1" applyFill="1" applyAlignment="1"/>
    <xf numFmtId="170" fontId="2" fillId="0" borderId="0" xfId="0" applyNumberFormat="1" applyFont="1" applyAlignment="1">
      <alignment horizontal="center"/>
    </xf>
    <xf numFmtId="0" fontId="46" fillId="19" borderId="0" xfId="0" applyFont="1" applyFill="1" applyAlignment="1"/>
    <xf numFmtId="0" fontId="46" fillId="19" borderId="0" xfId="0" applyFont="1" applyFill="1" applyAlignment="1">
      <alignment horizontal="center"/>
    </xf>
    <xf numFmtId="0" fontId="46" fillId="19" borderId="0" xfId="0" applyFont="1" applyFill="1" applyAlignment="1">
      <alignment horizontal="center"/>
    </xf>
    <xf numFmtId="0" fontId="4" fillId="3" borderId="0" xfId="0" applyFont="1" applyFill="1" applyAlignment="1">
      <alignment horizontal="center"/>
    </xf>
    <xf numFmtId="170" fontId="2" fillId="3" borderId="0" xfId="0" applyNumberFormat="1" applyFont="1" applyFill="1" applyAlignment="1">
      <alignment horizontal="center"/>
    </xf>
    <xf numFmtId="1" fontId="49" fillId="0" borderId="0" xfId="0" applyNumberFormat="1" applyFont="1" applyAlignment="1">
      <alignment horizontal="center"/>
    </xf>
    <xf numFmtId="1" fontId="7" fillId="0" borderId="0" xfId="0" applyNumberFormat="1" applyFont="1" applyAlignment="1">
      <alignment horizontal="center"/>
    </xf>
    <xf numFmtId="0" fontId="39" fillId="0" borderId="0" xfId="0" applyFont="1" applyAlignment="1">
      <alignment horizontal="center"/>
    </xf>
    <xf numFmtId="0" fontId="36" fillId="0" borderId="60" xfId="0" applyFont="1" applyBorder="1" applyAlignment="1">
      <alignment horizontal="center" vertical="center"/>
    </xf>
    <xf numFmtId="166" fontId="35" fillId="0" borderId="77" xfId="0" applyNumberFormat="1" applyFont="1" applyBorder="1" applyAlignment="1">
      <alignment horizontal="center" vertical="center"/>
    </xf>
    <xf numFmtId="0" fontId="4" fillId="0" borderId="0" xfId="0" applyFont="1" applyAlignment="1">
      <alignment horizontal="center"/>
    </xf>
    <xf numFmtId="166" fontId="35" fillId="0" borderId="61" xfId="0" applyNumberFormat="1" applyFont="1" applyBorder="1" applyAlignment="1">
      <alignment horizontal="center" vertical="center"/>
    </xf>
    <xf numFmtId="0" fontId="35" fillId="0" borderId="0" xfId="0" applyFont="1" applyAlignment="1">
      <alignment horizontal="center" vertical="center"/>
    </xf>
    <xf numFmtId="0" fontId="4" fillId="3" borderId="0" xfId="0" applyFont="1" applyFill="1" applyAlignment="1">
      <alignment horizontal="center"/>
    </xf>
    <xf numFmtId="0" fontId="35" fillId="0" borderId="0" xfId="0" applyFont="1" applyAlignment="1">
      <alignment vertical="center"/>
    </xf>
    <xf numFmtId="9" fontId="35" fillId="0" borderId="0" xfId="0" applyNumberFormat="1" applyFont="1" applyAlignment="1">
      <alignment vertical="center"/>
    </xf>
    <xf numFmtId="0" fontId="4" fillId="3" borderId="0" xfId="0" applyFont="1" applyFill="1" applyAlignment="1">
      <alignment horizontal="center"/>
    </xf>
    <xf numFmtId="0" fontId="46" fillId="19" borderId="0" xfId="0" applyFont="1" applyFill="1" applyAlignment="1">
      <alignment horizontal="center"/>
    </xf>
    <xf numFmtId="170" fontId="46" fillId="19" borderId="0" xfId="0" applyNumberFormat="1" applyFont="1" applyFill="1" applyAlignment="1">
      <alignment horizontal="center"/>
    </xf>
    <xf numFmtId="0" fontId="2" fillId="0" borderId="0" xfId="0" quotePrefix="1" applyFont="1" applyAlignment="1"/>
    <xf numFmtId="3" fontId="2" fillId="0" borderId="0" xfId="0" applyNumberFormat="1" applyFont="1" applyAlignment="1"/>
    <xf numFmtId="0" fontId="2" fillId="0" borderId="0" xfId="0" applyFont="1" applyAlignment="1"/>
    <xf numFmtId="0" fontId="46" fillId="19" borderId="0" xfId="0" applyFont="1" applyFill="1" applyAlignment="1"/>
    <xf numFmtId="0" fontId="4" fillId="3" borderId="0" xfId="0" applyFont="1" applyFill="1" applyAlignment="1">
      <alignment horizontal="center"/>
    </xf>
    <xf numFmtId="0" fontId="46" fillId="0" borderId="0" xfId="0" applyFont="1" applyAlignment="1">
      <alignment vertical="center"/>
    </xf>
    <xf numFmtId="0" fontId="13" fillId="0" borderId="0" xfId="0" applyFont="1" applyAlignment="1">
      <alignment vertical="center"/>
    </xf>
    <xf numFmtId="0" fontId="13" fillId="0" borderId="0" xfId="0" applyFont="1" applyAlignment="1">
      <alignment horizontal="center" vertical="center"/>
    </xf>
    <xf numFmtId="166" fontId="35" fillId="0" borderId="56" xfId="0" applyNumberFormat="1" applyFont="1" applyBorder="1" applyAlignment="1">
      <alignment horizontal="center" vertical="center"/>
    </xf>
    <xf numFmtId="166" fontId="35" fillId="0" borderId="58" xfId="0" applyNumberFormat="1" applyFont="1" applyBorder="1" applyAlignment="1">
      <alignment horizontal="center" vertical="center"/>
    </xf>
    <xf numFmtId="166" fontId="35" fillId="0" borderId="0" xfId="0" applyNumberFormat="1" applyFont="1" applyAlignment="1">
      <alignment vertical="center"/>
    </xf>
    <xf numFmtId="9" fontId="25" fillId="18" borderId="0" xfId="0" applyNumberFormat="1" applyFont="1" applyFill="1" applyAlignment="1">
      <alignment vertical="center"/>
    </xf>
    <xf numFmtId="10" fontId="25" fillId="18" borderId="0" xfId="0" applyNumberFormat="1" applyFont="1" applyFill="1" applyAlignment="1">
      <alignment horizontal="center" vertical="center"/>
    </xf>
    <xf numFmtId="0" fontId="50" fillId="0" borderId="0" xfId="0" applyFont="1" applyAlignment="1">
      <alignment horizontal="center" vertical="center"/>
    </xf>
    <xf numFmtId="0" fontId="50" fillId="0" borderId="0" xfId="0" applyFont="1" applyAlignment="1">
      <alignment vertical="center"/>
    </xf>
    <xf numFmtId="0" fontId="9" fillId="0" borderId="0" xfId="0" applyFont="1"/>
    <xf numFmtId="10" fontId="9" fillId="0" borderId="0" xfId="0" applyNumberFormat="1" applyFont="1"/>
    <xf numFmtId="0" fontId="9" fillId="3" borderId="0" xfId="0" applyFont="1" applyFill="1"/>
    <xf numFmtId="0" fontId="35" fillId="0" borderId="0" xfId="0" applyFont="1" applyAlignment="1">
      <alignment horizontal="center"/>
    </xf>
    <xf numFmtId="0" fontId="36" fillId="0" borderId="0" xfId="0" quotePrefix="1" applyFont="1" applyAlignment="1">
      <alignment horizontal="center" vertical="center"/>
    </xf>
    <xf numFmtId="10" fontId="35" fillId="0" borderId="0" xfId="0" applyNumberFormat="1" applyFont="1" applyAlignment="1">
      <alignment horizontal="center" vertical="center"/>
    </xf>
    <xf numFmtId="0" fontId="51" fillId="18" borderId="0" xfId="0" applyFont="1" applyFill="1" applyAlignment="1">
      <alignment horizontal="left" vertical="center"/>
    </xf>
    <xf numFmtId="0" fontId="3" fillId="18" borderId="0" xfId="0" applyFont="1" applyFill="1" applyAlignment="1">
      <alignment horizontal="center" vertical="center"/>
    </xf>
    <xf numFmtId="0" fontId="35" fillId="18" borderId="0" xfId="0" applyFont="1" applyFill="1" applyAlignment="1">
      <alignment horizontal="center" vertical="center"/>
    </xf>
    <xf numFmtId="0" fontId="33" fillId="0" borderId="0" xfId="0" applyFont="1" applyAlignment="1">
      <alignment vertical="center"/>
    </xf>
    <xf numFmtId="0" fontId="11" fillId="3" borderId="0" xfId="0" applyFont="1" applyFill="1" applyAlignment="1">
      <alignment vertical="center"/>
    </xf>
    <xf numFmtId="0" fontId="52" fillId="0" borderId="0" xfId="0" applyFont="1" applyAlignment="1">
      <alignment horizontal="center" vertical="center"/>
    </xf>
    <xf numFmtId="0" fontId="52" fillId="0" borderId="0" xfId="0" applyFont="1" applyAlignment="1">
      <alignment vertical="center"/>
    </xf>
    <xf numFmtId="10" fontId="35" fillId="0" borderId="0" xfId="0" applyNumberFormat="1" applyFont="1" applyAlignment="1">
      <alignment vertical="center"/>
    </xf>
    <xf numFmtId="3" fontId="2" fillId="0" borderId="42" xfId="0" applyNumberFormat="1" applyFont="1" applyBorder="1" applyAlignment="1">
      <alignment horizontal="left"/>
    </xf>
    <xf numFmtId="3" fontId="2" fillId="0" borderId="42" xfId="0" applyNumberFormat="1" applyFont="1" applyBorder="1" applyAlignment="1">
      <alignment horizontal="center"/>
    </xf>
    <xf numFmtId="3" fontId="2" fillId="0" borderId="42" xfId="0" applyNumberFormat="1" applyFont="1" applyBorder="1" applyAlignment="1"/>
    <xf numFmtId="3" fontId="2" fillId="2" borderId="0" xfId="0" applyNumberFormat="1" applyFont="1" applyFill="1" applyAlignment="1">
      <alignment horizontal="center"/>
    </xf>
    <xf numFmtId="3" fontId="8" fillId="0" borderId="19" xfId="0" applyNumberFormat="1" applyFont="1" applyBorder="1" applyAlignment="1"/>
    <xf numFmtId="3" fontId="2" fillId="0" borderId="20" xfId="0" applyNumberFormat="1" applyFont="1" applyBorder="1" applyAlignment="1"/>
    <xf numFmtId="3" fontId="2" fillId="0" borderId="21" xfId="0" applyNumberFormat="1" applyFont="1" applyBorder="1" applyAlignment="1"/>
    <xf numFmtId="3" fontId="2" fillId="0" borderId="23" xfId="0" applyNumberFormat="1" applyFont="1" applyBorder="1" applyAlignment="1"/>
    <xf numFmtId="3" fontId="2" fillId="0" borderId="24" xfId="0" applyNumberFormat="1" applyFont="1" applyBorder="1" applyAlignment="1"/>
    <xf numFmtId="3" fontId="2" fillId="0" borderId="23" xfId="0" applyNumberFormat="1" applyFont="1" applyBorder="1" applyAlignment="1"/>
    <xf numFmtId="3" fontId="8" fillId="0" borderId="23" xfId="0" applyNumberFormat="1" applyFont="1" applyBorder="1" applyAlignment="1"/>
    <xf numFmtId="3" fontId="2" fillId="0" borderId="25" xfId="0" applyNumberFormat="1" applyFont="1" applyBorder="1" applyAlignment="1"/>
    <xf numFmtId="3" fontId="2" fillId="0" borderId="26" xfId="0" applyNumberFormat="1" applyFont="1" applyBorder="1" applyAlignment="1"/>
    <xf numFmtId="3" fontId="2" fillId="0" borderId="27" xfId="0" applyNumberFormat="1" applyFont="1" applyBorder="1" applyAlignment="1"/>
    <xf numFmtId="0" fontId="13" fillId="11" borderId="42" xfId="0" applyFont="1" applyFill="1" applyBorder="1" applyAlignment="1"/>
    <xf numFmtId="0" fontId="13" fillId="11" borderId="0" xfId="0" applyFont="1" applyFill="1" applyAlignment="1"/>
    <xf numFmtId="3" fontId="46" fillId="19" borderId="0" xfId="0" applyNumberFormat="1" applyFont="1" applyFill="1" applyAlignment="1">
      <alignment horizontal="center"/>
    </xf>
    <xf numFmtId="0" fontId="4" fillId="3" borderId="0" xfId="0" applyFont="1" applyFill="1" applyAlignment="1">
      <alignment horizontal="left"/>
    </xf>
    <xf numFmtId="171" fontId="2" fillId="0" borderId="0" xfId="0" applyNumberFormat="1" applyFont="1" applyAlignment="1"/>
    <xf numFmtId="171" fontId="28" fillId="0" borderId="0" xfId="0" applyNumberFormat="1" applyFont="1" applyAlignment="1"/>
    <xf numFmtId="0" fontId="2" fillId="0" borderId="0" xfId="0" applyFont="1" applyAlignment="1"/>
    <xf numFmtId="0" fontId="2" fillId="0" borderId="0" xfId="0" applyFont="1" applyAlignment="1"/>
    <xf numFmtId="3" fontId="2" fillId="0" borderId="0" xfId="0" applyNumberFormat="1" applyFont="1" applyAlignment="1"/>
    <xf numFmtId="3" fontId="2" fillId="0" borderId="0" xfId="0" applyNumberFormat="1" applyFont="1" applyAlignment="1">
      <alignment horizontal="right"/>
    </xf>
    <xf numFmtId="3" fontId="2" fillId="0" borderId="0" xfId="0" applyNumberFormat="1" applyFont="1" applyAlignment="1"/>
    <xf numFmtId="3" fontId="2" fillId="0" borderId="0" xfId="0" applyNumberFormat="1" applyFont="1" applyAlignment="1"/>
    <xf numFmtId="10" fontId="15" fillId="2" borderId="0" xfId="0" applyNumberFormat="1" applyFont="1" applyFill="1" applyAlignment="1">
      <alignment horizontal="center" vertical="center"/>
    </xf>
    <xf numFmtId="10" fontId="2" fillId="2" borderId="78" xfId="0" applyNumberFormat="1" applyFont="1" applyFill="1" applyBorder="1" applyAlignment="1">
      <alignment horizontal="center" vertical="center"/>
    </xf>
    <xf numFmtId="10" fontId="2" fillId="2" borderId="79" xfId="0" applyNumberFormat="1" applyFont="1" applyFill="1" applyBorder="1" applyAlignment="1">
      <alignment horizontal="center" vertical="center"/>
    </xf>
    <xf numFmtId="0" fontId="53" fillId="0" borderId="0" xfId="0" applyFont="1" applyAlignment="1">
      <alignment horizontal="center" vertical="center"/>
    </xf>
    <xf numFmtId="10" fontId="2" fillId="2" borderId="80" xfId="0" applyNumberFormat="1" applyFont="1" applyFill="1" applyBorder="1" applyAlignment="1">
      <alignment horizontal="center" vertical="center"/>
    </xf>
    <xf numFmtId="10" fontId="2" fillId="2" borderId="81" xfId="0" applyNumberFormat="1" applyFont="1" applyFill="1" applyBorder="1" applyAlignment="1">
      <alignment horizontal="center" vertical="center"/>
    </xf>
    <xf numFmtId="10" fontId="2" fillId="2" borderId="82" xfId="0" applyNumberFormat="1" applyFont="1" applyFill="1" applyBorder="1" applyAlignment="1">
      <alignment horizontal="center" vertical="center"/>
    </xf>
    <xf numFmtId="10" fontId="2" fillId="2" borderId="83" xfId="0" applyNumberFormat="1" applyFont="1" applyFill="1" applyBorder="1" applyAlignment="1">
      <alignment horizontal="center" vertical="center"/>
    </xf>
    <xf numFmtId="9" fontId="35" fillId="0" borderId="0" xfId="0" applyNumberFormat="1" applyFont="1" applyAlignment="1">
      <alignment horizontal="center" vertical="center"/>
    </xf>
    <xf numFmtId="0" fontId="17" fillId="0" borderId="0" xfId="0" applyFont="1" applyAlignment="1">
      <alignment vertical="center"/>
    </xf>
    <xf numFmtId="0" fontId="42" fillId="0" borderId="0" xfId="0" applyFont="1" applyAlignment="1">
      <alignment vertical="center"/>
    </xf>
    <xf numFmtId="0" fontId="42" fillId="0" borderId="0" xfId="0" applyFont="1" applyAlignment="1">
      <alignment vertical="center"/>
    </xf>
    <xf numFmtId="0" fontId="18" fillId="11" borderId="0" xfId="0" applyFont="1" applyFill="1" applyAlignment="1">
      <alignment vertical="center"/>
    </xf>
    <xf numFmtId="0" fontId="25" fillId="11" borderId="0" xfId="0" applyFont="1" applyFill="1" applyAlignment="1">
      <alignment vertical="center"/>
    </xf>
    <xf numFmtId="0" fontId="3" fillId="11" borderId="0" xfId="0" applyFont="1" applyFill="1" applyAlignment="1">
      <alignment vertical="center"/>
    </xf>
    <xf numFmtId="0" fontId="25" fillId="11" borderId="0" xfId="0" applyFont="1" applyFill="1" applyAlignment="1">
      <alignment vertical="center"/>
    </xf>
    <xf numFmtId="0" fontId="2" fillId="11" borderId="0" xfId="0" applyFont="1" applyFill="1" applyAlignment="1">
      <alignment horizontal="right" vertical="center"/>
    </xf>
    <xf numFmtId="0" fontId="2" fillId="11" borderId="0" xfId="0" applyFont="1" applyFill="1" applyAlignment="1">
      <alignment vertical="center"/>
    </xf>
    <xf numFmtId="0" fontId="30" fillId="0" borderId="0" xfId="0" applyFont="1" applyAlignment="1">
      <alignment vertical="center"/>
    </xf>
    <xf numFmtId="0" fontId="54" fillId="0" borderId="0" xfId="0" applyFont="1" applyAlignment="1">
      <alignment vertical="center"/>
    </xf>
    <xf numFmtId="0" fontId="30" fillId="0" borderId="0" xfId="0" applyFont="1" applyAlignment="1">
      <alignment vertical="center"/>
    </xf>
    <xf numFmtId="0" fontId="55" fillId="0" borderId="84" xfId="0" applyFont="1" applyBorder="1" applyAlignment="1">
      <alignment vertical="center"/>
    </xf>
    <xf numFmtId="0" fontId="56" fillId="19" borderId="85" xfId="0" applyFont="1" applyFill="1" applyBorder="1" applyAlignment="1">
      <alignment horizontal="center" vertical="center"/>
    </xf>
    <xf numFmtId="0" fontId="18" fillId="8" borderId="0" xfId="0" applyFont="1" applyFill="1" applyAlignment="1">
      <alignment vertical="center"/>
    </xf>
    <xf numFmtId="0" fontId="25" fillId="8" borderId="0" xfId="0" applyFont="1" applyFill="1" applyAlignment="1">
      <alignment vertical="center"/>
    </xf>
    <xf numFmtId="0" fontId="3" fillId="8" borderId="0" xfId="0" applyFont="1" applyFill="1" applyAlignment="1">
      <alignment vertical="center"/>
    </xf>
    <xf numFmtId="0" fontId="25" fillId="8" borderId="0" xfId="0" applyFont="1" applyFill="1" applyAlignment="1">
      <alignment vertical="center"/>
    </xf>
    <xf numFmtId="0" fontId="2" fillId="8" borderId="0" xfId="0" applyFont="1" applyFill="1" applyAlignment="1">
      <alignment vertical="center"/>
    </xf>
    <xf numFmtId="0" fontId="2" fillId="8" borderId="0" xfId="0" applyFont="1" applyFill="1" applyAlignment="1">
      <alignment horizontal="right" vertical="center"/>
    </xf>
    <xf numFmtId="0" fontId="2" fillId="8" borderId="0" xfId="0" applyFont="1" applyFill="1" applyAlignment="1">
      <alignment vertical="center"/>
    </xf>
    <xf numFmtId="0" fontId="55" fillId="0" borderId="86" xfId="0" applyFont="1" applyBorder="1" applyAlignment="1">
      <alignment vertical="center"/>
    </xf>
    <xf numFmtId="0" fontId="19" fillId="19" borderId="87" xfId="0" applyFont="1" applyFill="1" applyBorder="1" applyAlignment="1">
      <alignment horizontal="center" vertical="center"/>
    </xf>
    <xf numFmtId="0" fontId="20" fillId="0" borderId="62" xfId="0" applyFont="1" applyBorder="1" applyAlignment="1">
      <alignment horizontal="center" vertical="center"/>
    </xf>
    <xf numFmtId="0" fontId="39" fillId="0" borderId="0" xfId="0" applyFont="1" applyAlignment="1">
      <alignment vertical="center"/>
    </xf>
    <xf numFmtId="0" fontId="55" fillId="0" borderId="88" xfId="0" applyFont="1" applyBorder="1" applyAlignment="1">
      <alignment vertical="center"/>
    </xf>
    <xf numFmtId="10" fontId="19" fillId="19" borderId="89" xfId="0" applyNumberFormat="1" applyFont="1" applyFill="1" applyBorder="1" applyAlignment="1">
      <alignment horizontal="center" vertical="center"/>
    </xf>
    <xf numFmtId="10" fontId="39" fillId="0" borderId="0" xfId="0" applyNumberFormat="1" applyFont="1" applyAlignment="1">
      <alignment horizontal="center" vertical="center"/>
    </xf>
    <xf numFmtId="172" fontId="56" fillId="19" borderId="89" xfId="0" applyNumberFormat="1" applyFont="1" applyFill="1" applyBorder="1" applyAlignment="1">
      <alignment horizontal="center" vertical="center"/>
    </xf>
    <xf numFmtId="10" fontId="56" fillId="19" borderId="89" xfId="0" applyNumberFormat="1" applyFont="1" applyFill="1" applyBorder="1" applyAlignment="1">
      <alignment horizontal="center" vertical="center"/>
    </xf>
    <xf numFmtId="0" fontId="55" fillId="0" borderId="90" xfId="0" applyFont="1" applyBorder="1" applyAlignment="1">
      <alignment vertical="center"/>
    </xf>
    <xf numFmtId="10" fontId="19" fillId="19" borderId="91" xfId="0" applyNumberFormat="1" applyFont="1" applyFill="1" applyBorder="1" applyAlignment="1">
      <alignment horizontal="center" vertical="center"/>
    </xf>
    <xf numFmtId="0" fontId="55" fillId="0" borderId="92" xfId="0" applyFont="1" applyBorder="1" applyAlignment="1">
      <alignment vertical="center"/>
    </xf>
    <xf numFmtId="164" fontId="19" fillId="19" borderId="87" xfId="0" applyNumberFormat="1" applyFont="1" applyFill="1" applyBorder="1" applyAlignment="1">
      <alignment horizontal="center" vertical="center"/>
    </xf>
    <xf numFmtId="0" fontId="55" fillId="0" borderId="93" xfId="0" applyFont="1" applyBorder="1" applyAlignment="1">
      <alignment vertical="center"/>
    </xf>
    <xf numFmtId="1" fontId="57" fillId="19" borderId="89" xfId="0" applyNumberFormat="1" applyFont="1" applyFill="1" applyBorder="1" applyAlignment="1">
      <alignment horizontal="center" vertical="center"/>
    </xf>
    <xf numFmtId="0" fontId="17" fillId="0" borderId="94" xfId="0" applyFont="1" applyBorder="1" applyAlignment="1">
      <alignment horizontal="center" vertical="center"/>
    </xf>
    <xf numFmtId="0" fontId="14" fillId="0" borderId="94" xfId="0" applyFont="1" applyBorder="1" applyAlignment="1">
      <alignment horizontal="left" vertical="center"/>
    </xf>
    <xf numFmtId="0" fontId="42" fillId="0" borderId="0" xfId="0" applyFont="1" applyAlignment="1">
      <alignment horizontal="right" vertical="center"/>
    </xf>
    <xf numFmtId="0" fontId="42" fillId="0" borderId="0" xfId="0" applyFont="1" applyAlignment="1">
      <alignment horizontal="center" vertical="center"/>
    </xf>
    <xf numFmtId="10" fontId="42" fillId="0" borderId="0" xfId="0" applyNumberFormat="1" applyFont="1" applyAlignment="1">
      <alignment horizontal="center" vertical="center"/>
    </xf>
    <xf numFmtId="0" fontId="17" fillId="2" borderId="0" xfId="0" applyFont="1" applyFill="1" applyAlignment="1">
      <alignment horizontal="center" vertical="center"/>
    </xf>
    <xf numFmtId="10" fontId="42" fillId="2" borderId="0" xfId="0" applyNumberFormat="1" applyFont="1" applyFill="1" applyAlignment="1">
      <alignment horizontal="center" vertical="center"/>
    </xf>
    <xf numFmtId="10" fontId="39" fillId="2" borderId="0" xfId="0" applyNumberFormat="1" applyFont="1" applyFill="1" applyAlignment="1">
      <alignment horizontal="center" vertical="center"/>
    </xf>
    <xf numFmtId="1" fontId="39" fillId="0" borderId="0" xfId="0" applyNumberFormat="1" applyFont="1" applyAlignment="1">
      <alignment vertical="center"/>
    </xf>
    <xf numFmtId="0" fontId="17" fillId="0" borderId="0" xfId="0" applyFont="1" applyAlignment="1">
      <alignment horizontal="center" vertical="center"/>
    </xf>
    <xf numFmtId="0" fontId="42" fillId="6" borderId="0" xfId="0" applyFont="1" applyFill="1" applyAlignment="1">
      <alignment horizontal="right" vertical="center"/>
    </xf>
    <xf numFmtId="0" fontId="19" fillId="19" borderId="73" xfId="0" applyFont="1" applyFill="1" applyBorder="1" applyAlignment="1">
      <alignment horizontal="center" vertical="center"/>
    </xf>
    <xf numFmtId="172" fontId="19" fillId="19" borderId="89" xfId="0" applyNumberFormat="1" applyFont="1" applyFill="1" applyBorder="1" applyAlignment="1">
      <alignment horizontal="center" vertical="center"/>
    </xf>
    <xf numFmtId="0" fontId="39" fillId="0" borderId="0" xfId="0" applyFont="1" applyAlignment="1">
      <alignment vertical="center"/>
    </xf>
    <xf numFmtId="164" fontId="57" fillId="19" borderId="85" xfId="0" applyNumberFormat="1" applyFont="1" applyFill="1" applyBorder="1" applyAlignment="1">
      <alignment horizontal="center" vertical="center"/>
    </xf>
    <xf numFmtId="10" fontId="7" fillId="0" borderId="0" xfId="0" applyNumberFormat="1" applyFont="1" applyAlignment="1">
      <alignment horizontal="center" vertical="center"/>
    </xf>
    <xf numFmtId="9" fontId="35" fillId="0" borderId="0" xfId="0" applyNumberFormat="1" applyFont="1" applyAlignment="1">
      <alignment horizontal="center" vertical="center"/>
    </xf>
    <xf numFmtId="0" fontId="12" fillId="0" borderId="0" xfId="0" applyFont="1" applyAlignment="1">
      <alignment horizontal="center"/>
    </xf>
    <xf numFmtId="0" fontId="24" fillId="0" borderId="0" xfId="0" applyFont="1" applyAlignment="1">
      <alignment horizontal="center"/>
    </xf>
    <xf numFmtId="0" fontId="46" fillId="14" borderId="0" xfId="0" applyFont="1" applyFill="1" applyAlignment="1">
      <alignment horizontal="center"/>
    </xf>
    <xf numFmtId="0" fontId="2" fillId="0" borderId="95" xfId="0" applyFont="1" applyBorder="1" applyAlignment="1">
      <alignment horizontal="center" vertical="center"/>
    </xf>
    <xf numFmtId="0" fontId="8" fillId="0" borderId="0" xfId="0" applyFont="1" applyAlignment="1">
      <alignment horizontal="center"/>
    </xf>
    <xf numFmtId="10" fontId="12" fillId="0" borderId="0" xfId="0" applyNumberFormat="1" applyFont="1" applyAlignment="1">
      <alignment horizontal="center"/>
    </xf>
    <xf numFmtId="0" fontId="2" fillId="0" borderId="0" xfId="0" applyFont="1" applyAlignment="1">
      <alignment horizontal="center"/>
    </xf>
    <xf numFmtId="0" fontId="8" fillId="0" borderId="0" xfId="0" applyFont="1" applyAlignment="1">
      <alignment horizontal="center"/>
    </xf>
    <xf numFmtId="0" fontId="55" fillId="0" borderId="73" xfId="0" applyFont="1" applyBorder="1" applyAlignment="1">
      <alignment vertical="center"/>
    </xf>
    <xf numFmtId="10" fontId="2" fillId="0" borderId="0" xfId="0" applyNumberFormat="1" applyFont="1"/>
    <xf numFmtId="0" fontId="19" fillId="19" borderId="44" xfId="0" applyFont="1" applyFill="1" applyBorder="1" applyAlignment="1">
      <alignment horizontal="center" vertical="center"/>
    </xf>
    <xf numFmtId="10" fontId="12" fillId="0" borderId="0" xfId="0" applyNumberFormat="1" applyFont="1" applyAlignment="1">
      <alignment horizontal="center"/>
    </xf>
    <xf numFmtId="0" fontId="55" fillId="0" borderId="96" xfId="0" applyFont="1" applyBorder="1" applyAlignment="1">
      <alignment vertical="center"/>
    </xf>
    <xf numFmtId="0" fontId="55" fillId="0" borderId="0" xfId="0" applyFont="1" applyAlignment="1">
      <alignment vertical="center"/>
    </xf>
    <xf numFmtId="10" fontId="19" fillId="19" borderId="96" xfId="0" applyNumberFormat="1" applyFont="1" applyFill="1" applyBorder="1" applyAlignment="1">
      <alignment horizontal="center" vertical="center"/>
    </xf>
    <xf numFmtId="172" fontId="19" fillId="19" borderId="96" xfId="0" applyNumberFormat="1" applyFont="1" applyFill="1" applyBorder="1" applyAlignment="1">
      <alignment horizontal="center" vertical="center"/>
    </xf>
    <xf numFmtId="10" fontId="19" fillId="19" borderId="74" xfId="0" applyNumberFormat="1" applyFont="1" applyFill="1" applyBorder="1" applyAlignment="1">
      <alignment horizontal="center" vertical="center"/>
    </xf>
    <xf numFmtId="0" fontId="55" fillId="0" borderId="74" xfId="0" applyFont="1" applyBorder="1" applyAlignment="1">
      <alignment vertical="center"/>
    </xf>
    <xf numFmtId="164" fontId="57" fillId="19" borderId="44" xfId="0" applyNumberFormat="1" applyFont="1" applyFill="1" applyBorder="1" applyAlignment="1">
      <alignment horizontal="center" vertical="center"/>
    </xf>
    <xf numFmtId="0" fontId="14" fillId="0" borderId="0" xfId="0" applyFont="1" applyAlignment="1">
      <alignment horizontal="center" vertical="center"/>
    </xf>
    <xf numFmtId="0" fontId="14" fillId="0" borderId="94" xfId="0" applyFont="1" applyBorder="1" applyAlignment="1">
      <alignment horizontal="center" vertical="center"/>
    </xf>
    <xf numFmtId="10" fontId="55" fillId="2" borderId="0" xfId="0" applyNumberFormat="1" applyFont="1" applyFill="1" applyAlignment="1">
      <alignment horizontal="center" vertical="center"/>
    </xf>
    <xf numFmtId="10" fontId="20" fillId="2" borderId="0" xfId="0" applyNumberFormat="1" applyFont="1" applyFill="1" applyAlignment="1">
      <alignment horizontal="center" vertical="center"/>
    </xf>
    <xf numFmtId="0" fontId="14" fillId="2" borderId="0" xfId="0" applyFont="1" applyFill="1" applyAlignment="1">
      <alignment horizontal="center" vertical="center"/>
    </xf>
    <xf numFmtId="10" fontId="39" fillId="0" borderId="0" xfId="0" applyNumberFormat="1" applyFont="1" applyAlignment="1">
      <alignment vertical="center"/>
    </xf>
    <xf numFmtId="168" fontId="35" fillId="0" borderId="0" xfId="0" applyNumberFormat="1" applyFont="1" applyAlignment="1">
      <alignment horizontal="center" vertical="center"/>
    </xf>
    <xf numFmtId="10" fontId="15" fillId="2" borderId="0" xfId="0" applyNumberFormat="1" applyFont="1" applyFill="1" applyAlignment="1">
      <alignment horizontal="center" vertical="center" wrapText="1"/>
    </xf>
    <xf numFmtId="0" fontId="2" fillId="0" borderId="97" xfId="0" applyFont="1" applyBorder="1" applyAlignment="1">
      <alignment vertical="center"/>
    </xf>
    <xf numFmtId="0" fontId="2" fillId="0" borderId="98" xfId="0" applyFont="1" applyBorder="1" applyAlignment="1">
      <alignment vertical="center"/>
    </xf>
    <xf numFmtId="0" fontId="16" fillId="0" borderId="42" xfId="0" applyFont="1" applyBorder="1" applyAlignment="1"/>
    <xf numFmtId="0" fontId="2" fillId="0" borderId="42" xfId="0" applyFont="1" applyBorder="1" applyAlignment="1"/>
    <xf numFmtId="10" fontId="8" fillId="0" borderId="0" xfId="0" applyNumberFormat="1" applyFont="1" applyAlignment="1">
      <alignment horizontal="right"/>
    </xf>
    <xf numFmtId="0" fontId="2" fillId="0" borderId="42" xfId="0" applyFont="1" applyBorder="1" applyAlignment="1"/>
    <xf numFmtId="0" fontId="31" fillId="0" borderId="42" xfId="0" applyFont="1" applyBorder="1" applyAlignment="1"/>
    <xf numFmtId="0" fontId="31" fillId="0" borderId="0" xfId="0" applyFont="1" applyAlignment="1"/>
    <xf numFmtId="0" fontId="16" fillId="0" borderId="0" xfId="0" applyFont="1" applyAlignment="1"/>
    <xf numFmtId="0" fontId="16" fillId="13" borderId="0" xfId="0" applyFont="1" applyFill="1" applyAlignment="1"/>
    <xf numFmtId="0" fontId="2" fillId="13" borderId="0" xfId="0" applyFont="1" applyFill="1" applyAlignment="1"/>
    <xf numFmtId="0" fontId="2" fillId="13" borderId="42" xfId="0" applyFont="1" applyFill="1" applyBorder="1" applyAlignment="1"/>
    <xf numFmtId="0" fontId="2" fillId="13" borderId="42" xfId="0" applyFont="1" applyFill="1" applyBorder="1" applyAlignment="1"/>
    <xf numFmtId="0" fontId="31" fillId="13" borderId="0" xfId="0" applyFont="1" applyFill="1" applyAlignment="1"/>
    <xf numFmtId="0" fontId="8" fillId="0" borderId="42" xfId="0" applyFont="1" applyBorder="1" applyAlignment="1"/>
    <xf numFmtId="0" fontId="8" fillId="0" borderId="0" xfId="0" applyFont="1" applyAlignment="1">
      <alignment horizontal="right"/>
    </xf>
    <xf numFmtId="0" fontId="12" fillId="0" borderId="0" xfId="0" applyFont="1" applyAlignment="1">
      <alignment horizontal="right"/>
    </xf>
    <xf numFmtId="10" fontId="2" fillId="0" borderId="0" xfId="0" applyNumberFormat="1" applyFont="1" applyAlignment="1">
      <alignment horizontal="right"/>
    </xf>
    <xf numFmtId="0" fontId="2" fillId="0" borderId="100" xfId="0" applyFont="1" applyBorder="1" applyAlignment="1"/>
    <xf numFmtId="0" fontId="2" fillId="0" borderId="101" xfId="0" applyFont="1" applyBorder="1" applyAlignment="1"/>
    <xf numFmtId="0" fontId="12" fillId="0" borderId="101" xfId="0" applyFont="1" applyBorder="1" applyAlignment="1">
      <alignment horizontal="right"/>
    </xf>
    <xf numFmtId="10" fontId="2" fillId="0" borderId="101" xfId="0" applyNumberFormat="1" applyFont="1" applyBorder="1" applyAlignment="1">
      <alignment horizontal="right"/>
    </xf>
    <xf numFmtId="0" fontId="2" fillId="0" borderId="102" xfId="0" applyFont="1" applyBorder="1" applyAlignment="1"/>
    <xf numFmtId="10" fontId="2" fillId="0" borderId="103" xfId="0" applyNumberFormat="1" applyFont="1" applyBorder="1" applyAlignment="1">
      <alignment horizontal="right"/>
    </xf>
    <xf numFmtId="10" fontId="2" fillId="0" borderId="102" xfId="0" applyNumberFormat="1" applyFont="1" applyBorder="1" applyAlignment="1">
      <alignment horizontal="right"/>
    </xf>
    <xf numFmtId="0" fontId="8" fillId="0" borderId="0" xfId="0" applyFont="1" applyAlignment="1"/>
    <xf numFmtId="0" fontId="58" fillId="13" borderId="42" xfId="0" applyFont="1" applyFill="1" applyBorder="1" applyAlignment="1"/>
    <xf numFmtId="0" fontId="19" fillId="19" borderId="0" xfId="0" applyFont="1" applyFill="1" applyAlignment="1">
      <alignment horizontal="center" vertical="center"/>
    </xf>
    <xf numFmtId="10" fontId="19" fillId="19" borderId="104" xfId="0" applyNumberFormat="1" applyFont="1" applyFill="1" applyBorder="1" applyAlignment="1">
      <alignment horizontal="center" vertical="center"/>
    </xf>
    <xf numFmtId="10" fontId="19" fillId="19" borderId="105" xfId="0" applyNumberFormat="1" applyFont="1" applyFill="1" applyBorder="1" applyAlignment="1">
      <alignment horizontal="center" vertical="center"/>
    </xf>
    <xf numFmtId="10" fontId="19" fillId="19" borderId="106" xfId="0" applyNumberFormat="1" applyFont="1" applyFill="1" applyBorder="1" applyAlignment="1">
      <alignment horizontal="center" vertical="center"/>
    </xf>
    <xf numFmtId="10" fontId="19" fillId="19" borderId="0" xfId="0" applyNumberFormat="1" applyFont="1" applyFill="1" applyAlignment="1">
      <alignment horizontal="center" vertical="center"/>
    </xf>
    <xf numFmtId="172" fontId="19" fillId="19" borderId="68" xfId="0" applyNumberFormat="1" applyFont="1" applyFill="1" applyBorder="1" applyAlignment="1">
      <alignment horizontal="center" vertical="center"/>
    </xf>
    <xf numFmtId="172" fontId="19" fillId="19" borderId="0" xfId="0" applyNumberFormat="1" applyFont="1" applyFill="1" applyAlignment="1">
      <alignment horizontal="center" vertical="center"/>
    </xf>
    <xf numFmtId="10" fontId="19" fillId="19" borderId="68" xfId="0" applyNumberFormat="1" applyFont="1" applyFill="1" applyBorder="1" applyAlignment="1">
      <alignment horizontal="center" vertical="center"/>
    </xf>
    <xf numFmtId="10" fontId="19" fillId="19" borderId="70" xfId="0" applyNumberFormat="1" applyFont="1" applyFill="1" applyBorder="1" applyAlignment="1">
      <alignment horizontal="center" vertical="center"/>
    </xf>
    <xf numFmtId="164" fontId="57" fillId="19" borderId="75" xfId="0" applyNumberFormat="1" applyFont="1" applyFill="1" applyBorder="1" applyAlignment="1">
      <alignment horizontal="center" vertical="center"/>
    </xf>
    <xf numFmtId="164" fontId="57" fillId="19" borderId="0" xfId="0" applyNumberFormat="1" applyFont="1" applyFill="1" applyAlignment="1">
      <alignment horizontal="center" vertical="center"/>
    </xf>
    <xf numFmtId="10" fontId="14" fillId="0" borderId="94" xfId="0" applyNumberFormat="1" applyFont="1" applyBorder="1" applyAlignment="1">
      <alignment horizontal="center" vertical="center"/>
    </xf>
    <xf numFmtId="10" fontId="14" fillId="0" borderId="94" xfId="0" applyNumberFormat="1" applyFont="1" applyBorder="1" applyAlignment="1">
      <alignment horizontal="left" vertical="center"/>
    </xf>
    <xf numFmtId="0" fontId="59" fillId="0" borderId="0" xfId="0" applyFont="1" applyAlignment="1">
      <alignment horizontal="center" vertical="center"/>
    </xf>
    <xf numFmtId="10" fontId="2" fillId="2" borderId="0" xfId="0" applyNumberFormat="1" applyFont="1" applyFill="1" applyAlignment="1">
      <alignment horizontal="center" vertical="center"/>
    </xf>
    <xf numFmtId="10" fontId="2" fillId="2" borderId="107" xfId="0" applyNumberFormat="1" applyFont="1" applyFill="1" applyBorder="1" applyAlignment="1">
      <alignment horizontal="center" vertical="center"/>
    </xf>
    <xf numFmtId="10" fontId="2" fillId="2" borderId="108" xfId="0" applyNumberFormat="1" applyFont="1" applyFill="1" applyBorder="1" applyAlignment="1">
      <alignment horizontal="center" vertical="center"/>
    </xf>
    <xf numFmtId="0" fontId="2" fillId="0" borderId="42" xfId="0" applyFont="1" applyBorder="1" applyAlignment="1">
      <alignment vertical="center"/>
    </xf>
    <xf numFmtId="10" fontId="2" fillId="2" borderId="109" xfId="0" applyNumberFormat="1" applyFont="1" applyFill="1" applyBorder="1" applyAlignment="1">
      <alignment horizontal="center" vertical="center"/>
    </xf>
    <xf numFmtId="10" fontId="2" fillId="2" borderId="102" xfId="0" applyNumberFormat="1" applyFont="1" applyFill="1" applyBorder="1" applyAlignment="1">
      <alignment horizontal="center" vertical="center"/>
    </xf>
    <xf numFmtId="10" fontId="2" fillId="2" borderId="110" xfId="0" applyNumberFormat="1" applyFont="1" applyFill="1" applyBorder="1" applyAlignment="1">
      <alignment horizontal="center" vertical="center"/>
    </xf>
    <xf numFmtId="10" fontId="2" fillId="2" borderId="103" xfId="0" applyNumberFormat="1" applyFont="1" applyFill="1" applyBorder="1" applyAlignment="1">
      <alignment horizontal="center" vertical="center"/>
    </xf>
    <xf numFmtId="0" fontId="4" fillId="0" borderId="0" xfId="0" applyFont="1" applyAlignment="1">
      <alignment horizontal="right" vertical="center"/>
    </xf>
    <xf numFmtId="9" fontId="4" fillId="0" borderId="0" xfId="0" applyNumberFormat="1" applyFont="1" applyAlignment="1">
      <alignment vertical="center"/>
    </xf>
    <xf numFmtId="10" fontId="4" fillId="0" borderId="0" xfId="0" applyNumberFormat="1" applyFont="1" applyAlignment="1">
      <alignment horizontal="center" vertical="center"/>
    </xf>
    <xf numFmtId="9" fontId="4" fillId="0" borderId="0" xfId="0" applyNumberFormat="1" applyFont="1" applyAlignment="1">
      <alignment horizontal="center" vertical="center"/>
    </xf>
    <xf numFmtId="0" fontId="25" fillId="18" borderId="0" xfId="0" applyFont="1" applyFill="1" applyAlignment="1">
      <alignment vertical="center"/>
    </xf>
    <xf numFmtId="0" fontId="8" fillId="6" borderId="0" xfId="0" applyFont="1" applyFill="1" applyAlignment="1">
      <alignment vertical="center"/>
    </xf>
    <xf numFmtId="0" fontId="8" fillId="6" borderId="0" xfId="0" applyFont="1" applyFill="1" applyAlignment="1">
      <alignment vertical="center"/>
    </xf>
    <xf numFmtId="10" fontId="8" fillId="6" borderId="0" xfId="0" applyNumberFormat="1" applyFont="1" applyFill="1" applyAlignment="1">
      <alignment horizontal="center" vertical="center"/>
    </xf>
    <xf numFmtId="0" fontId="8" fillId="6" borderId="0" xfId="0" applyFont="1" applyFill="1" applyAlignment="1">
      <alignment horizontal="center" vertical="center"/>
    </xf>
    <xf numFmtId="10" fontId="2" fillId="2" borderId="0" xfId="0" applyNumberFormat="1" applyFont="1" applyFill="1" applyAlignment="1">
      <alignment horizontal="center" vertical="center"/>
    </xf>
    <xf numFmtId="9" fontId="35" fillId="0" borderId="0" xfId="0" applyNumberFormat="1" applyFont="1" applyAlignment="1">
      <alignment vertical="center"/>
    </xf>
    <xf numFmtId="0" fontId="11" fillId="0" borderId="62" xfId="0" applyFont="1" applyBorder="1" applyAlignment="1">
      <alignment horizontal="center" vertical="center"/>
    </xf>
    <xf numFmtId="9" fontId="50" fillId="0" borderId="0" xfId="0" applyNumberFormat="1" applyFont="1" applyAlignment="1">
      <alignment horizontal="center" vertical="center"/>
    </xf>
    <xf numFmtId="9" fontId="50" fillId="0" borderId="0" xfId="0" applyNumberFormat="1" applyFont="1" applyAlignment="1">
      <alignment vertical="center"/>
    </xf>
    <xf numFmtId="0" fontId="22" fillId="0" borderId="60" xfId="0" applyFont="1" applyBorder="1" applyAlignment="1">
      <alignment vertical="center"/>
    </xf>
    <xf numFmtId="0" fontId="22" fillId="0" borderId="77" xfId="0" applyFont="1" applyBorder="1" applyAlignment="1">
      <alignment vertical="center"/>
    </xf>
    <xf numFmtId="10" fontId="22" fillId="0" borderId="77" xfId="0" applyNumberFormat="1" applyFont="1" applyBorder="1" applyAlignment="1">
      <alignment horizontal="center" vertical="center"/>
    </xf>
    <xf numFmtId="10" fontId="22" fillId="0" borderId="61" xfId="0" applyNumberFormat="1" applyFont="1" applyBorder="1" applyAlignment="1">
      <alignment horizontal="center" vertical="center"/>
    </xf>
    <xf numFmtId="0" fontId="51" fillId="18" borderId="0" xfId="0" applyFont="1" applyFill="1" applyAlignment="1">
      <alignment horizontal="left" vertical="center"/>
    </xf>
    <xf numFmtId="168" fontId="35" fillId="0" borderId="0" xfId="0" applyNumberFormat="1" applyFont="1" applyAlignment="1">
      <alignment horizontal="center" vertical="center"/>
    </xf>
    <xf numFmtId="0" fontId="2" fillId="6" borderId="0" xfId="0" applyFont="1" applyFill="1" applyAlignment="1">
      <alignment vertical="center"/>
    </xf>
    <xf numFmtId="166" fontId="2" fillId="0" borderId="0" xfId="0" applyNumberFormat="1" applyFont="1" applyAlignment="1">
      <alignment horizontal="center" vertical="center"/>
    </xf>
    <xf numFmtId="165" fontId="25" fillId="18" borderId="0" xfId="0" applyNumberFormat="1" applyFont="1" applyFill="1" applyAlignment="1">
      <alignment horizontal="center" vertical="center"/>
    </xf>
    <xf numFmtId="0" fontId="26" fillId="16" borderId="0" xfId="0" applyFont="1" applyFill="1" applyAlignment="1">
      <alignment horizontal="left" vertical="center"/>
    </xf>
    <xf numFmtId="4" fontId="2" fillId="0" borderId="0" xfId="0" applyNumberFormat="1" applyFont="1" applyAlignment="1">
      <alignment horizontal="center" vertical="center"/>
    </xf>
    <xf numFmtId="0" fontId="2" fillId="0" borderId="107" xfId="0" applyFont="1" applyBorder="1" applyAlignment="1">
      <alignment horizontal="center" vertical="center"/>
    </xf>
    <xf numFmtId="0" fontId="11" fillId="0" borderId="108" xfId="0" applyFont="1" applyBorder="1" applyAlignment="1">
      <alignment horizontal="center" vertical="center"/>
    </xf>
    <xf numFmtId="0" fontId="2" fillId="0" borderId="109" xfId="0" applyFont="1" applyBorder="1" applyAlignment="1">
      <alignment horizontal="center" vertical="center"/>
    </xf>
    <xf numFmtId="0" fontId="11" fillId="0" borderId="102" xfId="0" applyFont="1" applyBorder="1" applyAlignment="1">
      <alignment horizontal="center" vertical="center"/>
    </xf>
    <xf numFmtId="0" fontId="2" fillId="0" borderId="110" xfId="0" applyFont="1" applyBorder="1" applyAlignment="1">
      <alignment horizontal="center" vertical="center"/>
    </xf>
    <xf numFmtId="0" fontId="11" fillId="0" borderId="103" xfId="0" applyFont="1" applyBorder="1" applyAlignment="1">
      <alignment horizontal="center" vertical="center"/>
    </xf>
    <xf numFmtId="0" fontId="8" fillId="6" borderId="0" xfId="0" applyFont="1" applyFill="1" applyAlignment="1">
      <alignment horizontal="center" vertical="center"/>
    </xf>
    <xf numFmtId="0" fontId="2" fillId="6" borderId="0" xfId="0" applyFont="1" applyFill="1" applyAlignment="1">
      <alignment vertical="center"/>
    </xf>
    <xf numFmtId="0" fontId="36" fillId="0" borderId="0" xfId="0" applyFont="1" applyAlignment="1">
      <alignment horizontal="right" vertical="center"/>
    </xf>
    <xf numFmtId="167" fontId="2" fillId="2" borderId="0" xfId="0" applyNumberFormat="1" applyFont="1" applyFill="1" applyAlignment="1">
      <alignment horizontal="center" vertical="center"/>
    </xf>
    <xf numFmtId="167" fontId="35" fillId="0" borderId="0" xfId="0" applyNumberFormat="1" applyFont="1" applyAlignment="1">
      <alignment horizontal="center" vertical="center"/>
    </xf>
    <xf numFmtId="168" fontId="2" fillId="0" borderId="0" xfId="0" applyNumberFormat="1" applyFont="1" applyAlignment="1">
      <alignment vertical="center"/>
    </xf>
    <xf numFmtId="0" fontId="8" fillId="0" borderId="0" xfId="0" applyFont="1" applyAlignment="1">
      <alignment horizontal="center" vertical="center"/>
    </xf>
    <xf numFmtId="0" fontId="9" fillId="0" borderId="0" xfId="0" applyFont="1" applyAlignment="1">
      <alignment vertical="center"/>
    </xf>
    <xf numFmtId="0" fontId="25" fillId="0" borderId="0" xfId="0" applyFont="1" applyAlignment="1">
      <alignment vertical="center"/>
    </xf>
    <xf numFmtId="168" fontId="9" fillId="0" borderId="0" xfId="0" applyNumberFormat="1" applyFont="1" applyAlignment="1">
      <alignment vertical="center"/>
    </xf>
    <xf numFmtId="0" fontId="9" fillId="3" borderId="0" xfId="0" applyFont="1" applyFill="1" applyAlignment="1">
      <alignment vertical="center"/>
    </xf>
    <xf numFmtId="0" fontId="9" fillId="0" borderId="0" xfId="0" applyFont="1" applyAlignment="1">
      <alignment horizontal="center" vertical="center"/>
    </xf>
    <xf numFmtId="0" fontId="51" fillId="0" borderId="0" xfId="0" applyFont="1" applyAlignment="1">
      <alignment horizontal="left" vertical="center"/>
    </xf>
    <xf numFmtId="0" fontId="35" fillId="18" borderId="0" xfId="0" applyFont="1" applyFill="1" applyAlignment="1">
      <alignment vertical="center"/>
    </xf>
    <xf numFmtId="0" fontId="51" fillId="0" borderId="0" xfId="0" applyFont="1" applyAlignment="1">
      <alignment vertical="center"/>
    </xf>
    <xf numFmtId="0" fontId="51" fillId="18" borderId="0" xfId="0" applyFont="1" applyFill="1" applyAlignment="1">
      <alignment vertical="center"/>
    </xf>
    <xf numFmtId="0" fontId="9" fillId="18" borderId="0" xfId="0" applyFont="1" applyFill="1" applyAlignment="1">
      <alignment horizontal="center" vertical="center"/>
    </xf>
    <xf numFmtId="173" fontId="35" fillId="0" borderId="0" xfId="0" applyNumberFormat="1" applyFont="1" applyAlignment="1">
      <alignment horizontal="center" vertical="center"/>
    </xf>
    <xf numFmtId="0" fontId="2" fillId="2" borderId="0" xfId="0" applyFont="1" applyFill="1" applyAlignment="1">
      <alignment horizontal="left" vertical="center"/>
    </xf>
    <xf numFmtId="174" fontId="2" fillId="2" borderId="0" xfId="0" applyNumberFormat="1" applyFont="1" applyFill="1" applyAlignment="1">
      <alignment horizontal="left" vertical="center"/>
    </xf>
    <xf numFmtId="166" fontId="2" fillId="2" borderId="0" xfId="0" applyNumberFormat="1" applyFont="1" applyFill="1" applyAlignment="1">
      <alignment horizontal="left" vertical="center"/>
    </xf>
    <xf numFmtId="166" fontId="2" fillId="2" borderId="0" xfId="0" applyNumberFormat="1" applyFont="1" applyFill="1" applyAlignment="1">
      <alignment horizontal="center"/>
    </xf>
    <xf numFmtId="165" fontId="25" fillId="0" borderId="0" xfId="0" applyNumberFormat="1" applyFont="1" applyAlignment="1">
      <alignment horizontal="center" vertical="center"/>
    </xf>
    <xf numFmtId="0" fontId="2" fillId="13" borderId="0" xfId="0" applyFont="1" applyFill="1" applyAlignment="1">
      <alignment vertical="center"/>
    </xf>
    <xf numFmtId="9" fontId="27" fillId="13" borderId="0" xfId="0" applyNumberFormat="1" applyFont="1" applyFill="1" applyAlignment="1">
      <alignment horizontal="center" vertical="center"/>
    </xf>
    <xf numFmtId="10" fontId="2" fillId="2" borderId="108" xfId="0" applyNumberFormat="1" applyFont="1" applyFill="1" applyBorder="1" applyAlignment="1">
      <alignment horizontal="center" vertical="center"/>
    </xf>
    <xf numFmtId="175" fontId="2" fillId="0" borderId="0" xfId="0" applyNumberFormat="1" applyFont="1" applyAlignment="1">
      <alignment horizontal="center" vertical="center"/>
    </xf>
    <xf numFmtId="10" fontId="2" fillId="2" borderId="102" xfId="0" applyNumberFormat="1" applyFont="1" applyFill="1" applyBorder="1" applyAlignment="1">
      <alignment horizontal="center" vertical="center"/>
    </xf>
    <xf numFmtId="10" fontId="27" fillId="2" borderId="0" xfId="0" applyNumberFormat="1" applyFont="1" applyFill="1" applyAlignment="1">
      <alignment horizontal="center" vertical="center"/>
    </xf>
    <xf numFmtId="10" fontId="2" fillId="2" borderId="110" xfId="0" applyNumberFormat="1" applyFont="1" applyFill="1" applyBorder="1" applyAlignment="1">
      <alignment horizontal="center" vertical="center"/>
    </xf>
    <xf numFmtId="10" fontId="2" fillId="2" borderId="103" xfId="0" applyNumberFormat="1" applyFont="1" applyFill="1" applyBorder="1" applyAlignment="1">
      <alignment horizontal="center" vertical="center"/>
    </xf>
    <xf numFmtId="0" fontId="3" fillId="0" borderId="0" xfId="0" quotePrefix="1" applyFont="1" applyAlignment="1">
      <alignment horizontal="center" vertical="center"/>
    </xf>
    <xf numFmtId="0" fontId="36" fillId="0" borderId="0" xfId="0" applyFont="1" applyAlignment="1">
      <alignment horizontal="right" vertical="center"/>
    </xf>
    <xf numFmtId="168" fontId="3" fillId="0" borderId="0" xfId="0" applyNumberFormat="1" applyFont="1" applyAlignment="1">
      <alignment vertical="center"/>
    </xf>
    <xf numFmtId="168" fontId="8" fillId="0" borderId="0" xfId="0" applyNumberFormat="1" applyFont="1" applyAlignment="1">
      <alignment horizontal="center" vertical="center"/>
    </xf>
    <xf numFmtId="168" fontId="8" fillId="0" borderId="0" xfId="0" applyNumberFormat="1" applyFont="1" applyAlignment="1">
      <alignment vertical="center"/>
    </xf>
    <xf numFmtId="168" fontId="8" fillId="0" borderId="0" xfId="0" applyNumberFormat="1" applyFont="1" applyAlignment="1">
      <alignment vertical="center"/>
    </xf>
    <xf numFmtId="168" fontId="8" fillId="0" borderId="0" xfId="0" applyNumberFormat="1" applyFont="1" applyAlignment="1">
      <alignment horizontal="center" vertical="center"/>
    </xf>
    <xf numFmtId="168" fontId="8" fillId="3" borderId="0" xfId="0" applyNumberFormat="1" applyFont="1" applyFill="1" applyAlignment="1">
      <alignment vertical="center"/>
    </xf>
    <xf numFmtId="168" fontId="3" fillId="0" borderId="0" xfId="0" applyNumberFormat="1" applyFont="1" applyAlignment="1">
      <alignment horizontal="center" vertical="center"/>
    </xf>
    <xf numFmtId="168" fontId="36" fillId="0" borderId="0" xfId="0" applyNumberFormat="1" applyFont="1" applyAlignment="1">
      <alignment horizontal="center" vertical="center"/>
    </xf>
    <xf numFmtId="168" fontId="50" fillId="0" borderId="0" xfId="0" applyNumberFormat="1" applyFont="1" applyAlignment="1">
      <alignment vertical="center"/>
    </xf>
    <xf numFmtId="175" fontId="3" fillId="0" borderId="0" xfId="0" applyNumberFormat="1" applyFont="1" applyAlignment="1">
      <alignment vertical="center"/>
    </xf>
    <xf numFmtId="175" fontId="8" fillId="0" borderId="0" xfId="0" applyNumberFormat="1" applyFont="1" applyAlignment="1">
      <alignment horizontal="center" vertical="center"/>
    </xf>
    <xf numFmtId="175" fontId="8" fillId="0" borderId="0" xfId="0" applyNumberFormat="1" applyFont="1" applyAlignment="1">
      <alignment vertical="center"/>
    </xf>
    <xf numFmtId="175" fontId="8" fillId="0" borderId="0" xfId="0" applyNumberFormat="1" applyFont="1" applyAlignment="1">
      <alignment vertical="center"/>
    </xf>
    <xf numFmtId="175" fontId="8" fillId="0" borderId="0" xfId="0" applyNumberFormat="1" applyFont="1" applyAlignment="1">
      <alignment horizontal="center" vertical="center"/>
    </xf>
    <xf numFmtId="175" fontId="8" fillId="3" borderId="0" xfId="0" applyNumberFormat="1" applyFont="1" applyFill="1" applyAlignment="1">
      <alignment vertical="center"/>
    </xf>
    <xf numFmtId="175" fontId="3" fillId="0" borderId="0" xfId="0" applyNumberFormat="1" applyFont="1" applyAlignment="1">
      <alignment horizontal="center" vertical="center"/>
    </xf>
    <xf numFmtId="175" fontId="50" fillId="0" borderId="0" xfId="0" applyNumberFormat="1" applyFont="1" applyAlignment="1">
      <alignment vertical="center"/>
    </xf>
    <xf numFmtId="175" fontId="35" fillId="0" borderId="0" xfId="0" applyNumberFormat="1" applyFont="1" applyAlignment="1">
      <alignment horizontal="center" vertical="center"/>
    </xf>
    <xf numFmtId="10" fontId="2" fillId="2" borderId="111" xfId="0" applyNumberFormat="1" applyFont="1" applyFill="1" applyBorder="1" applyAlignment="1">
      <alignment horizontal="center" vertical="center"/>
    </xf>
    <xf numFmtId="10" fontId="2" fillId="2" borderId="112" xfId="0" applyNumberFormat="1" applyFont="1" applyFill="1" applyBorder="1" applyAlignment="1">
      <alignment horizontal="center" vertical="center"/>
    </xf>
    <xf numFmtId="10" fontId="2" fillId="2" borderId="113" xfId="0" applyNumberFormat="1" applyFont="1" applyFill="1" applyBorder="1" applyAlignment="1">
      <alignment horizontal="center" vertical="center"/>
    </xf>
    <xf numFmtId="0" fontId="8" fillId="0" borderId="62" xfId="0" applyFont="1" applyBorder="1" applyAlignment="1">
      <alignment horizontal="center" vertical="center"/>
    </xf>
    <xf numFmtId="0" fontId="11" fillId="0" borderId="0" xfId="0" applyFont="1" applyAlignment="1">
      <alignment horizontal="right" vertical="center"/>
    </xf>
    <xf numFmtId="9" fontId="2" fillId="0" borderId="0" xfId="0" applyNumberFormat="1" applyFont="1" applyAlignment="1">
      <alignment horizontal="center" vertical="center"/>
    </xf>
    <xf numFmtId="166" fontId="15" fillId="2" borderId="0" xfId="0" applyNumberFormat="1" applyFont="1" applyFill="1" applyAlignment="1">
      <alignment horizontal="center" vertical="center"/>
    </xf>
    <xf numFmtId="165" fontId="12" fillId="0" borderId="48" xfId="0" applyNumberFormat="1" applyFont="1" applyBorder="1" applyAlignment="1">
      <alignment horizontal="center" vertical="center"/>
    </xf>
    <xf numFmtId="0" fontId="60" fillId="0" borderId="0" xfId="0" applyFont="1" applyAlignment="1">
      <alignment horizontal="center" vertical="center"/>
    </xf>
    <xf numFmtId="174" fontId="35" fillId="0" borderId="0" xfId="0" applyNumberFormat="1" applyFont="1" applyAlignment="1">
      <alignment horizontal="center" vertical="center"/>
    </xf>
    <xf numFmtId="0" fontId="61" fillId="0" borderId="0" xfId="0" applyFont="1" applyAlignment="1">
      <alignment vertical="center"/>
    </xf>
    <xf numFmtId="10" fontId="27" fillId="2" borderId="107" xfId="0" applyNumberFormat="1" applyFont="1" applyFill="1" applyBorder="1" applyAlignment="1">
      <alignment horizontal="center" vertical="center"/>
    </xf>
    <xf numFmtId="10" fontId="15" fillId="2" borderId="108" xfId="0" applyNumberFormat="1" applyFont="1" applyFill="1" applyBorder="1" applyAlignment="1">
      <alignment horizontal="center" vertical="center"/>
    </xf>
    <xf numFmtId="10" fontId="27" fillId="2" borderId="109" xfId="0" applyNumberFormat="1" applyFont="1" applyFill="1" applyBorder="1" applyAlignment="1">
      <alignment horizontal="center" vertical="center"/>
    </xf>
    <xf numFmtId="10" fontId="15" fillId="2" borderId="102" xfId="0" applyNumberFormat="1" applyFont="1" applyFill="1" applyBorder="1" applyAlignment="1">
      <alignment horizontal="center" vertical="center"/>
    </xf>
    <xf numFmtId="10" fontId="27" fillId="2" borderId="110" xfId="0" applyNumberFormat="1" applyFont="1" applyFill="1" applyBorder="1" applyAlignment="1">
      <alignment horizontal="center" vertical="center"/>
    </xf>
    <xf numFmtId="10" fontId="15" fillId="2" borderId="103" xfId="0" applyNumberFormat="1" applyFont="1" applyFill="1" applyBorder="1" applyAlignment="1">
      <alignment horizontal="center" vertical="center"/>
    </xf>
    <xf numFmtId="168" fontId="2" fillId="0" borderId="0" xfId="0" applyNumberFormat="1" applyFont="1" applyAlignment="1">
      <alignment horizontal="center" vertical="center"/>
    </xf>
    <xf numFmtId="0" fontId="25" fillId="18" borderId="0" xfId="0" applyFont="1" applyFill="1" applyAlignment="1">
      <alignment horizontal="left" vertical="center"/>
    </xf>
    <xf numFmtId="0" fontId="36" fillId="0" borderId="0" xfId="0" applyFont="1" applyAlignment="1">
      <alignment horizontal="center" vertical="center"/>
    </xf>
    <xf numFmtId="4" fontId="15" fillId="2" borderId="0" xfId="0" applyNumberFormat="1" applyFont="1" applyFill="1" applyAlignment="1">
      <alignment horizontal="center" vertical="center"/>
    </xf>
    <xf numFmtId="0" fontId="62" fillId="0" borderId="0" xfId="0" applyFont="1"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xf>
    <xf numFmtId="0" fontId="10" fillId="0" borderId="0" xfId="0" applyFont="1" applyAlignment="1">
      <alignment horizontal="left" vertical="center"/>
    </xf>
    <xf numFmtId="0" fontId="29" fillId="6" borderId="0" xfId="0" applyFont="1" applyFill="1" applyAlignment="1">
      <alignment horizontal="center" vertical="center"/>
    </xf>
    <xf numFmtId="0" fontId="25" fillId="18" borderId="0" xfId="0" applyFont="1" applyFill="1" applyAlignment="1">
      <alignment horizontal="left" vertical="center"/>
    </xf>
    <xf numFmtId="0" fontId="15" fillId="0" borderId="0" xfId="0" applyFont="1" applyAlignment="1">
      <alignment vertical="center"/>
    </xf>
    <xf numFmtId="0" fontId="15" fillId="0" borderId="0" xfId="0" applyFont="1" applyAlignment="1">
      <alignment vertical="center"/>
    </xf>
    <xf numFmtId="10" fontId="35" fillId="0" borderId="0" xfId="0" applyNumberFormat="1" applyFont="1" applyAlignment="1">
      <alignment vertical="center"/>
    </xf>
    <xf numFmtId="0" fontId="63" fillId="0" borderId="0" xfId="0" applyFont="1" applyAlignment="1">
      <alignment vertical="center"/>
    </xf>
    <xf numFmtId="165" fontId="2" fillId="0" borderId="0" xfId="0" applyNumberFormat="1" applyFont="1" applyAlignment="1">
      <alignment horizontal="center" vertical="center"/>
    </xf>
    <xf numFmtId="0" fontId="25" fillId="0" borderId="0" xfId="0" applyFont="1" applyAlignment="1">
      <alignment horizontal="left" vertical="center"/>
    </xf>
    <xf numFmtId="0" fontId="67" fillId="14" borderId="0" xfId="0" applyFont="1" applyFill="1" applyAlignment="1">
      <alignment vertical="center"/>
    </xf>
    <xf numFmtId="0" fontId="69" fillId="0" borderId="0" xfId="0" applyFont="1" applyAlignment="1"/>
    <xf numFmtId="0" fontId="76" fillId="2" borderId="0" xfId="0" applyFont="1" applyFill="1"/>
    <xf numFmtId="0" fontId="76" fillId="0" borderId="0" xfId="0" applyFont="1" applyAlignment="1">
      <alignment vertical="center"/>
    </xf>
    <xf numFmtId="0" fontId="76" fillId="2" borderId="0" xfId="0" applyFont="1" applyFill="1" applyAlignment="1">
      <alignment vertical="center"/>
    </xf>
    <xf numFmtId="0" fontId="82" fillId="2" borderId="0" xfId="0" applyFont="1" applyFill="1" applyAlignment="1"/>
    <xf numFmtId="0" fontId="66" fillId="2" borderId="0" xfId="0" applyFont="1" applyFill="1"/>
    <xf numFmtId="0" fontId="66" fillId="2" borderId="0" xfId="0" applyFont="1" applyFill="1" applyAlignment="1">
      <alignment wrapText="1"/>
    </xf>
    <xf numFmtId="0" fontId="66" fillId="2" borderId="0" xfId="0" applyFont="1" applyFill="1" applyAlignment="1"/>
    <xf numFmtId="0" fontId="76" fillId="0" borderId="0" xfId="0" applyFont="1" applyAlignment="1">
      <alignment wrapText="1"/>
    </xf>
    <xf numFmtId="0" fontId="75" fillId="7" borderId="7" xfId="0" applyFont="1" applyFill="1" applyBorder="1" applyAlignment="1">
      <alignment wrapText="1"/>
    </xf>
    <xf numFmtId="0" fontId="75" fillId="7" borderId="8" xfId="0" applyFont="1" applyFill="1" applyBorder="1" applyAlignment="1">
      <alignment wrapText="1"/>
    </xf>
    <xf numFmtId="0" fontId="75" fillId="7" borderId="9" xfId="0" applyFont="1" applyFill="1" applyBorder="1" applyAlignment="1">
      <alignment wrapText="1"/>
    </xf>
    <xf numFmtId="0" fontId="75" fillId="7" borderId="13" xfId="0" applyFont="1" applyFill="1" applyBorder="1" applyAlignment="1">
      <alignment wrapText="1"/>
    </xf>
    <xf numFmtId="0" fontId="75" fillId="7" borderId="14" xfId="0" applyFont="1" applyFill="1" applyBorder="1" applyAlignment="1">
      <alignment wrapText="1"/>
    </xf>
    <xf numFmtId="0" fontId="75" fillId="7" borderId="15" xfId="0" applyFont="1" applyFill="1" applyBorder="1" applyAlignment="1">
      <alignment wrapText="1"/>
    </xf>
    <xf numFmtId="0" fontId="83" fillId="2" borderId="0" xfId="0" applyFont="1" applyFill="1" applyAlignment="1">
      <alignment wrapText="1"/>
    </xf>
    <xf numFmtId="0" fontId="83" fillId="2" borderId="0" xfId="0" applyFont="1" applyFill="1" applyAlignment="1">
      <alignment horizontal="right" vertical="top" wrapText="1"/>
    </xf>
    <xf numFmtId="0" fontId="84" fillId="2" borderId="0" xfId="0" applyFont="1" applyFill="1" applyAlignment="1">
      <alignment wrapText="1"/>
    </xf>
    <xf numFmtId="0" fontId="81" fillId="2" borderId="0" xfId="0" applyFont="1" applyFill="1" applyAlignment="1"/>
    <xf numFmtId="0" fontId="66" fillId="2" borderId="1" xfId="0" applyFont="1" applyFill="1" applyBorder="1"/>
    <xf numFmtId="0" fontId="74" fillId="0" borderId="0" xfId="0" applyFont="1" applyAlignment="1"/>
    <xf numFmtId="0" fontId="65" fillId="2" borderId="0" xfId="0" applyFont="1" applyFill="1" applyAlignment="1"/>
    <xf numFmtId="0" fontId="66" fillId="0" borderId="0" xfId="0" applyFont="1" applyAlignment="1">
      <alignment vertical="center"/>
    </xf>
    <xf numFmtId="0" fontId="66" fillId="2" borderId="0" xfId="0" applyFont="1" applyFill="1" applyAlignment="1">
      <alignment vertical="center"/>
    </xf>
    <xf numFmtId="0" fontId="66" fillId="2" borderId="5" xfId="0" applyFont="1" applyFill="1" applyBorder="1" applyAlignment="1">
      <alignment vertical="center"/>
    </xf>
    <xf numFmtId="0" fontId="66" fillId="4" borderId="0" xfId="0" applyFont="1" applyFill="1"/>
    <xf numFmtId="0" fontId="66" fillId="0" borderId="0" xfId="0" applyFont="1" applyAlignment="1">
      <alignment wrapText="1"/>
    </xf>
    <xf numFmtId="0" fontId="66" fillId="0" borderId="0" xfId="0" applyFont="1" applyAlignment="1">
      <alignment vertical="center" wrapText="1"/>
    </xf>
    <xf numFmtId="0" fontId="66" fillId="0" borderId="0" xfId="0" applyFont="1" applyAlignment="1">
      <alignment horizontal="center" vertical="center"/>
    </xf>
    <xf numFmtId="0" fontId="73" fillId="0" borderId="0" xfId="0" applyFont="1" applyAlignment="1">
      <alignment vertical="center"/>
    </xf>
    <xf numFmtId="0" fontId="89" fillId="0" borderId="0" xfId="0" applyFont="1" applyAlignment="1">
      <alignment vertical="center"/>
    </xf>
    <xf numFmtId="0" fontId="66" fillId="2" borderId="0" xfId="0" applyFont="1" applyFill="1" applyAlignment="1">
      <alignment vertical="center" wrapText="1"/>
    </xf>
    <xf numFmtId="0" fontId="66" fillId="2" borderId="0" xfId="0" applyFont="1" applyFill="1" applyAlignment="1">
      <alignment horizontal="center" vertical="center"/>
    </xf>
    <xf numFmtId="0" fontId="73" fillId="2" borderId="0" xfId="0" applyFont="1" applyFill="1" applyAlignment="1">
      <alignment vertical="center"/>
    </xf>
    <xf numFmtId="0" fontId="90" fillId="0" borderId="0" xfId="0" applyFont="1" applyAlignment="1">
      <alignment vertical="center"/>
    </xf>
    <xf numFmtId="0" fontId="91" fillId="2" borderId="0" xfId="0" applyFont="1" applyFill="1" applyAlignment="1">
      <alignment vertical="center"/>
    </xf>
    <xf numFmtId="0" fontId="65" fillId="0" borderId="0" xfId="0" applyFont="1" applyAlignment="1">
      <alignment vertical="center"/>
    </xf>
    <xf numFmtId="0" fontId="65" fillId="2" borderId="0" xfId="0" applyFont="1" applyFill="1" applyAlignment="1">
      <alignment vertical="center"/>
    </xf>
    <xf numFmtId="0" fontId="94" fillId="2" borderId="0" xfId="0" applyFont="1" applyFill="1" applyAlignment="1">
      <alignment vertical="center"/>
    </xf>
    <xf numFmtId="0" fontId="95" fillId="2" borderId="0" xfId="0" applyFont="1" applyFill="1" applyAlignment="1">
      <alignment vertical="center"/>
    </xf>
    <xf numFmtId="0" fontId="87" fillId="2" borderId="0" xfId="0" applyFont="1" applyFill="1" applyAlignment="1">
      <alignment horizontal="right" vertical="center"/>
    </xf>
    <xf numFmtId="0" fontId="87" fillId="2" borderId="0" xfId="0" applyFont="1" applyFill="1" applyAlignment="1">
      <alignment vertical="center"/>
    </xf>
    <xf numFmtId="4" fontId="66" fillId="0" borderId="0" xfId="0" applyNumberFormat="1" applyFont="1" applyAlignment="1">
      <alignment vertical="center"/>
    </xf>
    <xf numFmtId="0" fontId="96" fillId="2" borderId="0" xfId="0" applyFont="1" applyFill="1" applyAlignment="1">
      <alignment vertical="center"/>
    </xf>
    <xf numFmtId="0" fontId="73" fillId="5" borderId="6" xfId="0" applyFont="1" applyFill="1" applyBorder="1" applyAlignment="1">
      <alignment horizontal="center" vertical="center"/>
    </xf>
    <xf numFmtId="0" fontId="84" fillId="2" borderId="0" xfId="0" applyFont="1" applyFill="1" applyAlignment="1">
      <alignment horizontal="center" vertical="center" wrapText="1"/>
    </xf>
    <xf numFmtId="0" fontId="97" fillId="6" borderId="0" xfId="0" applyFont="1" applyFill="1" applyAlignment="1">
      <alignment horizontal="center" vertical="center"/>
    </xf>
    <xf numFmtId="0" fontId="81" fillId="0" borderId="0" xfId="0" applyFont="1" applyAlignment="1">
      <alignment vertical="center"/>
    </xf>
    <xf numFmtId="0" fontId="81" fillId="2" borderId="0" xfId="0" applyFont="1" applyFill="1" applyAlignment="1">
      <alignment vertical="center"/>
    </xf>
    <xf numFmtId="0" fontId="81" fillId="2" borderId="10" xfId="0" applyFont="1" applyFill="1" applyBorder="1" applyAlignment="1">
      <alignment vertical="center"/>
    </xf>
    <xf numFmtId="0" fontId="81" fillId="2" borderId="10" xfId="0" applyFont="1" applyFill="1" applyBorder="1" applyAlignment="1">
      <alignment vertical="center" wrapText="1"/>
    </xf>
    <xf numFmtId="0" fontId="81" fillId="2" borderId="10" xfId="0" applyFont="1" applyFill="1" applyBorder="1" applyAlignment="1">
      <alignment horizontal="center" vertical="center"/>
    </xf>
    <xf numFmtId="0" fontId="78" fillId="2" borderId="0" xfId="0" applyFont="1" applyFill="1" applyAlignment="1">
      <alignment vertical="center"/>
    </xf>
    <xf numFmtId="0" fontId="74" fillId="2" borderId="0" xfId="0" applyFont="1" applyFill="1" applyAlignment="1">
      <alignment vertical="center"/>
    </xf>
    <xf numFmtId="0" fontId="99" fillId="2" borderId="0" xfId="0" applyFont="1" applyFill="1" applyAlignment="1">
      <alignment vertical="center"/>
    </xf>
    <xf numFmtId="0" fontId="100" fillId="2" borderId="0" xfId="0" applyFont="1" applyFill="1" applyAlignment="1">
      <alignment vertical="center"/>
    </xf>
    <xf numFmtId="0" fontId="81" fillId="2" borderId="0" xfId="0" applyFont="1" applyFill="1" applyAlignment="1">
      <alignment vertical="center" wrapText="1"/>
    </xf>
    <xf numFmtId="0" fontId="81" fillId="2" borderId="0" xfId="0" applyFont="1" applyFill="1" applyAlignment="1">
      <alignment horizontal="center" vertical="center"/>
    </xf>
    <xf numFmtId="0" fontId="87" fillId="0" borderId="0" xfId="0" applyFont="1" applyAlignment="1">
      <alignment vertical="center"/>
    </xf>
    <xf numFmtId="0" fontId="101" fillId="2" borderId="0" xfId="0" applyFont="1" applyFill="1" applyAlignment="1">
      <alignment vertical="center"/>
    </xf>
    <xf numFmtId="0" fontId="102" fillId="2" borderId="0" xfId="0" applyFont="1" applyFill="1" applyAlignment="1">
      <alignment vertical="center"/>
    </xf>
    <xf numFmtId="0" fontId="87" fillId="2" borderId="0" xfId="0" applyFont="1" applyFill="1" applyAlignment="1">
      <alignment vertical="center" wrapText="1"/>
    </xf>
    <xf numFmtId="0" fontId="87" fillId="2" borderId="0" xfId="0" applyFont="1" applyFill="1" applyAlignment="1">
      <alignment horizontal="center" vertical="center"/>
    </xf>
    <xf numFmtId="0" fontId="89" fillId="2" borderId="0" xfId="0" applyFont="1" applyFill="1" applyAlignment="1">
      <alignment horizontal="right" vertical="center"/>
    </xf>
    <xf numFmtId="0" fontId="103" fillId="6" borderId="0" xfId="0" applyFont="1" applyFill="1" applyAlignment="1">
      <alignment horizontal="center" vertical="center"/>
    </xf>
    <xf numFmtId="0" fontId="89" fillId="6" borderId="0" xfId="0" applyFont="1" applyFill="1" applyAlignment="1">
      <alignment vertical="center"/>
    </xf>
    <xf numFmtId="0" fontId="104" fillId="2" borderId="0" xfId="0" applyFont="1" applyFill="1" applyAlignment="1">
      <alignment vertical="center"/>
    </xf>
    <xf numFmtId="0" fontId="81" fillId="2" borderId="22" xfId="0" applyFont="1" applyFill="1" applyBorder="1" applyAlignment="1">
      <alignment vertical="center"/>
    </xf>
    <xf numFmtId="0" fontId="81" fillId="2" borderId="22" xfId="0" applyFont="1" applyFill="1" applyBorder="1" applyAlignment="1">
      <alignment vertical="center" wrapText="1"/>
    </xf>
    <xf numFmtId="0" fontId="81" fillId="2" borderId="22" xfId="0" applyFont="1" applyFill="1" applyBorder="1" applyAlignment="1">
      <alignment horizontal="center" vertical="center"/>
    </xf>
    <xf numFmtId="0" fontId="105" fillId="2" borderId="0" xfId="0" applyFont="1" applyFill="1" applyAlignment="1">
      <alignment vertical="center"/>
    </xf>
    <xf numFmtId="0" fontId="106" fillId="2" borderId="0" xfId="0" applyFont="1" applyFill="1" applyAlignment="1">
      <alignment vertical="center"/>
    </xf>
    <xf numFmtId="0" fontId="100" fillId="2" borderId="28" xfId="0" applyFont="1" applyFill="1" applyBorder="1" applyAlignment="1">
      <alignment vertical="center"/>
    </xf>
    <xf numFmtId="0" fontId="66" fillId="2" borderId="28" xfId="0" applyFont="1" applyFill="1" applyBorder="1" applyAlignment="1">
      <alignment vertical="center" wrapText="1"/>
    </xf>
    <xf numFmtId="0" fontId="66" fillId="2" borderId="28" xfId="0" applyFont="1" applyFill="1" applyBorder="1" applyAlignment="1">
      <alignment vertical="center"/>
    </xf>
    <xf numFmtId="0" fontId="100" fillId="0" borderId="0" xfId="0" applyFont="1" applyAlignment="1">
      <alignment vertical="center"/>
    </xf>
    <xf numFmtId="0" fontId="100" fillId="2" borderId="29" xfId="0" applyFont="1" applyFill="1" applyBorder="1" applyAlignment="1">
      <alignment vertical="center"/>
    </xf>
    <xf numFmtId="0" fontId="100" fillId="2" borderId="29" xfId="0" applyFont="1" applyFill="1" applyBorder="1" applyAlignment="1">
      <alignment vertical="center" wrapText="1"/>
    </xf>
    <xf numFmtId="0" fontId="100" fillId="2" borderId="29" xfId="0" applyFont="1" applyFill="1" applyBorder="1" applyAlignment="1">
      <alignment horizontal="center" vertical="center"/>
    </xf>
    <xf numFmtId="0" fontId="107" fillId="2" borderId="0" xfId="0" applyFont="1" applyFill="1" applyAlignment="1">
      <alignment vertical="center"/>
    </xf>
    <xf numFmtId="0" fontId="108" fillId="2" borderId="0" xfId="0" applyFont="1" applyFill="1" applyAlignment="1">
      <alignment vertical="center"/>
    </xf>
    <xf numFmtId="0" fontId="100" fillId="2" borderId="30" xfId="0" applyFont="1" applyFill="1" applyBorder="1" applyAlignment="1">
      <alignment vertical="center"/>
    </xf>
    <xf numFmtId="0" fontId="100" fillId="2" borderId="30" xfId="0" applyFont="1" applyFill="1" applyBorder="1" applyAlignment="1">
      <alignment vertical="center" wrapText="1"/>
    </xf>
    <xf numFmtId="0" fontId="100" fillId="2" borderId="30" xfId="0" applyFont="1" applyFill="1" applyBorder="1" applyAlignment="1">
      <alignment horizontal="center" vertical="center"/>
    </xf>
    <xf numFmtId="0" fontId="109" fillId="2" borderId="0" xfId="0" applyFont="1" applyFill="1" applyAlignment="1">
      <alignment vertical="center"/>
    </xf>
    <xf numFmtId="0" fontId="110" fillId="2" borderId="0" xfId="0" applyFont="1" applyFill="1" applyAlignment="1">
      <alignment vertical="center"/>
    </xf>
    <xf numFmtId="0" fontId="76" fillId="2" borderId="0" xfId="0" applyFont="1" applyFill="1" applyAlignment="1">
      <alignment vertical="center" wrapText="1"/>
    </xf>
    <xf numFmtId="0" fontId="102" fillId="2" borderId="0" xfId="0" applyFont="1" applyFill="1" applyAlignment="1">
      <alignment vertical="center" wrapText="1"/>
    </xf>
    <xf numFmtId="0" fontId="82" fillId="2" borderId="31" xfId="0" applyFont="1" applyFill="1" applyBorder="1" applyAlignment="1">
      <alignment vertical="center"/>
    </xf>
    <xf numFmtId="0" fontId="82" fillId="2" borderId="31" xfId="0" applyFont="1" applyFill="1" applyBorder="1" applyAlignment="1">
      <alignment vertical="center" wrapText="1"/>
    </xf>
    <xf numFmtId="10" fontId="81" fillId="2" borderId="31" xfId="0" applyNumberFormat="1" applyFont="1" applyFill="1" applyBorder="1" applyAlignment="1">
      <alignment horizontal="right" vertical="center"/>
    </xf>
    <xf numFmtId="0" fontId="82" fillId="2" borderId="0" xfId="0" applyFont="1" applyFill="1" applyAlignment="1">
      <alignment horizontal="left" vertical="center"/>
    </xf>
    <xf numFmtId="0" fontId="111" fillId="2" borderId="0" xfId="0" applyFont="1" applyFill="1" applyAlignment="1">
      <alignment vertical="center"/>
    </xf>
    <xf numFmtId="0" fontId="111" fillId="2" borderId="0" xfId="0" applyFont="1" applyFill="1" applyAlignment="1">
      <alignment vertical="center" wrapText="1"/>
    </xf>
    <xf numFmtId="10" fontId="111" fillId="2" borderId="0" xfId="0" applyNumberFormat="1" applyFont="1" applyFill="1" applyAlignment="1">
      <alignment horizontal="right" vertical="center"/>
    </xf>
    <xf numFmtId="0" fontId="82" fillId="2" borderId="0" xfId="0" applyFont="1" applyFill="1" applyAlignment="1">
      <alignment vertical="center"/>
    </xf>
    <xf numFmtId="0" fontId="82" fillId="2" borderId="0" xfId="0" applyFont="1" applyFill="1" applyAlignment="1">
      <alignment horizontal="center" vertical="center"/>
    </xf>
    <xf numFmtId="0" fontId="112" fillId="2" borderId="0" xfId="0" applyFont="1" applyFill="1" applyAlignment="1">
      <alignment vertical="center"/>
    </xf>
    <xf numFmtId="0" fontId="112" fillId="2" borderId="0" xfId="0" applyFont="1" applyFill="1" applyAlignment="1">
      <alignment horizontal="center" vertical="center"/>
    </xf>
    <xf numFmtId="0" fontId="73" fillId="2" borderId="0" xfId="0" applyFont="1" applyFill="1" applyAlignment="1">
      <alignment horizontal="left" vertical="center"/>
    </xf>
    <xf numFmtId="0" fontId="73" fillId="2" borderId="0" xfId="0" applyFont="1" applyFill="1" applyAlignment="1">
      <alignment horizontal="left" vertical="center" wrapText="1"/>
    </xf>
    <xf numFmtId="0" fontId="76" fillId="0" borderId="0" xfId="0" applyFont="1" applyAlignment="1">
      <alignment vertical="center" wrapText="1"/>
    </xf>
    <xf numFmtId="0" fontId="70" fillId="0" borderId="0" xfId="0" applyFont="1" applyAlignment="1">
      <alignment vertical="center"/>
    </xf>
    <xf numFmtId="0" fontId="92" fillId="0" borderId="0" xfId="0" applyFont="1" applyAlignment="1">
      <alignment vertical="center"/>
    </xf>
    <xf numFmtId="0" fontId="94" fillId="0" borderId="0" xfId="0" applyFont="1" applyAlignment="1">
      <alignment vertical="center"/>
    </xf>
    <xf numFmtId="0" fontId="92" fillId="0" borderId="0" xfId="0" applyFont="1" applyAlignment="1">
      <alignment horizontal="center" vertical="center"/>
    </xf>
    <xf numFmtId="0" fontId="71" fillId="0" borderId="0" xfId="0" applyFont="1" applyAlignment="1">
      <alignment vertical="center"/>
    </xf>
    <xf numFmtId="0" fontId="114" fillId="0" borderId="0" xfId="0" applyFont="1" applyAlignment="1">
      <alignment vertical="center"/>
    </xf>
    <xf numFmtId="0" fontId="92" fillId="0" borderId="0" xfId="0" applyFont="1" applyAlignment="1">
      <alignment vertical="center" wrapText="1"/>
    </xf>
    <xf numFmtId="0" fontId="87" fillId="0" borderId="0" xfId="0" applyFont="1" applyAlignment="1">
      <alignment horizontal="center" vertical="center"/>
    </xf>
    <xf numFmtId="0" fontId="87" fillId="0" borderId="0" xfId="0" applyFont="1" applyAlignment="1">
      <alignment vertical="center" wrapText="1"/>
    </xf>
    <xf numFmtId="0" fontId="87" fillId="0" borderId="0" xfId="0" applyFont="1" applyAlignment="1">
      <alignment horizontal="left" vertical="center"/>
    </xf>
    <xf numFmtId="0" fontId="102" fillId="6" borderId="0" xfId="0" applyFont="1" applyFill="1" applyAlignment="1">
      <alignment vertical="center"/>
    </xf>
    <xf numFmtId="0" fontId="117" fillId="2" borderId="0" xfId="0" applyFont="1" applyFill="1" applyAlignment="1">
      <alignment vertical="center"/>
    </xf>
    <xf numFmtId="0" fontId="65" fillId="2" borderId="0" xfId="0" applyFont="1" applyFill="1" applyAlignment="1">
      <alignment vertical="center" wrapText="1"/>
    </xf>
    <xf numFmtId="0" fontId="65" fillId="2" borderId="0" xfId="0" applyFont="1" applyFill="1" applyAlignment="1">
      <alignment horizontal="center" vertical="center"/>
    </xf>
    <xf numFmtId="0" fontId="117" fillId="0" borderId="0" xfId="0" applyFont="1" applyAlignment="1">
      <alignment vertical="center"/>
    </xf>
    <xf numFmtId="0" fontId="66" fillId="2" borderId="0" xfId="0" applyFont="1" applyFill="1" applyAlignment="1">
      <alignment horizontal="center" vertical="center" wrapText="1"/>
    </xf>
    <xf numFmtId="0" fontId="74" fillId="0" borderId="0" xfId="0" applyFont="1" applyAlignment="1">
      <alignment horizontal="center" vertical="center"/>
    </xf>
    <xf numFmtId="0" fontId="121" fillId="2" borderId="0" xfId="0" applyFont="1" applyFill="1" applyAlignment="1">
      <alignment horizontal="center" vertical="center"/>
    </xf>
    <xf numFmtId="0" fontId="77" fillId="2" borderId="0" xfId="0" applyFont="1" applyFill="1" applyAlignment="1">
      <alignment vertical="center"/>
    </xf>
    <xf numFmtId="0" fontId="91" fillId="2" borderId="0" xfId="0" applyFont="1" applyFill="1" applyAlignment="1"/>
    <xf numFmtId="0" fontId="121" fillId="2" borderId="32" xfId="0" applyFont="1" applyFill="1" applyBorder="1" applyAlignment="1">
      <alignment vertical="center" wrapText="1"/>
    </xf>
    <xf numFmtId="0" fontId="77" fillId="2" borderId="0" xfId="0" applyFont="1" applyFill="1" applyAlignment="1">
      <alignment horizontal="center" vertical="center"/>
    </xf>
    <xf numFmtId="0" fontId="87" fillId="7" borderId="7" xfId="0" applyFont="1" applyFill="1" applyBorder="1" applyAlignment="1">
      <alignment vertical="center"/>
    </xf>
    <xf numFmtId="0" fontId="66" fillId="7" borderId="8" xfId="0" applyFont="1" applyFill="1" applyBorder="1" applyAlignment="1">
      <alignment vertical="center"/>
    </xf>
    <xf numFmtId="0" fontId="66" fillId="7" borderId="8" xfId="0" applyFont="1" applyFill="1" applyBorder="1" applyAlignment="1">
      <alignment vertical="center" wrapText="1"/>
    </xf>
    <xf numFmtId="0" fontId="66" fillId="7" borderId="8" xfId="0" applyFont="1" applyFill="1" applyBorder="1" applyAlignment="1">
      <alignment horizontal="center" vertical="center"/>
    </xf>
    <xf numFmtId="0" fontId="76" fillId="7" borderId="9" xfId="0" applyFont="1" applyFill="1" applyBorder="1"/>
    <xf numFmtId="0" fontId="87" fillId="7" borderId="13" xfId="0" applyFont="1" applyFill="1" applyBorder="1" applyAlignment="1">
      <alignment vertical="center"/>
    </xf>
    <xf numFmtId="0" fontId="66" fillId="7" borderId="14" xfId="0" applyFont="1" applyFill="1" applyBorder="1" applyAlignment="1">
      <alignment vertical="center"/>
    </xf>
    <xf numFmtId="0" fontId="66" fillId="7" borderId="14" xfId="0" applyFont="1" applyFill="1" applyBorder="1" applyAlignment="1">
      <alignment vertical="center" wrapText="1"/>
    </xf>
    <xf numFmtId="0" fontId="66" fillId="7" borderId="14" xfId="0" applyFont="1" applyFill="1" applyBorder="1" applyAlignment="1">
      <alignment horizontal="center" vertical="center"/>
    </xf>
    <xf numFmtId="0" fontId="76" fillId="7" borderId="15" xfId="0" applyFont="1" applyFill="1" applyBorder="1"/>
    <xf numFmtId="0" fontId="117" fillId="2" borderId="0" xfId="0" applyFont="1" applyFill="1" applyAlignment="1">
      <alignment horizontal="center" vertical="center"/>
    </xf>
    <xf numFmtId="0" fontId="124" fillId="2" borderId="0" xfId="0" applyFont="1" applyFill="1" applyAlignment="1">
      <alignment horizontal="right" vertical="center"/>
    </xf>
    <xf numFmtId="0" fontId="125" fillId="2" borderId="0" xfId="0" applyFont="1" applyFill="1" applyAlignment="1">
      <alignment vertical="center"/>
    </xf>
    <xf numFmtId="0" fontId="66" fillId="2" borderId="19" xfId="0" applyFont="1" applyFill="1" applyBorder="1" applyAlignment="1">
      <alignment vertical="center"/>
    </xf>
    <xf numFmtId="0" fontId="66" fillId="2" borderId="20" xfId="0" applyFont="1" applyFill="1" applyBorder="1" applyAlignment="1">
      <alignment vertical="center"/>
    </xf>
    <xf numFmtId="0" fontId="66" fillId="2" borderId="20" xfId="0" applyFont="1" applyFill="1" applyBorder="1" applyAlignment="1">
      <alignment vertical="center" wrapText="1"/>
    </xf>
    <xf numFmtId="0" fontId="66" fillId="2" borderId="20" xfId="0" applyFont="1" applyFill="1" applyBorder="1" applyAlignment="1">
      <alignment horizontal="center" vertical="center"/>
    </xf>
    <xf numFmtId="0" fontId="126" fillId="2" borderId="20" xfId="0" applyFont="1" applyFill="1" applyBorder="1" applyAlignment="1">
      <alignment vertical="center"/>
    </xf>
    <xf numFmtId="0" fontId="66" fillId="2" borderId="21" xfId="0" applyFont="1" applyFill="1" applyBorder="1" applyAlignment="1">
      <alignment vertical="center"/>
    </xf>
    <xf numFmtId="0" fontId="66" fillId="2" borderId="23" xfId="0" applyFont="1" applyFill="1" applyBorder="1" applyAlignment="1">
      <alignment vertical="center"/>
    </xf>
    <xf numFmtId="0" fontId="73" fillId="2" borderId="0" xfId="0" applyFont="1" applyFill="1" applyAlignment="1">
      <alignment horizontal="center" vertical="center"/>
    </xf>
    <xf numFmtId="0" fontId="74" fillId="2" borderId="0" xfId="0" applyFont="1" applyFill="1" applyAlignment="1">
      <alignment horizontal="center" vertical="center" wrapText="1"/>
    </xf>
    <xf numFmtId="0" fontId="66" fillId="2" borderId="24" xfId="0" applyFont="1" applyFill="1" applyBorder="1" applyAlignment="1">
      <alignment vertical="center"/>
    </xf>
    <xf numFmtId="0" fontId="97" fillId="0" borderId="0" xfId="0" applyFont="1" applyAlignment="1">
      <alignment horizontal="center" vertical="center" wrapText="1"/>
    </xf>
    <xf numFmtId="0" fontId="97" fillId="2" borderId="0" xfId="0" applyFont="1" applyFill="1" applyAlignment="1">
      <alignment horizontal="center" vertical="center"/>
    </xf>
    <xf numFmtId="0" fontId="66" fillId="2" borderId="0" xfId="0" applyFont="1" applyFill="1" applyAlignment="1">
      <alignment horizontal="right" vertical="center"/>
    </xf>
    <xf numFmtId="0" fontId="66" fillId="2" borderId="0" xfId="0" applyFont="1" applyFill="1" applyAlignment="1">
      <alignment horizontal="left" vertical="center"/>
    </xf>
    <xf numFmtId="0" fontId="97" fillId="0" borderId="0" xfId="0" applyFont="1" applyAlignment="1">
      <alignment horizontal="center" vertical="center"/>
    </xf>
    <xf numFmtId="0" fontId="70" fillId="2" borderId="0" xfId="0" applyFont="1" applyFill="1" applyAlignment="1">
      <alignment horizontal="center" vertical="center"/>
    </xf>
    <xf numFmtId="9" fontId="74" fillId="2" borderId="0" xfId="0" applyNumberFormat="1" applyFont="1" applyFill="1" applyAlignment="1">
      <alignment horizontal="center" vertical="center" wrapText="1"/>
    </xf>
    <xf numFmtId="0" fontId="87" fillId="7" borderId="8" xfId="0" applyFont="1" applyFill="1" applyBorder="1" applyAlignment="1">
      <alignment vertical="center"/>
    </xf>
    <xf numFmtId="0" fontId="87" fillId="7" borderId="9" xfId="0" applyFont="1" applyFill="1" applyBorder="1" applyAlignment="1">
      <alignment vertical="center"/>
    </xf>
    <xf numFmtId="0" fontId="87" fillId="7" borderId="14" xfId="0" applyFont="1" applyFill="1" applyBorder="1" applyAlignment="1">
      <alignment vertical="center"/>
    </xf>
    <xf numFmtId="0" fontId="87" fillId="7" borderId="15" xfId="0" applyFont="1" applyFill="1" applyBorder="1" applyAlignment="1">
      <alignment vertical="center"/>
    </xf>
    <xf numFmtId="9" fontId="117" fillId="2" borderId="0" xfId="0" applyNumberFormat="1" applyFont="1" applyFill="1" applyAlignment="1">
      <alignment horizontal="center" vertical="center" wrapText="1"/>
    </xf>
    <xf numFmtId="0" fontId="66" fillId="2" borderId="24" xfId="0" applyFont="1" applyFill="1" applyBorder="1" applyAlignment="1">
      <alignment horizontal="center" vertical="center"/>
    </xf>
    <xf numFmtId="0" fontId="127" fillId="2" borderId="0" xfId="0" applyFont="1" applyFill="1" applyAlignment="1">
      <alignment horizontal="center" vertical="center" wrapText="1"/>
    </xf>
    <xf numFmtId="0" fontId="95" fillId="2" borderId="0" xfId="0" applyFont="1" applyFill="1" applyAlignment="1">
      <alignment vertical="center" wrapText="1"/>
    </xf>
    <xf numFmtId="10" fontId="66" fillId="2" borderId="0" xfId="0" applyNumberFormat="1" applyFont="1" applyFill="1" applyAlignment="1">
      <alignment horizontal="center" vertical="center"/>
    </xf>
    <xf numFmtId="9" fontId="97" fillId="6" borderId="0" xfId="0" applyNumberFormat="1" applyFont="1" applyFill="1" applyAlignment="1">
      <alignment horizontal="center" vertical="center"/>
    </xf>
    <xf numFmtId="164" fontId="97" fillId="0" borderId="0" xfId="0" applyNumberFormat="1" applyFont="1" applyAlignment="1">
      <alignment horizontal="center" vertical="center" wrapText="1"/>
    </xf>
    <xf numFmtId="0" fontId="66" fillId="2" borderId="25" xfId="0" applyFont="1" applyFill="1" applyBorder="1" applyAlignment="1">
      <alignment vertical="center"/>
    </xf>
    <xf numFmtId="0" fontId="66" fillId="2" borderId="26" xfId="0" applyFont="1" applyFill="1" applyBorder="1" applyAlignment="1">
      <alignment vertical="center"/>
    </xf>
    <xf numFmtId="0" fontId="66" fillId="2" borderId="26" xfId="0" applyFont="1" applyFill="1" applyBorder="1" applyAlignment="1">
      <alignment vertical="center" wrapText="1"/>
    </xf>
    <xf numFmtId="0" fontId="66" fillId="2" borderId="26" xfId="0" applyFont="1" applyFill="1" applyBorder="1" applyAlignment="1">
      <alignment horizontal="center" vertical="center"/>
    </xf>
    <xf numFmtId="0" fontId="66" fillId="2" borderId="27" xfId="0" applyFont="1" applyFill="1" applyBorder="1" applyAlignment="1">
      <alignment vertical="center"/>
    </xf>
    <xf numFmtId="0" fontId="74" fillId="0" borderId="0" xfId="0" applyFont="1" applyAlignment="1">
      <alignment vertical="center"/>
    </xf>
    <xf numFmtId="0" fontId="66" fillId="7" borderId="9" xfId="0" applyFont="1" applyFill="1" applyBorder="1" applyAlignment="1">
      <alignment vertical="center"/>
    </xf>
    <xf numFmtId="0" fontId="76" fillId="7" borderId="12" xfId="0" applyFont="1" applyFill="1" applyBorder="1"/>
    <xf numFmtId="0" fontId="122" fillId="2" borderId="0" xfId="0" applyFont="1" applyFill="1" applyAlignment="1">
      <alignment vertical="center" wrapText="1"/>
    </xf>
    <xf numFmtId="0" fontId="123" fillId="2" borderId="0" xfId="0" applyFont="1" applyFill="1" applyAlignment="1">
      <alignment vertical="center" wrapText="1"/>
    </xf>
    <xf numFmtId="0" fontId="87" fillId="7" borderId="11" xfId="0" applyFont="1" applyFill="1" applyBorder="1" applyAlignment="1">
      <alignment vertical="center"/>
    </xf>
    <xf numFmtId="0" fontId="66" fillId="7" borderId="0" xfId="0" applyFont="1" applyFill="1" applyAlignment="1">
      <alignment vertical="center"/>
    </xf>
    <xf numFmtId="0" fontId="66" fillId="7" borderId="0" xfId="0" applyFont="1" applyFill="1" applyAlignment="1">
      <alignment vertical="center" wrapText="1"/>
    </xf>
    <xf numFmtId="0" fontId="66" fillId="7" borderId="0" xfId="0" applyFont="1" applyFill="1" applyAlignment="1">
      <alignment horizontal="center" vertical="center"/>
    </xf>
    <xf numFmtId="0" fontId="76" fillId="2" borderId="19" xfId="0" applyFont="1" applyFill="1" applyBorder="1" applyAlignment="1">
      <alignment vertical="center"/>
    </xf>
    <xf numFmtId="0" fontId="76" fillId="2" borderId="20" xfId="0" applyFont="1" applyFill="1" applyBorder="1" applyAlignment="1">
      <alignment vertical="center"/>
    </xf>
    <xf numFmtId="0" fontId="76" fillId="2" borderId="20" xfId="0" applyFont="1" applyFill="1" applyBorder="1" applyAlignment="1">
      <alignment vertical="center" wrapText="1"/>
    </xf>
    <xf numFmtId="0" fontId="117" fillId="2" borderId="20" xfId="0" applyFont="1" applyFill="1" applyBorder="1" applyAlignment="1">
      <alignment horizontal="center" vertical="center"/>
    </xf>
    <xf numFmtId="0" fontId="117" fillId="2" borderId="20" xfId="0" applyFont="1" applyFill="1" applyBorder="1" applyAlignment="1">
      <alignment vertical="center"/>
    </xf>
    <xf numFmtId="0" fontId="117" fillId="2" borderId="21" xfId="0" applyFont="1" applyFill="1" applyBorder="1" applyAlignment="1">
      <alignment vertical="center"/>
    </xf>
    <xf numFmtId="0" fontId="128" fillId="0" borderId="0" xfId="0" applyFont="1" applyAlignment="1">
      <alignment vertical="center"/>
    </xf>
    <xf numFmtId="0" fontId="76" fillId="2" borderId="23" xfId="0" applyFont="1" applyFill="1" applyBorder="1" applyAlignment="1">
      <alignment vertical="center"/>
    </xf>
    <xf numFmtId="0" fontId="90" fillId="2" borderId="0" xfId="0" applyFont="1" applyFill="1" applyAlignment="1">
      <alignment wrapText="1"/>
    </xf>
    <xf numFmtId="0" fontId="117" fillId="2" borderId="24" xfId="0" applyFont="1" applyFill="1" applyBorder="1" applyAlignment="1">
      <alignment vertical="center"/>
    </xf>
    <xf numFmtId="0" fontId="129" fillId="0" borderId="0" xfId="0" applyFont="1" applyAlignment="1">
      <alignment horizontal="center" vertical="center"/>
    </xf>
    <xf numFmtId="0" fontId="117" fillId="2" borderId="24" xfId="0" applyFont="1" applyFill="1" applyBorder="1" applyAlignment="1">
      <alignment horizontal="center" vertical="center"/>
    </xf>
    <xf numFmtId="0" fontId="126" fillId="2" borderId="0" xfId="0" applyFont="1" applyFill="1" applyAlignment="1">
      <alignment horizontal="center" vertical="center"/>
    </xf>
    <xf numFmtId="0" fontId="72" fillId="2" borderId="0" xfId="0" applyFont="1" applyFill="1" applyAlignment="1">
      <alignment horizontal="center" vertical="center"/>
    </xf>
    <xf numFmtId="0" fontId="126" fillId="2" borderId="24" xfId="0" applyFont="1" applyFill="1" applyBorder="1" applyAlignment="1">
      <alignment horizontal="center" vertical="center"/>
    </xf>
    <xf numFmtId="10" fontId="97" fillId="0" borderId="0" xfId="0" applyNumberFormat="1" applyFont="1" applyAlignment="1">
      <alignment horizontal="center" vertical="center"/>
    </xf>
    <xf numFmtId="9" fontId="126" fillId="2" borderId="0" xfId="0" applyNumberFormat="1" applyFont="1" applyFill="1" applyAlignment="1">
      <alignment horizontal="center" vertical="center"/>
    </xf>
    <xf numFmtId="9" fontId="126" fillId="2" borderId="24" xfId="0" applyNumberFormat="1" applyFont="1" applyFill="1" applyBorder="1" applyAlignment="1">
      <alignment horizontal="center" vertical="center"/>
    </xf>
    <xf numFmtId="166" fontId="97" fillId="0" borderId="0" xfId="0" applyNumberFormat="1" applyFont="1" applyAlignment="1">
      <alignment horizontal="center" vertical="center"/>
    </xf>
    <xf numFmtId="166" fontId="126" fillId="2" borderId="0" xfId="0" applyNumberFormat="1" applyFont="1" applyFill="1" applyAlignment="1">
      <alignment horizontal="center" vertical="center"/>
    </xf>
    <xf numFmtId="166" fontId="126" fillId="2" borderId="24" xfId="0" applyNumberFormat="1" applyFont="1" applyFill="1" applyBorder="1" applyAlignment="1">
      <alignment horizontal="center" vertical="center"/>
    </xf>
    <xf numFmtId="166" fontId="97" fillId="4" borderId="0" xfId="0" applyNumberFormat="1" applyFont="1" applyFill="1" applyAlignment="1">
      <alignment horizontal="center" vertical="center"/>
    </xf>
    <xf numFmtId="166" fontId="97" fillId="2" borderId="0" xfId="0" applyNumberFormat="1" applyFont="1" applyFill="1" applyAlignment="1">
      <alignment horizontal="center" vertical="center"/>
    </xf>
    <xf numFmtId="2" fontId="74" fillId="2" borderId="0" xfId="0" applyNumberFormat="1" applyFont="1" applyFill="1" applyAlignment="1">
      <alignment horizontal="center" vertical="center"/>
    </xf>
    <xf numFmtId="2" fontId="74" fillId="2" borderId="24" xfId="0" applyNumberFormat="1" applyFont="1" applyFill="1" applyBorder="1" applyAlignment="1">
      <alignment horizontal="center" vertical="center"/>
    </xf>
    <xf numFmtId="2" fontId="97" fillId="0" borderId="0" xfId="0" applyNumberFormat="1" applyFont="1" applyAlignment="1">
      <alignment horizontal="center" vertical="center"/>
    </xf>
    <xf numFmtId="2" fontId="97" fillId="2" borderId="0" xfId="0" applyNumberFormat="1" applyFont="1" applyFill="1" applyAlignment="1">
      <alignment horizontal="center" vertical="center"/>
    </xf>
    <xf numFmtId="2" fontId="97" fillId="2" borderId="24" xfId="0" applyNumberFormat="1" applyFont="1" applyFill="1" applyBorder="1" applyAlignment="1">
      <alignment horizontal="center" vertical="center"/>
    </xf>
    <xf numFmtId="2" fontId="66" fillId="2" borderId="0" xfId="0" applyNumberFormat="1" applyFont="1" applyFill="1" applyAlignment="1">
      <alignment horizontal="center" vertical="center"/>
    </xf>
    <xf numFmtId="165" fontId="66" fillId="2" borderId="0" xfId="0" applyNumberFormat="1" applyFont="1" applyFill="1" applyAlignment="1">
      <alignment horizontal="center" vertical="center"/>
    </xf>
    <xf numFmtId="165" fontId="66" fillId="2" borderId="24" xfId="0" applyNumberFormat="1" applyFont="1" applyFill="1" applyBorder="1" applyAlignment="1">
      <alignment horizontal="center" vertical="center"/>
    </xf>
    <xf numFmtId="0" fontId="76" fillId="2" borderId="25" xfId="0" applyFont="1" applyFill="1" applyBorder="1" applyAlignment="1">
      <alignment vertical="center"/>
    </xf>
    <xf numFmtId="0" fontId="76" fillId="2" borderId="26" xfId="0" applyFont="1" applyFill="1" applyBorder="1" applyAlignment="1">
      <alignment vertical="center"/>
    </xf>
    <xf numFmtId="0" fontId="76" fillId="2" borderId="26" xfId="0" applyFont="1" applyFill="1" applyBorder="1" applyAlignment="1">
      <alignment vertical="center" wrapText="1"/>
    </xf>
    <xf numFmtId="0" fontId="76" fillId="2" borderId="26" xfId="0" applyFont="1" applyFill="1" applyBorder="1" applyAlignment="1">
      <alignment horizontal="center" vertical="center"/>
    </xf>
    <xf numFmtId="0" fontId="76" fillId="2" borderId="0" xfId="0" applyFont="1" applyFill="1" applyAlignment="1">
      <alignment horizontal="center" vertical="center"/>
    </xf>
    <xf numFmtId="0" fontId="69" fillId="0" borderId="0" xfId="0" applyFont="1" applyAlignment="1">
      <alignment horizontal="right"/>
    </xf>
    <xf numFmtId="4" fontId="69" fillId="0" borderId="0" xfId="0" applyNumberFormat="1" applyFont="1" applyAlignment="1"/>
    <xf numFmtId="0" fontId="131" fillId="0" borderId="0" xfId="0" applyFont="1" applyAlignment="1">
      <alignment vertical="center"/>
    </xf>
    <xf numFmtId="0" fontId="132" fillId="0" borderId="0" xfId="0" applyFont="1" applyAlignment="1"/>
    <xf numFmtId="0" fontId="132" fillId="11" borderId="0" xfId="0" applyFont="1" applyFill="1" applyAlignment="1"/>
    <xf numFmtId="0" fontId="133" fillId="11" borderId="32" xfId="0" applyFont="1" applyFill="1" applyBorder="1" applyAlignment="1">
      <alignment vertical="center" wrapText="1"/>
    </xf>
    <xf numFmtId="0" fontId="134" fillId="11" borderId="0" xfId="0" applyFont="1" applyFill="1" applyAlignment="1">
      <alignment vertical="center"/>
    </xf>
    <xf numFmtId="0" fontId="68" fillId="0" borderId="0" xfId="0" applyFont="1" applyAlignment="1">
      <alignment vertical="center"/>
    </xf>
    <xf numFmtId="0" fontId="118" fillId="0" borderId="0" xfId="0" applyFont="1" applyAlignment="1">
      <alignment horizontal="right" vertical="center"/>
    </xf>
    <xf numFmtId="0" fontId="102" fillId="0" borderId="0" xfId="0" applyFont="1" applyAlignment="1">
      <alignment horizontal="right" vertical="center"/>
    </xf>
    <xf numFmtId="0" fontId="74" fillId="0" borderId="0" xfId="0" applyFont="1" applyAlignment="1">
      <alignment horizontal="right" vertical="center"/>
    </xf>
    <xf numFmtId="0" fontId="75" fillId="0" borderId="0" xfId="0" applyFont="1" applyAlignment="1">
      <alignment vertical="center" wrapText="1"/>
    </xf>
    <xf numFmtId="0" fontId="75" fillId="0" borderId="0" xfId="0" applyFont="1" applyAlignment="1">
      <alignment vertical="center"/>
    </xf>
    <xf numFmtId="0" fontId="68" fillId="14" borderId="0" xfId="0" applyFont="1" applyFill="1" applyAlignment="1">
      <alignment vertical="center"/>
    </xf>
    <xf numFmtId="0" fontId="75" fillId="14" borderId="0" xfId="0" applyFont="1" applyFill="1" applyAlignment="1">
      <alignment vertical="center" wrapText="1"/>
    </xf>
    <xf numFmtId="0" fontId="75" fillId="14" borderId="0" xfId="0" applyFont="1" applyFill="1" applyAlignment="1">
      <alignment vertical="center"/>
    </xf>
    <xf numFmtId="0" fontId="117" fillId="0" borderId="0" xfId="0" applyFont="1" applyAlignment="1">
      <alignment horizontal="center" vertical="center"/>
    </xf>
    <xf numFmtId="0" fontId="119" fillId="0" borderId="0" xfId="0" applyFont="1" applyAlignment="1">
      <alignment vertical="center"/>
    </xf>
    <xf numFmtId="0" fontId="117" fillId="15" borderId="0" xfId="0" applyFont="1" applyFill="1" applyAlignment="1">
      <alignment horizontal="center" vertical="center"/>
    </xf>
    <xf numFmtId="9" fontId="126" fillId="0" borderId="0" xfId="0" applyNumberFormat="1" applyFont="1" applyAlignment="1">
      <alignment horizontal="center" vertical="center"/>
    </xf>
    <xf numFmtId="0" fontId="73" fillId="13" borderId="34" xfId="0" applyFont="1" applyFill="1" applyBorder="1" applyAlignment="1">
      <alignment horizontal="center" vertical="center"/>
    </xf>
    <xf numFmtId="10" fontId="97" fillId="2" borderId="35" xfId="0" applyNumberFormat="1" applyFont="1" applyFill="1" applyBorder="1" applyAlignment="1">
      <alignment horizontal="center" vertical="center"/>
    </xf>
    <xf numFmtId="10" fontId="97" fillId="2" borderId="36" xfId="0" applyNumberFormat="1" applyFont="1" applyFill="1" applyBorder="1" applyAlignment="1">
      <alignment horizontal="center" vertical="center"/>
    </xf>
    <xf numFmtId="10" fontId="97" fillId="2" borderId="37" xfId="0" applyNumberFormat="1" applyFont="1" applyFill="1" applyBorder="1" applyAlignment="1">
      <alignment horizontal="center" vertical="center"/>
    </xf>
    <xf numFmtId="10" fontId="97" fillId="2" borderId="38" xfId="0" applyNumberFormat="1" applyFont="1" applyFill="1" applyBorder="1" applyAlignment="1">
      <alignment horizontal="center" vertical="center"/>
    </xf>
    <xf numFmtId="10" fontId="97" fillId="2" borderId="0" xfId="0" applyNumberFormat="1" applyFont="1" applyFill="1" applyAlignment="1">
      <alignment horizontal="center" vertical="center"/>
    </xf>
    <xf numFmtId="10" fontId="97" fillId="2" borderId="24" xfId="0" applyNumberFormat="1" applyFont="1" applyFill="1" applyBorder="1" applyAlignment="1">
      <alignment horizontal="center" vertical="center"/>
    </xf>
    <xf numFmtId="9" fontId="74" fillId="0" borderId="39" xfId="0" applyNumberFormat="1" applyFont="1" applyBorder="1" applyAlignment="1">
      <alignment horizontal="center" vertical="center"/>
    </xf>
    <xf numFmtId="9" fontId="74" fillId="0" borderId="40" xfId="0" applyNumberFormat="1" applyFont="1" applyBorder="1" applyAlignment="1">
      <alignment horizontal="center" vertical="center"/>
    </xf>
    <xf numFmtId="9" fontId="74" fillId="0" borderId="41" xfId="0" applyNumberFormat="1" applyFont="1" applyBorder="1" applyAlignment="1">
      <alignment horizontal="center" vertical="center"/>
    </xf>
    <xf numFmtId="0" fontId="76" fillId="0" borderId="0" xfId="0" applyFont="1"/>
    <xf numFmtId="0" fontId="73" fillId="12" borderId="33" xfId="0" applyFont="1" applyFill="1" applyBorder="1" applyAlignment="1">
      <alignment horizontal="center" vertical="center"/>
    </xf>
    <xf numFmtId="0" fontId="66" fillId="0" borderId="0" xfId="0" applyFont="1" applyAlignment="1">
      <alignment horizontal="left" vertical="center"/>
    </xf>
    <xf numFmtId="0" fontId="65" fillId="13" borderId="42" xfId="0" applyFont="1" applyFill="1" applyBorder="1" applyAlignment="1">
      <alignment vertical="center"/>
    </xf>
    <xf numFmtId="0" fontId="76" fillId="13" borderId="0" xfId="0" applyFont="1" applyFill="1" applyAlignment="1">
      <alignment wrapText="1"/>
    </xf>
    <xf numFmtId="0" fontId="76" fillId="13" borderId="0" xfId="0" applyFont="1" applyFill="1"/>
    <xf numFmtId="0" fontId="66" fillId="0" borderId="0" xfId="0" applyFont="1" applyAlignment="1">
      <alignment horizontal="right" vertical="center"/>
    </xf>
    <xf numFmtId="0" fontId="73" fillId="0" borderId="43" xfId="0" applyFont="1" applyBorder="1" applyAlignment="1">
      <alignment vertical="center"/>
    </xf>
    <xf numFmtId="0" fontId="73" fillId="0" borderId="43" xfId="0" applyFont="1" applyBorder="1" applyAlignment="1">
      <alignment vertical="center" wrapText="1"/>
    </xf>
    <xf numFmtId="0" fontId="66" fillId="0" borderId="43" xfId="0" applyFont="1" applyBorder="1" applyAlignment="1">
      <alignment vertical="center"/>
    </xf>
    <xf numFmtId="0" fontId="69" fillId="6" borderId="0" xfId="0" applyFont="1" applyFill="1" applyAlignment="1">
      <alignment vertical="center"/>
    </xf>
    <xf numFmtId="0" fontId="93" fillId="0" borderId="0" xfId="0" applyFont="1" applyAlignment="1">
      <alignment vertical="center"/>
    </xf>
    <xf numFmtId="165" fontId="97" fillId="0" borderId="0" xfId="0" applyNumberFormat="1" applyFont="1" applyAlignment="1">
      <alignment horizontal="center" vertical="center"/>
    </xf>
    <xf numFmtId="165" fontId="97" fillId="2" borderId="0" xfId="0" applyNumberFormat="1" applyFont="1" applyFill="1" applyAlignment="1">
      <alignment horizontal="center" vertical="center"/>
    </xf>
    <xf numFmtId="0" fontId="73" fillId="0" borderId="0" xfId="0" applyFont="1" applyAlignment="1">
      <alignment horizontal="right" vertical="center"/>
    </xf>
    <xf numFmtId="0" fontId="65" fillId="13" borderId="0" xfId="0" applyFont="1" applyFill="1" applyAlignment="1">
      <alignment vertical="center"/>
    </xf>
    <xf numFmtId="0" fontId="66" fillId="13" borderId="0" xfId="0" applyFont="1" applyFill="1" applyAlignment="1">
      <alignment vertical="center" wrapText="1"/>
    </xf>
    <xf numFmtId="0" fontId="66" fillId="13" borderId="0" xfId="0" applyFont="1" applyFill="1" applyAlignment="1">
      <alignment vertical="center"/>
    </xf>
    <xf numFmtId="0" fontId="73" fillId="13" borderId="0" xfId="0" applyFont="1" applyFill="1" applyAlignment="1">
      <alignment horizontal="center" vertical="center"/>
    </xf>
    <xf numFmtId="0" fontId="73" fillId="0" borderId="0" xfId="0" applyFont="1" applyAlignment="1">
      <alignment vertical="center" wrapText="1"/>
    </xf>
    <xf numFmtId="0" fontId="73" fillId="0" borderId="0" xfId="0" applyFont="1" applyAlignment="1"/>
    <xf numFmtId="10" fontId="76" fillId="0" borderId="0" xfId="0" applyNumberFormat="1" applyFont="1" applyAlignment="1">
      <alignment horizontal="right"/>
    </xf>
    <xf numFmtId="9" fontId="97" fillId="2" borderId="0" xfId="0" applyNumberFormat="1" applyFont="1" applyFill="1" applyAlignment="1">
      <alignment horizontal="center" vertical="center"/>
    </xf>
    <xf numFmtId="0" fontId="66" fillId="0" borderId="0" xfId="0" applyFont="1" applyAlignment="1">
      <alignment horizontal="center" vertical="center" wrapText="1"/>
    </xf>
    <xf numFmtId="9" fontId="74" fillId="0" borderId="0" xfId="0" applyNumberFormat="1" applyFont="1" applyAlignment="1">
      <alignment horizontal="center" vertical="center"/>
    </xf>
    <xf numFmtId="9" fontId="74" fillId="0" borderId="44" xfId="0" applyNumberFormat="1" applyFont="1" applyBorder="1" applyAlignment="1">
      <alignment horizontal="center" vertical="center"/>
    </xf>
    <xf numFmtId="0" fontId="66" fillId="16" borderId="0" xfId="0" applyFont="1" applyFill="1" applyAlignment="1">
      <alignment horizontal="center" vertical="center"/>
    </xf>
    <xf numFmtId="0" fontId="102" fillId="16" borderId="0" xfId="0" applyFont="1" applyFill="1" applyAlignment="1">
      <alignment horizontal="right" vertical="center"/>
    </xf>
    <xf numFmtId="0" fontId="102" fillId="0" borderId="0" xfId="0" applyFont="1" applyAlignment="1">
      <alignment horizontal="center" vertical="center"/>
    </xf>
    <xf numFmtId="0" fontId="66" fillId="0" borderId="0" xfId="0" applyFont="1" applyAlignment="1">
      <alignment horizontal="right"/>
    </xf>
    <xf numFmtId="0" fontId="66" fillId="0" borderId="0" xfId="0" applyFont="1" applyAlignment="1">
      <alignment horizontal="center"/>
    </xf>
    <xf numFmtId="9" fontId="97" fillId="2" borderId="0" xfId="0" applyNumberFormat="1" applyFont="1" applyFill="1" applyAlignment="1">
      <alignment horizontal="center"/>
    </xf>
    <xf numFmtId="0" fontId="126" fillId="0" borderId="0" xfId="0" applyFont="1" applyAlignment="1">
      <alignment vertical="center"/>
    </xf>
    <xf numFmtId="10" fontId="65" fillId="0" borderId="0" xfId="0" applyNumberFormat="1" applyFont="1" applyAlignment="1">
      <alignment horizontal="center"/>
    </xf>
    <xf numFmtId="0" fontId="76" fillId="0" borderId="0" xfId="0" applyFont="1" applyAlignment="1">
      <alignment horizontal="right" vertical="center"/>
    </xf>
    <xf numFmtId="0" fontId="102" fillId="3" borderId="0" xfId="0" applyFont="1" applyFill="1" applyAlignment="1">
      <alignment horizontal="center" vertical="center"/>
    </xf>
    <xf numFmtId="0" fontId="102" fillId="3" borderId="0" xfId="0" applyFont="1" applyFill="1" applyAlignment="1">
      <alignment horizontal="left" vertical="center"/>
    </xf>
    <xf numFmtId="0" fontId="76" fillId="0" borderId="0" xfId="0" applyFont="1" applyAlignment="1">
      <alignment horizontal="center" vertical="center"/>
    </xf>
    <xf numFmtId="0" fontId="102" fillId="0" borderId="0" xfId="0" applyFont="1" applyAlignment="1">
      <alignment horizontal="center"/>
    </xf>
    <xf numFmtId="0" fontId="126" fillId="0" borderId="0" xfId="0" applyFont="1" applyAlignment="1">
      <alignment horizontal="center" vertical="center"/>
    </xf>
    <xf numFmtId="0" fontId="118" fillId="0" borderId="0" xfId="0" applyFont="1" applyAlignment="1">
      <alignment horizontal="center" vertical="center"/>
    </xf>
    <xf numFmtId="0" fontId="66" fillId="0" borderId="0" xfId="0" applyFont="1" applyAlignment="1">
      <alignment horizontal="right" vertical="top"/>
    </xf>
    <xf numFmtId="0" fontId="97" fillId="0" borderId="0" xfId="0" applyFont="1" applyAlignment="1">
      <alignment vertical="center"/>
    </xf>
    <xf numFmtId="0" fontId="92" fillId="0" borderId="0" xfId="0" applyFont="1" applyAlignment="1">
      <alignment vertical="top" wrapText="1"/>
    </xf>
    <xf numFmtId="0" fontId="66" fillId="0" borderId="43" xfId="0" applyFont="1" applyBorder="1" applyAlignment="1">
      <alignment horizontal="center" vertical="center"/>
    </xf>
    <xf numFmtId="0" fontId="73" fillId="0" borderId="45" xfId="0" applyFont="1" applyBorder="1" applyAlignment="1">
      <alignment vertical="center"/>
    </xf>
    <xf numFmtId="0" fontId="73" fillId="0" borderId="45" xfId="0" applyFont="1" applyBorder="1" applyAlignment="1">
      <alignment vertical="center" wrapText="1"/>
    </xf>
    <xf numFmtId="0" fontId="116" fillId="0" borderId="0" xfId="0" applyFont="1" applyAlignment="1">
      <alignment vertical="center"/>
    </xf>
    <xf numFmtId="167" fontId="97" fillId="2" borderId="0" xfId="0" applyNumberFormat="1" applyFont="1" applyFill="1" applyAlignment="1">
      <alignment horizontal="center" vertical="center"/>
    </xf>
    <xf numFmtId="9" fontId="97" fillId="0" borderId="0" xfId="0" applyNumberFormat="1" applyFont="1" applyAlignment="1">
      <alignment horizontal="center" vertical="center"/>
    </xf>
    <xf numFmtId="167" fontId="97" fillId="0" borderId="0" xfId="0" applyNumberFormat="1" applyFont="1" applyAlignment="1">
      <alignment horizontal="center" vertical="center"/>
    </xf>
    <xf numFmtId="9" fontId="74" fillId="0" borderId="0" xfId="0" applyNumberFormat="1" applyFont="1" applyAlignment="1">
      <alignment vertical="center"/>
    </xf>
    <xf numFmtId="168" fontId="126" fillId="0" borderId="0" xfId="0" applyNumberFormat="1" applyFont="1" applyAlignment="1">
      <alignment horizontal="center" vertical="center"/>
    </xf>
    <xf numFmtId="168" fontId="97" fillId="2" borderId="0" xfId="0" applyNumberFormat="1" applyFont="1" applyFill="1" applyAlignment="1">
      <alignment horizontal="center" vertical="center"/>
    </xf>
    <xf numFmtId="0" fontId="102" fillId="3" borderId="0" xfId="0" applyFont="1" applyFill="1" applyAlignment="1">
      <alignment horizontal="center" vertical="center" wrapText="1"/>
    </xf>
    <xf numFmtId="0" fontId="126" fillId="2" borderId="0" xfId="0" applyFont="1" applyFill="1" applyAlignment="1">
      <alignment horizontal="center" vertical="center" wrapText="1"/>
    </xf>
    <xf numFmtId="9" fontId="126" fillId="13" borderId="0" xfId="0" applyNumberFormat="1" applyFont="1" applyFill="1" applyAlignment="1">
      <alignment vertical="center"/>
    </xf>
    <xf numFmtId="9" fontId="126" fillId="0" borderId="0" xfId="0" applyNumberFormat="1" applyFont="1" applyAlignment="1">
      <alignment vertical="center"/>
    </xf>
    <xf numFmtId="0" fontId="73" fillId="0" borderId="0" xfId="0" applyFont="1" applyAlignment="1">
      <alignment horizontal="center" vertical="center"/>
    </xf>
    <xf numFmtId="0" fontId="73" fillId="0" borderId="43" xfId="0" applyFont="1" applyBorder="1" applyAlignment="1">
      <alignment horizontal="center" vertical="center"/>
    </xf>
    <xf numFmtId="0" fontId="117" fillId="6" borderId="0" xfId="0" applyFont="1" applyFill="1" applyAlignment="1">
      <alignment horizontal="center" vertical="center"/>
    </xf>
    <xf numFmtId="0" fontId="102" fillId="3" borderId="0" xfId="0" applyFont="1" applyFill="1" applyAlignment="1">
      <alignment horizontal="right" vertical="center"/>
    </xf>
    <xf numFmtId="0" fontId="76" fillId="0" borderId="0" xfId="0" applyFont="1" applyAlignment="1">
      <alignment horizontal="center"/>
    </xf>
    <xf numFmtId="3" fontId="97" fillId="2" borderId="0" xfId="0" applyNumberFormat="1" applyFont="1" applyFill="1" applyAlignment="1">
      <alignment horizontal="center" vertical="center"/>
    </xf>
    <xf numFmtId="0" fontId="118" fillId="16" borderId="0" xfId="0" applyFont="1" applyFill="1" applyAlignment="1">
      <alignment horizontal="center" vertical="center"/>
    </xf>
    <xf numFmtId="0" fontId="97" fillId="2" borderId="0" xfId="0" applyFont="1" applyFill="1" applyAlignment="1">
      <alignment vertical="center"/>
    </xf>
    <xf numFmtId="0" fontId="75" fillId="14" borderId="0" xfId="0" applyFont="1" applyFill="1" applyAlignment="1">
      <alignment horizontal="center" vertical="center"/>
    </xf>
    <xf numFmtId="0" fontId="97" fillId="2" borderId="0" xfId="0" applyFont="1" applyFill="1" applyAlignment="1">
      <alignment horizontal="center" vertical="center" wrapText="1"/>
    </xf>
    <xf numFmtId="165" fontId="97" fillId="2" borderId="0" xfId="0" applyNumberFormat="1" applyFont="1" applyFill="1" applyAlignment="1">
      <alignment horizontal="center"/>
    </xf>
    <xf numFmtId="0" fontId="66" fillId="0" borderId="0" xfId="0" applyFont="1" applyAlignment="1">
      <alignment horizontal="center" vertical="top"/>
    </xf>
    <xf numFmtId="0" fontId="78" fillId="0" borderId="0" xfId="0" applyFont="1" applyAlignment="1">
      <alignment vertical="center"/>
    </xf>
    <xf numFmtId="0" fontId="78" fillId="0" borderId="45" xfId="0" applyFont="1" applyBorder="1" applyAlignment="1">
      <alignment vertical="center"/>
    </xf>
    <xf numFmtId="0" fontId="76" fillId="0" borderId="45" xfId="0" applyFont="1" applyBorder="1" applyAlignment="1">
      <alignment wrapText="1"/>
    </xf>
    <xf numFmtId="0" fontId="76" fillId="0" borderId="45" xfId="0" applyFont="1" applyBorder="1" applyAlignment="1">
      <alignment vertical="center"/>
    </xf>
    <xf numFmtId="0" fontId="76" fillId="0" borderId="45" xfId="0" applyFont="1" applyBorder="1" applyAlignment="1">
      <alignment horizontal="center" vertical="center"/>
    </xf>
    <xf numFmtId="0" fontId="65" fillId="2" borderId="114" xfId="0" applyFont="1" applyFill="1" applyBorder="1" applyAlignment="1">
      <alignment vertical="center"/>
    </xf>
    <xf numFmtId="0" fontId="75" fillId="2" borderId="115" xfId="0" applyFont="1" applyFill="1" applyBorder="1" applyAlignment="1">
      <alignment vertical="center" wrapText="1"/>
    </xf>
    <xf numFmtId="0" fontId="75" fillId="2" borderId="115" xfId="0" applyFont="1" applyFill="1" applyBorder="1" applyAlignment="1">
      <alignment vertical="center"/>
    </xf>
    <xf numFmtId="0" fontId="75" fillId="2" borderId="116" xfId="0" applyFont="1" applyFill="1" applyBorder="1" applyAlignment="1">
      <alignment vertical="center"/>
    </xf>
    <xf numFmtId="0" fontId="68" fillId="2" borderId="117" xfId="0" applyFont="1" applyFill="1" applyBorder="1" applyAlignment="1">
      <alignment vertical="center"/>
    </xf>
    <xf numFmtId="0" fontId="75" fillId="2" borderId="42" xfId="0" applyFont="1" applyFill="1" applyBorder="1" applyAlignment="1">
      <alignment vertical="center" wrapText="1"/>
    </xf>
    <xf numFmtId="0" fontId="75" fillId="2" borderId="42" xfId="0" applyFont="1" applyFill="1" applyBorder="1" applyAlignment="1">
      <alignment vertical="center"/>
    </xf>
    <xf numFmtId="0" fontId="75" fillId="2" borderId="118" xfId="0" applyFont="1" applyFill="1" applyBorder="1" applyAlignment="1">
      <alignment vertical="center"/>
    </xf>
    <xf numFmtId="0" fontId="118" fillId="2" borderId="117" xfId="0" applyFont="1" applyFill="1" applyBorder="1" applyAlignment="1">
      <alignment horizontal="right" vertical="top"/>
    </xf>
    <xf numFmtId="0" fontId="98" fillId="2" borderId="118" xfId="0" applyFont="1" applyFill="1" applyBorder="1" applyAlignment="1">
      <alignment horizontal="left" vertical="top"/>
    </xf>
    <xf numFmtId="0" fontId="102" fillId="2" borderId="117" xfId="0" applyFont="1" applyFill="1" applyBorder="1" applyAlignment="1">
      <alignment horizontal="right" vertical="top"/>
    </xf>
    <xf numFmtId="0" fontId="74" fillId="2" borderId="117" xfId="0" applyFont="1" applyFill="1" applyBorder="1" applyAlignment="1">
      <alignment horizontal="right" vertical="center"/>
    </xf>
    <xf numFmtId="0" fontId="74" fillId="2" borderId="42" xfId="0" applyFont="1" applyFill="1" applyBorder="1" applyAlignment="1">
      <alignment vertical="center" wrapText="1"/>
    </xf>
    <xf numFmtId="0" fontId="75" fillId="2" borderId="121" xfId="0" applyFont="1" applyFill="1" applyBorder="1" applyAlignment="1">
      <alignment vertical="center"/>
    </xf>
    <xf numFmtId="0" fontId="69" fillId="23" borderId="115" xfId="0" applyFont="1" applyFill="1" applyBorder="1" applyAlignment="1"/>
    <xf numFmtId="0" fontId="68" fillId="23" borderId="115" xfId="0" applyFont="1" applyFill="1" applyBorder="1" applyAlignment="1">
      <alignment vertical="center"/>
    </xf>
    <xf numFmtId="0" fontId="69" fillId="23" borderId="116" xfId="0" applyFont="1" applyFill="1" applyBorder="1" applyAlignment="1"/>
    <xf numFmtId="0" fontId="74" fillId="23" borderId="42" xfId="0" applyFont="1" applyFill="1" applyBorder="1" applyAlignment="1">
      <alignment vertical="center"/>
    </xf>
    <xf numFmtId="0" fontId="68" fillId="23" borderId="42" xfId="0" applyFont="1" applyFill="1" applyBorder="1" applyAlignment="1">
      <alignment vertical="center"/>
    </xf>
    <xf numFmtId="0" fontId="69" fillId="23" borderId="118" xfId="0" applyFont="1" applyFill="1" applyBorder="1" applyAlignment="1"/>
    <xf numFmtId="0" fontId="74" fillId="23" borderId="120" xfId="0" applyFont="1" applyFill="1" applyBorder="1" applyAlignment="1">
      <alignment vertical="center"/>
    </xf>
    <xf numFmtId="0" fontId="69" fillId="23" borderId="120" xfId="0" applyFont="1" applyFill="1" applyBorder="1" applyAlignment="1"/>
    <xf numFmtId="0" fontId="68" fillId="23" borderId="120" xfId="0" applyFont="1" applyFill="1" applyBorder="1" applyAlignment="1">
      <alignment vertical="center"/>
    </xf>
    <xf numFmtId="0" fontId="69" fillId="23" borderId="121" xfId="0" applyFont="1" applyFill="1" applyBorder="1" applyAlignment="1"/>
    <xf numFmtId="0" fontId="117" fillId="23" borderId="114" xfId="0" applyFont="1" applyFill="1" applyBorder="1" applyAlignment="1">
      <alignment vertical="center"/>
    </xf>
    <xf numFmtId="0" fontId="102" fillId="2" borderId="119" xfId="0" applyFont="1" applyFill="1" applyBorder="1" applyAlignment="1">
      <alignment horizontal="right" vertical="top"/>
    </xf>
    <xf numFmtId="0" fontId="117" fillId="23" borderId="117" xfId="0" applyFont="1" applyFill="1" applyBorder="1" applyAlignment="1">
      <alignment vertical="center"/>
    </xf>
    <xf numFmtId="0" fontId="69" fillId="23" borderId="42" xfId="0" applyFont="1" applyFill="1" applyBorder="1" applyAlignment="1"/>
    <xf numFmtId="0" fontId="135" fillId="0" borderId="0" xfId="1" applyFont="1" applyAlignment="1">
      <alignment horizontal="center" vertical="center"/>
    </xf>
    <xf numFmtId="0" fontId="102" fillId="3" borderId="0" xfId="0" applyFont="1" applyFill="1" applyAlignment="1">
      <alignment horizontal="left" vertical="center" wrapText="1"/>
    </xf>
    <xf numFmtId="165" fontId="73" fillId="0" borderId="0" xfId="0" applyNumberFormat="1" applyFont="1" applyAlignment="1">
      <alignment vertical="center"/>
    </xf>
    <xf numFmtId="166" fontId="65" fillId="2" borderId="0" xfId="0" applyNumberFormat="1" applyFont="1" applyFill="1" applyAlignment="1">
      <alignment horizontal="center" vertical="center"/>
    </xf>
    <xf numFmtId="0" fontId="74" fillId="2" borderId="0" xfId="0" applyFont="1" applyFill="1" applyAlignment="1">
      <alignment horizontal="center" vertical="center"/>
    </xf>
    <xf numFmtId="165" fontId="66" fillId="0" borderId="0" xfId="0" applyNumberFormat="1" applyFont="1" applyAlignment="1">
      <alignment vertical="center"/>
    </xf>
    <xf numFmtId="0" fontId="66" fillId="0" borderId="0" xfId="0" applyFont="1"/>
    <xf numFmtId="0" fontId="133" fillId="11" borderId="32" xfId="0" applyFont="1" applyFill="1" applyBorder="1" applyAlignment="1">
      <alignment vertical="center"/>
    </xf>
    <xf numFmtId="0" fontId="121" fillId="11" borderId="32" xfId="0" applyFont="1" applyFill="1" applyBorder="1" applyAlignment="1">
      <alignment vertical="center"/>
    </xf>
    <xf numFmtId="0" fontId="77" fillId="11" borderId="0" xfId="0" applyFont="1" applyFill="1" applyAlignment="1">
      <alignment vertical="center"/>
    </xf>
    <xf numFmtId="0" fontId="76" fillId="11" borderId="0" xfId="0" applyFont="1" applyFill="1" applyAlignment="1">
      <alignment horizontal="center" vertical="center"/>
    </xf>
    <xf numFmtId="0" fontId="76" fillId="11" borderId="0" xfId="0" applyFont="1" applyFill="1" applyAlignment="1">
      <alignment vertical="center"/>
    </xf>
    <xf numFmtId="0" fontId="66" fillId="11" borderId="0" xfId="0" applyFont="1" applyFill="1" applyAlignment="1">
      <alignment vertical="center"/>
    </xf>
    <xf numFmtId="0" fontId="66" fillId="11" borderId="0" xfId="0" applyFont="1" applyFill="1" applyAlignment="1">
      <alignment horizontal="center" vertical="center"/>
    </xf>
    <xf numFmtId="0" fontId="68" fillId="14" borderId="0" xfId="0" applyFont="1" applyFill="1" applyAlignment="1">
      <alignment horizontal="center" vertical="center"/>
    </xf>
    <xf numFmtId="166" fontId="68" fillId="14" borderId="0" xfId="0" applyNumberFormat="1" applyFont="1" applyFill="1" applyAlignment="1">
      <alignment horizontal="center" vertical="center"/>
    </xf>
    <xf numFmtId="168" fontId="117" fillId="2" borderId="0" xfId="0" applyNumberFormat="1" applyFont="1" applyFill="1" applyAlignment="1">
      <alignment horizontal="center" vertical="center"/>
    </xf>
    <xf numFmtId="0" fontId="112" fillId="0" borderId="0" xfId="0" applyFont="1"/>
    <xf numFmtId="0" fontId="117" fillId="14" borderId="0" xfId="0" applyFont="1" applyFill="1" applyAlignment="1">
      <alignment vertical="center"/>
    </xf>
    <xf numFmtId="166" fontId="118" fillId="0" borderId="0" xfId="0" applyNumberFormat="1" applyFont="1" applyAlignment="1">
      <alignment horizontal="center" vertical="center"/>
    </xf>
    <xf numFmtId="0" fontId="69" fillId="0" borderId="0" xfId="0" applyFont="1"/>
    <xf numFmtId="0" fontId="90" fillId="0" borderId="0" xfId="0" applyFont="1" applyAlignment="1"/>
    <xf numFmtId="10" fontId="74" fillId="2" borderId="0" xfId="0" applyNumberFormat="1" applyFont="1" applyFill="1" applyAlignment="1">
      <alignment horizontal="center" vertical="center"/>
    </xf>
    <xf numFmtId="166" fontId="66" fillId="2" borderId="0" xfId="0" applyNumberFormat="1" applyFont="1" applyFill="1" applyAlignment="1">
      <alignment horizontal="center" vertical="center"/>
    </xf>
    <xf numFmtId="166" fontId="74" fillId="2" borderId="0" xfId="0" applyNumberFormat="1" applyFont="1" applyFill="1" applyAlignment="1">
      <alignment horizontal="center" vertical="center"/>
    </xf>
    <xf numFmtId="0" fontId="68" fillId="0" borderId="0" xfId="0" applyFont="1" applyAlignment="1">
      <alignment horizontal="center" vertical="center"/>
    </xf>
    <xf numFmtId="166" fontId="68" fillId="0" borderId="0" xfId="0" applyNumberFormat="1" applyFont="1" applyAlignment="1">
      <alignment horizontal="center" vertical="center"/>
    </xf>
    <xf numFmtId="0" fontId="68" fillId="17" borderId="0" xfId="0" applyFont="1" applyFill="1" applyAlignment="1">
      <alignment vertical="center"/>
    </xf>
    <xf numFmtId="166" fontId="68" fillId="17" borderId="0" xfId="0" applyNumberFormat="1" applyFont="1" applyFill="1" applyAlignment="1">
      <alignment horizontal="center" vertical="center"/>
    </xf>
    <xf numFmtId="166" fontId="66" fillId="0" borderId="0" xfId="0" applyNumberFormat="1" applyFont="1" applyAlignment="1">
      <alignment horizontal="center" vertical="center"/>
    </xf>
    <xf numFmtId="166" fontId="74" fillId="0" borderId="0" xfId="0" applyNumberFormat="1" applyFont="1" applyAlignment="1">
      <alignment horizontal="center" vertical="center"/>
    </xf>
    <xf numFmtId="166" fontId="66" fillId="6" borderId="43" xfId="0" applyNumberFormat="1" applyFont="1" applyFill="1" applyBorder="1" applyAlignment="1">
      <alignment horizontal="center" vertical="center"/>
    </xf>
    <xf numFmtId="166" fontId="126" fillId="0" borderId="0" xfId="0" applyNumberFormat="1" applyFont="1" applyAlignment="1">
      <alignment horizontal="center" vertical="center"/>
    </xf>
    <xf numFmtId="166" fontId="66" fillId="6" borderId="0" xfId="0" applyNumberFormat="1" applyFont="1" applyFill="1" applyAlignment="1">
      <alignment horizontal="center" vertical="center"/>
    </xf>
    <xf numFmtId="0" fontId="73" fillId="0" borderId="49" xfId="0" applyFont="1" applyBorder="1" applyAlignment="1">
      <alignment vertical="center"/>
    </xf>
    <xf numFmtId="0" fontId="66" fillId="0" borderId="49" xfId="0" applyFont="1" applyBorder="1" applyAlignment="1">
      <alignment horizontal="center" vertical="center"/>
    </xf>
    <xf numFmtId="166" fontId="66" fillId="0" borderId="49" xfId="0" applyNumberFormat="1" applyFont="1" applyBorder="1" applyAlignment="1">
      <alignment horizontal="center" vertical="center"/>
    </xf>
    <xf numFmtId="169" fontId="66" fillId="0" borderId="49" xfId="0" applyNumberFormat="1" applyFont="1" applyBorder="1" applyAlignment="1">
      <alignment horizontal="center" vertical="center"/>
    </xf>
    <xf numFmtId="166" fontId="76" fillId="6" borderId="0" xfId="0" applyNumberFormat="1" applyFont="1" applyFill="1"/>
    <xf numFmtId="0" fontId="73" fillId="0" borderId="50" xfId="0" applyFont="1" applyBorder="1" applyAlignment="1"/>
    <xf numFmtId="0" fontId="76" fillId="0" borderId="43" xfId="0" applyFont="1" applyBorder="1"/>
    <xf numFmtId="166" fontId="76" fillId="6" borderId="43" xfId="0" applyNumberFormat="1" applyFont="1" applyFill="1" applyBorder="1"/>
    <xf numFmtId="166" fontId="74" fillId="2" borderId="0" xfId="0" applyNumberFormat="1" applyFont="1" applyFill="1" applyAlignment="1">
      <alignment horizontal="center"/>
    </xf>
    <xf numFmtId="0" fontId="139" fillId="0" borderId="0" xfId="0" applyFont="1" applyAlignment="1">
      <alignment horizontal="center" vertical="center" wrapText="1"/>
    </xf>
    <xf numFmtId="0" fontId="140" fillId="0" borderId="0" xfId="0" applyFont="1" applyAlignment="1">
      <alignment horizontal="left" vertical="center" wrapText="1"/>
    </xf>
    <xf numFmtId="0" fontId="141" fillId="0" borderId="0" xfId="0" applyFont="1"/>
    <xf numFmtId="0" fontId="141" fillId="0" borderId="0" xfId="0" applyFont="1" applyAlignment="1">
      <alignment horizontal="center" vertical="center"/>
    </xf>
    <xf numFmtId="0" fontId="117" fillId="0" borderId="0" xfId="0" applyFont="1" applyAlignment="1">
      <alignment horizontal="center" vertical="center" wrapText="1"/>
    </xf>
    <xf numFmtId="0" fontId="65" fillId="0" borderId="0" xfId="0" applyFont="1" applyAlignment="1">
      <alignment horizontal="center" vertical="center"/>
    </xf>
    <xf numFmtId="0" fontId="117" fillId="0" borderId="0" xfId="0" applyFont="1" applyAlignment="1">
      <alignment horizontal="left" vertical="center" wrapText="1"/>
    </xf>
    <xf numFmtId="0" fontId="141" fillId="0" borderId="0" xfId="0" applyFont="1" applyAlignment="1">
      <alignment vertical="center"/>
    </xf>
    <xf numFmtId="0" fontId="142" fillId="0" borderId="0" xfId="0" applyFont="1" applyAlignment="1">
      <alignment horizontal="left" vertical="center"/>
    </xf>
    <xf numFmtId="0" fontId="142" fillId="0" borderId="0" xfId="0" applyFont="1" applyAlignment="1">
      <alignment horizontal="center" vertical="center"/>
    </xf>
    <xf numFmtId="0" fontId="117" fillId="0" borderId="0" xfId="0" applyFont="1" applyAlignment="1">
      <alignment horizontal="left" wrapText="1"/>
    </xf>
    <xf numFmtId="0" fontId="65" fillId="0" borderId="0" xfId="0" applyFont="1" applyAlignment="1">
      <alignment horizontal="center"/>
    </xf>
    <xf numFmtId="0" fontId="142" fillId="0" borderId="0" xfId="0" applyFont="1" applyAlignment="1">
      <alignment horizontal="center" vertical="center" wrapText="1"/>
    </xf>
    <xf numFmtId="0" fontId="121" fillId="11" borderId="32" xfId="0" applyFont="1" applyFill="1" applyBorder="1" applyAlignment="1">
      <alignment vertical="center" wrapText="1"/>
    </xf>
    <xf numFmtId="0" fontId="121" fillId="11" borderId="32" xfId="0" applyFont="1" applyFill="1" applyBorder="1" applyAlignment="1">
      <alignment horizontal="center" vertical="center" wrapText="1"/>
    </xf>
    <xf numFmtId="0" fontId="74" fillId="0" borderId="0" xfId="0" applyFont="1" applyAlignment="1">
      <alignment wrapText="1"/>
    </xf>
    <xf numFmtId="0" fontId="124" fillId="0" borderId="0" xfId="0" applyFont="1" applyFill="1" applyAlignment="1">
      <alignment horizontal="left" vertical="center"/>
    </xf>
    <xf numFmtId="0" fontId="73" fillId="5" borderId="117" xfId="0" applyFont="1" applyFill="1" applyBorder="1" applyAlignment="1">
      <alignment horizontal="center"/>
    </xf>
    <xf numFmtId="0" fontId="73" fillId="12" borderId="117" xfId="0" applyFont="1" applyFill="1" applyBorder="1" applyAlignment="1">
      <alignment horizontal="center"/>
    </xf>
    <xf numFmtId="0" fontId="73" fillId="13" borderId="117" xfId="0" applyFont="1" applyFill="1" applyBorder="1" applyAlignment="1">
      <alignment horizontal="center"/>
    </xf>
    <xf numFmtId="0" fontId="143" fillId="23" borderId="119" xfId="0" applyFont="1" applyFill="1" applyBorder="1" applyAlignment="1">
      <alignment horizontal="center" vertical="center"/>
    </xf>
    <xf numFmtId="0" fontId="66" fillId="2" borderId="0" xfId="0" applyFont="1" applyFill="1" applyAlignment="1">
      <alignment vertical="center" wrapText="1"/>
    </xf>
    <xf numFmtId="0" fontId="66" fillId="0" borderId="0" xfId="0" applyFont="1" applyAlignment="1">
      <alignment vertical="center" wrapText="1"/>
    </xf>
    <xf numFmtId="0" fontId="124" fillId="0" borderId="0" xfId="0" applyFont="1" applyAlignment="1">
      <alignment vertical="center"/>
    </xf>
    <xf numFmtId="0" fontId="66" fillId="0" borderId="0" xfId="0" applyFont="1" applyAlignment="1">
      <alignment vertical="center"/>
    </xf>
    <xf numFmtId="0" fontId="102" fillId="16" borderId="0" xfId="0" applyFont="1" applyFill="1" applyAlignment="1">
      <alignment horizontal="left" wrapText="1"/>
    </xf>
    <xf numFmtId="0" fontId="69" fillId="0" borderId="0" xfId="0" applyFont="1" applyAlignment="1"/>
    <xf numFmtId="0" fontId="14" fillId="0" borderId="0" xfId="0" applyFont="1" applyFill="1" applyAlignment="1">
      <alignment horizontal="center"/>
    </xf>
    <xf numFmtId="0" fontId="66" fillId="0" borderId="0" xfId="0" applyFont="1" applyAlignment="1">
      <alignment vertical="center"/>
    </xf>
    <xf numFmtId="0" fontId="42" fillId="0" borderId="66" xfId="0" applyFont="1" applyFill="1" applyBorder="1" applyAlignment="1">
      <alignment horizontal="center"/>
    </xf>
    <xf numFmtId="0" fontId="42" fillId="0" borderId="0" xfId="0" applyFont="1" applyFill="1" applyAlignment="1">
      <alignment horizontal="center"/>
    </xf>
    <xf numFmtId="0" fontId="42" fillId="0" borderId="71" xfId="0" applyFont="1" applyFill="1" applyBorder="1" applyAlignment="1">
      <alignment horizontal="center"/>
    </xf>
    <xf numFmtId="0" fontId="69" fillId="0" borderId="0" xfId="0" applyFont="1" applyAlignment="1"/>
    <xf numFmtId="0" fontId="66" fillId="0" borderId="0" xfId="0" applyFont="1" applyAlignment="1">
      <alignment vertical="center" wrapText="1"/>
    </xf>
    <xf numFmtId="0" fontId="66" fillId="0" borderId="0" xfId="0" applyFont="1" applyAlignment="1">
      <alignment vertical="center"/>
    </xf>
    <xf numFmtId="0" fontId="4" fillId="5" borderId="6" xfId="0" applyFont="1" applyFill="1" applyBorder="1" applyAlignment="1">
      <alignment horizontal="center" vertical="center"/>
    </xf>
    <xf numFmtId="0" fontId="0" fillId="0" borderId="0" xfId="0" applyFont="1" applyAlignment="1"/>
    <xf numFmtId="0" fontId="69" fillId="0" borderId="0" xfId="0" applyFont="1" applyAlignment="1"/>
    <xf numFmtId="0" fontId="66" fillId="0" borderId="0" xfId="0" applyFont="1" applyAlignment="1">
      <alignment vertical="center"/>
    </xf>
    <xf numFmtId="0" fontId="69" fillId="0" borderId="0" xfId="0" applyFont="1" applyAlignment="1"/>
    <xf numFmtId="0" fontId="139" fillId="0" borderId="0" xfId="0" applyFont="1" applyAlignment="1">
      <alignment horizontal="left" vertical="center" wrapText="1"/>
    </xf>
    <xf numFmtId="0" fontId="0" fillId="0" borderId="0" xfId="0" applyFont="1" applyAlignment="1"/>
    <xf numFmtId="0" fontId="0" fillId="0" borderId="0" xfId="0" applyNumberFormat="1" applyFont="1" applyAlignment="1"/>
    <xf numFmtId="0" fontId="3" fillId="0" borderId="0" xfId="0" applyNumberFormat="1" applyFont="1"/>
    <xf numFmtId="0" fontId="73" fillId="0" borderId="42" xfId="0" applyFont="1" applyBorder="1" applyAlignment="1">
      <alignment vertical="center"/>
    </xf>
    <xf numFmtId="0" fontId="66" fillId="2" borderId="16" xfId="0" applyFont="1" applyFill="1" applyBorder="1" applyAlignment="1">
      <alignment vertical="center"/>
    </xf>
    <xf numFmtId="0" fontId="66" fillId="0" borderId="17" xfId="0" applyFont="1" applyBorder="1"/>
    <xf numFmtId="0" fontId="66" fillId="0" borderId="18" xfId="0" applyFont="1" applyBorder="1"/>
    <xf numFmtId="0" fontId="86" fillId="20" borderId="16" xfId="0" applyFont="1" applyFill="1" applyBorder="1" applyAlignment="1">
      <alignment vertical="center"/>
    </xf>
    <xf numFmtId="0" fontId="66" fillId="21" borderId="18" xfId="0" applyFont="1" applyFill="1" applyBorder="1"/>
    <xf numFmtId="0" fontId="75" fillId="8" borderId="16" xfId="0" applyFont="1" applyFill="1" applyBorder="1" applyAlignment="1">
      <alignment vertical="center"/>
    </xf>
    <xf numFmtId="0" fontId="65" fillId="2" borderId="16" xfId="0" applyFont="1" applyFill="1" applyBorder="1" applyAlignment="1">
      <alignment vertical="center"/>
    </xf>
    <xf numFmtId="0" fontId="66" fillId="2" borderId="16" xfId="0" applyFont="1" applyFill="1" applyBorder="1" applyAlignment="1">
      <alignment vertical="center" wrapText="1"/>
    </xf>
    <xf numFmtId="0" fontId="66" fillId="0" borderId="17" xfId="0" applyFont="1" applyBorder="1" applyAlignment="1">
      <alignment wrapText="1"/>
    </xf>
    <xf numFmtId="0" fontId="66" fillId="0" borderId="18" xfId="0" applyFont="1" applyBorder="1" applyAlignment="1">
      <alignment wrapText="1"/>
    </xf>
    <xf numFmtId="0" fontId="66" fillId="2" borderId="19" xfId="0" applyFont="1" applyFill="1" applyBorder="1" applyAlignment="1">
      <alignment vertical="center"/>
    </xf>
    <xf numFmtId="0" fontId="66" fillId="0" borderId="20" xfId="0" applyFont="1" applyBorder="1"/>
    <xf numFmtId="0" fontId="66" fillId="0" borderId="21" xfId="0" applyFont="1" applyBorder="1"/>
    <xf numFmtId="0" fontId="66" fillId="0" borderId="23" xfId="0" applyFont="1" applyBorder="1"/>
    <xf numFmtId="0" fontId="74" fillId="0" borderId="0" xfId="0" applyFont="1" applyAlignment="1"/>
    <xf numFmtId="0" fontId="66" fillId="0" borderId="24" xfId="0" applyFont="1" applyBorder="1"/>
    <xf numFmtId="0" fontId="66" fillId="0" borderId="25" xfId="0" applyFont="1" applyBorder="1"/>
    <xf numFmtId="0" fontId="66" fillId="0" borderId="26" xfId="0" applyFont="1" applyBorder="1"/>
    <xf numFmtId="0" fontId="66" fillId="0" borderId="27" xfId="0" applyFont="1" applyBorder="1"/>
    <xf numFmtId="0" fontId="86" fillId="10" borderId="16" xfId="0" applyFont="1" applyFill="1" applyBorder="1" applyAlignment="1">
      <alignment vertical="center"/>
    </xf>
    <xf numFmtId="0" fontId="86" fillId="9" borderId="16" xfId="0" applyFont="1" applyFill="1" applyBorder="1" applyAlignment="1">
      <alignment vertical="center"/>
    </xf>
    <xf numFmtId="0" fontId="66" fillId="2" borderId="0" xfId="0" applyFont="1" applyFill="1" applyAlignment="1">
      <alignment vertical="top" wrapText="1"/>
    </xf>
    <xf numFmtId="0" fontId="83" fillId="2" borderId="0" xfId="0" applyFont="1" applyFill="1" applyAlignment="1">
      <alignment horizontal="right" vertical="top" wrapText="1"/>
    </xf>
    <xf numFmtId="0" fontId="85" fillId="2" borderId="0" xfId="0" applyFont="1" applyFill="1" applyAlignment="1">
      <alignment wrapText="1"/>
    </xf>
    <xf numFmtId="0" fontId="65" fillId="3" borderId="2" xfId="0" applyFont="1" applyFill="1" applyBorder="1" applyAlignment="1">
      <alignment vertical="center"/>
    </xf>
    <xf numFmtId="0" fontId="66" fillId="0" borderId="3" xfId="0" applyFont="1" applyBorder="1"/>
    <xf numFmtId="0" fontId="66" fillId="0" borderId="4" xfId="0" applyFont="1" applyBorder="1"/>
    <xf numFmtId="0" fontId="83" fillId="2" borderId="0" xfId="0" applyFont="1" applyFill="1" applyAlignment="1">
      <alignment horizontal="right" wrapText="1"/>
    </xf>
    <xf numFmtId="0" fontId="66" fillId="2" borderId="0" xfId="0" applyFont="1" applyFill="1" applyAlignment="1"/>
    <xf numFmtId="0" fontId="66" fillId="2" borderId="0" xfId="0" applyFont="1" applyFill="1" applyAlignment="1">
      <alignment wrapText="1"/>
    </xf>
    <xf numFmtId="0" fontId="75" fillId="7" borderId="11" xfId="0" applyFont="1" applyFill="1" applyBorder="1" applyAlignment="1">
      <alignment wrapText="1"/>
    </xf>
    <xf numFmtId="0" fontId="66" fillId="0" borderId="12" xfId="0" applyFont="1" applyBorder="1"/>
    <xf numFmtId="0" fontId="66" fillId="2" borderId="0" xfId="0" applyFont="1" applyFill="1" applyAlignment="1">
      <alignment vertical="center"/>
    </xf>
    <xf numFmtId="0" fontId="115" fillId="0" borderId="0" xfId="0" applyFont="1" applyAlignment="1">
      <alignment vertical="center" wrapText="1"/>
    </xf>
    <xf numFmtId="0" fontId="69" fillId="0" borderId="0" xfId="0" applyFont="1" applyAlignment="1"/>
    <xf numFmtId="0" fontId="65" fillId="2" borderId="0" xfId="0" applyFont="1" applyFill="1" applyAlignment="1">
      <alignment vertical="center" wrapText="1"/>
    </xf>
    <xf numFmtId="0" fontId="98" fillId="2" borderId="0" xfId="0" applyFont="1" applyFill="1" applyAlignment="1">
      <alignment vertical="center"/>
    </xf>
    <xf numFmtId="0" fontId="81" fillId="3" borderId="2" xfId="0" applyFont="1" applyFill="1" applyBorder="1" applyAlignment="1">
      <alignment vertical="center"/>
    </xf>
    <xf numFmtId="0" fontId="76" fillId="0" borderId="3" xfId="0" applyFont="1" applyBorder="1"/>
    <xf numFmtId="0" fontId="76" fillId="0" borderId="4" xfId="0" applyFont="1" applyBorder="1"/>
    <xf numFmtId="0" fontId="66" fillId="6" borderId="0" xfId="0" applyFont="1" applyFill="1" applyAlignment="1">
      <alignment vertical="center" wrapText="1"/>
    </xf>
    <xf numFmtId="0" fontId="73" fillId="2" borderId="0" xfId="0" applyFont="1" applyFill="1" applyAlignment="1">
      <alignment horizontal="left" vertical="center" wrapText="1"/>
    </xf>
    <xf numFmtId="0" fontId="74" fillId="22" borderId="0" xfId="0" applyFont="1" applyFill="1" applyAlignment="1">
      <alignment horizontal="left" wrapText="1"/>
    </xf>
    <xf numFmtId="0" fontId="97" fillId="6" borderId="0" xfId="0" applyFont="1" applyFill="1" applyAlignment="1">
      <alignment vertical="center"/>
    </xf>
    <xf numFmtId="0" fontId="66" fillId="2" borderId="0" xfId="0" applyFont="1" applyFill="1" applyAlignment="1">
      <alignment vertical="center" wrapText="1"/>
    </xf>
    <xf numFmtId="0" fontId="123" fillId="7" borderId="11" xfId="0" applyFont="1" applyFill="1" applyBorder="1" applyAlignment="1">
      <alignment vertical="center" wrapText="1"/>
    </xf>
    <xf numFmtId="0" fontId="76" fillId="0" borderId="12" xfId="0" applyFont="1" applyBorder="1"/>
    <xf numFmtId="0" fontId="122" fillId="7" borderId="11" xfId="0" applyFont="1" applyFill="1" applyBorder="1" applyAlignment="1">
      <alignment vertical="center" wrapText="1"/>
    </xf>
    <xf numFmtId="0" fontId="122" fillId="2" borderId="0" xfId="0" applyFont="1" applyFill="1" applyAlignment="1">
      <alignment vertical="center" wrapText="1"/>
    </xf>
    <xf numFmtId="0" fontId="123" fillId="2" borderId="0" xfId="0" applyFont="1" applyFill="1" applyAlignment="1">
      <alignment vertical="center" wrapText="1"/>
    </xf>
    <xf numFmtId="0" fontId="122" fillId="7" borderId="11" xfId="0" applyFont="1" applyFill="1" applyBorder="1" applyAlignment="1">
      <alignment vertical="center"/>
    </xf>
    <xf numFmtId="0" fontId="120" fillId="2" borderId="0" xfId="0" applyFont="1" applyFill="1" applyAlignment="1">
      <alignment horizontal="center" vertical="center"/>
    </xf>
    <xf numFmtId="0" fontId="93" fillId="0" borderId="43" xfId="0" applyFont="1" applyBorder="1" applyAlignment="1">
      <alignment horizontal="center"/>
    </xf>
    <xf numFmtId="0" fontId="76" fillId="0" borderId="43" xfId="0" applyFont="1" applyBorder="1"/>
    <xf numFmtId="0" fontId="136" fillId="14" borderId="0" xfId="1" applyFont="1" applyFill="1" applyAlignment="1">
      <alignment horizontal="center" vertical="center"/>
    </xf>
    <xf numFmtId="0" fontId="136" fillId="0" borderId="0" xfId="1" applyFont="1" applyAlignment="1"/>
    <xf numFmtId="0" fontId="66" fillId="0" borderId="0" xfId="0" applyFont="1" applyAlignment="1">
      <alignment vertical="center"/>
    </xf>
    <xf numFmtId="0" fontId="97" fillId="2" borderId="0" xfId="0" applyFont="1" applyFill="1" applyAlignment="1">
      <alignment horizontal="center" vertical="center"/>
    </xf>
    <xf numFmtId="9" fontId="97" fillId="2" borderId="0" xfId="0" applyNumberFormat="1" applyFont="1" applyFill="1" applyAlignment="1">
      <alignment horizontal="center" vertical="center"/>
    </xf>
    <xf numFmtId="0" fontId="66" fillId="0" borderId="0" xfId="0" applyFont="1" applyAlignment="1">
      <alignment vertical="center" wrapText="1"/>
    </xf>
    <xf numFmtId="0" fontId="117" fillId="2" borderId="42" xfId="0" applyFont="1" applyFill="1" applyBorder="1" applyAlignment="1">
      <alignment horizontal="left" vertical="top" wrapText="1"/>
    </xf>
    <xf numFmtId="0" fontId="74" fillId="2" borderId="42" xfId="0" applyFont="1" applyFill="1" applyBorder="1" applyAlignment="1">
      <alignment horizontal="left" vertical="top" wrapText="1"/>
    </xf>
    <xf numFmtId="0" fontId="74" fillId="2" borderId="120" xfId="0" applyFont="1" applyFill="1" applyBorder="1" applyAlignment="1">
      <alignment horizontal="left" vertical="top" wrapText="1"/>
    </xf>
    <xf numFmtId="0" fontId="80" fillId="0" borderId="19" xfId="0" applyFont="1" applyBorder="1" applyAlignment="1">
      <alignment horizontal="center" vertical="center" wrapText="1"/>
    </xf>
    <xf numFmtId="0" fontId="80" fillId="0" borderId="20" xfId="0" applyFont="1" applyBorder="1"/>
    <xf numFmtId="0" fontId="80" fillId="0" borderId="21" xfId="0" applyFont="1" applyBorder="1"/>
    <xf numFmtId="0" fontId="80" fillId="0" borderId="23" xfId="0" applyFont="1" applyBorder="1"/>
    <xf numFmtId="0" fontId="79" fillId="0" borderId="0" xfId="0" applyFont="1" applyAlignment="1"/>
    <xf numFmtId="0" fontId="80" fillId="0" borderId="24" xfId="0" applyFont="1" applyBorder="1"/>
    <xf numFmtId="0" fontId="80" fillId="0" borderId="25" xfId="0" applyFont="1" applyBorder="1"/>
    <xf numFmtId="0" fontId="80" fillId="0" borderId="26" xfId="0" applyFont="1" applyBorder="1"/>
    <xf numFmtId="0" fontId="80" fillId="0" borderId="27" xfId="0" applyFont="1" applyBorder="1"/>
    <xf numFmtId="0" fontId="139" fillId="0" borderId="0" xfId="0" applyFont="1" applyAlignment="1">
      <alignment horizontal="left" vertical="center" wrapText="1"/>
    </xf>
    <xf numFmtId="0" fontId="5" fillId="2" borderId="47" xfId="0" applyFont="1" applyFill="1" applyBorder="1" applyAlignment="1">
      <alignment horizontal="center" vertical="center" wrapText="1"/>
    </xf>
    <xf numFmtId="0" fontId="3" fillId="0" borderId="47" xfId="0" applyFont="1" applyBorder="1"/>
    <xf numFmtId="0" fontId="53" fillId="0" borderId="0" xfId="0" applyFont="1" applyAlignment="1">
      <alignment horizontal="center" vertical="center"/>
    </xf>
    <xf numFmtId="0" fontId="0" fillId="0" borderId="0" xfId="0" applyFont="1" applyAlignment="1"/>
    <xf numFmtId="0" fontId="26" fillId="16" borderId="0" xfId="0" applyFont="1" applyFill="1" applyAlignment="1">
      <alignment horizontal="center" vertical="center"/>
    </xf>
    <xf numFmtId="0" fontId="8" fillId="0" borderId="62" xfId="0" applyFont="1" applyBorder="1" applyAlignment="1">
      <alignment horizontal="center" vertical="center"/>
    </xf>
    <xf numFmtId="0" fontId="3" fillId="0" borderId="62" xfId="0" applyFont="1" applyBorder="1"/>
    <xf numFmtId="0" fontId="22" fillId="0" borderId="0" xfId="0" applyFont="1" applyAlignment="1">
      <alignment horizontal="right" vertical="center"/>
    </xf>
    <xf numFmtId="0" fontId="39" fillId="0" borderId="62" xfId="0" applyFont="1" applyBorder="1" applyAlignment="1">
      <alignment horizontal="center"/>
    </xf>
    <xf numFmtId="0" fontId="39" fillId="0" borderId="65" xfId="0" applyFont="1" applyBorder="1" applyAlignment="1">
      <alignment horizontal="center" vertical="center"/>
    </xf>
    <xf numFmtId="0" fontId="3" fillId="0" borderId="67" xfId="0" applyFont="1" applyBorder="1"/>
    <xf numFmtId="0" fontId="39" fillId="0" borderId="70" xfId="0" applyFont="1" applyBorder="1" applyAlignment="1">
      <alignment horizontal="center" vertical="center"/>
    </xf>
    <xf numFmtId="0" fontId="3" fillId="0" borderId="72" xfId="0" applyFont="1" applyBorder="1"/>
    <xf numFmtId="0" fontId="2" fillId="0" borderId="99" xfId="0" applyFont="1" applyBorder="1" applyAlignment="1">
      <alignment vertical="center"/>
    </xf>
    <xf numFmtId="0" fontId="3" fillId="0" borderId="99" xfId="0" applyFont="1" applyBorder="1"/>
  </cellXfs>
  <cellStyles count="2">
    <cellStyle name="Hyperlink" xfId="1" builtinId="8"/>
    <cellStyle name="Normal" xfId="0" builtinId="0"/>
  </cellStyles>
  <dxfs count="39">
    <dxf>
      <fill>
        <patternFill patternType="solid">
          <fgColor rgb="FF93C47D"/>
          <bgColor rgb="FF93C47D"/>
        </patternFill>
      </fill>
    </dxf>
    <dxf>
      <fill>
        <patternFill patternType="solid">
          <fgColor rgb="FFFFD966"/>
          <bgColor rgb="FFFFD966"/>
        </patternFill>
      </fill>
    </dxf>
    <dxf>
      <fill>
        <patternFill patternType="solid">
          <fgColor rgb="FF6D9EEB"/>
          <bgColor rgb="FF6D9EEB"/>
        </patternFill>
      </fill>
    </dxf>
    <dxf>
      <fill>
        <patternFill patternType="solid">
          <fgColor rgb="FFD5A6BD"/>
          <bgColor rgb="FFD5A6BD"/>
        </patternFill>
      </fill>
    </dxf>
    <dxf>
      <fill>
        <patternFill patternType="solid">
          <fgColor rgb="FFFF9900"/>
          <bgColor rgb="FFFF9900"/>
        </patternFill>
      </fill>
    </dxf>
    <dxf>
      <fill>
        <patternFill patternType="solid">
          <fgColor rgb="FF93C47D"/>
          <bgColor rgb="FF93C47D"/>
        </patternFill>
      </fill>
    </dxf>
    <dxf>
      <fill>
        <patternFill patternType="solid">
          <fgColor rgb="FFFFD966"/>
          <bgColor rgb="FFFFD966"/>
        </patternFill>
      </fill>
    </dxf>
    <dxf>
      <fill>
        <patternFill patternType="solid">
          <fgColor rgb="FF93C47D"/>
          <bgColor rgb="FF93C47D"/>
        </patternFill>
      </fill>
    </dxf>
    <dxf>
      <fill>
        <patternFill patternType="solid">
          <fgColor rgb="FF8E7CC3"/>
          <bgColor rgb="FF8E7CC3"/>
        </patternFill>
      </fill>
    </dxf>
    <dxf>
      <fill>
        <patternFill patternType="solid">
          <fgColor rgb="FF6D9EEB"/>
          <bgColor rgb="FF6D9EEB"/>
        </patternFill>
      </fill>
    </dxf>
    <dxf>
      <fill>
        <patternFill patternType="solid">
          <fgColor rgb="FF93C47D"/>
          <bgColor rgb="FF93C47D"/>
        </patternFill>
      </fill>
    </dxf>
    <dxf>
      <fill>
        <patternFill patternType="solid">
          <fgColor rgb="FFFFD966"/>
          <bgColor rgb="FFFFD966"/>
        </patternFill>
      </fill>
    </dxf>
    <dxf>
      <fill>
        <patternFill patternType="solid">
          <fgColor rgb="FF6D9EEB"/>
          <bgColor rgb="FF6D9EEB"/>
        </patternFill>
      </fill>
    </dxf>
    <dxf>
      <fill>
        <patternFill patternType="solid">
          <fgColor rgb="FF92D050"/>
          <bgColor rgb="FF92D050"/>
        </patternFill>
      </fill>
    </dxf>
    <dxf>
      <fill>
        <patternFill patternType="solid">
          <fgColor rgb="FFFF0000"/>
          <bgColor rgb="FFFF0000"/>
        </patternFill>
      </fill>
    </dxf>
    <dxf>
      <fill>
        <patternFill patternType="solid">
          <fgColor rgb="FFD5A6BD"/>
          <bgColor rgb="FFD5A6BD"/>
        </patternFill>
      </fill>
    </dxf>
    <dxf>
      <fill>
        <patternFill patternType="solid">
          <fgColor rgb="FFFF9900"/>
          <bgColor rgb="FFFF9900"/>
        </patternFill>
      </fill>
    </dxf>
    <dxf>
      <fill>
        <patternFill patternType="solid">
          <fgColor rgb="FF93C47D"/>
          <bgColor rgb="FF93C47D"/>
        </patternFill>
      </fill>
    </dxf>
    <dxf>
      <fill>
        <patternFill patternType="solid">
          <fgColor rgb="FF8E7CC3"/>
          <bgColor rgb="FF8E7CC3"/>
        </patternFill>
      </fill>
    </dxf>
    <dxf>
      <fill>
        <patternFill patternType="solid">
          <fgColor rgb="FF6D9EEB"/>
          <bgColor rgb="FF6D9EEB"/>
        </patternFill>
      </fill>
    </dxf>
    <dxf>
      <fill>
        <patternFill patternType="solid">
          <fgColor rgb="FF93C47D"/>
          <bgColor rgb="FF93C47D"/>
        </patternFill>
      </fill>
    </dxf>
    <dxf>
      <fill>
        <patternFill patternType="solid">
          <fgColor rgb="FFFFD966"/>
          <bgColor rgb="FFFFD966"/>
        </patternFill>
      </fill>
    </dxf>
    <dxf>
      <fill>
        <patternFill patternType="solid">
          <fgColor rgb="FF6D9EEB"/>
          <bgColor rgb="FF6D9EEB"/>
        </patternFill>
      </fill>
    </dxf>
    <dxf>
      <fill>
        <patternFill patternType="solid">
          <fgColor rgb="FFEFEFEF"/>
          <bgColor rgb="FFEFEFEF"/>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ill>
        <patternFill patternType="solid">
          <fgColor rgb="FFF4C7C3"/>
          <bgColor rgb="FFF4C7C3"/>
        </patternFill>
      </fill>
    </dxf>
    <dxf>
      <fill>
        <patternFill patternType="solid">
          <fgColor rgb="FFB7E1CD"/>
          <bgColor rgb="FFB7E1CD"/>
        </patternFill>
      </fill>
    </dxf>
    <dxf>
      <font>
        <color rgb="FFFF9900"/>
      </font>
      <fill>
        <patternFill patternType="none"/>
      </fill>
    </dxf>
    <dxf>
      <font>
        <color rgb="FFFF9900"/>
      </font>
      <fill>
        <patternFill patternType="none"/>
      </fill>
    </dxf>
    <dxf>
      <font>
        <color rgb="FFFF9900"/>
      </font>
      <fill>
        <patternFill patternType="none"/>
      </fill>
    </dxf>
    <dxf>
      <font>
        <color rgb="FFFF9900"/>
      </font>
      <fill>
        <patternFill patternType="none"/>
      </fill>
    </dxf>
    <dxf>
      <fill>
        <patternFill patternType="solid">
          <fgColor rgb="FFF4C7C3"/>
          <bgColor rgb="FFF4C7C3"/>
        </patternFill>
      </fill>
    </dxf>
    <dxf>
      <fill>
        <patternFill patternType="solid">
          <fgColor rgb="FFB7E1CD"/>
          <bgColor rgb="FFB7E1CD"/>
        </patternFill>
      </fill>
    </dxf>
    <dxf>
      <fill>
        <patternFill patternType="solid">
          <fgColor rgb="FF92D050"/>
          <bgColor rgb="FF92D050"/>
        </patternFill>
      </fill>
    </dxf>
    <dxf>
      <fill>
        <patternFill patternType="solid">
          <fgColor rgb="FFFF0000"/>
          <bgColor rgb="FFFF0000"/>
        </patternFill>
      </fill>
    </dxf>
    <dxf>
      <fill>
        <patternFill patternType="solid">
          <fgColor rgb="FFF4C7C3"/>
          <bgColor rgb="FFF4C7C3"/>
        </patternFill>
      </fill>
    </dxf>
  </dxfs>
  <tableStyles count="0" defaultTableStyle="TableStyleMedium2" defaultPivotStyle="PivotStyleLight16"/>
  <colors>
    <mruColors>
      <color rgb="FFEFEFEF"/>
      <color rgb="FFF2B8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sz="1100">
                <a:latin typeface="Georgia" panose="02040502050405020303" pitchFamily="18" charset="0"/>
              </a:rPr>
              <a:t>Compliance to the FAIR Principles</a:t>
            </a:r>
          </a:p>
        </c:rich>
      </c:tx>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1"/>
        <c:ser>
          <c:idx val="0"/>
          <c:order val="0"/>
          <c:tx>
            <c:v>Compliance percentage</c:v>
          </c:tx>
          <c:invertIfNegative val="1"/>
          <c:dPt>
            <c:idx val="0"/>
            <c:invertIfNegative val="1"/>
            <c:bubble3D val="0"/>
            <c:spPr>
              <a:solidFill>
                <a:schemeClr val="accent2"/>
              </a:solidFill>
              <a:ln>
                <a:noFill/>
              </a:ln>
              <a:effectLst/>
            </c:spPr>
            <c:extLst>
              <c:ext xmlns:c16="http://schemas.microsoft.com/office/drawing/2014/chart" uri="{C3380CC4-5D6E-409C-BE32-E72D297353CC}">
                <c16:uniqueId val="{00000001-E98B-4D59-AE7D-C060F4E18BB3}"/>
              </c:ext>
            </c:extLst>
          </c:dPt>
          <c:dPt>
            <c:idx val="1"/>
            <c:invertIfNegative val="1"/>
            <c:bubble3D val="0"/>
            <c:spPr>
              <a:solidFill>
                <a:schemeClr val="accent1">
                  <a:tint val="77000"/>
                </a:schemeClr>
              </a:solidFill>
              <a:ln>
                <a:noFill/>
              </a:ln>
              <a:effectLst/>
            </c:spPr>
            <c:extLst>
              <c:ext xmlns:c16="http://schemas.microsoft.com/office/drawing/2014/chart" uri="{C3380CC4-5D6E-409C-BE32-E72D297353CC}">
                <c16:uniqueId val="{00000003-4A39-431B-93A1-DCF37781FC03}"/>
              </c:ext>
            </c:extLst>
          </c:dPt>
          <c:dPt>
            <c:idx val="2"/>
            <c:invertIfNegative val="1"/>
            <c:bubble3D val="0"/>
            <c:spPr>
              <a:solidFill>
                <a:schemeClr val="accent1"/>
              </a:solidFill>
              <a:ln>
                <a:noFill/>
              </a:ln>
              <a:effectLst/>
            </c:spPr>
            <c:extLst>
              <c:ext xmlns:c16="http://schemas.microsoft.com/office/drawing/2014/chart" uri="{C3380CC4-5D6E-409C-BE32-E72D297353CC}">
                <c16:uniqueId val="{00000005-4A39-431B-93A1-DCF37781FC03}"/>
              </c:ext>
            </c:extLst>
          </c:dPt>
          <c:dPt>
            <c:idx val="3"/>
            <c:invertIfNegative val="1"/>
            <c:bubble3D val="0"/>
            <c:spPr>
              <a:solidFill>
                <a:schemeClr val="accent1">
                  <a:shade val="76000"/>
                </a:schemeClr>
              </a:solidFill>
              <a:ln>
                <a:noFill/>
              </a:ln>
              <a:effectLst/>
            </c:spPr>
            <c:extLst>
              <c:ext xmlns:c16="http://schemas.microsoft.com/office/drawing/2014/chart" uri="{C3380CC4-5D6E-409C-BE32-E72D297353CC}">
                <c16:uniqueId val="{00000007-4A39-431B-93A1-DCF37781FC03}"/>
              </c:ext>
            </c:extLst>
          </c:dPt>
          <c:dPt>
            <c:idx val="4"/>
            <c:invertIfNegative val="1"/>
            <c:bubble3D val="0"/>
            <c:spPr>
              <a:solidFill>
                <a:schemeClr val="accent1">
                  <a:shade val="53000"/>
                </a:schemeClr>
              </a:solidFill>
              <a:ln>
                <a:noFill/>
              </a:ln>
              <a:effectLst/>
            </c:spPr>
            <c:extLst>
              <c:ext xmlns:c16="http://schemas.microsoft.com/office/drawing/2014/chart" uri="{C3380CC4-5D6E-409C-BE32-E72D297353CC}">
                <c16:uniqueId val="{00000009-4A39-431B-93A1-DCF37781FC03}"/>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Georgia" panose="02040502050405020303" pitchFamily="18" charset="0"/>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6350" cap="flat" cmpd="sng" algn="ctr">
                      <a:solidFill>
                        <a:schemeClr val="tx1"/>
                      </a:solidFill>
                      <a:prstDash val="solid"/>
                      <a:round/>
                    </a:ln>
                    <a:effectLst/>
                  </c:spPr>
                </c15:leaderLines>
              </c:ext>
            </c:extLst>
          </c:dLbls>
          <c:cat>
            <c:strRef>
              <c:f>'2.1 Input_FAIR_Facets'!$D$121:$D$125</c:f>
              <c:strCache>
                <c:ptCount val="5"/>
                <c:pt idx="0">
                  <c:v>Overall FAIRness</c:v>
                </c:pt>
                <c:pt idx="1">
                  <c:v>Findable</c:v>
                </c:pt>
                <c:pt idx="2">
                  <c:v>Accessible</c:v>
                </c:pt>
                <c:pt idx="3">
                  <c:v>Interoperable</c:v>
                </c:pt>
                <c:pt idx="4">
                  <c:v>Reusable</c:v>
                </c:pt>
              </c:strCache>
            </c:strRef>
          </c:cat>
          <c:val>
            <c:numRef>
              <c:f>'2.1 Input_FAIR_Facets'!$G$121:$G$125</c:f>
              <c:numCache>
                <c:formatCode>0.00%</c:formatCode>
                <c:ptCount val="5"/>
                <c:pt idx="0">
                  <c:v>0.59666666666666668</c:v>
                </c:pt>
                <c:pt idx="1">
                  <c:v>0.55999999999999994</c:v>
                </c:pt>
                <c:pt idx="2">
                  <c:v>0.6</c:v>
                </c:pt>
                <c:pt idx="3">
                  <c:v>0.6</c:v>
                </c:pt>
                <c:pt idx="4">
                  <c:v>0.62666666666666671</c:v>
                </c:pt>
              </c:numCache>
            </c:numRef>
          </c:val>
          <c:extLst>
            <c:ext xmlns:c16="http://schemas.microsoft.com/office/drawing/2014/chart" uri="{C3380CC4-5D6E-409C-BE32-E72D297353CC}">
              <c16:uniqueId val="{00000000-E98B-4D59-AE7D-C060F4E18BB3}"/>
            </c:ext>
          </c:extLst>
        </c:ser>
        <c:dLbls>
          <c:showLegendKey val="0"/>
          <c:showVal val="0"/>
          <c:showCatName val="0"/>
          <c:showSerName val="0"/>
          <c:showPercent val="0"/>
          <c:showBubbleSize val="0"/>
        </c:dLbls>
        <c:gapWidth val="75"/>
        <c:overlap val="-25"/>
        <c:axId val="109883982"/>
        <c:axId val="756741682"/>
      </c:barChart>
      <c:catAx>
        <c:axId val="109883982"/>
        <c:scaling>
          <c:orientation val="minMax"/>
        </c:scaling>
        <c:delete val="0"/>
        <c:axPos val="b"/>
        <c:numFmt formatCode="General" sourceLinked="1"/>
        <c:majorTickMark val="none"/>
        <c:minorTickMark val="none"/>
        <c:tickLblPos val="low"/>
        <c:spPr>
          <a:noFill/>
          <a:ln w="6350" cap="flat" cmpd="sng" algn="ctr">
            <a:solidFill>
              <a:schemeClr val="tx1"/>
            </a:solidFill>
            <a:prstDash val="solid"/>
            <a:round/>
          </a:ln>
          <a:effectLst/>
        </c:spPr>
        <c:txPr>
          <a:bodyPr rot="-60000000" spcFirstLastPara="1" vertOverflow="ellipsis" vert="horz" wrap="square" anchor="ctr" anchorCtr="1"/>
          <a:lstStyle/>
          <a:p>
            <a:pPr lvl="0">
              <a:defRPr sz="1000" b="0" i="0" u="none" strike="noStrike" kern="1200" baseline="0">
                <a:solidFill>
                  <a:schemeClr val="tx1"/>
                </a:solidFill>
                <a:latin typeface="Georgia" panose="02040502050405020303" pitchFamily="18" charset="0"/>
                <a:ea typeface="+mn-ea"/>
                <a:cs typeface="+mn-cs"/>
              </a:defRPr>
            </a:pPr>
            <a:endParaRPr lang="en-US"/>
          </a:p>
        </c:txPr>
        <c:crossAx val="756741682"/>
        <c:crosses val="autoZero"/>
        <c:auto val="1"/>
        <c:lblAlgn val="ctr"/>
        <c:lblOffset val="100"/>
        <c:noMultiLvlLbl val="1"/>
      </c:catAx>
      <c:valAx>
        <c:axId val="756741682"/>
        <c:scaling>
          <c:orientation val="minMax"/>
          <c:max val="1"/>
        </c:scaling>
        <c:delete val="0"/>
        <c:axPos val="l"/>
        <c:numFmt formatCode="0%" sourceLinked="0"/>
        <c:majorTickMark val="none"/>
        <c:minorTickMark val="none"/>
        <c:tickLblPos val="nextTo"/>
        <c:spPr>
          <a:noFill/>
          <a:ln w="47625" cap="flat" cmpd="sng" algn="ctr">
            <a:noFill/>
            <a:prstDash val="solid"/>
            <a:round/>
          </a:ln>
          <a:effectLst/>
        </c:spPr>
        <c:txPr>
          <a:bodyPr rot="-60000000" spcFirstLastPara="1" vertOverflow="ellipsis" vert="horz" wrap="square" anchor="ctr" anchorCtr="1"/>
          <a:lstStyle/>
          <a:p>
            <a:pPr lvl="0">
              <a:defRPr sz="1000" b="0" i="0" u="none" strike="noStrike" kern="1200" baseline="0">
                <a:solidFill>
                  <a:schemeClr val="tx1"/>
                </a:solidFill>
                <a:latin typeface="Georgia" panose="02040502050405020303" pitchFamily="18" charset="0"/>
                <a:ea typeface="+mn-ea"/>
                <a:cs typeface="+mn-cs"/>
              </a:defRPr>
            </a:pPr>
            <a:endParaRPr lang="en-US"/>
          </a:p>
        </c:txPr>
        <c:crossAx val="109883982"/>
        <c:crosses val="autoZero"/>
        <c:crossBetween val="between"/>
        <c:majorUnit val="0.5"/>
      </c:valAx>
      <c:spPr>
        <a:solidFill>
          <a:schemeClr val="bg1"/>
        </a:solidFill>
        <a:ln>
          <a:noFill/>
        </a:ln>
        <a:effectLst/>
      </c:spPr>
    </c:plotArea>
    <c:plotVisOnly val="1"/>
    <c:dispBlanksAs val="zero"/>
    <c:showDLblsOverMax val="1"/>
  </c:chart>
  <c:spPr>
    <a:solidFill>
      <a:schemeClr val="bg1"/>
    </a:solidFill>
    <a:ln w="6350" cap="flat" cmpd="sng" algn="ctr">
      <a:solidFill>
        <a:schemeClr val="tx1">
          <a:tint val="75000"/>
        </a:schemeClr>
      </a:solidFill>
      <a:prstDash val="solid"/>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pPr>
            <a:r>
              <a:rPr lang="en-US"/>
              <a:t>TB</a:t>
            </a:r>
          </a:p>
        </c:rich>
      </c:tx>
      <c:layout/>
      <c:overlay val="0"/>
    </c:title>
    <c:autoTitleDeleted val="0"/>
    <c:plotArea>
      <c:layout/>
      <c:lineChart>
        <c:grouping val="standard"/>
        <c:varyColors val="0"/>
        <c:ser>
          <c:idx val="0"/>
          <c:order val="0"/>
          <c:spPr>
            <a:ln w="19050" cmpd="sng">
              <a:solidFill>
                <a:srgbClr val="3366CC"/>
              </a:solidFill>
            </a:ln>
          </c:spPr>
          <c:marker>
            <c:symbol val="none"/>
          </c:marker>
          <c:val>
            <c:numRef>
              <c:f>Calc_Storage!$M$2:$M$48</c:f>
              <c:numCache>
                <c:formatCode>General</c:formatCode>
                <c:ptCount val="47"/>
                <c:pt idx="0">
                  <c:v>0</c:v>
                </c:pt>
                <c:pt idx="1">
                  <c:v>0</c:v>
                </c:pt>
                <c:pt idx="2" formatCode="0">
                  <c:v>6.4</c:v>
                </c:pt>
                <c:pt idx="3" formatCode="0">
                  <c:v>8</c:v>
                </c:pt>
                <c:pt idx="4" formatCode="0">
                  <c:v>9.6000000000000014</c:v>
                </c:pt>
                <c:pt idx="5" formatCode="0">
                  <c:v>12</c:v>
                </c:pt>
                <c:pt idx="6" formatCode="0">
                  <c:v>16</c:v>
                </c:pt>
                <c:pt idx="7" formatCode="0">
                  <c:v>19.344605054845491</c:v>
                </c:pt>
                <c:pt idx="8" formatCode="0">
                  <c:v>24.196747643931996</c:v>
                </c:pt>
                <c:pt idx="9" formatCode="0">
                  <c:v>30.265936930951973</c:v>
                </c:pt>
                <c:pt idx="10" formatCode="0">
                  <c:v>37.857440668811606</c:v>
                </c:pt>
                <c:pt idx="11" formatCode="0">
                  <c:v>47.353095899929635</c:v>
                </c:pt>
                <c:pt idx="12" formatCode="0">
                  <c:v>59.230514575044687</c:v>
                </c:pt>
                <c:pt idx="13" formatCode="0">
                  <c:v>74.087106453155627</c:v>
                </c:pt>
                <c:pt idx="14" formatCode="0">
                  <c:v>92.670127585111842</c:v>
                </c:pt>
                <c:pt idx="15" formatCode="0">
                  <c:v>115.91426575784602</c:v>
                </c:pt>
                <c:pt idx="16" formatCode="0">
                  <c:v>144.98865336988234</c:v>
                </c:pt>
                <c:pt idx="17" formatCode="0">
                  <c:v>181.35567238917679</c:v>
                </c:pt>
                <c:pt idx="18" formatCode="0">
                  <c:v>226.84450916186276</c:v>
                </c:pt>
                <c:pt idx="19" formatCode="0">
                  <c:v>283.7431587276746</c:v>
                </c:pt>
                <c:pt idx="20" formatCode="0">
                  <c:v>354.91350627010877</c:v>
                </c:pt>
                <c:pt idx="21" formatCode="0">
                  <c:v>443.93527406184052</c:v>
                </c:pt>
                <c:pt idx="22" formatCode="0">
                  <c:v>555.2860741410434</c:v>
                </c:pt>
                <c:pt idx="23" formatCode="0">
                  <c:v>694.56662299833386</c:v>
                </c:pt>
                <c:pt idx="24" formatCode="0">
                  <c:v>868.7824461104243</c:v>
                </c:pt>
                <c:pt idx="25" formatCode="0">
                  <c:v>1086.6962414798072</c:v>
                </c:pt>
                <c:pt idx="26" formatCode="0">
                  <c:v>1359.2686253426457</c:v>
                </c:pt>
                <c:pt idx="27" formatCode="0">
                  <c:v>2023.9706276869574</c:v>
                </c:pt>
                <c:pt idx="28" formatCode="0">
                  <c:v>1849.7548045748672</c:v>
                </c:pt>
                <c:pt idx="29" formatCode="0">
                  <c:v>2023.9706276869574</c:v>
                </c:pt>
                <c:pt idx="30" formatCode="0">
                  <c:v>2163.2511765442478</c:v>
                </c:pt>
                <c:pt idx="31" formatCode="0">
                  <c:v>2274.6019766234504</c:v>
                </c:pt>
                <c:pt idx="32" formatCode="0">
                  <c:v>2363.623744415182</c:v>
                </c:pt>
                <c:pt idx="33" formatCode="0">
                  <c:v>2434.7940919576163</c:v>
                </c:pt>
                <c:pt idx="34" formatCode="0">
                  <c:v>2491.6927415234281</c:v>
                </c:pt>
                <c:pt idx="35" formatCode="0">
                  <c:v>2537.1815782961139</c:v>
                </c:pt>
                <c:pt idx="36" formatCode="0">
                  <c:v>2573.5485973154086</c:v>
                </c:pt>
                <c:pt idx="37" formatCode="0">
                  <c:v>2602.622984927445</c:v>
                </c:pt>
                <c:pt idx="38" formatCode="0">
                  <c:v>2625.867123100179</c:v>
                </c:pt>
                <c:pt idx="39" formatCode="0">
                  <c:v>2644.4501442321352</c:v>
                </c:pt>
                <c:pt idx="40" formatCode="0">
                  <c:v>2659.3067361102462</c:v>
                </c:pt>
                <c:pt idx="41" formatCode="0">
                  <c:v>2671.1841547853614</c:v>
                </c:pt>
                <c:pt idx="42" formatCode="0">
                  <c:v>2680.6798100164792</c:v>
                </c:pt>
                <c:pt idx="43" formatCode="0">
                  <c:v>2688.2713137543387</c:v>
                </c:pt>
                <c:pt idx="44" formatCode="0">
                  <c:v>2694.3405030413587</c:v>
                </c:pt>
                <c:pt idx="45" formatCode="0">
                  <c:v>2699.1926456304454</c:v>
                </c:pt>
                <c:pt idx="46" formatCode="0">
                  <c:v>2702.5372506852909</c:v>
                </c:pt>
              </c:numCache>
            </c:numRef>
          </c:val>
          <c:smooth val="0"/>
          <c:extLst>
            <c:ext xmlns:c16="http://schemas.microsoft.com/office/drawing/2014/chart" uri="{C3380CC4-5D6E-409C-BE32-E72D297353CC}">
              <c16:uniqueId val="{00000000-6F0F-450A-94C0-C60499594B87}"/>
            </c:ext>
          </c:extLst>
        </c:ser>
        <c:dLbls>
          <c:showLegendKey val="0"/>
          <c:showVal val="0"/>
          <c:showCatName val="0"/>
          <c:showSerName val="0"/>
          <c:showPercent val="0"/>
          <c:showBubbleSize val="0"/>
        </c:dLbls>
        <c:smooth val="0"/>
        <c:axId val="91935519"/>
        <c:axId val="914040007"/>
      </c:lineChart>
      <c:catAx>
        <c:axId val="91935519"/>
        <c:scaling>
          <c:orientation val="minMax"/>
        </c:scaling>
        <c:delete val="0"/>
        <c:axPos val="b"/>
        <c:majorTickMark val="cross"/>
        <c:minorTickMark val="cross"/>
        <c:tickLblPos val="nextTo"/>
        <c:txPr>
          <a:bodyPr/>
          <a:lstStyle/>
          <a:p>
            <a:pPr lvl="0">
              <a:defRPr b="0"/>
            </a:pPr>
            <a:endParaRPr lang="en-US"/>
          </a:p>
        </c:txPr>
        <c:crossAx val="914040007"/>
        <c:crosses val="autoZero"/>
        <c:auto val="1"/>
        <c:lblAlgn val="ctr"/>
        <c:lblOffset val="100"/>
        <c:noMultiLvlLbl val="1"/>
      </c:catAx>
      <c:valAx>
        <c:axId val="914040007"/>
        <c:scaling>
          <c:orientation val="minMax"/>
        </c:scaling>
        <c:delete val="0"/>
        <c:axPos val="l"/>
        <c:majorGridlines>
          <c:spPr>
            <a:ln>
              <a:solidFill>
                <a:srgbClr val="B7B7B7"/>
              </a:solidFill>
            </a:ln>
          </c:spPr>
        </c:majorGridlines>
        <c:title>
          <c:tx>
            <c:rich>
              <a:bodyPr/>
              <a:lstStyle/>
              <a:p>
                <a:pPr lvl="0">
                  <a:defRPr b="0"/>
                </a:pPr>
                <a:r>
                  <a:rPr lang="en-US"/>
                  <a:t>TB</a:t>
                </a:r>
              </a:p>
            </c:rich>
          </c:tx>
          <c:layout/>
          <c:overlay val="0"/>
        </c:title>
        <c:numFmt formatCode="General" sourceLinked="1"/>
        <c:majorTickMark val="cross"/>
        <c:minorTickMark val="cross"/>
        <c:tickLblPos val="nextTo"/>
        <c:spPr>
          <a:ln w="47625">
            <a:noFill/>
          </a:ln>
        </c:spPr>
        <c:txPr>
          <a:bodyPr/>
          <a:lstStyle/>
          <a:p>
            <a:pPr lvl="0">
              <a:defRPr b="0"/>
            </a:pPr>
            <a:endParaRPr lang="en-US"/>
          </a:p>
        </c:txPr>
        <c:crossAx val="91935519"/>
        <c:crosses val="autoZero"/>
        <c:crossBetween val="between"/>
      </c:valAx>
    </c:plotArea>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1"/>
        <c:ser>
          <c:idx val="0"/>
          <c:order val="0"/>
          <c:spPr>
            <a:ln w="19050" cmpd="sng">
              <a:solidFill>
                <a:srgbClr val="3366CC"/>
              </a:solidFill>
            </a:ln>
          </c:spPr>
          <c:marker>
            <c:symbol val="none"/>
          </c:marker>
          <c:trendline>
            <c:spPr>
              <a:ln w="19050">
                <a:solidFill>
                  <a:srgbClr val="FF9900">
                    <a:alpha val="40000"/>
                  </a:srgbClr>
                </a:solidFill>
              </a:ln>
            </c:spPr>
            <c:trendlineType val="linear"/>
            <c:dispRSqr val="0"/>
            <c:dispEq val="1"/>
            <c:trendlineLbl>
              <c:layout/>
              <c:numFmt formatCode="General" sourceLinked="0"/>
            </c:trendlineLbl>
          </c:trendline>
          <c:cat>
            <c:numRef>
              <c:f>Calc_Storage!$B$4:$B$9</c:f>
              <c:numCache>
                <c:formatCode>General</c:formatCode>
                <c:ptCount val="6"/>
                <c:pt idx="0">
                  <c:v>17</c:v>
                </c:pt>
                <c:pt idx="1">
                  <c:v>18</c:v>
                </c:pt>
                <c:pt idx="2">
                  <c:v>19</c:v>
                </c:pt>
                <c:pt idx="3">
                  <c:v>20</c:v>
                </c:pt>
                <c:pt idx="4">
                  <c:v>21</c:v>
                </c:pt>
              </c:numCache>
            </c:numRef>
          </c:cat>
          <c:val>
            <c:numRef>
              <c:f>Calc_Storage!$C$4:$C$9</c:f>
              <c:numCache>
                <c:formatCode>General</c:formatCode>
                <c:ptCount val="6"/>
                <c:pt idx="0">
                  <c:v>6.4</c:v>
                </c:pt>
                <c:pt idx="1">
                  <c:v>8</c:v>
                </c:pt>
                <c:pt idx="2">
                  <c:v>9.6000000000000014</c:v>
                </c:pt>
                <c:pt idx="3">
                  <c:v>12</c:v>
                </c:pt>
                <c:pt idx="4">
                  <c:v>16</c:v>
                </c:pt>
              </c:numCache>
            </c:numRef>
          </c:val>
          <c:smooth val="0"/>
          <c:extLst>
            <c:ext xmlns:c16="http://schemas.microsoft.com/office/drawing/2014/chart" uri="{C3380CC4-5D6E-409C-BE32-E72D297353CC}">
              <c16:uniqueId val="{00000000-0E7A-4CA0-A024-D2D2E08665E7}"/>
            </c:ext>
          </c:extLst>
        </c:ser>
        <c:ser>
          <c:idx val="1"/>
          <c:order val="1"/>
          <c:spPr>
            <a:ln w="19050" cmpd="sng">
              <a:solidFill>
                <a:srgbClr val="DC3912"/>
              </a:solidFill>
            </a:ln>
          </c:spPr>
          <c:marker>
            <c:symbol val="none"/>
          </c:marker>
          <c:trendline>
            <c:spPr>
              <a:ln w="19050">
                <a:solidFill>
                  <a:srgbClr val="4A86E8">
                    <a:alpha val="40000"/>
                  </a:srgbClr>
                </a:solidFill>
              </a:ln>
            </c:spPr>
            <c:trendlineType val="linear"/>
            <c:dispRSqr val="0"/>
            <c:dispEq val="1"/>
            <c:trendlineLbl>
              <c:layout/>
              <c:numFmt formatCode="General" sourceLinked="0"/>
            </c:trendlineLbl>
          </c:trendline>
          <c:cat>
            <c:numRef>
              <c:f>Calc_Storage!$B$4:$B$9</c:f>
              <c:numCache>
                <c:formatCode>General</c:formatCode>
                <c:ptCount val="6"/>
                <c:pt idx="0">
                  <c:v>17</c:v>
                </c:pt>
                <c:pt idx="1">
                  <c:v>18</c:v>
                </c:pt>
                <c:pt idx="2">
                  <c:v>19</c:v>
                </c:pt>
                <c:pt idx="3">
                  <c:v>20</c:v>
                </c:pt>
                <c:pt idx="4">
                  <c:v>21</c:v>
                </c:pt>
              </c:numCache>
            </c:numRef>
          </c:cat>
          <c:val>
            <c:numRef>
              <c:f>Calc_Storage!$D$4:$D$9</c:f>
              <c:numCache>
                <c:formatCode>[$€]#,##0.00</c:formatCode>
                <c:ptCount val="6"/>
                <c:pt idx="0">
                  <c:v>140</c:v>
                </c:pt>
                <c:pt idx="1">
                  <c:v>135</c:v>
                </c:pt>
                <c:pt idx="2">
                  <c:v>130</c:v>
                </c:pt>
                <c:pt idx="3">
                  <c:v>125</c:v>
                </c:pt>
                <c:pt idx="4">
                  <c:v>120</c:v>
                </c:pt>
              </c:numCache>
            </c:numRef>
          </c:val>
          <c:smooth val="0"/>
          <c:extLst>
            <c:ext xmlns:c16="http://schemas.microsoft.com/office/drawing/2014/chart" uri="{C3380CC4-5D6E-409C-BE32-E72D297353CC}">
              <c16:uniqueId val="{00000001-0E7A-4CA0-A024-D2D2E08665E7}"/>
            </c:ext>
          </c:extLst>
        </c:ser>
        <c:dLbls>
          <c:showLegendKey val="0"/>
          <c:showVal val="0"/>
          <c:showCatName val="0"/>
          <c:showSerName val="0"/>
          <c:showPercent val="0"/>
          <c:showBubbleSize val="0"/>
        </c:dLbls>
        <c:smooth val="0"/>
        <c:axId val="801416714"/>
        <c:axId val="1911271002"/>
      </c:lineChart>
      <c:catAx>
        <c:axId val="801416714"/>
        <c:scaling>
          <c:orientation val="minMax"/>
        </c:scaling>
        <c:delete val="0"/>
        <c:axPos val="b"/>
        <c:numFmt formatCode="General" sourceLinked="1"/>
        <c:majorTickMark val="cross"/>
        <c:minorTickMark val="cross"/>
        <c:tickLblPos val="nextTo"/>
        <c:txPr>
          <a:bodyPr/>
          <a:lstStyle/>
          <a:p>
            <a:pPr lvl="0">
              <a:defRPr b="0"/>
            </a:pPr>
            <a:endParaRPr lang="en-US"/>
          </a:p>
        </c:txPr>
        <c:crossAx val="1911271002"/>
        <c:crosses val="autoZero"/>
        <c:auto val="1"/>
        <c:lblAlgn val="ctr"/>
        <c:lblOffset val="100"/>
        <c:noMultiLvlLbl val="1"/>
      </c:catAx>
      <c:valAx>
        <c:axId val="1911271002"/>
        <c:scaling>
          <c:orientation val="minMax"/>
        </c:scaling>
        <c:delete val="0"/>
        <c:axPos val="l"/>
        <c:majorGridlines>
          <c:spPr>
            <a:ln>
              <a:solidFill>
                <a:srgbClr val="B7B7B7"/>
              </a:solidFill>
            </a:ln>
          </c:spPr>
        </c:majorGridlines>
        <c:numFmt formatCode="General" sourceLinked="1"/>
        <c:majorTickMark val="cross"/>
        <c:minorTickMark val="cross"/>
        <c:tickLblPos val="nextTo"/>
        <c:spPr>
          <a:ln w="47625">
            <a:noFill/>
          </a:ln>
        </c:spPr>
        <c:txPr>
          <a:bodyPr/>
          <a:lstStyle/>
          <a:p>
            <a:pPr lvl="0">
              <a:defRPr b="0"/>
            </a:pPr>
            <a:endParaRPr lang="en-US"/>
          </a:p>
        </c:txPr>
        <c:crossAx val="801416714"/>
        <c:crosses val="autoZero"/>
        <c:crossBetween val="between"/>
      </c:valAx>
    </c:plotArea>
    <c:legend>
      <c:legendPos val="r"/>
      <c:layout/>
      <c:overlay val="0"/>
    </c:legend>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spPr>
            <a:ln w="19050" cmpd="sng">
              <a:solidFill>
                <a:srgbClr val="3366CC"/>
              </a:solidFill>
            </a:ln>
          </c:spPr>
          <c:marker>
            <c:symbol val="none"/>
          </c:marker>
          <c:trendline>
            <c:spPr>
              <a:ln w="19050">
                <a:solidFill>
                  <a:srgbClr val="3366CC">
                    <a:alpha val="60000"/>
                  </a:srgbClr>
                </a:solidFill>
              </a:ln>
            </c:spPr>
            <c:trendlineType val="linear"/>
            <c:dispRSqr val="0"/>
            <c:dispEq val="1"/>
            <c:trendlineLbl>
              <c:layout/>
              <c:numFmt formatCode="General" sourceLinked="0"/>
            </c:trendlineLbl>
          </c:trendline>
          <c:cat>
            <c:numRef>
              <c:f>Calc_Storage!$B$4:$B$9</c:f>
              <c:numCache>
                <c:formatCode>General</c:formatCode>
                <c:ptCount val="6"/>
                <c:pt idx="0">
                  <c:v>17</c:v>
                </c:pt>
                <c:pt idx="1">
                  <c:v>18</c:v>
                </c:pt>
                <c:pt idx="2">
                  <c:v>19</c:v>
                </c:pt>
                <c:pt idx="3">
                  <c:v>20</c:v>
                </c:pt>
                <c:pt idx="4">
                  <c:v>21</c:v>
                </c:pt>
              </c:numCache>
            </c:numRef>
          </c:cat>
          <c:val>
            <c:numRef>
              <c:f>Calc_Storage!$C$4:$C$9</c:f>
              <c:numCache>
                <c:formatCode>General</c:formatCode>
                <c:ptCount val="6"/>
                <c:pt idx="0">
                  <c:v>6.4</c:v>
                </c:pt>
                <c:pt idx="1">
                  <c:v>8</c:v>
                </c:pt>
                <c:pt idx="2">
                  <c:v>9.6000000000000014</c:v>
                </c:pt>
                <c:pt idx="3">
                  <c:v>12</c:v>
                </c:pt>
                <c:pt idx="4">
                  <c:v>16</c:v>
                </c:pt>
              </c:numCache>
            </c:numRef>
          </c:val>
          <c:smooth val="0"/>
          <c:extLst>
            <c:ext xmlns:c16="http://schemas.microsoft.com/office/drawing/2014/chart" uri="{C3380CC4-5D6E-409C-BE32-E72D297353CC}">
              <c16:uniqueId val="{00000000-EBB9-4FBB-9F4C-F4D55407056E}"/>
            </c:ext>
          </c:extLst>
        </c:ser>
        <c:dLbls>
          <c:showLegendKey val="0"/>
          <c:showVal val="0"/>
          <c:showCatName val="0"/>
          <c:showSerName val="0"/>
          <c:showPercent val="0"/>
          <c:showBubbleSize val="0"/>
        </c:dLbls>
        <c:smooth val="0"/>
        <c:axId val="48917094"/>
        <c:axId val="1623453783"/>
      </c:lineChart>
      <c:catAx>
        <c:axId val="48917094"/>
        <c:scaling>
          <c:orientation val="minMax"/>
        </c:scaling>
        <c:delete val="0"/>
        <c:axPos val="b"/>
        <c:numFmt formatCode="General" sourceLinked="1"/>
        <c:majorTickMark val="cross"/>
        <c:minorTickMark val="cross"/>
        <c:tickLblPos val="nextTo"/>
        <c:txPr>
          <a:bodyPr/>
          <a:lstStyle/>
          <a:p>
            <a:pPr lvl="0">
              <a:defRPr b="0"/>
            </a:pPr>
            <a:endParaRPr lang="en-US"/>
          </a:p>
        </c:txPr>
        <c:crossAx val="1623453783"/>
        <c:crosses val="autoZero"/>
        <c:auto val="1"/>
        <c:lblAlgn val="ctr"/>
        <c:lblOffset val="100"/>
        <c:noMultiLvlLbl val="1"/>
      </c:catAx>
      <c:valAx>
        <c:axId val="1623453783"/>
        <c:scaling>
          <c:orientation val="minMax"/>
        </c:scaling>
        <c:delete val="0"/>
        <c:axPos val="l"/>
        <c:majorGridlines>
          <c:spPr>
            <a:ln>
              <a:solidFill>
                <a:srgbClr val="B7B7B7"/>
              </a:solidFill>
            </a:ln>
          </c:spPr>
        </c:majorGridlines>
        <c:numFmt formatCode="General" sourceLinked="1"/>
        <c:majorTickMark val="cross"/>
        <c:minorTickMark val="cross"/>
        <c:tickLblPos val="nextTo"/>
        <c:spPr>
          <a:ln w="47625">
            <a:noFill/>
          </a:ln>
        </c:spPr>
        <c:txPr>
          <a:bodyPr/>
          <a:lstStyle/>
          <a:p>
            <a:pPr lvl="0">
              <a:defRPr b="0"/>
            </a:pPr>
            <a:endParaRPr lang="en-US"/>
          </a:p>
        </c:txPr>
        <c:crossAx val="48917094"/>
        <c:crosses val="autoZero"/>
        <c:crossBetween val="between"/>
      </c:valAx>
    </c:plotArea>
    <c:legend>
      <c:legendPos val="r"/>
      <c:layout/>
      <c:overlay val="0"/>
    </c:legend>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manualLayout>
          <c:xMode val="edge"/>
          <c:yMode val="edge"/>
          <c:x val="0.10416666666666669"/>
          <c:y val="6.6172506738544509E-2"/>
          <c:w val="0.77110000000000012"/>
          <c:h val="0.83557664428146405"/>
        </c:manualLayout>
      </c:layout>
      <c:lineChart>
        <c:grouping val="standard"/>
        <c:varyColors val="1"/>
        <c:ser>
          <c:idx val="0"/>
          <c:order val="0"/>
          <c:spPr>
            <a:ln w="19050" cmpd="sng">
              <a:solidFill>
                <a:srgbClr val="3366CC"/>
              </a:solidFill>
            </a:ln>
          </c:spPr>
          <c:marker>
            <c:symbol val="none"/>
          </c:marker>
          <c:cat>
            <c:numRef>
              <c:f>Growth!$B$20:$B$60</c:f>
              <c:numCache>
                <c:formatCode>General</c:formatCode>
                <c:ptCount val="41"/>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numCache>
            </c:numRef>
          </c:cat>
          <c:val>
            <c:numRef>
              <c:f>Growth!$C$20:$C$60</c:f>
              <c:numCache>
                <c:formatCode>0.00%</c:formatCode>
                <c:ptCount val="41"/>
                <c:pt idx="0">
                  <c:v>0.14294127594627595</c:v>
                </c:pt>
                <c:pt idx="1">
                  <c:v>0.14694568348889966</c:v>
                </c:pt>
                <c:pt idx="2">
                  <c:v>0.15103263916650106</c:v>
                </c:pt>
                <c:pt idx="3">
                  <c:v>0.15520219164788726</c:v>
                </c:pt>
                <c:pt idx="4">
                  <c:v>0.15945429040458808</c:v>
                </c:pt>
                <c:pt idx="5">
                  <c:v>0.16378878180774786</c:v>
                </c:pt>
                <c:pt idx="6">
                  <c:v>0.16820540536857892</c:v>
                </c:pt>
                <c:pt idx="7">
                  <c:v>0.17270379014725248</c:v>
                </c:pt>
                <c:pt idx="8">
                  <c:v>0.17728345135563309</c:v>
                </c:pt>
                <c:pt idx="9">
                  <c:v>0.18194378717963181</c:v>
                </c:pt>
                <c:pt idx="10">
                  <c:v>0.18668407584714364</c:v>
                </c:pt>
                <c:pt idx="11">
                  <c:v>0.19150347296753095</c:v>
                </c:pt>
                <c:pt idx="12">
                  <c:v>0.1964010091684035</c:v>
                </c:pt>
                <c:pt idx="13">
                  <c:v>0.2013755880550134</c:v>
                </c:pt>
                <c:pt idx="14">
                  <c:v>0.20642598451691982</c:v>
                </c:pt>
                <c:pt idx="15">
                  <c:v>0.21155084340567334</c:v>
                </c:pt>
                <c:pt idx="16">
                  <c:v>0.21674867860611929</c:v>
                </c:pt>
                <c:pt idx="17">
                  <c:v>0.22201787252251454</c:v>
                </c:pt>
                <c:pt idx="18">
                  <c:v>0.2273566759989997</c:v>
                </c:pt>
                <c:pt idx="19">
                  <c:v>0.2327632086920598</c:v>
                </c:pt>
                <c:pt idx="20">
                  <c:v>0.23823545991045991</c:v>
                </c:pt>
                <c:pt idx="21">
                  <c:v>0.24377128993575162</c:v>
                </c:pt>
                <c:pt idx="22">
                  <c:v>0.24936843183383978</c:v>
                </c:pt>
                <c:pt idx="23">
                  <c:v>0.25502449376527891</c:v>
                </c:pt>
                <c:pt idx="24">
                  <c:v>0.26073696179896383</c:v>
                </c:pt>
                <c:pt idx="25">
                  <c:v>0.26650320323070903</c:v>
                </c:pt>
                <c:pt idx="26">
                  <c:v>0.27232047040490198</c:v>
                </c:pt>
                <c:pt idx="27">
                  <c:v>0.27818590503399832</c:v>
                </c:pt>
                <c:pt idx="28">
                  <c:v>0.28409654300713361</c:v>
                </c:pt>
                <c:pt idx="29">
                  <c:v>0.29004931967558933</c:v>
                </c:pt>
                <c:pt idx="30">
                  <c:v>0.29604107559931281</c:v>
                </c:pt>
                <c:pt idx="31">
                  <c:v>0.30206856273518135</c:v>
                </c:pt>
                <c:pt idx="32">
                  <c:v>0.30812845104426873</c:v>
                </c:pt>
                <c:pt idx="33">
                  <c:v>0.314217335492048</c:v>
                </c:pt>
                <c:pt idx="34">
                  <c:v>0.32033174341229526</c:v>
                </c:pt>
                <c:pt idx="35">
                  <c:v>0.32646814220247566</c:v>
                </c:pt>
                <c:pt idx="36">
                  <c:v>0.33262294731563941</c:v>
                </c:pt>
                <c:pt idx="37">
                  <c:v>0.33879253051136038</c:v>
                </c:pt>
                <c:pt idx="38">
                  <c:v>0.34497322832604804</c:v>
                </c:pt>
                <c:pt idx="39">
                  <c:v>0.35116135072108279</c:v>
                </c:pt>
                <c:pt idx="40">
                  <c:v>0.35735318986568987</c:v>
                </c:pt>
              </c:numCache>
            </c:numRef>
          </c:val>
          <c:smooth val="0"/>
          <c:extLst>
            <c:ext xmlns:c16="http://schemas.microsoft.com/office/drawing/2014/chart" uri="{C3380CC4-5D6E-409C-BE32-E72D297353CC}">
              <c16:uniqueId val="{00000000-1EFC-44BA-809D-61E833FA8E1C}"/>
            </c:ext>
          </c:extLst>
        </c:ser>
        <c:ser>
          <c:idx val="1"/>
          <c:order val="1"/>
          <c:spPr>
            <a:ln w="76200" cmpd="sng">
              <a:solidFill>
                <a:srgbClr val="FF0000"/>
              </a:solidFill>
            </a:ln>
          </c:spPr>
          <c:marker>
            <c:symbol val="circle"/>
            <c:size val="10"/>
            <c:spPr>
              <a:solidFill>
                <a:srgbClr val="FF0000"/>
              </a:solidFill>
              <a:ln cmpd="sng">
                <a:solidFill>
                  <a:srgbClr val="FF0000"/>
                </a:solidFill>
              </a:ln>
            </c:spPr>
          </c:marker>
          <c:cat>
            <c:numRef>
              <c:f>Growth!$B$20:$B$60</c:f>
              <c:numCache>
                <c:formatCode>General</c:formatCode>
                <c:ptCount val="41"/>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numCache>
            </c:numRef>
          </c:cat>
          <c:val>
            <c:numRef>
              <c:f>Growth!$F$10</c:f>
              <c:numCache>
                <c:formatCode>0.00%</c:formatCode>
                <c:ptCount val="1"/>
                <c:pt idx="0">
                  <c:v>0.14294127594627595</c:v>
                </c:pt>
              </c:numCache>
            </c:numRef>
          </c:val>
          <c:smooth val="0"/>
          <c:extLst>
            <c:ext xmlns:c16="http://schemas.microsoft.com/office/drawing/2014/chart" uri="{C3380CC4-5D6E-409C-BE32-E72D297353CC}">
              <c16:uniqueId val="{00000001-1EFC-44BA-809D-61E833FA8E1C}"/>
            </c:ext>
          </c:extLst>
        </c:ser>
        <c:dLbls>
          <c:showLegendKey val="0"/>
          <c:showVal val="0"/>
          <c:showCatName val="0"/>
          <c:showSerName val="0"/>
          <c:showPercent val="0"/>
          <c:showBubbleSize val="0"/>
        </c:dLbls>
        <c:smooth val="0"/>
        <c:axId val="2115115828"/>
        <c:axId val="1128569998"/>
      </c:lineChart>
      <c:catAx>
        <c:axId val="2115115828"/>
        <c:scaling>
          <c:orientation val="minMax"/>
        </c:scaling>
        <c:delete val="0"/>
        <c:axPos val="b"/>
        <c:numFmt formatCode="General" sourceLinked="1"/>
        <c:majorTickMark val="cross"/>
        <c:minorTickMark val="cross"/>
        <c:tickLblPos val="nextTo"/>
        <c:txPr>
          <a:bodyPr/>
          <a:lstStyle/>
          <a:p>
            <a:pPr lvl="0">
              <a:defRPr b="0"/>
            </a:pPr>
            <a:endParaRPr lang="en-US"/>
          </a:p>
        </c:txPr>
        <c:crossAx val="1128569998"/>
        <c:crosses val="autoZero"/>
        <c:auto val="1"/>
        <c:lblAlgn val="ctr"/>
        <c:lblOffset val="100"/>
        <c:noMultiLvlLbl val="1"/>
      </c:catAx>
      <c:valAx>
        <c:axId val="1128569998"/>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2115115828"/>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pPr>
            <a:r>
              <a:rPr lang="en-US"/>
              <a:t>Value vs. Year</a:t>
            </a:r>
          </a:p>
        </c:rich>
      </c:tx>
      <c:overlay val="0"/>
    </c:title>
    <c:autoTitleDeleted val="0"/>
    <c:plotArea>
      <c:layout/>
      <c:lineChart>
        <c:grouping val="standard"/>
        <c:varyColors val="1"/>
        <c:ser>
          <c:idx val="0"/>
          <c:order val="0"/>
          <c:spPr>
            <a:ln w="19050" cmpd="sng">
              <a:solidFill>
                <a:srgbClr val="3366CC"/>
              </a:solidFill>
            </a:ln>
          </c:spPr>
          <c:marker>
            <c:symbol val="none"/>
          </c:marker>
          <c:cat>
            <c:numRef>
              <c:f>Growth!$B$75:$B$115</c:f>
              <c:numCache>
                <c:formatCode>General</c:formatCode>
                <c:ptCount val="41"/>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numCache>
            </c:numRef>
          </c:cat>
          <c:val>
            <c:numRef>
              <c:f>Growth!$C$75:$C$115</c:f>
              <c:numCache>
                <c:formatCode>0.00%</c:formatCode>
                <c:ptCount val="41"/>
                <c:pt idx="0">
                  <c:v>0.50716666666666144</c:v>
                </c:pt>
                <c:pt idx="1">
                  <c:v>0.58122002003843232</c:v>
                </c:pt>
                <c:pt idx="2">
                  <c:v>0.64572044528905226</c:v>
                </c:pt>
                <c:pt idx="3">
                  <c:v>0.69876980623006801</c:v>
                </c:pt>
                <c:pt idx="4">
                  <c:v>0.74038147933521214</c:v>
                </c:pt>
                <c:pt idx="5">
                  <c:v>0.771824451627938</c:v>
                </c:pt>
                <c:pt idx="6">
                  <c:v>0.79491929921405713</c:v>
                </c:pt>
                <c:pt idx="7">
                  <c:v>0.8115314527666041</c:v>
                </c:pt>
                <c:pt idx="8">
                  <c:v>0.82330170922451595</c:v>
                </c:pt>
                <c:pt idx="9">
                  <c:v>0.83155247469154825</c:v>
                </c:pt>
                <c:pt idx="10">
                  <c:v>0.83729280119447091</c:v>
                </c:pt>
                <c:pt idx="11">
                  <c:v>0.84126566899555089</c:v>
                </c:pt>
                <c:pt idx="12">
                  <c:v>0.8440053244975686</c:v>
                </c:pt>
                <c:pt idx="13">
                  <c:v>0.84588984389969646</c:v>
                </c:pt>
                <c:pt idx="14">
                  <c:v>0.84718391202307919</c:v>
                </c:pt>
                <c:pt idx="15">
                  <c:v>0.84807147626699642</c:v>
                </c:pt>
                <c:pt idx="16">
                  <c:v>0.84867973722857826</c:v>
                </c:pt>
                <c:pt idx="17">
                  <c:v>0.84909635565793196</c:v>
                </c:pt>
                <c:pt idx="18">
                  <c:v>0.84938160293478537</c:v>
                </c:pt>
                <c:pt idx="19">
                  <c:v>0.84957685301204056</c:v>
                </c:pt>
                <c:pt idx="20">
                  <c:v>0.84971047666801236</c:v>
                </c:pt>
                <c:pt idx="21">
                  <c:v>0.84980191375801806</c:v>
                </c:pt>
                <c:pt idx="22">
                  <c:v>0.84986447784528985</c:v>
                </c:pt>
                <c:pt idx="23">
                  <c:v>0.84990728368021051</c:v>
                </c:pt>
                <c:pt idx="24">
                  <c:v>0.84993656993414757</c:v>
                </c:pt>
                <c:pt idx="25">
                  <c:v>0.84995660602715795</c:v>
                </c:pt>
                <c:pt idx="26">
                  <c:v>0.84997031340213758</c:v>
                </c:pt>
                <c:pt idx="27">
                  <c:v>0.84997969096753789</c:v>
                </c:pt>
                <c:pt idx="28">
                  <c:v>0.84998610634455296</c:v>
                </c:pt>
                <c:pt idx="29">
                  <c:v>0.84999049520444614</c:v>
                </c:pt>
                <c:pt idx="30">
                  <c:v>0.8499934976801814</c:v>
                </c:pt>
                <c:pt idx="31">
                  <c:v>0.8499955517069665</c:v>
                </c:pt>
                <c:pt idx="32">
                  <c:v>0.84999695688671772</c:v>
                </c:pt>
                <c:pt idx="33">
                  <c:v>0.84999791818265036</c:v>
                </c:pt>
                <c:pt idx="34">
                  <c:v>0.84999857581314697</c:v>
                </c:pt>
                <c:pt idx="35">
                  <c:v>0.84999902570333719</c:v>
                </c:pt>
                <c:pt idx="36">
                  <c:v>0.84999933347662449</c:v>
                </c:pt>
                <c:pt idx="37">
                  <c:v>0.84999954402660283</c:v>
                </c:pt>
                <c:pt idx="38">
                  <c:v>0.84999968806536963</c:v>
                </c:pt>
                <c:pt idx="39">
                  <c:v>0.84999978660332176</c:v>
                </c:pt>
                <c:pt idx="40">
                  <c:v>0.84999985401383416</c:v>
                </c:pt>
              </c:numCache>
            </c:numRef>
          </c:val>
          <c:smooth val="0"/>
          <c:extLst>
            <c:ext xmlns:c16="http://schemas.microsoft.com/office/drawing/2014/chart" uri="{C3380CC4-5D6E-409C-BE32-E72D297353CC}">
              <c16:uniqueId val="{00000000-01FE-4D0B-A389-785CE1838E54}"/>
            </c:ext>
          </c:extLst>
        </c:ser>
        <c:ser>
          <c:idx val="1"/>
          <c:order val="1"/>
          <c:spPr>
            <a:ln w="76200" cmpd="sng">
              <a:solidFill>
                <a:srgbClr val="DC3912"/>
              </a:solidFill>
            </a:ln>
          </c:spPr>
          <c:marker>
            <c:symbol val="circle"/>
            <c:size val="10"/>
            <c:spPr>
              <a:solidFill>
                <a:srgbClr val="DC3912"/>
              </a:solidFill>
              <a:ln cmpd="sng">
                <a:solidFill>
                  <a:srgbClr val="DC3912"/>
                </a:solidFill>
              </a:ln>
            </c:spPr>
          </c:marker>
          <c:cat>
            <c:numRef>
              <c:f>Growth!$B$75:$B$115</c:f>
              <c:numCache>
                <c:formatCode>General</c:formatCode>
                <c:ptCount val="41"/>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numCache>
            </c:numRef>
          </c:cat>
          <c:val>
            <c:numRef>
              <c:f>Growth!$F$65</c:f>
              <c:numCache>
                <c:formatCode>0.00%</c:formatCode>
                <c:ptCount val="1"/>
                <c:pt idx="0">
                  <c:v>0.50716666666666144</c:v>
                </c:pt>
              </c:numCache>
            </c:numRef>
          </c:val>
          <c:smooth val="0"/>
          <c:extLst>
            <c:ext xmlns:c16="http://schemas.microsoft.com/office/drawing/2014/chart" uri="{C3380CC4-5D6E-409C-BE32-E72D297353CC}">
              <c16:uniqueId val="{00000001-01FE-4D0B-A389-785CE1838E54}"/>
            </c:ext>
          </c:extLst>
        </c:ser>
        <c:dLbls>
          <c:showLegendKey val="0"/>
          <c:showVal val="0"/>
          <c:showCatName val="0"/>
          <c:showSerName val="0"/>
          <c:showPercent val="0"/>
          <c:showBubbleSize val="0"/>
        </c:dLbls>
        <c:smooth val="0"/>
        <c:axId val="942125254"/>
        <c:axId val="1387112348"/>
      </c:lineChart>
      <c:catAx>
        <c:axId val="942125254"/>
        <c:scaling>
          <c:orientation val="minMax"/>
        </c:scaling>
        <c:delete val="0"/>
        <c:axPos val="b"/>
        <c:title>
          <c:tx>
            <c:rich>
              <a:bodyPr/>
              <a:lstStyle/>
              <a:p>
                <a:pPr lvl="0">
                  <a:defRPr b="0"/>
                </a:pPr>
                <a:r>
                  <a:rPr lang="en-US"/>
                  <a:t>Year</a:t>
                </a:r>
              </a:p>
            </c:rich>
          </c:tx>
          <c:overlay val="0"/>
        </c:title>
        <c:numFmt formatCode="General" sourceLinked="1"/>
        <c:majorTickMark val="cross"/>
        <c:minorTickMark val="cross"/>
        <c:tickLblPos val="nextTo"/>
        <c:txPr>
          <a:bodyPr/>
          <a:lstStyle/>
          <a:p>
            <a:pPr lvl="0">
              <a:defRPr b="0"/>
            </a:pPr>
            <a:endParaRPr lang="en-US"/>
          </a:p>
        </c:txPr>
        <c:crossAx val="1387112348"/>
        <c:crosses val="autoZero"/>
        <c:auto val="1"/>
        <c:lblAlgn val="ctr"/>
        <c:lblOffset val="100"/>
        <c:noMultiLvlLbl val="1"/>
      </c:catAx>
      <c:valAx>
        <c:axId val="1387112348"/>
        <c:scaling>
          <c:orientation val="minMax"/>
        </c:scaling>
        <c:delete val="0"/>
        <c:axPos val="l"/>
        <c:majorGridlines>
          <c:spPr>
            <a:ln>
              <a:solidFill>
                <a:srgbClr val="B7B7B7"/>
              </a:solidFill>
            </a:ln>
          </c:spPr>
        </c:majorGridlines>
        <c:title>
          <c:tx>
            <c:rich>
              <a:bodyPr/>
              <a:lstStyle/>
              <a:p>
                <a:pPr lvl="0">
                  <a:defRPr b="0"/>
                </a:pPr>
                <a:r>
                  <a:rPr lang="en-US"/>
                  <a:t>Value</a:t>
                </a:r>
              </a:p>
            </c:rich>
          </c:tx>
          <c:overlay val="0"/>
        </c:title>
        <c:numFmt formatCode="0.00%" sourceLinked="1"/>
        <c:majorTickMark val="cross"/>
        <c:minorTickMark val="cross"/>
        <c:tickLblPos val="nextTo"/>
        <c:spPr>
          <a:ln w="47625">
            <a:noFill/>
          </a:ln>
        </c:spPr>
        <c:txPr>
          <a:bodyPr/>
          <a:lstStyle/>
          <a:p>
            <a:pPr lvl="0">
              <a:defRPr b="0"/>
            </a:pPr>
            <a:endParaRPr lang="en-US"/>
          </a:p>
        </c:txPr>
        <c:crossAx val="942125254"/>
        <c:crosses val="autoZero"/>
        <c:crossBetween val="between"/>
      </c:valAx>
    </c:plotArea>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pPr>
            <a:r>
              <a:rPr lang="en-US"/>
              <a:t>Value vs. Year</a:t>
            </a:r>
          </a:p>
        </c:rich>
      </c:tx>
      <c:layout/>
      <c:overlay val="0"/>
    </c:title>
    <c:autoTitleDeleted val="0"/>
    <c:plotArea>
      <c:layout/>
      <c:lineChart>
        <c:grouping val="standard"/>
        <c:varyColors val="1"/>
        <c:ser>
          <c:idx val="0"/>
          <c:order val="0"/>
          <c:spPr>
            <a:ln w="19050" cmpd="sng">
              <a:solidFill>
                <a:srgbClr val="3366CC"/>
              </a:solidFill>
            </a:ln>
          </c:spPr>
          <c:marker>
            <c:symbol val="none"/>
          </c:marker>
          <c:cat>
            <c:numRef>
              <c:f>Growth!$B$130:$B$170</c:f>
              <c:numCache>
                <c:formatCode>General</c:formatCode>
                <c:ptCount val="41"/>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numCache>
            </c:numRef>
          </c:cat>
          <c:val>
            <c:numRef>
              <c:f>Growth!$E$130:$E$170</c:f>
              <c:numCache>
                <c:formatCode>0.00%</c:formatCode>
                <c:ptCount val="41"/>
                <c:pt idx="0">
                  <c:v>0.21441191391941392</c:v>
                </c:pt>
                <c:pt idx="1">
                  <c:v>0.2104075063767902</c:v>
                </c:pt>
                <c:pt idx="2">
                  <c:v>0.20632055069918881</c:v>
                </c:pt>
                <c:pt idx="3">
                  <c:v>0.20215099821780261</c:v>
                </c:pt>
                <c:pt idx="4">
                  <c:v>0.19789889946110178</c:v>
                </c:pt>
                <c:pt idx="5">
                  <c:v>0.19356440805794201</c:v>
                </c:pt>
                <c:pt idx="6">
                  <c:v>0.18914778449711095</c:v>
                </c:pt>
                <c:pt idx="7">
                  <c:v>0.18464939971843738</c:v>
                </c:pt>
                <c:pt idx="8">
                  <c:v>0.18006973851005678</c:v>
                </c:pt>
                <c:pt idx="9">
                  <c:v>0.17540940268605806</c:v>
                </c:pt>
                <c:pt idx="10">
                  <c:v>0.17066911401854623</c:v>
                </c:pt>
                <c:pt idx="11">
                  <c:v>0.16584971689815892</c:v>
                </c:pt>
                <c:pt idx="12">
                  <c:v>0.16095218069728637</c:v>
                </c:pt>
                <c:pt idx="13">
                  <c:v>0.15597760181067646</c:v>
                </c:pt>
                <c:pt idx="14">
                  <c:v>0.15092720534877005</c:v>
                </c:pt>
                <c:pt idx="15">
                  <c:v>0.14580234646001652</c:v>
                </c:pt>
                <c:pt idx="16">
                  <c:v>0.14060451125957057</c:v>
                </c:pt>
                <c:pt idx="17">
                  <c:v>0.13533531734317533</c:v>
                </c:pt>
                <c:pt idx="18">
                  <c:v>0.12999651386669017</c:v>
                </c:pt>
                <c:pt idx="19">
                  <c:v>0.12458998117363007</c:v>
                </c:pt>
                <c:pt idx="20">
                  <c:v>0.11911772995522996</c:v>
                </c:pt>
                <c:pt idx="21">
                  <c:v>0.11358189992993825</c:v>
                </c:pt>
                <c:pt idx="22">
                  <c:v>0.10798475803185009</c:v>
                </c:pt>
                <c:pt idx="23">
                  <c:v>0.10232869610041095</c:v>
                </c:pt>
                <c:pt idx="24">
                  <c:v>9.661622806672604E-2</c:v>
                </c:pt>
                <c:pt idx="25">
                  <c:v>9.0849986634980839E-2</c:v>
                </c:pt>
                <c:pt idx="26">
                  <c:v>8.5032719460787887E-2</c:v>
                </c:pt>
                <c:pt idx="27">
                  <c:v>7.9167284831691553E-2</c:v>
                </c:pt>
                <c:pt idx="28">
                  <c:v>7.3256646858556262E-2</c:v>
                </c:pt>
                <c:pt idx="29">
                  <c:v>6.7303870190100534E-2</c:v>
                </c:pt>
                <c:pt idx="30">
                  <c:v>6.131211426637706E-2</c:v>
                </c:pt>
                <c:pt idx="31">
                  <c:v>5.5284627130508524E-2</c:v>
                </c:pt>
                <c:pt idx="32">
                  <c:v>4.9224738821421143E-2</c:v>
                </c:pt>
                <c:pt idx="33">
                  <c:v>4.3135854373641869E-2</c:v>
                </c:pt>
                <c:pt idx="34">
                  <c:v>3.7021446453394613E-2</c:v>
                </c:pt>
                <c:pt idx="35">
                  <c:v>3.0885047663214205E-2</c:v>
                </c:pt>
                <c:pt idx="36">
                  <c:v>2.4730242550050463E-2</c:v>
                </c:pt>
                <c:pt idx="37">
                  <c:v>1.856065935432949E-2</c:v>
                </c:pt>
                <c:pt idx="38">
                  <c:v>1.2379961539641826E-2</c:v>
                </c:pt>
                <c:pt idx="39">
                  <c:v>6.1918391446070808E-3</c:v>
                </c:pt>
                <c:pt idx="40">
                  <c:v>0</c:v>
                </c:pt>
              </c:numCache>
            </c:numRef>
          </c:val>
          <c:smooth val="0"/>
          <c:extLst>
            <c:ext xmlns:c16="http://schemas.microsoft.com/office/drawing/2014/chart" uri="{C3380CC4-5D6E-409C-BE32-E72D297353CC}">
              <c16:uniqueId val="{00000000-C332-4E66-8867-A7FF4B31328E}"/>
            </c:ext>
          </c:extLst>
        </c:ser>
        <c:ser>
          <c:idx val="1"/>
          <c:order val="1"/>
          <c:spPr>
            <a:ln w="76200" cmpd="sng">
              <a:solidFill>
                <a:srgbClr val="DC3912"/>
              </a:solidFill>
            </a:ln>
          </c:spPr>
          <c:marker>
            <c:symbol val="circle"/>
            <c:size val="10"/>
            <c:spPr>
              <a:solidFill>
                <a:srgbClr val="DC3912"/>
              </a:solidFill>
              <a:ln cmpd="sng">
                <a:solidFill>
                  <a:srgbClr val="DC3912"/>
                </a:solidFill>
              </a:ln>
            </c:spPr>
          </c:marker>
          <c:cat>
            <c:numRef>
              <c:f>Growth!$B$130:$B$170</c:f>
              <c:numCache>
                <c:formatCode>General</c:formatCode>
                <c:ptCount val="41"/>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pt idx="21">
                  <c:v>2039</c:v>
                </c:pt>
                <c:pt idx="22">
                  <c:v>2040</c:v>
                </c:pt>
                <c:pt idx="23">
                  <c:v>2041</c:v>
                </c:pt>
                <c:pt idx="24">
                  <c:v>2042</c:v>
                </c:pt>
                <c:pt idx="25">
                  <c:v>2043</c:v>
                </c:pt>
                <c:pt idx="26">
                  <c:v>2044</c:v>
                </c:pt>
                <c:pt idx="27">
                  <c:v>2045</c:v>
                </c:pt>
                <c:pt idx="28">
                  <c:v>2046</c:v>
                </c:pt>
                <c:pt idx="29">
                  <c:v>2047</c:v>
                </c:pt>
                <c:pt idx="30">
                  <c:v>2048</c:v>
                </c:pt>
                <c:pt idx="31">
                  <c:v>2049</c:v>
                </c:pt>
                <c:pt idx="32">
                  <c:v>2050</c:v>
                </c:pt>
                <c:pt idx="33">
                  <c:v>2051</c:v>
                </c:pt>
                <c:pt idx="34">
                  <c:v>2052</c:v>
                </c:pt>
                <c:pt idx="35">
                  <c:v>2053</c:v>
                </c:pt>
                <c:pt idx="36">
                  <c:v>2054</c:v>
                </c:pt>
                <c:pt idx="37">
                  <c:v>2055</c:v>
                </c:pt>
                <c:pt idx="38">
                  <c:v>2056</c:v>
                </c:pt>
                <c:pt idx="39">
                  <c:v>2057</c:v>
                </c:pt>
                <c:pt idx="40">
                  <c:v>2058</c:v>
                </c:pt>
              </c:numCache>
            </c:numRef>
          </c:cat>
          <c:val>
            <c:numRef>
              <c:f>Growth!$E$130</c:f>
              <c:numCache>
                <c:formatCode>0.00%</c:formatCode>
                <c:ptCount val="1"/>
                <c:pt idx="0">
                  <c:v>0.21441191391941392</c:v>
                </c:pt>
              </c:numCache>
            </c:numRef>
          </c:val>
          <c:smooth val="0"/>
          <c:extLst>
            <c:ext xmlns:c16="http://schemas.microsoft.com/office/drawing/2014/chart" uri="{C3380CC4-5D6E-409C-BE32-E72D297353CC}">
              <c16:uniqueId val="{00000001-C332-4E66-8867-A7FF4B31328E}"/>
            </c:ext>
          </c:extLst>
        </c:ser>
        <c:dLbls>
          <c:showLegendKey val="0"/>
          <c:showVal val="0"/>
          <c:showCatName val="0"/>
          <c:showSerName val="0"/>
          <c:showPercent val="0"/>
          <c:showBubbleSize val="0"/>
        </c:dLbls>
        <c:smooth val="0"/>
        <c:axId val="890618098"/>
        <c:axId val="1561665090"/>
      </c:lineChart>
      <c:catAx>
        <c:axId val="890618098"/>
        <c:scaling>
          <c:orientation val="minMax"/>
        </c:scaling>
        <c:delete val="0"/>
        <c:axPos val="b"/>
        <c:title>
          <c:tx>
            <c:rich>
              <a:bodyPr/>
              <a:lstStyle/>
              <a:p>
                <a:pPr lvl="0">
                  <a:defRPr b="0"/>
                </a:pPr>
                <a:r>
                  <a:rPr lang="en-US"/>
                  <a:t>Year</a:t>
                </a:r>
              </a:p>
            </c:rich>
          </c:tx>
          <c:layout/>
          <c:overlay val="0"/>
        </c:title>
        <c:numFmt formatCode="General" sourceLinked="1"/>
        <c:majorTickMark val="cross"/>
        <c:minorTickMark val="cross"/>
        <c:tickLblPos val="nextTo"/>
        <c:txPr>
          <a:bodyPr/>
          <a:lstStyle/>
          <a:p>
            <a:pPr lvl="0">
              <a:defRPr b="0"/>
            </a:pPr>
            <a:endParaRPr lang="en-US"/>
          </a:p>
        </c:txPr>
        <c:crossAx val="1561665090"/>
        <c:crosses val="autoZero"/>
        <c:auto val="1"/>
        <c:lblAlgn val="ctr"/>
        <c:lblOffset val="100"/>
        <c:noMultiLvlLbl val="1"/>
      </c:catAx>
      <c:valAx>
        <c:axId val="1561665090"/>
        <c:scaling>
          <c:orientation val="minMax"/>
        </c:scaling>
        <c:delete val="0"/>
        <c:axPos val="l"/>
        <c:majorGridlines>
          <c:spPr>
            <a:ln>
              <a:solidFill>
                <a:srgbClr val="B7B7B7"/>
              </a:solidFill>
            </a:ln>
          </c:spPr>
        </c:majorGridlines>
        <c:title>
          <c:tx>
            <c:rich>
              <a:bodyPr/>
              <a:lstStyle/>
              <a:p>
                <a:pPr lvl="0">
                  <a:defRPr b="0"/>
                </a:pPr>
                <a:r>
                  <a:rPr lang="en-US"/>
                  <a:t>Value</a:t>
                </a:r>
              </a:p>
            </c:rich>
          </c:tx>
          <c:layout/>
          <c:overlay val="0"/>
        </c:title>
        <c:numFmt formatCode="0.00%" sourceLinked="1"/>
        <c:majorTickMark val="cross"/>
        <c:minorTickMark val="cross"/>
        <c:tickLblPos val="nextTo"/>
        <c:spPr>
          <a:ln w="47625">
            <a:noFill/>
          </a:ln>
        </c:spPr>
        <c:txPr>
          <a:bodyPr/>
          <a:lstStyle/>
          <a:p>
            <a:pPr lvl="0">
              <a:defRPr b="0"/>
            </a:pPr>
            <a:endParaRPr lang="en-US"/>
          </a:p>
        </c:txPr>
        <c:crossAx val="890618098"/>
        <c:crosses val="autoZero"/>
        <c:crossBetween val="between"/>
      </c:valAx>
    </c:plotArea>
    <c:legend>
      <c:legendPos val="r"/>
      <c:layout/>
      <c:overlay val="0"/>
    </c:legend>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spPr>
            <a:ln w="19050" cmpd="sng">
              <a:solidFill>
                <a:srgbClr val="3366CC"/>
              </a:solidFill>
            </a:ln>
          </c:spPr>
          <c:marker>
            <c:symbol val="none"/>
          </c:marker>
          <c:cat>
            <c:numRef>
              <c:f>Growth!$I$130:$I$140</c:f>
              <c:numCache>
                <c:formatCode>General</c:formatCode>
                <c:ptCount val="11"/>
                <c:pt idx="0">
                  <c:v>2018</c:v>
                </c:pt>
                <c:pt idx="1">
                  <c:v>2019</c:v>
                </c:pt>
                <c:pt idx="2">
                  <c:v>2020</c:v>
                </c:pt>
                <c:pt idx="3">
                  <c:v>2021</c:v>
                </c:pt>
                <c:pt idx="4">
                  <c:v>0</c:v>
                </c:pt>
                <c:pt idx="5">
                  <c:v>0</c:v>
                </c:pt>
                <c:pt idx="6">
                  <c:v>0</c:v>
                </c:pt>
                <c:pt idx="7">
                  <c:v>0</c:v>
                </c:pt>
                <c:pt idx="8">
                  <c:v>0</c:v>
                </c:pt>
                <c:pt idx="9">
                  <c:v>0</c:v>
                </c:pt>
                <c:pt idx="10">
                  <c:v>0</c:v>
                </c:pt>
              </c:numCache>
            </c:numRef>
          </c:cat>
          <c:val>
            <c:numRef>
              <c:f>Growth!$H$130:$H$170</c:f>
              <c:numCache>
                <c:formatCode>0.00%</c:formatCode>
                <c:ptCount val="41"/>
                <c:pt idx="0">
                  <c:v>9.9999999999958439E-5</c:v>
                </c:pt>
                <c:pt idx="1">
                  <c:v>4.4358431018842411E-2</c:v>
                </c:pt>
                <c:pt idx="2">
                  <c:v>0.95564156898115749</c:v>
                </c:pt>
                <c:pt idx="3">
                  <c:v>0.99990000000000012</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numCache>
            </c:numRef>
          </c:val>
          <c:smooth val="1"/>
          <c:extLst>
            <c:ext xmlns:c16="http://schemas.microsoft.com/office/drawing/2014/chart" uri="{C3380CC4-5D6E-409C-BE32-E72D297353CC}">
              <c16:uniqueId val="{00000000-AED6-4D9C-ACA9-81B680F1DF50}"/>
            </c:ext>
          </c:extLst>
        </c:ser>
        <c:dLbls>
          <c:showLegendKey val="0"/>
          <c:showVal val="0"/>
          <c:showCatName val="0"/>
          <c:showSerName val="0"/>
          <c:showPercent val="0"/>
          <c:showBubbleSize val="0"/>
        </c:dLbls>
        <c:smooth val="0"/>
        <c:axId val="1811031384"/>
        <c:axId val="1440894313"/>
      </c:lineChart>
      <c:catAx>
        <c:axId val="1811031384"/>
        <c:scaling>
          <c:orientation val="minMax"/>
        </c:scaling>
        <c:delete val="0"/>
        <c:axPos val="b"/>
        <c:numFmt formatCode="General" sourceLinked="1"/>
        <c:majorTickMark val="cross"/>
        <c:minorTickMark val="cross"/>
        <c:tickLblPos val="nextTo"/>
        <c:txPr>
          <a:bodyPr/>
          <a:lstStyle/>
          <a:p>
            <a:pPr lvl="0">
              <a:defRPr b="0"/>
            </a:pPr>
            <a:endParaRPr lang="en-US"/>
          </a:p>
        </c:txPr>
        <c:crossAx val="1440894313"/>
        <c:crosses val="autoZero"/>
        <c:auto val="1"/>
        <c:lblAlgn val="ctr"/>
        <c:lblOffset val="100"/>
        <c:noMultiLvlLbl val="1"/>
      </c:catAx>
      <c:valAx>
        <c:axId val="1440894313"/>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1811031384"/>
        <c:crosses val="autoZero"/>
        <c:crossBetween val="between"/>
      </c:valAx>
    </c:plotArea>
    <c:legend>
      <c:legendPos val="r"/>
      <c:layout/>
      <c:overlay val="0"/>
    </c:legend>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0"/>
        <c:ser>
          <c:idx val="0"/>
          <c:order val="0"/>
          <c:spPr>
            <a:ln w="19050" cmpd="sng">
              <a:solidFill>
                <a:srgbClr val="3366CC"/>
              </a:solidFill>
            </a:ln>
          </c:spPr>
          <c:marker>
            <c:symbol val="none"/>
          </c:marker>
          <c:cat>
            <c:numRef>
              <c:f>Growth!$I$130:$I$140</c:f>
              <c:numCache>
                <c:formatCode>General</c:formatCode>
                <c:ptCount val="11"/>
                <c:pt idx="0">
                  <c:v>2018</c:v>
                </c:pt>
                <c:pt idx="1">
                  <c:v>2019</c:v>
                </c:pt>
                <c:pt idx="2">
                  <c:v>2020</c:v>
                </c:pt>
                <c:pt idx="3">
                  <c:v>2021</c:v>
                </c:pt>
                <c:pt idx="4">
                  <c:v>0</c:v>
                </c:pt>
                <c:pt idx="5">
                  <c:v>0</c:v>
                </c:pt>
                <c:pt idx="6">
                  <c:v>0</c:v>
                </c:pt>
                <c:pt idx="7">
                  <c:v>0</c:v>
                </c:pt>
                <c:pt idx="8">
                  <c:v>0</c:v>
                </c:pt>
                <c:pt idx="9">
                  <c:v>0</c:v>
                </c:pt>
                <c:pt idx="10">
                  <c:v>0</c:v>
                </c:pt>
              </c:numCache>
            </c:numRef>
          </c:cat>
          <c:val>
            <c:numRef>
              <c:f>Growth!$J$130:$J$170</c:f>
              <c:numCache>
                <c:formatCode>0.00%</c:formatCode>
                <c:ptCount val="41"/>
                <c:pt idx="0">
                  <c:v>0.99990000000000001</c:v>
                </c:pt>
                <c:pt idx="1">
                  <c:v>0.9556415689811576</c:v>
                </c:pt>
                <c:pt idx="2">
                  <c:v>4.4358431018842515E-2</c:v>
                </c:pt>
                <c:pt idx="3">
                  <c:v>9.9999999999877964E-5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numCache>
            </c:numRef>
          </c:val>
          <c:smooth val="1"/>
          <c:extLst>
            <c:ext xmlns:c16="http://schemas.microsoft.com/office/drawing/2014/chart" uri="{C3380CC4-5D6E-409C-BE32-E72D297353CC}">
              <c16:uniqueId val="{00000000-D1F8-4AED-93BC-BEC662918286}"/>
            </c:ext>
          </c:extLst>
        </c:ser>
        <c:dLbls>
          <c:showLegendKey val="0"/>
          <c:showVal val="0"/>
          <c:showCatName val="0"/>
          <c:showSerName val="0"/>
          <c:showPercent val="0"/>
          <c:showBubbleSize val="0"/>
        </c:dLbls>
        <c:smooth val="0"/>
        <c:axId val="1493494601"/>
        <c:axId val="941959348"/>
      </c:lineChart>
      <c:catAx>
        <c:axId val="1493494601"/>
        <c:scaling>
          <c:orientation val="minMax"/>
        </c:scaling>
        <c:delete val="0"/>
        <c:axPos val="b"/>
        <c:numFmt formatCode="General" sourceLinked="1"/>
        <c:majorTickMark val="cross"/>
        <c:minorTickMark val="cross"/>
        <c:tickLblPos val="nextTo"/>
        <c:txPr>
          <a:bodyPr/>
          <a:lstStyle/>
          <a:p>
            <a:pPr lvl="0">
              <a:defRPr b="0"/>
            </a:pPr>
            <a:endParaRPr lang="en-US"/>
          </a:p>
        </c:txPr>
        <c:crossAx val="941959348"/>
        <c:crosses val="autoZero"/>
        <c:auto val="1"/>
        <c:lblAlgn val="ctr"/>
        <c:lblOffset val="100"/>
        <c:noMultiLvlLbl val="1"/>
      </c:catAx>
      <c:valAx>
        <c:axId val="941959348"/>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1493494601"/>
        <c:crosses val="autoZero"/>
        <c:crossBetween val="between"/>
      </c:valAx>
    </c:plotArea>
    <c:legend>
      <c:legendPos val="r"/>
      <c:overlay val="0"/>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stacked"/>
        <c:varyColors val="1"/>
        <c:ser>
          <c:idx val="0"/>
          <c:order val="0"/>
          <c:tx>
            <c:strRef>
              <c:f>'3. Results'!$AX$14</c:f>
              <c:strCache>
                <c:ptCount val="1"/>
                <c:pt idx="0">
                  <c:v>Direct benefits of using FAIR</c:v>
                </c:pt>
              </c:strCache>
            </c:strRef>
          </c:tx>
          <c:spPr>
            <a:solidFill>
              <a:srgbClr val="3366CC"/>
            </a:solidFill>
          </c:spPr>
          <c:invertIfNegative val="1"/>
          <c:cat>
            <c:numRef>
              <c:f>'3. Results'!$AU$15:$AU$35</c:f>
              <c:numCache>
                <c:formatCode>General</c:formatCode>
                <c:ptCount val="21"/>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numCache>
            </c:numRef>
          </c:cat>
          <c:val>
            <c:numRef>
              <c:f>'3. Results'!$AX$15:$AX$35</c:f>
              <c:numCache>
                <c:formatCode>[$€]#,##0</c:formatCode>
                <c:ptCount val="21"/>
                <c:pt idx="0">
                  <c:v>0</c:v>
                </c:pt>
                <c:pt idx="1">
                  <c:v>35408.920741678689</c:v>
                </c:pt>
                <c:pt idx="2">
                  <c:v>41464.449620549465</c:v>
                </c:pt>
                <c:pt idx="3">
                  <c:v>48920.850694513836</c:v>
                </c:pt>
                <c:pt idx="4">
                  <c:v>57380.156824477555</c:v>
                </c:pt>
                <c:pt idx="5">
                  <c:v>63030.959411936186</c:v>
                </c:pt>
                <c:pt idx="6">
                  <c:v>69775.865274034906</c:v>
                </c:pt>
                <c:pt idx="7">
                  <c:v>78100.443317129175</c:v>
                </c:pt>
                <c:pt idx="8">
                  <c:v>88083.670403592085</c:v>
                </c:pt>
                <c:pt idx="9">
                  <c:v>99501.223360676493</c:v>
                </c:pt>
                <c:pt idx="10">
                  <c:v>113604.41823965954</c:v>
                </c:pt>
                <c:pt idx="11">
                  <c:v>130552.82351964631</c:v>
                </c:pt>
                <c:pt idx="12">
                  <c:v>150913.41045127535</c:v>
                </c:pt>
                <c:pt idx="13">
                  <c:v>175360.94234571161</c:v>
                </c:pt>
                <c:pt idx="14">
                  <c:v>204700.43431510753</c:v>
                </c:pt>
                <c:pt idx="15">
                  <c:v>239895.42955812864</c:v>
                </c:pt>
                <c:pt idx="16">
                  <c:v>282105.18518370023</c:v>
                </c:pt>
                <c:pt idx="17">
                  <c:v>332734.95816069347</c:v>
                </c:pt>
                <c:pt idx="18">
                  <c:v>393501.82266579295</c:v>
                </c:pt>
                <c:pt idx="19">
                  <c:v>466511.16074120696</c:v>
                </c:pt>
                <c:pt idx="20">
                  <c:v>555131.14467821911</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E8AF-4CFE-A9ED-1049F7DC5B0F}"/>
            </c:ext>
          </c:extLst>
        </c:ser>
        <c:ser>
          <c:idx val="1"/>
          <c:order val="1"/>
          <c:tx>
            <c:strRef>
              <c:f>'3. Results'!$AY$14</c:f>
              <c:strCache>
                <c:ptCount val="1"/>
                <c:pt idx="0">
                  <c:v>Direct costs of implementing FAIR</c:v>
                </c:pt>
              </c:strCache>
            </c:strRef>
          </c:tx>
          <c:spPr>
            <a:solidFill>
              <a:srgbClr val="FF0000"/>
            </a:solidFill>
            <a:ln>
              <a:noFill/>
            </a:ln>
          </c:spPr>
          <c:invertIfNegative val="1"/>
          <c:cat>
            <c:numRef>
              <c:f>'3. Results'!$AU$15:$AU$35</c:f>
              <c:numCache>
                <c:formatCode>General</c:formatCode>
                <c:ptCount val="21"/>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numCache>
            </c:numRef>
          </c:cat>
          <c:val>
            <c:numRef>
              <c:f>'3. Results'!$AY$15:$AY$35</c:f>
              <c:numCache>
                <c:formatCode>[$€]#,##0</c:formatCode>
                <c:ptCount val="21"/>
                <c:pt idx="0">
                  <c:v>-196202.92834363363</c:v>
                </c:pt>
                <c:pt idx="1">
                  <c:v>-125171.28274748767</c:v>
                </c:pt>
                <c:pt idx="2">
                  <c:v>-136467.91589759372</c:v>
                </c:pt>
                <c:pt idx="3">
                  <c:v>-133808.12457789262</c:v>
                </c:pt>
                <c:pt idx="4">
                  <c:v>-128796.45862493681</c:v>
                </c:pt>
                <c:pt idx="5">
                  <c:v>-129496.66446873291</c:v>
                </c:pt>
                <c:pt idx="6">
                  <c:v>-130315.11625817318</c:v>
                </c:pt>
                <c:pt idx="7">
                  <c:v>-131235.97792608189</c:v>
                </c:pt>
                <c:pt idx="8">
                  <c:v>-132324.33069353417</c:v>
                </c:pt>
                <c:pt idx="9">
                  <c:v>-133711.27265164198</c:v>
                </c:pt>
                <c:pt idx="10">
                  <c:v>-135300.40782193851</c:v>
                </c:pt>
                <c:pt idx="11">
                  <c:v>-137199.55708577699</c:v>
                </c:pt>
                <c:pt idx="12">
                  <c:v>-139475.68479086756</c:v>
                </c:pt>
                <c:pt idx="13">
                  <c:v>-142210.70268773573</c:v>
                </c:pt>
                <c:pt idx="14">
                  <c:v>-145504.76183830324</c:v>
                </c:pt>
                <c:pt idx="15">
                  <c:v>-149479.74034473376</c:v>
                </c:pt>
                <c:pt idx="16">
                  <c:v>-154282.209386956</c:v>
                </c:pt>
                <c:pt idx="17">
                  <c:v>-160084.68219079723</c:v>
                </c:pt>
                <c:pt idx="18">
                  <c:v>-167084.20842307672</c:v>
                </c:pt>
                <c:pt idx="19">
                  <c:v>-175499.77817157737</c:v>
                </c:pt>
                <c:pt idx="20">
                  <c:v>-185175.00197367911</c:v>
                </c:pt>
              </c:numCache>
            </c:numRef>
          </c:val>
          <c:extLst>
            <c:ext xmlns:c14="http://schemas.microsoft.com/office/drawing/2007/8/2/chart" uri="{6F2FDCE9-48DA-4B69-8628-5D25D57E5C99}">
              <c14:invertSolidFillFmt>
                <c14:spPr xmlns:c14="http://schemas.microsoft.com/office/drawing/2007/8/2/chart">
                  <a:solidFill>
                    <a:srgbClr val="FF0000"/>
                  </a:solidFill>
                  <a:ln>
                    <a:noFill/>
                  </a:ln>
                </c14:spPr>
              </c14:invertSolidFillFmt>
            </c:ext>
            <c:ext xmlns:c16="http://schemas.microsoft.com/office/drawing/2014/chart" uri="{C3380CC4-5D6E-409C-BE32-E72D297353CC}">
              <c16:uniqueId val="{00000001-E8AF-4CFE-A9ED-1049F7DC5B0F}"/>
            </c:ext>
          </c:extLst>
        </c:ser>
        <c:ser>
          <c:idx val="2"/>
          <c:order val="2"/>
          <c:tx>
            <c:strRef>
              <c:f>'3. Results'!$AZ$14</c:f>
              <c:strCache>
                <c:ptCount val="1"/>
                <c:pt idx="0">
                  <c:v>Indirect benefits of using FAIR</c:v>
                </c:pt>
              </c:strCache>
            </c:strRef>
          </c:tx>
          <c:spPr>
            <a:solidFill>
              <a:srgbClr val="FF9900"/>
            </a:solidFill>
          </c:spPr>
          <c:invertIfNegative val="1"/>
          <c:cat>
            <c:numRef>
              <c:f>'3. Results'!$AU$15:$AU$35</c:f>
              <c:numCache>
                <c:formatCode>General</c:formatCode>
                <c:ptCount val="21"/>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numCache>
            </c:numRef>
          </c:cat>
          <c:val>
            <c:numRef>
              <c:f>'3. Results'!$AZ$15:$AZ$35</c:f>
              <c:numCache>
                <c:formatCode>[$€]#,##0</c:formatCode>
                <c:ptCount val="21"/>
                <c:pt idx="0">
                  <c:v>0</c:v>
                </c:pt>
                <c:pt idx="1">
                  <c:v>28640.725975355057</c:v>
                </c:pt>
                <c:pt idx="2">
                  <c:v>45059.868963304405</c:v>
                </c:pt>
                <c:pt idx="3">
                  <c:v>24864.471221217234</c:v>
                </c:pt>
                <c:pt idx="4">
                  <c:v>23582.771039269046</c:v>
                </c:pt>
                <c:pt idx="5">
                  <c:v>23515.684303977545</c:v>
                </c:pt>
                <c:pt idx="6">
                  <c:v>23443.703836591798</c:v>
                </c:pt>
                <c:pt idx="7">
                  <c:v>23373.476906102296</c:v>
                </c:pt>
                <c:pt idx="8">
                  <c:v>23314.791548652116</c:v>
                </c:pt>
                <c:pt idx="9">
                  <c:v>23278.057867938605</c:v>
                </c:pt>
                <c:pt idx="10">
                  <c:v>23275.406337689376</c:v>
                </c:pt>
                <c:pt idx="11">
                  <c:v>23322.649625500024</c:v>
                </c:pt>
                <c:pt idx="12">
                  <c:v>23442.126528978319</c:v>
                </c:pt>
                <c:pt idx="13">
                  <c:v>23666.288301324021</c:v>
                </c:pt>
                <c:pt idx="14">
                  <c:v>24041.408659966768</c:v>
                </c:pt>
                <c:pt idx="15">
                  <c:v>24629.589954119547</c:v>
                </c:pt>
                <c:pt idx="16">
                  <c:v>25504.874468749771</c:v>
                </c:pt>
                <c:pt idx="17">
                  <c:v>26736.207722016283</c:v>
                </c:pt>
                <c:pt idx="18">
                  <c:v>28349.746126571004</c:v>
                </c:pt>
                <c:pt idx="19">
                  <c:v>30273.853652308568</c:v>
                </c:pt>
                <c:pt idx="20">
                  <c:v>32298.151350332329</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2-E8AF-4CFE-A9ED-1049F7DC5B0F}"/>
            </c:ext>
          </c:extLst>
        </c:ser>
        <c:dLbls>
          <c:showLegendKey val="0"/>
          <c:showVal val="0"/>
          <c:showCatName val="0"/>
          <c:showSerName val="0"/>
          <c:showPercent val="0"/>
          <c:showBubbleSize val="0"/>
        </c:dLbls>
        <c:gapWidth val="150"/>
        <c:overlap val="100"/>
        <c:axId val="1034583648"/>
        <c:axId val="895986141"/>
      </c:barChart>
      <c:catAx>
        <c:axId val="1034583648"/>
        <c:scaling>
          <c:orientation val="minMax"/>
        </c:scaling>
        <c:delete val="0"/>
        <c:axPos val="b"/>
        <c:numFmt formatCode="General" sourceLinked="1"/>
        <c:majorTickMark val="cross"/>
        <c:minorTickMark val="cross"/>
        <c:tickLblPos val="low"/>
        <c:txPr>
          <a:bodyPr/>
          <a:lstStyle/>
          <a:p>
            <a:pPr lvl="0">
              <a:defRPr sz="900" b="0">
                <a:latin typeface="Georgia" panose="02040502050405020303" pitchFamily="18" charset="0"/>
              </a:defRPr>
            </a:pPr>
            <a:endParaRPr lang="en-US"/>
          </a:p>
        </c:txPr>
        <c:crossAx val="895986141"/>
        <c:crosses val="autoZero"/>
        <c:auto val="1"/>
        <c:lblAlgn val="ctr"/>
        <c:lblOffset val="100"/>
        <c:noMultiLvlLbl val="1"/>
      </c:catAx>
      <c:valAx>
        <c:axId val="895986141"/>
        <c:scaling>
          <c:orientation val="minMax"/>
          <c:max val="500000"/>
          <c:min val="-500000"/>
        </c:scaling>
        <c:delete val="0"/>
        <c:axPos val="l"/>
        <c:majorGridlines>
          <c:spPr>
            <a:ln>
              <a:solidFill>
                <a:srgbClr val="B7B7B7"/>
              </a:solidFill>
            </a:ln>
          </c:spPr>
        </c:majorGridlines>
        <c:numFmt formatCode="[$€]#,##0" sourceLinked="1"/>
        <c:majorTickMark val="cross"/>
        <c:minorTickMark val="cross"/>
        <c:tickLblPos val="nextTo"/>
        <c:spPr>
          <a:ln w="47625">
            <a:noFill/>
          </a:ln>
        </c:spPr>
        <c:txPr>
          <a:bodyPr/>
          <a:lstStyle/>
          <a:p>
            <a:pPr lvl="0">
              <a:defRPr sz="900" b="0">
                <a:latin typeface="Georgia" panose="02040502050405020303" pitchFamily="18" charset="0"/>
              </a:defRPr>
            </a:pPr>
            <a:endParaRPr lang="en-US"/>
          </a:p>
        </c:txPr>
        <c:crossAx val="1034583648"/>
        <c:crosses val="autoZero"/>
        <c:crossBetween val="between"/>
      </c:valAx>
    </c:plotArea>
    <c:legend>
      <c:legendPos val="b"/>
      <c:layout/>
      <c:overlay val="0"/>
      <c:txPr>
        <a:bodyPr/>
        <a:lstStyle/>
        <a:p>
          <a:pPr>
            <a:defRPr sz="900">
              <a:latin typeface="Georgia" panose="02040502050405020303" pitchFamily="18" charset="0"/>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barChart>
        <c:barDir val="col"/>
        <c:grouping val="stacked"/>
        <c:varyColors val="1"/>
        <c:ser>
          <c:idx val="0"/>
          <c:order val="0"/>
          <c:tx>
            <c:strRef>
              <c:f>'3. Results'!$BB$14</c:f>
              <c:strCache>
                <c:ptCount val="1"/>
                <c:pt idx="0">
                  <c:v>Saving in time for external reusers thanks to the implementation of the FAIR principles in creating, collection and integrating</c:v>
                </c:pt>
              </c:strCache>
            </c:strRef>
          </c:tx>
          <c:spPr>
            <a:solidFill>
              <a:srgbClr val="3366CC"/>
            </a:solidFill>
          </c:spPr>
          <c:invertIfNegative val="1"/>
          <c:trendline>
            <c:name>Trendline for Benefits of using FAIR</c:name>
            <c:spPr>
              <a:ln w="19050">
                <a:solidFill>
                  <a:srgbClr val="3366CC">
                    <a:alpha val="60000"/>
                  </a:srgbClr>
                </a:solidFill>
              </a:ln>
            </c:spPr>
            <c:trendlineType val="linear"/>
            <c:dispRSqr val="0"/>
            <c:dispEq val="0"/>
          </c:trendline>
          <c:cat>
            <c:numRef>
              <c:f>'3. Results'!$BA$15:$BA$35</c:f>
              <c:numCache>
                <c:formatCode>General</c:formatCode>
                <c:ptCount val="21"/>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numCache>
            </c:numRef>
          </c:cat>
          <c:val>
            <c:numRef>
              <c:f>'3. Results'!$BB$15:$BB$35</c:f>
              <c:numCache>
                <c:formatCode>[$€]#,##0</c:formatCode>
                <c:ptCount val="21"/>
                <c:pt idx="0">
                  <c:v>399189.25123626488</c:v>
                </c:pt>
                <c:pt idx="1">
                  <c:v>422971.35248638358</c:v>
                </c:pt>
                <c:pt idx="2">
                  <c:v>422973.14530479856</c:v>
                </c:pt>
                <c:pt idx="3">
                  <c:v>422421.34915389074</c:v>
                </c:pt>
                <c:pt idx="4">
                  <c:v>421373.72513845749</c:v>
                </c:pt>
                <c:pt idx="5">
                  <c:v>419930.53068340826</c:v>
                </c:pt>
                <c:pt idx="6">
                  <c:v>418206.24199026078</c:v>
                </c:pt>
                <c:pt idx="7">
                  <c:v>416300.72120958526</c:v>
                </c:pt>
                <c:pt idx="8">
                  <c:v>414274.84509095497</c:v>
                </c:pt>
                <c:pt idx="9">
                  <c:v>412130.84160973126</c:v>
                </c:pt>
                <c:pt idx="10">
                  <c:v>409794.72297212074</c:v>
                </c:pt>
                <c:pt idx="11">
                  <c:v>407096.9157040554</c:v>
                </c:pt>
                <c:pt idx="12">
                  <c:v>403746.84645398404</c:v>
                </c:pt>
                <c:pt idx="13">
                  <c:v>399299.27258222201</c:v>
                </c:pt>
                <c:pt idx="14">
                  <c:v>393117.27514484222</c:v>
                </c:pt>
                <c:pt idx="15">
                  <c:v>384352.07782429288</c:v>
                </c:pt>
                <c:pt idx="16">
                  <c:v>371983.31348280882</c:v>
                </c:pt>
                <c:pt idx="17">
                  <c:v>354979.62452624249</c:v>
                </c:pt>
                <c:pt idx="18">
                  <c:v>332599.27497968415</c:v>
                </c:pt>
                <c:pt idx="19">
                  <c:v>304701.15531623614</c:v>
                </c:pt>
                <c:pt idx="20">
                  <c:v>271793.39936433273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21BE-4CFB-9CA7-34B2E6CA0653}"/>
            </c:ext>
          </c:extLst>
        </c:ser>
        <c:dLbls>
          <c:showLegendKey val="0"/>
          <c:showVal val="0"/>
          <c:showCatName val="0"/>
          <c:showSerName val="0"/>
          <c:showPercent val="0"/>
          <c:showBubbleSize val="0"/>
        </c:dLbls>
        <c:gapWidth val="150"/>
        <c:overlap val="100"/>
        <c:axId val="216901617"/>
        <c:axId val="1465881889"/>
      </c:barChart>
      <c:catAx>
        <c:axId val="216901617"/>
        <c:scaling>
          <c:orientation val="minMax"/>
        </c:scaling>
        <c:delete val="0"/>
        <c:axPos val="b"/>
        <c:numFmt formatCode="General" sourceLinked="1"/>
        <c:majorTickMark val="cross"/>
        <c:minorTickMark val="cross"/>
        <c:tickLblPos val="nextTo"/>
        <c:txPr>
          <a:bodyPr/>
          <a:lstStyle/>
          <a:p>
            <a:pPr lvl="0">
              <a:defRPr sz="900" b="0">
                <a:latin typeface="Georgia" panose="02040502050405020303" pitchFamily="18" charset="0"/>
              </a:defRPr>
            </a:pPr>
            <a:endParaRPr lang="en-US"/>
          </a:p>
        </c:txPr>
        <c:crossAx val="1465881889"/>
        <c:crosses val="autoZero"/>
        <c:auto val="1"/>
        <c:lblAlgn val="ctr"/>
        <c:lblOffset val="100"/>
        <c:noMultiLvlLbl val="1"/>
      </c:catAx>
      <c:valAx>
        <c:axId val="1465881889"/>
        <c:scaling>
          <c:orientation val="minMax"/>
        </c:scaling>
        <c:delete val="0"/>
        <c:axPos val="l"/>
        <c:majorGridlines>
          <c:spPr>
            <a:ln>
              <a:solidFill>
                <a:srgbClr val="B7B7B7"/>
              </a:solidFill>
            </a:ln>
          </c:spPr>
        </c:majorGridlines>
        <c:numFmt formatCode="[$€]#,##0" sourceLinked="1"/>
        <c:majorTickMark val="cross"/>
        <c:minorTickMark val="cross"/>
        <c:tickLblPos val="nextTo"/>
        <c:spPr>
          <a:ln w="47625">
            <a:noFill/>
          </a:ln>
        </c:spPr>
        <c:txPr>
          <a:bodyPr/>
          <a:lstStyle/>
          <a:p>
            <a:pPr lvl="0">
              <a:defRPr sz="900" b="0">
                <a:latin typeface="Georgia" panose="02040502050405020303" pitchFamily="18" charset="0"/>
              </a:defRPr>
            </a:pPr>
            <a:endParaRPr lang="en-US"/>
          </a:p>
        </c:txPr>
        <c:crossAx val="216901617"/>
        <c:crosses val="autoZero"/>
        <c:crossBetween val="between"/>
        <c:majorUnit val="100000"/>
      </c:valAx>
    </c:plotArea>
    <c:legend>
      <c:legendPos val="b"/>
      <c:layout/>
      <c:overlay val="0"/>
      <c:txPr>
        <a:bodyPr/>
        <a:lstStyle/>
        <a:p>
          <a:pPr>
            <a:defRPr sz="900">
              <a:latin typeface="Georgia" panose="02040502050405020303" pitchFamily="18" charset="0"/>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978787470507675E-2"/>
          <c:y val="0.12306905370843992"/>
          <c:w val="0.91092053604720025"/>
          <c:h val="0.83601023017902809"/>
        </c:manualLayout>
      </c:layout>
      <c:lineChart>
        <c:grouping val="stacked"/>
        <c:varyColors val="0"/>
        <c:ser>
          <c:idx val="1"/>
          <c:order val="0"/>
          <c:tx>
            <c:strRef>
              <c:f>'3. Results'!$AV$14</c:f>
              <c:strCache>
                <c:ptCount val="1"/>
                <c:pt idx="0">
                  <c:v>Cumulative Present Value</c:v>
                </c:pt>
              </c:strCache>
            </c:strRef>
          </c:tx>
          <c:spPr>
            <a:ln w="28575" cap="rnd">
              <a:solidFill>
                <a:schemeClr val="accent2"/>
              </a:solidFill>
              <a:round/>
            </a:ln>
            <a:effectLst/>
          </c:spPr>
          <c:marker>
            <c:symbol val="none"/>
          </c:marker>
          <c:dLbls>
            <c:dLbl>
              <c:idx val="9"/>
              <c:delete val="1"/>
              <c:extLst>
                <c:ext xmlns:c15="http://schemas.microsoft.com/office/drawing/2012/chart" uri="{CE6537A1-D6FC-4f65-9D91-7224C49458BB}"/>
                <c:ext xmlns:c16="http://schemas.microsoft.com/office/drawing/2014/chart" uri="{C3380CC4-5D6E-409C-BE32-E72D297353CC}">
                  <c16:uniqueId val="{00000001-6BFC-4CD3-9694-463888EBDF69}"/>
                </c:ext>
              </c:extLst>
            </c:dLbl>
            <c:dLbl>
              <c:idx val="10"/>
              <c:delete val="1"/>
              <c:extLst>
                <c:ext xmlns:c15="http://schemas.microsoft.com/office/drawing/2012/chart" uri="{CE6537A1-D6FC-4f65-9D91-7224C49458BB}"/>
                <c:ext xmlns:c16="http://schemas.microsoft.com/office/drawing/2014/chart" uri="{C3380CC4-5D6E-409C-BE32-E72D297353CC}">
                  <c16:uniqueId val="{00000000-6BFC-4CD3-9694-463888EBDF69}"/>
                </c:ext>
              </c:extLst>
            </c:dLbl>
            <c:dLbl>
              <c:idx val="11"/>
              <c:delete val="1"/>
              <c:extLst>
                <c:ext xmlns:c15="http://schemas.microsoft.com/office/drawing/2012/chart" uri="{CE6537A1-D6FC-4f65-9D91-7224C49458BB}"/>
                <c:ext xmlns:c16="http://schemas.microsoft.com/office/drawing/2014/chart" uri="{C3380CC4-5D6E-409C-BE32-E72D297353CC}">
                  <c16:uniqueId val="{0000000B-AD3B-4B98-BD14-E7FF9875798E}"/>
                </c:ext>
              </c:extLst>
            </c:dLbl>
            <c:dLbl>
              <c:idx val="12"/>
              <c:delete val="1"/>
              <c:extLst>
                <c:ext xmlns:c15="http://schemas.microsoft.com/office/drawing/2012/chart" uri="{CE6537A1-D6FC-4f65-9D91-7224C49458BB}"/>
                <c:ext xmlns:c16="http://schemas.microsoft.com/office/drawing/2014/chart" uri="{C3380CC4-5D6E-409C-BE32-E72D297353CC}">
                  <c16:uniqueId val="{0000000A-AD3B-4B98-BD14-E7FF9875798E}"/>
                </c:ext>
              </c:extLst>
            </c:dLbl>
            <c:dLbl>
              <c:idx val="13"/>
              <c:delete val="1"/>
              <c:extLst>
                <c:ext xmlns:c15="http://schemas.microsoft.com/office/drawing/2012/chart" uri="{CE6537A1-D6FC-4f65-9D91-7224C49458BB}"/>
                <c:ext xmlns:c16="http://schemas.microsoft.com/office/drawing/2014/chart" uri="{C3380CC4-5D6E-409C-BE32-E72D297353CC}">
                  <c16:uniqueId val="{00000009-AD3B-4B98-BD14-E7FF9875798E}"/>
                </c:ext>
              </c:extLst>
            </c:dLbl>
            <c:dLbl>
              <c:idx val="14"/>
              <c:delete val="1"/>
              <c:extLst>
                <c:ext xmlns:c15="http://schemas.microsoft.com/office/drawing/2012/chart" uri="{CE6537A1-D6FC-4f65-9D91-7224C49458BB}"/>
                <c:ext xmlns:c16="http://schemas.microsoft.com/office/drawing/2014/chart" uri="{C3380CC4-5D6E-409C-BE32-E72D297353CC}">
                  <c16:uniqueId val="{00000008-AD3B-4B98-BD14-E7FF9875798E}"/>
                </c:ext>
              </c:extLst>
            </c:dLbl>
            <c:dLbl>
              <c:idx val="15"/>
              <c:delete val="1"/>
              <c:extLst>
                <c:ext xmlns:c15="http://schemas.microsoft.com/office/drawing/2012/chart" uri="{CE6537A1-D6FC-4f65-9D91-7224C49458BB}"/>
                <c:ext xmlns:c16="http://schemas.microsoft.com/office/drawing/2014/chart" uri="{C3380CC4-5D6E-409C-BE32-E72D297353CC}">
                  <c16:uniqueId val="{00000007-AD3B-4B98-BD14-E7FF9875798E}"/>
                </c:ext>
              </c:extLst>
            </c:dLbl>
            <c:dLbl>
              <c:idx val="16"/>
              <c:delete val="1"/>
              <c:extLst>
                <c:ext xmlns:c15="http://schemas.microsoft.com/office/drawing/2012/chart" uri="{CE6537A1-D6FC-4f65-9D91-7224C49458BB}"/>
                <c:ext xmlns:c16="http://schemas.microsoft.com/office/drawing/2014/chart" uri="{C3380CC4-5D6E-409C-BE32-E72D297353CC}">
                  <c16:uniqueId val="{00000002-AD3B-4B98-BD14-E7FF9875798E}"/>
                </c:ext>
              </c:extLst>
            </c:dLbl>
            <c:dLbl>
              <c:idx val="17"/>
              <c:delete val="1"/>
              <c:extLst>
                <c:ext xmlns:c15="http://schemas.microsoft.com/office/drawing/2012/chart" uri="{CE6537A1-D6FC-4f65-9D91-7224C49458BB}"/>
                <c:ext xmlns:c16="http://schemas.microsoft.com/office/drawing/2014/chart" uri="{C3380CC4-5D6E-409C-BE32-E72D297353CC}">
                  <c16:uniqueId val="{00000003-AD3B-4B98-BD14-E7FF9875798E}"/>
                </c:ext>
              </c:extLst>
            </c:dLbl>
            <c:dLbl>
              <c:idx val="18"/>
              <c:delete val="1"/>
              <c:extLst>
                <c:ext xmlns:c15="http://schemas.microsoft.com/office/drawing/2012/chart" uri="{CE6537A1-D6FC-4f65-9D91-7224C49458BB}"/>
                <c:ext xmlns:c16="http://schemas.microsoft.com/office/drawing/2014/chart" uri="{C3380CC4-5D6E-409C-BE32-E72D297353CC}">
                  <c16:uniqueId val="{00000004-AD3B-4B98-BD14-E7FF9875798E}"/>
                </c:ext>
              </c:extLst>
            </c:dLbl>
            <c:dLbl>
              <c:idx val="19"/>
              <c:delete val="1"/>
              <c:extLst>
                <c:ext xmlns:c15="http://schemas.microsoft.com/office/drawing/2012/chart" uri="{CE6537A1-D6FC-4f65-9D91-7224C49458BB}"/>
                <c:ext xmlns:c16="http://schemas.microsoft.com/office/drawing/2014/chart" uri="{C3380CC4-5D6E-409C-BE32-E72D297353CC}">
                  <c16:uniqueId val="{00000005-AD3B-4B98-BD14-E7FF9875798E}"/>
                </c:ext>
              </c:extLst>
            </c:dLbl>
            <c:dLbl>
              <c:idx val="20"/>
              <c:delete val="1"/>
              <c:extLst>
                <c:ext xmlns:c15="http://schemas.microsoft.com/office/drawing/2012/chart" uri="{CE6537A1-D6FC-4f65-9D91-7224C49458BB}"/>
                <c:ext xmlns:c16="http://schemas.microsoft.com/office/drawing/2014/chart" uri="{C3380CC4-5D6E-409C-BE32-E72D297353CC}">
                  <c16:uniqueId val="{00000006-AD3B-4B98-BD14-E7FF9875798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Georgia" panose="02040502050405020303" pitchFamily="18"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[0]!Year</c:f>
              <c:numCache>
                <c:formatCode>General</c:formatCode>
                <c:ptCount val="21"/>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pt idx="13">
                  <c:v>2031</c:v>
                </c:pt>
                <c:pt idx="14">
                  <c:v>2032</c:v>
                </c:pt>
                <c:pt idx="15">
                  <c:v>2033</c:v>
                </c:pt>
                <c:pt idx="16">
                  <c:v>2034</c:v>
                </c:pt>
                <c:pt idx="17">
                  <c:v>2035</c:v>
                </c:pt>
                <c:pt idx="18">
                  <c:v>2036</c:v>
                </c:pt>
                <c:pt idx="19">
                  <c:v>2037</c:v>
                </c:pt>
                <c:pt idx="20">
                  <c:v>2038</c:v>
                </c:pt>
              </c:numCache>
            </c:numRef>
          </c:cat>
          <c:val>
            <c:numRef>
              <c:f>[0]!Cumulative_Present_Value</c:f>
              <c:numCache>
                <c:formatCode>General</c:formatCode>
                <c:ptCount val="21"/>
                <c:pt idx="0">
                  <c:v>-199577.61871114414</c:v>
                </c:pt>
                <c:pt idx="1">
                  <c:v>-292765.0620141048</c:v>
                </c:pt>
                <c:pt idx="2">
                  <c:v>-393405.69019896572</c:v>
                </c:pt>
                <c:pt idx="3">
                  <c:v>-485254.37750206259</c:v>
                </c:pt>
                <c:pt idx="4">
                  <c:v>-563660.25253100204</c:v>
                </c:pt>
                <c:pt idx="5">
                  <c:v>-638006.51058126451</c:v>
                </c:pt>
                <c:pt idx="6">
                  <c:v>-707000.10826660099</c:v>
                </c:pt>
                <c:pt idx="7">
                  <c:v>-768697.53526456375</c:v>
                </c:pt>
                <c:pt idx="8">
                  <c:v>-821035.14063681778</c:v>
                </c:pt>
                <c:pt idx="9">
                  <c:v>-862269.21006351814</c:v>
                </c:pt>
                <c:pt idx="10">
                  <c:v>-888912.76750907488</c:v>
                </c:pt>
                <c:pt idx="11">
                  <c:v>-897229.08896288148</c:v>
                </c:pt>
                <c:pt idx="12">
                  <c:v>-882648.5719886045</c:v>
                </c:pt>
                <c:pt idx="13">
                  <c:v>-839592.92005921924</c:v>
                </c:pt>
                <c:pt idx="14">
                  <c:v>-761260.11017409444</c:v>
                </c:pt>
                <c:pt idx="15">
                  <c:v>-639358.96268318908</c:v>
                </c:pt>
                <c:pt idx="16">
                  <c:v>-463775.67753204517</c:v>
                </c:pt>
                <c:pt idx="17">
                  <c:v>-222145.16612174051</c:v>
                </c:pt>
                <c:pt idx="18">
                  <c:v>100707.9302463941</c:v>
                </c:pt>
                <c:pt idx="19">
                  <c:v>523488.4535953789</c:v>
                </c:pt>
                <c:pt idx="20">
                  <c:v>1071091.0369200041</c:v>
                </c:pt>
              </c:numCache>
            </c:numRef>
          </c:val>
          <c:smooth val="0"/>
          <c:extLst>
            <c:ext xmlns:c16="http://schemas.microsoft.com/office/drawing/2014/chart" uri="{C3380CC4-5D6E-409C-BE32-E72D297353CC}">
              <c16:uniqueId val="{00000001-AD3B-4B98-BD14-E7FF9875798E}"/>
            </c:ext>
          </c:extLst>
        </c:ser>
        <c:dLbls>
          <c:showLegendKey val="0"/>
          <c:showVal val="0"/>
          <c:showCatName val="0"/>
          <c:showSerName val="0"/>
          <c:showPercent val="0"/>
          <c:showBubbleSize val="0"/>
        </c:dLbls>
        <c:smooth val="0"/>
        <c:axId val="605862912"/>
        <c:axId val="605860944"/>
      </c:lineChart>
      <c:catAx>
        <c:axId val="6058629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605860944"/>
        <c:crosses val="autoZero"/>
        <c:auto val="1"/>
        <c:lblAlgn val="ctr"/>
        <c:lblOffset val="100"/>
        <c:noMultiLvlLbl val="0"/>
      </c:catAx>
      <c:valAx>
        <c:axId val="6058609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Georgia" panose="02040502050405020303" pitchFamily="18" charset="0"/>
                <a:ea typeface="+mn-ea"/>
                <a:cs typeface="+mn-cs"/>
              </a:defRPr>
            </a:pPr>
            <a:endParaRPr lang="en-US"/>
          </a:p>
        </c:txPr>
        <c:crossAx val="605862912"/>
        <c:crosses val="autoZero"/>
        <c:crossBetween val="between"/>
        <c:majorUnit val="100000"/>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lineChart>
        <c:grouping val="standard"/>
        <c:varyColors val="1"/>
        <c:ser>
          <c:idx val="0"/>
          <c:order val="0"/>
          <c:spPr>
            <a:ln w="19050" cmpd="sng">
              <a:solidFill>
                <a:srgbClr val="3366CC"/>
              </a:solidFill>
            </a:ln>
          </c:spPr>
          <c:marker>
            <c:symbol val="none"/>
          </c:marker>
          <c:val>
            <c:numRef>
              <c:f>Calc_time!$U$369:$AG$369</c:f>
            </c:numRef>
          </c:val>
          <c:smooth val="0"/>
          <c:extLst>
            <c:ext xmlns:c16="http://schemas.microsoft.com/office/drawing/2014/chart" uri="{C3380CC4-5D6E-409C-BE32-E72D297353CC}">
              <c16:uniqueId val="{00000000-3B91-4D8A-952F-6C8D4C9DD0A0}"/>
            </c:ext>
          </c:extLst>
        </c:ser>
        <c:ser>
          <c:idx val="1"/>
          <c:order val="1"/>
          <c:spPr>
            <a:ln w="19050" cmpd="sng">
              <a:solidFill>
                <a:srgbClr val="DC3912"/>
              </a:solidFill>
            </a:ln>
          </c:spPr>
          <c:marker>
            <c:symbol val="none"/>
          </c:marker>
          <c:val>
            <c:numRef>
              <c:f>Calc_time!$U$370:$AG$370</c:f>
            </c:numRef>
          </c:val>
          <c:smooth val="0"/>
          <c:extLst>
            <c:ext xmlns:c16="http://schemas.microsoft.com/office/drawing/2014/chart" uri="{C3380CC4-5D6E-409C-BE32-E72D297353CC}">
              <c16:uniqueId val="{00000001-3B91-4D8A-952F-6C8D4C9DD0A0}"/>
            </c:ext>
          </c:extLst>
        </c:ser>
        <c:ser>
          <c:idx val="2"/>
          <c:order val="2"/>
          <c:spPr>
            <a:ln w="19050" cmpd="sng">
              <a:solidFill>
                <a:srgbClr val="FF9900"/>
              </a:solidFill>
            </a:ln>
          </c:spPr>
          <c:marker>
            <c:symbol val="none"/>
          </c:marker>
          <c:val>
            <c:numRef>
              <c:f>Calc_time!$U$371:$AG$371</c:f>
            </c:numRef>
          </c:val>
          <c:smooth val="0"/>
          <c:extLst>
            <c:ext xmlns:c16="http://schemas.microsoft.com/office/drawing/2014/chart" uri="{C3380CC4-5D6E-409C-BE32-E72D297353CC}">
              <c16:uniqueId val="{00000002-3B91-4D8A-952F-6C8D4C9DD0A0}"/>
            </c:ext>
          </c:extLst>
        </c:ser>
        <c:ser>
          <c:idx val="3"/>
          <c:order val="3"/>
          <c:spPr>
            <a:ln w="19050" cmpd="sng">
              <a:solidFill>
                <a:srgbClr val="109618"/>
              </a:solidFill>
            </a:ln>
          </c:spPr>
          <c:marker>
            <c:symbol val="none"/>
          </c:marker>
          <c:val>
            <c:numRef>
              <c:f>Calc_time!$U$372:$AG$372</c:f>
            </c:numRef>
          </c:val>
          <c:smooth val="0"/>
          <c:extLst>
            <c:ext xmlns:c16="http://schemas.microsoft.com/office/drawing/2014/chart" uri="{C3380CC4-5D6E-409C-BE32-E72D297353CC}">
              <c16:uniqueId val="{00000003-3B91-4D8A-952F-6C8D4C9DD0A0}"/>
            </c:ext>
          </c:extLst>
        </c:ser>
        <c:dLbls>
          <c:showLegendKey val="0"/>
          <c:showVal val="0"/>
          <c:showCatName val="0"/>
          <c:showSerName val="0"/>
          <c:showPercent val="0"/>
          <c:showBubbleSize val="0"/>
        </c:dLbls>
        <c:marker val="1"/>
        <c:smooth val="0"/>
        <c:axId val="1229912870"/>
        <c:axId val="2058918098"/>
      </c:lineChart>
      <c:catAx>
        <c:axId val="1229912870"/>
        <c:scaling>
          <c:orientation val="minMax"/>
        </c:scaling>
        <c:delete val="0"/>
        <c:axPos val="b"/>
        <c:majorTickMark val="cross"/>
        <c:minorTickMark val="cross"/>
        <c:tickLblPos val="nextTo"/>
        <c:txPr>
          <a:bodyPr/>
          <a:lstStyle/>
          <a:p>
            <a:pPr lvl="0">
              <a:defRPr b="0"/>
            </a:pPr>
            <a:endParaRPr lang="en-US"/>
          </a:p>
        </c:txPr>
        <c:crossAx val="2058918098"/>
        <c:crosses val="autoZero"/>
        <c:auto val="1"/>
        <c:lblAlgn val="ctr"/>
        <c:lblOffset val="100"/>
        <c:noMultiLvlLbl val="1"/>
      </c:catAx>
      <c:valAx>
        <c:axId val="2058918098"/>
        <c:scaling>
          <c:orientation val="minMax"/>
        </c:scaling>
        <c:delete val="0"/>
        <c:axPos val="l"/>
        <c:majorGridlines>
          <c:spPr>
            <a:ln>
              <a:solidFill>
                <a:srgbClr val="B7B7B7"/>
              </a:solidFill>
            </a:ln>
          </c:spPr>
        </c:majorGridlines>
        <c:numFmt formatCode="General" sourceLinked="1"/>
        <c:majorTickMark val="cross"/>
        <c:minorTickMark val="cross"/>
        <c:tickLblPos val="nextTo"/>
        <c:spPr>
          <a:ln w="47625">
            <a:noFill/>
          </a:ln>
        </c:spPr>
        <c:txPr>
          <a:bodyPr/>
          <a:lstStyle/>
          <a:p>
            <a:pPr lvl="0">
              <a:defRPr b="0"/>
            </a:pPr>
            <a:endParaRPr lang="en-US"/>
          </a:p>
        </c:txPr>
        <c:crossAx val="1229912870"/>
        <c:crosses val="autoZero"/>
        <c:crossBetween val="between"/>
      </c:valAx>
    </c:plotArea>
    <c:legend>
      <c:legendPos val="r"/>
      <c:layout/>
      <c:overlay val="0"/>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pPr>
            <a:r>
              <a:rPr lang="en-US"/>
              <a:t>No Identifier, Local PIDs and Glocal standardised PIDs</a:t>
            </a:r>
          </a:p>
        </c:rich>
      </c:tx>
      <c:layout/>
      <c:overlay val="0"/>
    </c:title>
    <c:autoTitleDeleted val="0"/>
    <c:plotArea>
      <c:layout/>
      <c:lineChart>
        <c:grouping val="standard"/>
        <c:varyColors val="1"/>
        <c:ser>
          <c:idx val="0"/>
          <c:order val="0"/>
          <c:tx>
            <c:strRef>
              <c:f>Calc_time!$V$205</c:f>
              <c:strCache>
                <c:ptCount val="1"/>
                <c:pt idx="0">
                  <c:v>Local PIDs</c:v>
                </c:pt>
              </c:strCache>
            </c:strRef>
          </c:tx>
          <c:spPr>
            <a:ln w="19050" cmpd="sng">
              <a:solidFill>
                <a:srgbClr val="3366CC"/>
              </a:solidFill>
            </a:ln>
          </c:spPr>
          <c:marker>
            <c:symbol val="none"/>
          </c:marker>
          <c:val>
            <c:numRef>
              <c:f>Calc_time!$W$205:$BK$205</c:f>
            </c:numRef>
          </c:val>
          <c:smooth val="0"/>
          <c:extLst>
            <c:ext xmlns:c15="http://schemas.microsoft.com/office/drawing/2012/chart" uri="{02D57815-91ED-43cb-92C2-25804820EDAC}">
              <c15:filteredCategoryTitle>
                <c15:cat>
                  <c:multiLvlStrRef>
                    <c:extLst>
                      <c:ext uri="{02D57815-91ED-43cb-92C2-25804820EDAC}">
                        <c15:formulaRef>
                          <c15:sqref>Calc_time!$W$204:$BK$204</c15:sqref>
                        </c15:formulaRef>
                      </c:ext>
                    </c:extLst>
                  </c:multiLvlStrRef>
                </c15:cat>
              </c15:filteredCategoryTitle>
            </c:ext>
            <c:ext xmlns:c16="http://schemas.microsoft.com/office/drawing/2014/chart" uri="{C3380CC4-5D6E-409C-BE32-E72D297353CC}">
              <c16:uniqueId val="{00000000-A304-4C3D-853B-99B3D5EDD29B}"/>
            </c:ext>
          </c:extLst>
        </c:ser>
        <c:ser>
          <c:idx val="1"/>
          <c:order val="1"/>
          <c:tx>
            <c:strRef>
              <c:f>Calc_time!$V$206</c:f>
              <c:strCache>
                <c:ptCount val="1"/>
                <c:pt idx="0">
                  <c:v>Glocal standardised PIDs</c:v>
                </c:pt>
              </c:strCache>
            </c:strRef>
          </c:tx>
          <c:spPr>
            <a:ln w="19050" cmpd="sng">
              <a:solidFill>
                <a:srgbClr val="DC3912"/>
              </a:solidFill>
            </a:ln>
          </c:spPr>
          <c:marker>
            <c:symbol val="none"/>
          </c:marker>
          <c:val>
            <c:numRef>
              <c:f>Calc_time!$W$206:$BK$206</c:f>
            </c:numRef>
          </c:val>
          <c:smooth val="0"/>
          <c:extLst>
            <c:ext xmlns:c15="http://schemas.microsoft.com/office/drawing/2012/chart" uri="{02D57815-91ED-43cb-92C2-25804820EDAC}">
              <c15:filteredCategoryTitle>
                <c15:cat>
                  <c:multiLvlStrRef>
                    <c:extLst>
                      <c:ext uri="{02D57815-91ED-43cb-92C2-25804820EDAC}">
                        <c15:formulaRef>
                          <c15:sqref>Calc_time!$W$204:$BK$204</c15:sqref>
                        </c15:formulaRef>
                      </c:ext>
                    </c:extLst>
                  </c:multiLvlStrRef>
                </c15:cat>
              </c15:filteredCategoryTitle>
            </c:ext>
            <c:ext xmlns:c16="http://schemas.microsoft.com/office/drawing/2014/chart" uri="{C3380CC4-5D6E-409C-BE32-E72D297353CC}">
              <c16:uniqueId val="{00000001-A304-4C3D-853B-99B3D5EDD29B}"/>
            </c:ext>
          </c:extLst>
        </c:ser>
        <c:dLbls>
          <c:showLegendKey val="0"/>
          <c:showVal val="0"/>
          <c:showCatName val="0"/>
          <c:showSerName val="0"/>
          <c:showPercent val="0"/>
          <c:showBubbleSize val="0"/>
        </c:dLbls>
        <c:marker val="1"/>
        <c:smooth val="0"/>
        <c:axId val="1766890754"/>
        <c:axId val="442809201"/>
      </c:lineChart>
      <c:catAx>
        <c:axId val="1766890754"/>
        <c:scaling>
          <c:orientation val="minMax"/>
        </c:scaling>
        <c:delete val="0"/>
        <c:axPos val="b"/>
        <c:numFmt formatCode="0%" sourceLinked="1"/>
        <c:majorTickMark val="cross"/>
        <c:minorTickMark val="cross"/>
        <c:tickLblPos val="nextTo"/>
        <c:txPr>
          <a:bodyPr/>
          <a:lstStyle/>
          <a:p>
            <a:pPr lvl="0">
              <a:defRPr b="0"/>
            </a:pPr>
            <a:endParaRPr lang="en-US"/>
          </a:p>
        </c:txPr>
        <c:crossAx val="442809201"/>
        <c:crosses val="autoZero"/>
        <c:auto val="1"/>
        <c:lblAlgn val="ctr"/>
        <c:lblOffset val="100"/>
        <c:noMultiLvlLbl val="1"/>
      </c:catAx>
      <c:valAx>
        <c:axId val="442809201"/>
        <c:scaling>
          <c:orientation val="minMax"/>
        </c:scaling>
        <c:delete val="0"/>
        <c:axPos val="l"/>
        <c:majorGridlines>
          <c:spPr>
            <a:ln>
              <a:solidFill>
                <a:srgbClr val="B7B7B7"/>
              </a:solidFill>
            </a:ln>
          </c:spPr>
        </c:majorGridlines>
        <c:numFmt formatCode="0%" sourceLinked="1"/>
        <c:majorTickMark val="cross"/>
        <c:minorTickMark val="cross"/>
        <c:tickLblPos val="nextTo"/>
        <c:spPr>
          <a:ln w="47625">
            <a:noFill/>
          </a:ln>
        </c:spPr>
        <c:txPr>
          <a:bodyPr/>
          <a:lstStyle/>
          <a:p>
            <a:pPr lvl="0">
              <a:defRPr b="0"/>
            </a:pPr>
            <a:endParaRPr lang="en-US"/>
          </a:p>
        </c:txPr>
        <c:crossAx val="1766890754"/>
        <c:crosses val="autoZero"/>
        <c:crossBetween val="between"/>
      </c:valAx>
    </c:plotArea>
    <c:legend>
      <c:legendPos val="r"/>
      <c:layout/>
      <c:overlay val="0"/>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pPr>
            <a:r>
              <a:rPr lang="en-US"/>
              <a:t>No metadata, No metadata standards, Local metadata standards and Recognized metadata standards</a:t>
            </a:r>
          </a:p>
        </c:rich>
      </c:tx>
      <c:layout/>
      <c:overlay val="0"/>
    </c:title>
    <c:autoTitleDeleted val="0"/>
    <c:plotArea>
      <c:layout/>
      <c:lineChart>
        <c:grouping val="standard"/>
        <c:varyColors val="1"/>
        <c:ser>
          <c:idx val="0"/>
          <c:order val="0"/>
          <c:tx>
            <c:strRef>
              <c:f>Calc_time!$V$175</c:f>
              <c:strCache>
                <c:ptCount val="1"/>
                <c:pt idx="0">
                  <c:v>No metadata at all</c:v>
                </c:pt>
              </c:strCache>
            </c:strRef>
          </c:tx>
          <c:spPr>
            <a:ln w="19050" cmpd="sng">
              <a:solidFill>
                <a:srgbClr val="3366CC"/>
              </a:solidFill>
            </a:ln>
          </c:spPr>
          <c:marker>
            <c:symbol val="none"/>
          </c:marker>
          <c:val>
            <c:numRef>
              <c:f>Calc_time!$W$175:$BK$175</c:f>
            </c:numRef>
          </c:val>
          <c:smooth val="0"/>
          <c:extLst>
            <c:ext xmlns:c16="http://schemas.microsoft.com/office/drawing/2014/chart" uri="{C3380CC4-5D6E-409C-BE32-E72D297353CC}">
              <c16:uniqueId val="{00000000-0D52-44D7-8797-0F09CC81BBF3}"/>
            </c:ext>
          </c:extLst>
        </c:ser>
        <c:ser>
          <c:idx val="1"/>
          <c:order val="1"/>
          <c:tx>
            <c:strRef>
              <c:f>Calc_time!$V$176</c:f>
              <c:strCache>
                <c:ptCount val="1"/>
                <c:pt idx="0">
                  <c:v>No metadata standards</c:v>
                </c:pt>
              </c:strCache>
            </c:strRef>
          </c:tx>
          <c:spPr>
            <a:ln w="19050" cmpd="sng">
              <a:solidFill>
                <a:srgbClr val="DC3912"/>
              </a:solidFill>
            </a:ln>
          </c:spPr>
          <c:marker>
            <c:symbol val="none"/>
          </c:marker>
          <c:val>
            <c:numRef>
              <c:f>Calc_time!$W$176:$BK$176</c:f>
            </c:numRef>
          </c:val>
          <c:smooth val="0"/>
          <c:extLst>
            <c:ext xmlns:c16="http://schemas.microsoft.com/office/drawing/2014/chart" uri="{C3380CC4-5D6E-409C-BE32-E72D297353CC}">
              <c16:uniqueId val="{00000001-0D52-44D7-8797-0F09CC81BBF3}"/>
            </c:ext>
          </c:extLst>
        </c:ser>
        <c:ser>
          <c:idx val="2"/>
          <c:order val="2"/>
          <c:tx>
            <c:strRef>
              <c:f>Calc_time!$V$177</c:f>
              <c:strCache>
                <c:ptCount val="1"/>
                <c:pt idx="0">
                  <c:v>Local metadata standards</c:v>
                </c:pt>
              </c:strCache>
            </c:strRef>
          </c:tx>
          <c:spPr>
            <a:ln w="19050" cmpd="sng">
              <a:solidFill>
                <a:srgbClr val="FF9900"/>
              </a:solidFill>
            </a:ln>
          </c:spPr>
          <c:marker>
            <c:symbol val="none"/>
          </c:marker>
          <c:val>
            <c:numRef>
              <c:f>Calc_time!$W$177:$BK$177</c:f>
            </c:numRef>
          </c:val>
          <c:smooth val="0"/>
          <c:extLst>
            <c:ext xmlns:c16="http://schemas.microsoft.com/office/drawing/2014/chart" uri="{C3380CC4-5D6E-409C-BE32-E72D297353CC}">
              <c16:uniqueId val="{00000002-0D52-44D7-8797-0F09CC81BBF3}"/>
            </c:ext>
          </c:extLst>
        </c:ser>
        <c:ser>
          <c:idx val="3"/>
          <c:order val="3"/>
          <c:tx>
            <c:strRef>
              <c:f>Calc_time!$V$178</c:f>
              <c:strCache>
                <c:ptCount val="1"/>
                <c:pt idx="0">
                  <c:v>Recognized metadata standard</c:v>
                </c:pt>
              </c:strCache>
            </c:strRef>
          </c:tx>
          <c:spPr>
            <a:ln w="19050" cmpd="sng">
              <a:solidFill>
                <a:srgbClr val="109618"/>
              </a:solidFill>
            </a:ln>
          </c:spPr>
          <c:marker>
            <c:symbol val="none"/>
          </c:marker>
          <c:val>
            <c:numRef>
              <c:f>Calc_time!$W$178:$BK$178</c:f>
            </c:numRef>
          </c:val>
          <c:smooth val="0"/>
          <c:extLst>
            <c:ext xmlns:c16="http://schemas.microsoft.com/office/drawing/2014/chart" uri="{C3380CC4-5D6E-409C-BE32-E72D297353CC}">
              <c16:uniqueId val="{00000003-0D52-44D7-8797-0F09CC81BBF3}"/>
            </c:ext>
          </c:extLst>
        </c:ser>
        <c:ser>
          <c:idx val="4"/>
          <c:order val="4"/>
          <c:tx>
            <c:strRef>
              <c:f>Calc_time!$V$179</c:f>
              <c:strCache>
                <c:ptCount val="1"/>
                <c:pt idx="0">
                  <c:v>Recognized metadata standard with machine-readable formats</c:v>
                </c:pt>
              </c:strCache>
            </c:strRef>
          </c:tx>
          <c:spPr>
            <a:ln w="19050" cmpd="sng">
              <a:solidFill>
                <a:srgbClr val="990099"/>
              </a:solidFill>
            </a:ln>
          </c:spPr>
          <c:marker>
            <c:symbol val="none"/>
          </c:marker>
          <c:val>
            <c:numRef>
              <c:f>Calc_time!$W$179:$BK$179</c:f>
            </c:numRef>
          </c:val>
          <c:smooth val="0"/>
          <c:extLst>
            <c:ext xmlns:c16="http://schemas.microsoft.com/office/drawing/2014/chart" uri="{C3380CC4-5D6E-409C-BE32-E72D297353CC}">
              <c16:uniqueId val="{00000004-0D52-44D7-8797-0F09CC81BBF3}"/>
            </c:ext>
          </c:extLst>
        </c:ser>
        <c:ser>
          <c:idx val="5"/>
          <c:order val="5"/>
          <c:tx>
            <c:strRef>
              <c:f>Calc_time!$V$180</c:f>
              <c:strCache>
                <c:ptCount val="1"/>
              </c:strCache>
            </c:strRef>
          </c:tx>
          <c:spPr>
            <a:ln w="19050" cmpd="sng">
              <a:solidFill>
                <a:srgbClr val="0099C6"/>
              </a:solidFill>
            </a:ln>
          </c:spPr>
          <c:marker>
            <c:symbol val="none"/>
          </c:marker>
          <c:val>
            <c:numRef>
              <c:f>Calc_time!$W$180:$BK$180</c:f>
            </c:numRef>
          </c:val>
          <c:smooth val="0"/>
          <c:extLst>
            <c:ext xmlns:c16="http://schemas.microsoft.com/office/drawing/2014/chart" uri="{C3380CC4-5D6E-409C-BE32-E72D297353CC}">
              <c16:uniqueId val="{00000005-0D52-44D7-8797-0F09CC81BBF3}"/>
            </c:ext>
          </c:extLst>
        </c:ser>
        <c:dLbls>
          <c:showLegendKey val="0"/>
          <c:showVal val="0"/>
          <c:showCatName val="0"/>
          <c:showSerName val="0"/>
          <c:showPercent val="0"/>
          <c:showBubbleSize val="0"/>
        </c:dLbls>
        <c:marker val="1"/>
        <c:smooth val="0"/>
        <c:axId val="24107932"/>
        <c:axId val="795510511"/>
      </c:lineChart>
      <c:catAx>
        <c:axId val="24107932"/>
        <c:scaling>
          <c:orientation val="minMax"/>
        </c:scaling>
        <c:delete val="0"/>
        <c:axPos val="b"/>
        <c:majorTickMark val="cross"/>
        <c:minorTickMark val="cross"/>
        <c:tickLblPos val="nextTo"/>
        <c:txPr>
          <a:bodyPr/>
          <a:lstStyle/>
          <a:p>
            <a:pPr lvl="0">
              <a:defRPr b="0"/>
            </a:pPr>
            <a:endParaRPr lang="en-US"/>
          </a:p>
        </c:txPr>
        <c:crossAx val="795510511"/>
        <c:crosses val="autoZero"/>
        <c:auto val="1"/>
        <c:lblAlgn val="ctr"/>
        <c:lblOffset val="100"/>
        <c:noMultiLvlLbl val="1"/>
      </c:catAx>
      <c:valAx>
        <c:axId val="795510511"/>
        <c:scaling>
          <c:orientation val="minMax"/>
        </c:scaling>
        <c:delete val="0"/>
        <c:axPos val="l"/>
        <c:majorGridlines>
          <c:spPr>
            <a:ln>
              <a:solidFill>
                <a:srgbClr val="B7B7B7"/>
              </a:solidFill>
            </a:ln>
          </c:spPr>
        </c:majorGridlines>
        <c:numFmt formatCode="0%" sourceLinked="1"/>
        <c:majorTickMark val="cross"/>
        <c:minorTickMark val="cross"/>
        <c:tickLblPos val="nextTo"/>
        <c:spPr>
          <a:ln w="47625">
            <a:noFill/>
          </a:ln>
        </c:spPr>
        <c:txPr>
          <a:bodyPr/>
          <a:lstStyle/>
          <a:p>
            <a:pPr lvl="0">
              <a:defRPr b="0"/>
            </a:pPr>
            <a:endParaRPr lang="en-US"/>
          </a:p>
        </c:txPr>
        <c:crossAx val="24107932"/>
        <c:crosses val="autoZero"/>
        <c:crossBetween val="between"/>
      </c:valAx>
    </c:plotArea>
    <c:legend>
      <c:legendPos val="r"/>
      <c:layout/>
      <c:overlay val="0"/>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pPr>
            <a:r>
              <a:rPr lang="en-US"/>
              <a:t>No metadata, No metadata standards, Local metadata standards and Recognized metadata standards</a:t>
            </a:r>
          </a:p>
        </c:rich>
      </c:tx>
      <c:layout/>
      <c:overlay val="0"/>
    </c:title>
    <c:autoTitleDeleted val="0"/>
    <c:plotArea>
      <c:layout/>
      <c:lineChart>
        <c:grouping val="standard"/>
        <c:varyColors val="1"/>
        <c:ser>
          <c:idx val="0"/>
          <c:order val="0"/>
          <c:spPr>
            <a:ln w="19050" cmpd="sng">
              <a:solidFill>
                <a:srgbClr val="3366CC"/>
              </a:solidFill>
            </a:ln>
          </c:spPr>
          <c:marker>
            <c:symbol val="none"/>
          </c:marker>
          <c:val>
            <c:numRef>
              <c:f>Calc_time!$T$363:$AG$363</c:f>
            </c:numRef>
          </c:val>
          <c:smooth val="0"/>
          <c:extLst>
            <c:ext xmlns:c15="http://schemas.microsoft.com/office/drawing/2012/chart" uri="{02D57815-91ED-43cb-92C2-25804820EDAC}">
              <c15:filteredCategoryTitle>
                <c15:cat>
                  <c:multiLvlStrRef>
                    <c:extLst>
                      <c:ext uri="{02D57815-91ED-43cb-92C2-25804820EDAC}">
                        <c15:formulaRef>
                          <c15:sqref>Calc_time!$T$361:$AG$361</c15:sqref>
                        </c15:formulaRef>
                      </c:ext>
                    </c:extLst>
                  </c:multiLvlStrRef>
                </c15:cat>
              </c15:filteredCategoryTitle>
            </c:ext>
            <c:ext xmlns:c16="http://schemas.microsoft.com/office/drawing/2014/chart" uri="{C3380CC4-5D6E-409C-BE32-E72D297353CC}">
              <c16:uniqueId val="{00000000-25C7-4672-835A-0D6BFEF630CB}"/>
            </c:ext>
          </c:extLst>
        </c:ser>
        <c:ser>
          <c:idx val="1"/>
          <c:order val="1"/>
          <c:spPr>
            <a:ln w="19050" cmpd="sng">
              <a:solidFill>
                <a:srgbClr val="DC3912"/>
              </a:solidFill>
            </a:ln>
          </c:spPr>
          <c:marker>
            <c:symbol val="none"/>
          </c:marker>
          <c:val>
            <c:numRef>
              <c:f>Calc_time!$T$364:$AG$364</c:f>
            </c:numRef>
          </c:val>
          <c:smooth val="0"/>
          <c:extLst>
            <c:ext xmlns:c15="http://schemas.microsoft.com/office/drawing/2012/chart" uri="{02D57815-91ED-43cb-92C2-25804820EDAC}">
              <c15:filteredCategoryTitle>
                <c15:cat>
                  <c:multiLvlStrRef>
                    <c:extLst>
                      <c:ext uri="{02D57815-91ED-43cb-92C2-25804820EDAC}">
                        <c15:formulaRef>
                          <c15:sqref>Calc_time!$T$361:$AG$361</c15:sqref>
                        </c15:formulaRef>
                      </c:ext>
                    </c:extLst>
                  </c:multiLvlStrRef>
                </c15:cat>
              </c15:filteredCategoryTitle>
            </c:ext>
            <c:ext xmlns:c16="http://schemas.microsoft.com/office/drawing/2014/chart" uri="{C3380CC4-5D6E-409C-BE32-E72D297353CC}">
              <c16:uniqueId val="{00000001-25C7-4672-835A-0D6BFEF630CB}"/>
            </c:ext>
          </c:extLst>
        </c:ser>
        <c:ser>
          <c:idx val="2"/>
          <c:order val="2"/>
          <c:spPr>
            <a:ln w="19050" cmpd="sng">
              <a:solidFill>
                <a:srgbClr val="FF9900"/>
              </a:solidFill>
            </a:ln>
          </c:spPr>
          <c:marker>
            <c:symbol val="none"/>
          </c:marker>
          <c:val>
            <c:numRef>
              <c:f>Calc_time!$T$365:$AG$365</c:f>
            </c:numRef>
          </c:val>
          <c:smooth val="0"/>
          <c:extLst>
            <c:ext xmlns:c15="http://schemas.microsoft.com/office/drawing/2012/chart" uri="{02D57815-91ED-43cb-92C2-25804820EDAC}">
              <c15:filteredCategoryTitle>
                <c15:cat>
                  <c:multiLvlStrRef>
                    <c:extLst>
                      <c:ext uri="{02D57815-91ED-43cb-92C2-25804820EDAC}">
                        <c15:formulaRef>
                          <c15:sqref>Calc_time!$T$361:$AG$361</c15:sqref>
                        </c15:formulaRef>
                      </c:ext>
                    </c:extLst>
                  </c:multiLvlStrRef>
                </c15:cat>
              </c15:filteredCategoryTitle>
            </c:ext>
            <c:ext xmlns:c16="http://schemas.microsoft.com/office/drawing/2014/chart" uri="{C3380CC4-5D6E-409C-BE32-E72D297353CC}">
              <c16:uniqueId val="{00000002-25C7-4672-835A-0D6BFEF630CB}"/>
            </c:ext>
          </c:extLst>
        </c:ser>
        <c:ser>
          <c:idx val="3"/>
          <c:order val="3"/>
          <c:spPr>
            <a:ln w="19050" cmpd="sng">
              <a:solidFill>
                <a:srgbClr val="109618"/>
              </a:solidFill>
            </a:ln>
          </c:spPr>
          <c:marker>
            <c:symbol val="none"/>
          </c:marker>
          <c:val>
            <c:numRef>
              <c:f>Calc_time!$T$366:$AG$366</c:f>
            </c:numRef>
          </c:val>
          <c:smooth val="0"/>
          <c:extLst>
            <c:ext xmlns:c15="http://schemas.microsoft.com/office/drawing/2012/chart" uri="{02D57815-91ED-43cb-92C2-25804820EDAC}">
              <c15:filteredCategoryTitle>
                <c15:cat>
                  <c:multiLvlStrRef>
                    <c:extLst>
                      <c:ext uri="{02D57815-91ED-43cb-92C2-25804820EDAC}">
                        <c15:formulaRef>
                          <c15:sqref>Calc_time!$T$361:$AG$361</c15:sqref>
                        </c15:formulaRef>
                      </c:ext>
                    </c:extLst>
                  </c:multiLvlStrRef>
                </c15:cat>
              </c15:filteredCategoryTitle>
            </c:ext>
            <c:ext xmlns:c16="http://schemas.microsoft.com/office/drawing/2014/chart" uri="{C3380CC4-5D6E-409C-BE32-E72D297353CC}">
              <c16:uniqueId val="{00000003-25C7-4672-835A-0D6BFEF630CB}"/>
            </c:ext>
          </c:extLst>
        </c:ser>
        <c:dLbls>
          <c:showLegendKey val="0"/>
          <c:showVal val="0"/>
          <c:showCatName val="0"/>
          <c:showSerName val="0"/>
          <c:showPercent val="0"/>
          <c:showBubbleSize val="0"/>
        </c:dLbls>
        <c:marker val="1"/>
        <c:smooth val="0"/>
        <c:axId val="1985850129"/>
        <c:axId val="1695763999"/>
      </c:lineChart>
      <c:catAx>
        <c:axId val="1985850129"/>
        <c:scaling>
          <c:orientation val="minMax"/>
        </c:scaling>
        <c:delete val="0"/>
        <c:axPos val="b"/>
        <c:title>
          <c:tx>
            <c:rich>
              <a:bodyPr/>
              <a:lstStyle/>
              <a:p>
                <a:pPr lvl="0">
                  <a:defRPr b="0"/>
                </a:pPr>
                <a:endParaRPr lang="en-US"/>
              </a:p>
            </c:rich>
          </c:tx>
          <c:layout/>
          <c:overlay val="0"/>
        </c:title>
        <c:numFmt formatCode="General" sourceLinked="1"/>
        <c:majorTickMark val="cross"/>
        <c:minorTickMark val="cross"/>
        <c:tickLblPos val="nextTo"/>
        <c:txPr>
          <a:bodyPr/>
          <a:lstStyle/>
          <a:p>
            <a:pPr lvl="0">
              <a:defRPr b="0"/>
            </a:pPr>
            <a:endParaRPr lang="en-US"/>
          </a:p>
        </c:txPr>
        <c:crossAx val="1695763999"/>
        <c:crosses val="autoZero"/>
        <c:auto val="1"/>
        <c:lblAlgn val="ctr"/>
        <c:lblOffset val="100"/>
        <c:noMultiLvlLbl val="1"/>
      </c:catAx>
      <c:valAx>
        <c:axId val="1695763999"/>
        <c:scaling>
          <c:orientation val="minMax"/>
        </c:scaling>
        <c:delete val="0"/>
        <c:axPos val="l"/>
        <c:majorGridlines>
          <c:spPr>
            <a:ln>
              <a:solidFill>
                <a:srgbClr val="B7B7B7"/>
              </a:solidFill>
            </a:ln>
          </c:spPr>
        </c:majorGridlines>
        <c:numFmt formatCode="General" sourceLinked="1"/>
        <c:majorTickMark val="cross"/>
        <c:minorTickMark val="cross"/>
        <c:tickLblPos val="nextTo"/>
        <c:spPr>
          <a:ln w="47625">
            <a:noFill/>
          </a:ln>
        </c:spPr>
        <c:txPr>
          <a:bodyPr/>
          <a:lstStyle/>
          <a:p>
            <a:pPr lvl="0">
              <a:defRPr b="0"/>
            </a:pPr>
            <a:endParaRPr lang="en-US"/>
          </a:p>
        </c:txPr>
        <c:crossAx val="1985850129"/>
        <c:crosses val="autoZero"/>
        <c:crossBetween val="between"/>
      </c:valAx>
    </c:plotArea>
    <c:legend>
      <c:legendPos val="r"/>
      <c:layout/>
      <c:overlay val="0"/>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0"/>
            </a:pPr>
            <a:r>
              <a:rPr lang="en-US"/>
              <a:t>Growth (Exponential)</a:t>
            </a:r>
          </a:p>
        </c:rich>
      </c:tx>
      <c:layout/>
      <c:overlay val="0"/>
    </c:title>
    <c:autoTitleDeleted val="0"/>
    <c:plotArea>
      <c:layout/>
      <c:barChart>
        <c:barDir val="col"/>
        <c:grouping val="clustered"/>
        <c:varyColors val="1"/>
        <c:ser>
          <c:idx val="0"/>
          <c:order val="0"/>
          <c:spPr>
            <a:solidFill>
              <a:srgbClr val="3366CC"/>
            </a:solidFill>
          </c:spPr>
          <c:invertIfNegative val="1"/>
          <c:val>
            <c:numRef>
              <c:f>Calc_Storage!$K$3:$K$48</c:f>
              <c:numCache>
                <c:formatCode>[$€]#,##0.00</c:formatCode>
                <c:ptCount val="46"/>
                <c:pt idx="0">
                  <c:v>0</c:v>
                </c:pt>
                <c:pt idx="1">
                  <c:v>140</c:v>
                </c:pt>
                <c:pt idx="2">
                  <c:v>135</c:v>
                </c:pt>
                <c:pt idx="3">
                  <c:v>130</c:v>
                </c:pt>
                <c:pt idx="4">
                  <c:v>125</c:v>
                </c:pt>
                <c:pt idx="5">
                  <c:v>120</c:v>
                </c:pt>
                <c:pt idx="6">
                  <c:v>115.63893483702456</c:v>
                </c:pt>
                <c:pt idx="7">
                  <c:v>111.26852966920403</c:v>
                </c:pt>
                <c:pt idx="8">
                  <c:v>107.06329760123809</c:v>
                </c:pt>
                <c:pt idx="9">
                  <c:v>103.01699615631553</c:v>
                </c:pt>
                <c:pt idx="10">
                  <c:v>99.123618782946934</c:v>
                </c:pt>
                <c:pt idx="11">
                  <c:v>95.377385938510869</c:v>
                </c:pt>
                <c:pt idx="12">
                  <c:v>91.77273650978384</c:v>
                </c:pt>
                <c:pt idx="13">
                  <c:v>88.304319557719595</c:v>
                </c:pt>
                <c:pt idx="14">
                  <c:v>84.966986374221904</c:v>
                </c:pt>
                <c:pt idx="15">
                  <c:v>81.755782839120286</c:v>
                </c:pt>
                <c:pt idx="16">
                  <c:v>78.665942066002955</c:v>
                </c:pt>
                <c:pt idx="17">
                  <c:v>75.692877325988974</c:v>
                </c:pt>
                <c:pt idx="18">
                  <c:v>72.832175238937296</c:v>
                </c:pt>
                <c:pt idx="19">
                  <c:v>70.079589221983269</c:v>
                </c:pt>
                <c:pt idx="20">
                  <c:v>67.431033185678146</c:v>
                </c:pt>
                <c:pt idx="21">
                  <c:v>64.882575468374696</c:v>
                </c:pt>
                <c:pt idx="22">
                  <c:v>62.430432999852918</c:v>
                </c:pt>
                <c:pt idx="23">
                  <c:v>60.07096568552344</c:v>
                </c:pt>
                <c:pt idx="24">
                  <c:v>57.800671002872015</c:v>
                </c:pt>
                <c:pt idx="25">
                  <c:v>55.616178802122597</c:v>
                </c:pt>
                <c:pt idx="26">
                  <c:v>53.514246303403283</c:v>
                </c:pt>
                <c:pt idx="27">
                  <c:v>51.491753282985648</c:v>
                </c:pt>
                <c:pt idx="28">
                  <c:v>49.545697441453875</c:v>
                </c:pt>
                <c:pt idx="29">
                  <c:v>47.673189946927259</c:v>
                </c:pt>
                <c:pt idx="30">
                  <c:v>45.871451146719657</c:v>
                </c:pt>
                <c:pt idx="31">
                  <c:v>44.137806441071071</c:v>
                </c:pt>
                <c:pt idx="32">
                  <c:v>42.469682312824979</c:v>
                </c:pt>
                <c:pt idx="33">
                  <c:v>40.864602507158729</c:v>
                </c:pt>
                <c:pt idx="34">
                  <c:v>39.320184355695076</c:v>
                </c:pt>
                <c:pt idx="35">
                  <c:v>37.834135239539059</c:v>
                </c:pt>
                <c:pt idx="36">
                  <c:v>36.404249185988526</c:v>
                </c:pt>
                <c:pt idx="37">
                  <c:v>35.028403593867679</c:v>
                </c:pt>
                <c:pt idx="38">
                  <c:v>33.704556082621572</c:v>
                </c:pt>
                <c:pt idx="39">
                  <c:v>32.430741460494659</c:v>
                </c:pt>
                <c:pt idx="40">
                  <c:v>31.205068807292214</c:v>
                </c:pt>
                <c:pt idx="41">
                  <c:v>30.025718667395203</c:v>
                </c:pt>
                <c:pt idx="42">
                  <c:v>28.890940348860457</c:v>
                </c:pt>
                <c:pt idx="43">
                  <c:v>27.799049324597679</c:v>
                </c:pt>
                <c:pt idx="44">
                  <c:v>26.748424731765279</c:v>
                </c:pt>
                <c:pt idx="45">
                  <c:v>25.737506965672772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 xmlns:c16="http://schemas.microsoft.com/office/drawing/2014/chart" uri="{C3380CC4-5D6E-409C-BE32-E72D297353CC}">
              <c16:uniqueId val="{00000000-260D-455F-8A67-617409EB60AD}"/>
            </c:ext>
          </c:extLst>
        </c:ser>
        <c:dLbls>
          <c:showLegendKey val="0"/>
          <c:showVal val="0"/>
          <c:showCatName val="0"/>
          <c:showSerName val="0"/>
          <c:showPercent val="0"/>
          <c:showBubbleSize val="0"/>
        </c:dLbls>
        <c:gapWidth val="150"/>
        <c:axId val="911322087"/>
        <c:axId val="1961753162"/>
      </c:barChart>
      <c:catAx>
        <c:axId val="911322087"/>
        <c:scaling>
          <c:orientation val="minMax"/>
        </c:scaling>
        <c:delete val="0"/>
        <c:axPos val="b"/>
        <c:majorTickMark val="cross"/>
        <c:minorTickMark val="cross"/>
        <c:tickLblPos val="nextTo"/>
        <c:txPr>
          <a:bodyPr/>
          <a:lstStyle/>
          <a:p>
            <a:pPr lvl="0">
              <a:defRPr b="0"/>
            </a:pPr>
            <a:endParaRPr lang="en-US"/>
          </a:p>
        </c:txPr>
        <c:crossAx val="1961753162"/>
        <c:crosses val="autoZero"/>
        <c:auto val="1"/>
        <c:lblAlgn val="ctr"/>
        <c:lblOffset val="100"/>
        <c:noMultiLvlLbl val="1"/>
      </c:catAx>
      <c:valAx>
        <c:axId val="1961753162"/>
        <c:scaling>
          <c:orientation val="minMax"/>
        </c:scaling>
        <c:delete val="0"/>
        <c:axPos val="l"/>
        <c:majorGridlines>
          <c:spPr>
            <a:ln>
              <a:solidFill>
                <a:srgbClr val="B7B7B7"/>
              </a:solidFill>
            </a:ln>
          </c:spPr>
        </c:majorGridlines>
        <c:numFmt formatCode="[$€]#,##0.00" sourceLinked="1"/>
        <c:majorTickMark val="cross"/>
        <c:minorTickMark val="cross"/>
        <c:tickLblPos val="nextTo"/>
        <c:spPr>
          <a:ln w="47625">
            <a:noFill/>
          </a:ln>
        </c:spPr>
        <c:txPr>
          <a:bodyPr/>
          <a:lstStyle/>
          <a:p>
            <a:pPr lvl="0">
              <a:defRPr b="0"/>
            </a:pPr>
            <a:endParaRPr lang="en-US"/>
          </a:p>
        </c:txPr>
        <c:crossAx val="911322087"/>
        <c:crosses val="autoZero"/>
        <c:crossBetween val="between"/>
      </c:valAx>
    </c:plotArea>
    <c:legend>
      <c:legendPos val="r"/>
      <c:layout/>
      <c:overlay val="0"/>
      <c:txPr>
        <a:bodyPr/>
        <a:lstStyle/>
        <a:p>
          <a:pPr rtl="0">
            <a:defRPr/>
          </a:pPr>
          <a:endParaRPr lang="en-US"/>
        </a:p>
      </c:txPr>
    </c:legend>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
  <cs:axisTitle>
    <cs:lnRef idx="0"/>
    <cs:fillRef idx="0"/>
    <cs:effectRef idx="0"/>
    <cs:fontRef idx="minor">
      <a:schemeClr val="tx1"/>
    </cs:fontRef>
    <cs:defRPr sz="1000" b="1" kern="1200"/>
  </cs:axisTitle>
  <cs:categoryAxis>
    <cs:lnRef idx="1">
      <a:schemeClr val="tx1"/>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0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chart" Target="../charts/chart17.xml"/><Relationship Id="rId4"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oneCellAnchor>
    <xdr:from>
      <xdr:col>2</xdr:col>
      <xdr:colOff>142875</xdr:colOff>
      <xdr:row>3</xdr:row>
      <xdr:rowOff>9525</xdr:rowOff>
    </xdr:from>
    <xdr:ext cx="847725" cy="581025"/>
    <xdr:pic>
      <xdr:nvPicPr>
        <xdr:cNvPr id="2" name="image1.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66675</xdr:colOff>
      <xdr:row>2</xdr:row>
      <xdr:rowOff>190500</xdr:rowOff>
    </xdr:from>
    <xdr:ext cx="685800" cy="523875"/>
    <xdr:pic>
      <xdr:nvPicPr>
        <xdr:cNvPr id="3" name="image2.png" title="Image"/>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161925</xdr:colOff>
      <xdr:row>125</xdr:row>
      <xdr:rowOff>127000</xdr:rowOff>
    </xdr:from>
    <xdr:ext cx="6327775" cy="1879600"/>
    <xdr:graphicFrame macro="">
      <xdr:nvGraphicFramePr>
        <xdr:cNvPr id="2" name="Chart 1"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879475</xdr:colOff>
      <xdr:row>17</xdr:row>
      <xdr:rowOff>79375</xdr:rowOff>
    </xdr:from>
    <xdr:ext cx="8039100" cy="3638550"/>
    <xdr:graphicFrame macro="">
      <xdr:nvGraphicFramePr>
        <xdr:cNvPr id="3" name="Chart 3"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17</xdr:col>
      <xdr:colOff>285751</xdr:colOff>
      <xdr:row>17</xdr:row>
      <xdr:rowOff>76200</xdr:rowOff>
    </xdr:from>
    <xdr:ext cx="7493000" cy="2400300"/>
    <xdr:graphicFrame macro="">
      <xdr:nvGraphicFramePr>
        <xdr:cNvPr id="4" name="Chart 4"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twoCellAnchor>
    <xdr:from>
      <xdr:col>1</xdr:col>
      <xdr:colOff>244475</xdr:colOff>
      <xdr:row>25</xdr:row>
      <xdr:rowOff>69850</xdr:rowOff>
    </xdr:from>
    <xdr:to>
      <xdr:col>7</xdr:col>
      <xdr:colOff>444501</xdr:colOff>
      <xdr:row>37</xdr:row>
      <xdr:rowOff>12699</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63</xdr:col>
      <xdr:colOff>295275</xdr:colOff>
      <xdr:row>367</xdr:row>
      <xdr:rowOff>0</xdr:rowOff>
    </xdr:from>
    <xdr:ext cx="2990850" cy="1847850"/>
    <xdr:graphicFrame macro="">
      <xdr:nvGraphicFramePr>
        <xdr:cNvPr id="5" name="Chart 5"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63</xdr:col>
      <xdr:colOff>142875</xdr:colOff>
      <xdr:row>202</xdr:row>
      <xdr:rowOff>47625</xdr:rowOff>
    </xdr:from>
    <xdr:ext cx="2895600" cy="1790700"/>
    <xdr:graphicFrame macro="">
      <xdr:nvGraphicFramePr>
        <xdr:cNvPr id="6" name="Chart 6"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63</xdr:col>
      <xdr:colOff>228600</xdr:colOff>
      <xdr:row>172</xdr:row>
      <xdr:rowOff>123825</xdr:rowOff>
    </xdr:from>
    <xdr:ext cx="2809875" cy="1838325"/>
    <xdr:graphicFrame macro="">
      <xdr:nvGraphicFramePr>
        <xdr:cNvPr id="7" name="Chart 7"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63</xdr:col>
      <xdr:colOff>342900</xdr:colOff>
      <xdr:row>346</xdr:row>
      <xdr:rowOff>104775</xdr:rowOff>
    </xdr:from>
    <xdr:ext cx="2990850" cy="1847850"/>
    <xdr:graphicFrame macro="">
      <xdr:nvGraphicFramePr>
        <xdr:cNvPr id="8" name="Chart 8"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twoCellAnchor editAs="absolute">
    <xdr:from>
      <xdr:col>7</xdr:col>
      <xdr:colOff>139700</xdr:colOff>
      <xdr:row>422</xdr:row>
      <xdr:rowOff>19050</xdr:rowOff>
    </xdr:from>
    <xdr:to>
      <xdr:col>11</xdr:col>
      <xdr:colOff>139700</xdr:colOff>
      <xdr:row>460</xdr:row>
      <xdr:rowOff>50800</xdr:rowOff>
    </xdr:to>
    <xdr:sp macro="" textlink="">
      <xdr:nvSpPr>
        <xdr:cNvPr id="8194" name="Text Box 2" hidden="1"/>
        <xdr:cNvSpPr txBox="1">
          <a:spLocks noChangeArrowheads="1"/>
        </xdr:cNvSpPr>
      </xdr:nvSpPr>
      <xdr:spPr bwMode="auto">
        <a:xfrm>
          <a:off x="5746750" y="37992050"/>
          <a:ext cx="3835400" cy="495300"/>
        </a:xfrm>
        <a:prstGeom prst="rect">
          <a:avLst/>
        </a:prstGeom>
        <a:solidFill>
          <a:srgbClr val="FFFFE1"/>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sp>
    <xdr:clientData/>
  </xdr:twoCellAnchor>
</xdr:wsDr>
</file>

<file path=xl/drawings/drawing5.xml><?xml version="1.0" encoding="utf-8"?>
<xdr:wsDr xmlns:xdr="http://schemas.openxmlformats.org/drawingml/2006/spreadsheetDrawing" xmlns:a="http://schemas.openxmlformats.org/drawingml/2006/main">
  <xdr:oneCellAnchor>
    <xdr:from>
      <xdr:col>6</xdr:col>
      <xdr:colOff>180975</xdr:colOff>
      <xdr:row>49</xdr:row>
      <xdr:rowOff>142875</xdr:rowOff>
    </xdr:from>
    <xdr:ext cx="4162425" cy="2571750"/>
    <xdr:graphicFrame macro="">
      <xdr:nvGraphicFramePr>
        <xdr:cNvPr id="9" name="Chart 9"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6</xdr:col>
      <xdr:colOff>419100</xdr:colOff>
      <xdr:row>67</xdr:row>
      <xdr:rowOff>114300</xdr:rowOff>
    </xdr:from>
    <xdr:ext cx="4286250" cy="2647950"/>
    <xdr:graphicFrame macro="">
      <xdr:nvGraphicFramePr>
        <xdr:cNvPr id="10" name="Chart 10"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12</xdr:col>
      <xdr:colOff>428625</xdr:colOff>
      <xdr:row>49</xdr:row>
      <xdr:rowOff>57150</xdr:rowOff>
    </xdr:from>
    <xdr:ext cx="5467350" cy="4333875"/>
    <xdr:graphicFrame macro="">
      <xdr:nvGraphicFramePr>
        <xdr:cNvPr id="11" name="Chart 11"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23</xdr:col>
      <xdr:colOff>523875</xdr:colOff>
      <xdr:row>49</xdr:row>
      <xdr:rowOff>34925</xdr:rowOff>
    </xdr:from>
    <xdr:ext cx="2733675" cy="1685925"/>
    <xdr:graphicFrame macro="">
      <xdr:nvGraphicFramePr>
        <xdr:cNvPr id="12" name="Chart 12"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571500</xdr:colOff>
      <xdr:row>21</xdr:row>
      <xdr:rowOff>38100</xdr:rowOff>
    </xdr:from>
    <xdr:ext cx="5715000" cy="3533775"/>
    <xdr:graphicFrame macro="">
      <xdr:nvGraphicFramePr>
        <xdr:cNvPr id="13" name="Chart 13"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600075</xdr:colOff>
      <xdr:row>76</xdr:row>
      <xdr:rowOff>104775</xdr:rowOff>
    </xdr:from>
    <xdr:ext cx="5715000" cy="3533775"/>
    <xdr:graphicFrame macro="">
      <xdr:nvGraphicFramePr>
        <xdr:cNvPr id="14" name="Chart 14"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xdr:col>
      <xdr:colOff>57150</xdr:colOff>
      <xdr:row>171</xdr:row>
      <xdr:rowOff>28575</xdr:rowOff>
    </xdr:from>
    <xdr:ext cx="3876675" cy="2390775"/>
    <xdr:graphicFrame macro="">
      <xdr:nvGraphicFramePr>
        <xdr:cNvPr id="15" name="Chart 15"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13</xdr:col>
      <xdr:colOff>133350</xdr:colOff>
      <xdr:row>141</xdr:row>
      <xdr:rowOff>0</xdr:rowOff>
    </xdr:from>
    <xdr:ext cx="3009900" cy="1933575"/>
    <xdr:graphicFrame macro="">
      <xdr:nvGraphicFramePr>
        <xdr:cNvPr id="16" name="Chart 16"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13</xdr:col>
      <xdr:colOff>95250</xdr:colOff>
      <xdr:row>129</xdr:row>
      <xdr:rowOff>171450</xdr:rowOff>
    </xdr:from>
    <xdr:ext cx="3009900" cy="1933575"/>
    <xdr:graphicFrame macro="">
      <xdr:nvGraphicFramePr>
        <xdr:cNvPr id="17" name="Chart 17" title="Chart"/>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dcc.ac.uk/resources/briefing-papers/standards-watch-papers/what-are-metadata-standards" TargetMode="External"/><Relationship Id="rId13" Type="http://schemas.openxmlformats.org/officeDocument/2006/relationships/hyperlink" Target="http://www.dcc.ac.uk/resources/briefing-papers/standards-watch-papers/what-are-metadata-standards" TargetMode="External"/><Relationship Id="rId3" Type="http://schemas.openxmlformats.org/officeDocument/2006/relationships/hyperlink" Target="https://www.investopedia.com/terms/d/discountrate.asp" TargetMode="External"/><Relationship Id="rId7" Type="http://schemas.openxmlformats.org/officeDocument/2006/relationships/hyperlink" Target="https://datastandards.directory/glossary" TargetMode="External"/><Relationship Id="rId12" Type="http://schemas.openxmlformats.org/officeDocument/2006/relationships/hyperlink" Target="http://stm.sciencemag.org/content/8/341/341ps12.full" TargetMode="External"/><Relationship Id="rId2" Type="http://schemas.openxmlformats.org/officeDocument/2006/relationships/hyperlink" Target="https://openworking.wordpress.com/2017/01/04/role-of-data-stewards-and-data-stewardship-community/" TargetMode="External"/><Relationship Id="rId1" Type="http://schemas.openxmlformats.org/officeDocument/2006/relationships/hyperlink" Target="https://medium.com/@lianabeloliver/cost-savings-and-cost-avoidance-why-you-should-know-the-difference-2eb627965067" TargetMode="External"/><Relationship Id="rId6" Type="http://schemas.openxmlformats.org/officeDocument/2006/relationships/hyperlink" Target="https://www.europeandataportal.eu/elearning/en/module4/" TargetMode="External"/><Relationship Id="rId11" Type="http://schemas.openxmlformats.org/officeDocument/2006/relationships/hyperlink" Target="http://www.dcc.ac.uk/resources/briefing-papers/standards-watch-papers/what-are-metadata-standards" TargetMode="External"/><Relationship Id="rId5" Type="http://schemas.openxmlformats.org/officeDocument/2006/relationships/hyperlink" Target="https://www.axelos.com/corporate/media/files/glossaries/itil_2011_glossary_gb-v1-0.pdf" TargetMode="External"/><Relationship Id="rId10" Type="http://schemas.openxmlformats.org/officeDocument/2006/relationships/hyperlink" Target="https://www.investopedia.com/terms/n/npv.asp" TargetMode="External"/><Relationship Id="rId4" Type="http://schemas.openxmlformats.org/officeDocument/2006/relationships/hyperlink" Target="https://www.investopedia.com/terms/i/irr.asp" TargetMode="External"/><Relationship Id="rId9" Type="http://schemas.openxmlformats.org/officeDocument/2006/relationships/hyperlink" Target="http://www.dcc.ac.uk/resources/briefing-papers/standards-watch-papers/what-are-metadata-standards"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nature.com/news/open-access-the-true-cost-of-science-publishing-1.12676"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s://www.sciencedirect.com/science/article/pii/S0048733317301543" TargetMode="External"/><Relationship Id="rId1" Type="http://schemas.openxmlformats.org/officeDocument/2006/relationships/hyperlink" Target="https://ec.europa.eu/programmes/horizon2020/sites/horizon2020/files/h2020_threeyearson_a4_horizontal_2018_web.pdf"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clear-lines.com/blog/post/S-shaped-market-adoption-curve.aspx" TargetMode="External"/></Relationships>
</file>

<file path=xl/worksheets/_rels/sheet17.xml.rels><?xml version="1.0" encoding="UTF-8" standalone="yes"?>
<Relationships xmlns="http://schemas.openxmlformats.org/package/2006/relationships"><Relationship Id="rId2" Type="http://schemas.openxmlformats.org/officeDocument/2006/relationships/hyperlink" Target="http://opus.bath.ac.uk/24960/1/DAF_report_May_2011.pdf" TargetMode="External"/><Relationship Id="rId1" Type="http://schemas.openxmlformats.org/officeDocument/2006/relationships/hyperlink" Target="https://www.ncbi.nlm.nih.gov/pmc/articles/PMC3126798/" TargetMode="Externa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github.com/FAIRMetrics/Metrics/blob/master/ALL.pdf" TargetMode="External"/><Relationship Id="rId7" Type="http://schemas.openxmlformats.org/officeDocument/2006/relationships/drawing" Target="../drawings/drawing2.xml"/><Relationship Id="rId2" Type="http://schemas.openxmlformats.org/officeDocument/2006/relationships/hyperlink" Target="https://indico.cern.ch/event/588219/contributions/2384979/attachments/1426152/2188462/Dillo_Doorn_-_Assessing_FAIRness_CERN_Geneva_13-03-2017-3.pdf" TargetMode="External"/><Relationship Id="rId1" Type="http://schemas.openxmlformats.org/officeDocument/2006/relationships/hyperlink" Target="https://github.com/FAIRMetrics/Metrics" TargetMode="External"/><Relationship Id="rId6" Type="http://schemas.openxmlformats.org/officeDocument/2006/relationships/printerSettings" Target="../printerSettings/printerSettings2.bin"/><Relationship Id="rId5" Type="http://schemas.openxmlformats.org/officeDocument/2006/relationships/hyperlink" Target="https://github.com/FAIRMetrics/Metrics/blob/master/ALL.pdf" TargetMode="External"/><Relationship Id="rId4" Type="http://schemas.openxmlformats.org/officeDocument/2006/relationships/hyperlink" Target="https://www.force11.org/group/fairgroup/fairprinciples" TargetMode="Externa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B536A"/>
    <outlinePr summaryBelow="0" summaryRight="0"/>
  </sheetPr>
  <dimension ref="A2:AC87"/>
  <sheetViews>
    <sheetView showGridLines="0" tabSelected="1" workbookViewId="0">
      <selection activeCell="P23" sqref="P23"/>
    </sheetView>
  </sheetViews>
  <sheetFormatPr defaultColWidth="14.42578125" defaultRowHeight="15" customHeight="1"/>
  <cols>
    <col min="1" max="1" width="3.5703125" style="682" customWidth="1"/>
    <col min="2" max="3" width="3.140625" style="682" customWidth="1"/>
    <col min="4" max="7" width="14.42578125" style="682"/>
    <col min="8" max="11" width="15.85546875" style="682" customWidth="1"/>
    <col min="12" max="12" width="3.42578125" style="682" customWidth="1"/>
    <col min="13" max="16384" width="14.42578125" style="682"/>
  </cols>
  <sheetData>
    <row r="2" spans="1:29" ht="12">
      <c r="B2" s="667"/>
      <c r="C2" s="681"/>
      <c r="D2" s="681"/>
      <c r="E2" s="681"/>
      <c r="F2" s="681"/>
      <c r="G2" s="681"/>
      <c r="H2" s="681"/>
      <c r="I2" s="681"/>
      <c r="J2" s="681"/>
      <c r="K2" s="681"/>
      <c r="L2" s="667"/>
    </row>
    <row r="3" spans="1:29" ht="12">
      <c r="B3" s="667"/>
      <c r="C3" s="667"/>
      <c r="D3" s="667"/>
      <c r="E3" s="667"/>
      <c r="F3" s="667"/>
      <c r="G3" s="667"/>
      <c r="H3" s="667"/>
      <c r="I3" s="667"/>
      <c r="J3" s="667"/>
      <c r="K3" s="667"/>
      <c r="L3" s="667"/>
    </row>
    <row r="4" spans="1:29" ht="12">
      <c r="B4" s="667"/>
      <c r="C4" s="667"/>
      <c r="D4" s="667"/>
      <c r="E4" s="667"/>
      <c r="F4" s="667"/>
      <c r="G4" s="667"/>
      <c r="H4" s="667"/>
      <c r="I4" s="667"/>
      <c r="J4" s="667"/>
      <c r="K4" s="667"/>
      <c r="L4" s="667"/>
    </row>
    <row r="5" spans="1:29" ht="12">
      <c r="B5" s="667"/>
      <c r="C5" s="667"/>
      <c r="D5" s="667"/>
      <c r="E5" s="667"/>
      <c r="F5" s="667"/>
      <c r="G5" s="667"/>
      <c r="H5" s="667"/>
      <c r="I5" s="667"/>
      <c r="J5" s="667"/>
      <c r="K5" s="667"/>
      <c r="L5" s="667"/>
    </row>
    <row r="6" spans="1:29" ht="12">
      <c r="B6" s="667"/>
      <c r="C6" s="667"/>
      <c r="D6" s="667"/>
      <c r="E6" s="667"/>
      <c r="F6" s="667"/>
      <c r="G6" s="667"/>
      <c r="H6" s="667"/>
      <c r="I6" s="667"/>
      <c r="J6" s="667"/>
      <c r="K6" s="667"/>
      <c r="L6" s="667"/>
    </row>
    <row r="7" spans="1:29" ht="12">
      <c r="B7" s="667"/>
      <c r="C7" s="667"/>
      <c r="D7" s="667"/>
      <c r="E7" s="667"/>
      <c r="F7" s="667"/>
      <c r="G7" s="667"/>
      <c r="H7" s="667"/>
      <c r="I7" s="667"/>
      <c r="J7" s="667"/>
      <c r="K7" s="667"/>
      <c r="L7" s="667"/>
    </row>
    <row r="8" spans="1:29" ht="12">
      <c r="B8" s="667"/>
      <c r="C8" s="667"/>
      <c r="D8" s="667"/>
      <c r="E8" s="667"/>
      <c r="F8" s="667"/>
      <c r="G8" s="667"/>
      <c r="H8" s="667"/>
      <c r="I8" s="667"/>
      <c r="J8" s="667"/>
      <c r="K8" s="667"/>
      <c r="L8" s="667"/>
    </row>
    <row r="9" spans="1:29" ht="12">
      <c r="B9" s="667"/>
      <c r="C9" s="683" t="s">
        <v>3</v>
      </c>
      <c r="D9" s="667"/>
      <c r="E9" s="667"/>
      <c r="F9" s="667"/>
      <c r="G9" s="667"/>
      <c r="H9" s="667"/>
      <c r="I9" s="667"/>
      <c r="J9" s="667"/>
      <c r="K9" s="667"/>
      <c r="L9" s="667"/>
    </row>
    <row r="10" spans="1:29" ht="12">
      <c r="B10" s="667"/>
      <c r="C10" s="667"/>
      <c r="D10" s="667"/>
      <c r="E10" s="667"/>
      <c r="F10" s="667"/>
      <c r="G10" s="667"/>
      <c r="H10" s="667"/>
      <c r="I10" s="667"/>
      <c r="J10" s="667"/>
      <c r="K10" s="667"/>
      <c r="L10" s="667"/>
    </row>
    <row r="11" spans="1:29" ht="12">
      <c r="A11" s="684"/>
      <c r="B11" s="685"/>
      <c r="C11" s="1122" t="s">
        <v>4</v>
      </c>
      <c r="D11" s="1123"/>
      <c r="E11" s="1123"/>
      <c r="F11" s="1123"/>
      <c r="G11" s="1123"/>
      <c r="H11" s="1123"/>
      <c r="I11" s="1123"/>
      <c r="J11" s="1123"/>
      <c r="K11" s="1124"/>
      <c r="L11" s="685"/>
      <c r="M11" s="684"/>
      <c r="N11" s="684"/>
      <c r="O11" s="684"/>
      <c r="P11" s="684"/>
      <c r="Q11" s="684"/>
      <c r="R11" s="684"/>
      <c r="S11" s="684"/>
      <c r="T11" s="684"/>
      <c r="U11" s="684"/>
      <c r="V11" s="684"/>
      <c r="W11" s="684"/>
      <c r="X11" s="684"/>
      <c r="Y11" s="684"/>
      <c r="Z11" s="684"/>
      <c r="AA11" s="684"/>
      <c r="AB11" s="684"/>
      <c r="AC11" s="684"/>
    </row>
    <row r="12" spans="1:29" ht="5.25" customHeight="1">
      <c r="B12" s="667"/>
      <c r="C12" s="683"/>
      <c r="D12" s="667"/>
      <c r="E12" s="667"/>
      <c r="F12" s="667"/>
      <c r="G12" s="667"/>
      <c r="H12" s="667"/>
      <c r="I12" s="667"/>
      <c r="J12" s="667"/>
      <c r="K12" s="667"/>
      <c r="L12" s="667"/>
    </row>
    <row r="13" spans="1:29" ht="39.6" customHeight="1">
      <c r="B13" s="667"/>
      <c r="C13" s="1127" t="s">
        <v>7</v>
      </c>
      <c r="D13" s="1112"/>
      <c r="E13" s="1112"/>
      <c r="F13" s="1112"/>
      <c r="G13" s="1112"/>
      <c r="H13" s="1112"/>
      <c r="I13" s="1112"/>
      <c r="J13" s="1112"/>
      <c r="K13" s="1112"/>
      <c r="L13" s="667"/>
    </row>
    <row r="14" spans="1:29" ht="5.25" customHeight="1">
      <c r="B14" s="667"/>
      <c r="C14" s="683"/>
      <c r="D14" s="667"/>
      <c r="E14" s="667"/>
      <c r="F14" s="667"/>
      <c r="G14" s="667"/>
      <c r="H14" s="667"/>
      <c r="I14" s="667"/>
      <c r="J14" s="667"/>
      <c r="K14" s="667"/>
      <c r="L14" s="667"/>
    </row>
    <row r="15" spans="1:29" ht="12">
      <c r="B15" s="667"/>
      <c r="C15" s="683"/>
      <c r="D15" s="1130" t="s">
        <v>9</v>
      </c>
      <c r="E15" s="1112"/>
      <c r="F15" s="1112"/>
      <c r="G15" s="1112"/>
      <c r="H15" s="1112"/>
      <c r="I15" s="1112"/>
      <c r="J15" s="1112"/>
      <c r="K15" s="1112"/>
      <c r="L15" s="667"/>
    </row>
    <row r="16" spans="1:29" ht="12">
      <c r="B16" s="667"/>
      <c r="C16" s="683"/>
      <c r="D16" s="1130" t="s">
        <v>10</v>
      </c>
      <c r="E16" s="1112"/>
      <c r="F16" s="1112"/>
      <c r="G16" s="1112"/>
      <c r="H16" s="1112"/>
      <c r="I16" s="1112"/>
      <c r="J16" s="1112"/>
      <c r="K16" s="1112"/>
      <c r="L16" s="667"/>
    </row>
    <row r="17" spans="1:29" ht="12">
      <c r="B17" s="667"/>
      <c r="C17" s="683"/>
      <c r="D17" s="1130" t="s">
        <v>11</v>
      </c>
      <c r="E17" s="1112"/>
      <c r="F17" s="1112"/>
      <c r="G17" s="1112"/>
      <c r="H17" s="1112"/>
      <c r="I17" s="1112"/>
      <c r="J17" s="1112"/>
      <c r="K17" s="1112"/>
      <c r="L17" s="667"/>
    </row>
    <row r="18" spans="1:29" ht="5.25" customHeight="1">
      <c r="B18" s="667"/>
      <c r="C18" s="683"/>
      <c r="D18" s="667"/>
      <c r="E18" s="667"/>
      <c r="F18" s="667"/>
      <c r="G18" s="667"/>
      <c r="H18" s="667"/>
      <c r="I18" s="667"/>
      <c r="J18" s="667"/>
      <c r="K18" s="667"/>
      <c r="L18" s="667"/>
    </row>
    <row r="19" spans="1:29" ht="12">
      <c r="B19" s="667"/>
      <c r="C19" s="1127" t="s">
        <v>1092</v>
      </c>
      <c r="D19" s="1112"/>
      <c r="E19" s="1112"/>
      <c r="F19" s="1112"/>
      <c r="G19" s="1112"/>
      <c r="H19" s="1112"/>
      <c r="I19" s="1112"/>
      <c r="J19" s="1112"/>
      <c r="K19" s="1112"/>
      <c r="L19" s="667"/>
    </row>
    <row r="20" spans="1:29" ht="12">
      <c r="B20" s="667"/>
      <c r="C20" s="683"/>
      <c r="D20" s="667"/>
      <c r="E20" s="667"/>
      <c r="F20" s="667"/>
      <c r="G20" s="667"/>
      <c r="H20" s="667"/>
      <c r="I20" s="667"/>
      <c r="J20" s="667"/>
      <c r="K20" s="667"/>
      <c r="L20" s="667"/>
    </row>
    <row r="21" spans="1:29" ht="12">
      <c r="A21" s="684"/>
      <c r="B21" s="685"/>
      <c r="C21" s="1122" t="s">
        <v>12</v>
      </c>
      <c r="D21" s="1123"/>
      <c r="E21" s="1123"/>
      <c r="F21" s="1123"/>
      <c r="G21" s="1123"/>
      <c r="H21" s="1123"/>
      <c r="I21" s="1123"/>
      <c r="J21" s="1123"/>
      <c r="K21" s="1124"/>
      <c r="L21" s="685"/>
      <c r="M21" s="684"/>
      <c r="N21" s="684"/>
      <c r="O21" s="684"/>
      <c r="P21" s="684"/>
      <c r="Q21" s="684"/>
      <c r="R21" s="684"/>
      <c r="S21" s="684"/>
      <c r="T21" s="684"/>
      <c r="U21" s="684"/>
      <c r="V21" s="684"/>
      <c r="W21" s="684"/>
      <c r="X21" s="684"/>
      <c r="Y21" s="684"/>
      <c r="Z21" s="684"/>
      <c r="AA21" s="684"/>
      <c r="AB21" s="684"/>
      <c r="AC21" s="684"/>
    </row>
    <row r="22" spans="1:29" ht="5.25" customHeight="1">
      <c r="B22" s="667"/>
      <c r="C22" s="667"/>
      <c r="D22" s="667"/>
      <c r="E22" s="667"/>
      <c r="F22" s="667"/>
      <c r="G22" s="667"/>
      <c r="H22" s="667"/>
      <c r="I22" s="667"/>
      <c r="J22" s="667"/>
      <c r="K22" s="667"/>
      <c r="L22" s="667"/>
    </row>
    <row r="23" spans="1:29" ht="38.1" customHeight="1">
      <c r="B23" s="667"/>
      <c r="C23" s="1127" t="s">
        <v>13</v>
      </c>
      <c r="D23" s="1112"/>
      <c r="E23" s="1112"/>
      <c r="F23" s="1112"/>
      <c r="G23" s="1112"/>
      <c r="H23" s="1112"/>
      <c r="I23" s="1112"/>
      <c r="J23" s="1112"/>
      <c r="K23" s="1112"/>
      <c r="L23" s="667"/>
    </row>
    <row r="24" spans="1:29" ht="12">
      <c r="B24" s="667"/>
      <c r="C24" s="667"/>
      <c r="D24" s="667"/>
      <c r="E24" s="667"/>
      <c r="F24" s="667"/>
      <c r="G24" s="667"/>
      <c r="H24" s="667"/>
      <c r="I24" s="667"/>
      <c r="J24" s="667"/>
      <c r="K24" s="667"/>
      <c r="L24" s="667"/>
    </row>
    <row r="25" spans="1:29" ht="12">
      <c r="A25" s="684"/>
      <c r="B25" s="686"/>
      <c r="C25" s="1122" t="s">
        <v>14</v>
      </c>
      <c r="D25" s="1123"/>
      <c r="E25" s="1123"/>
      <c r="F25" s="1123"/>
      <c r="G25" s="1123"/>
      <c r="H25" s="1123"/>
      <c r="I25" s="1123"/>
      <c r="J25" s="1123"/>
      <c r="K25" s="1124"/>
      <c r="L25" s="685"/>
      <c r="M25" s="684"/>
      <c r="N25" s="684"/>
      <c r="O25" s="684"/>
      <c r="P25" s="684"/>
      <c r="Q25" s="684"/>
      <c r="R25" s="684"/>
      <c r="S25" s="684"/>
      <c r="T25" s="684"/>
      <c r="U25" s="684"/>
      <c r="V25" s="684"/>
      <c r="W25" s="684"/>
      <c r="X25" s="684"/>
      <c r="Y25" s="684"/>
      <c r="Z25" s="684"/>
      <c r="AA25" s="684"/>
      <c r="AB25" s="684"/>
      <c r="AC25" s="684"/>
    </row>
    <row r="26" spans="1:29" ht="4.5" customHeight="1">
      <c r="B26" s="667"/>
      <c r="C26" s="667"/>
      <c r="D26" s="667"/>
      <c r="E26" s="667"/>
      <c r="F26" s="667"/>
      <c r="G26" s="667"/>
      <c r="H26" s="667"/>
      <c r="I26" s="667"/>
      <c r="J26" s="667"/>
      <c r="K26" s="667"/>
      <c r="L26" s="667"/>
    </row>
    <row r="27" spans="1:29" ht="30" customHeight="1">
      <c r="B27" s="667"/>
      <c r="C27" s="1127" t="s">
        <v>17</v>
      </c>
      <c r="D27" s="1112"/>
      <c r="E27" s="1112"/>
      <c r="F27" s="1112"/>
      <c r="G27" s="1112"/>
      <c r="H27" s="1112"/>
      <c r="I27" s="1112"/>
      <c r="J27" s="1112"/>
      <c r="K27" s="1112"/>
      <c r="L27" s="667"/>
    </row>
    <row r="28" spans="1:29" ht="9" customHeight="1">
      <c r="B28" s="667"/>
      <c r="C28" s="668"/>
      <c r="D28" s="668"/>
      <c r="E28" s="668"/>
      <c r="F28" s="668"/>
      <c r="G28" s="668"/>
      <c r="H28" s="668"/>
      <c r="I28" s="668"/>
      <c r="J28" s="668"/>
      <c r="K28" s="668"/>
      <c r="L28" s="667"/>
    </row>
    <row r="29" spans="1:29" ht="12">
      <c r="B29" s="667"/>
      <c r="C29" s="668"/>
      <c r="D29" s="1127" t="s">
        <v>20</v>
      </c>
      <c r="E29" s="1112"/>
      <c r="F29" s="1112"/>
      <c r="G29" s="1112"/>
      <c r="H29" s="1112"/>
      <c r="I29" s="1112"/>
      <c r="J29" s="1112"/>
      <c r="K29" s="1112"/>
      <c r="L29" s="667"/>
    </row>
    <row r="30" spans="1:29" ht="12">
      <c r="B30" s="667"/>
      <c r="C30" s="668"/>
      <c r="D30" s="1127" t="s">
        <v>21</v>
      </c>
      <c r="E30" s="1112"/>
      <c r="F30" s="1112"/>
      <c r="G30" s="1112"/>
      <c r="H30" s="1112"/>
      <c r="I30" s="1112"/>
      <c r="J30" s="1112"/>
      <c r="K30" s="1112"/>
      <c r="L30" s="667"/>
    </row>
    <row r="31" spans="1:29" ht="12">
      <c r="B31" s="667"/>
      <c r="C31" s="668"/>
      <c r="D31" s="1127" t="s">
        <v>23</v>
      </c>
      <c r="E31" s="1112"/>
      <c r="F31" s="1112"/>
      <c r="G31" s="1112"/>
      <c r="H31" s="1112"/>
      <c r="I31" s="1112"/>
      <c r="J31" s="1112"/>
      <c r="K31" s="1112"/>
      <c r="L31" s="667"/>
    </row>
    <row r="32" spans="1:29" ht="9" customHeight="1">
      <c r="B32" s="667"/>
      <c r="C32" s="667"/>
      <c r="D32" s="667"/>
      <c r="E32" s="667"/>
      <c r="F32" s="667"/>
      <c r="G32" s="667"/>
      <c r="H32" s="667"/>
      <c r="I32" s="667"/>
      <c r="J32" s="667"/>
      <c r="K32" s="667"/>
      <c r="L32" s="667"/>
    </row>
    <row r="33" spans="2:12" ht="12">
      <c r="B33" s="667"/>
      <c r="C33" s="1126" t="s">
        <v>24</v>
      </c>
      <c r="D33" s="1112"/>
      <c r="E33" s="1112"/>
      <c r="F33" s="1112"/>
      <c r="G33" s="1112"/>
      <c r="H33" s="1112"/>
      <c r="I33" s="1112"/>
      <c r="J33" s="1112"/>
      <c r="K33" s="1112"/>
      <c r="L33" s="667"/>
    </row>
    <row r="34" spans="2:12" ht="9" customHeight="1">
      <c r="B34" s="667"/>
      <c r="C34" s="669"/>
      <c r="D34" s="667"/>
      <c r="E34" s="669"/>
      <c r="F34" s="669"/>
      <c r="G34" s="669"/>
      <c r="H34" s="669"/>
      <c r="I34" s="669"/>
      <c r="J34" s="669"/>
      <c r="K34" s="669"/>
      <c r="L34" s="667"/>
    </row>
    <row r="35" spans="2:12" ht="12">
      <c r="B35" s="667"/>
      <c r="C35" s="669"/>
      <c r="D35" s="1126" t="s">
        <v>30</v>
      </c>
      <c r="E35" s="1112"/>
      <c r="F35" s="1112"/>
      <c r="G35" s="1112"/>
      <c r="H35" s="1112"/>
      <c r="I35" s="1112"/>
      <c r="J35" s="1112"/>
      <c r="K35" s="1112"/>
      <c r="L35" s="667"/>
    </row>
    <row r="36" spans="2:12" ht="12">
      <c r="B36" s="667"/>
      <c r="C36" s="669"/>
      <c r="D36" s="1126" t="s">
        <v>31</v>
      </c>
      <c r="E36" s="1112"/>
      <c r="F36" s="1112"/>
      <c r="G36" s="1112"/>
      <c r="H36" s="1112"/>
      <c r="I36" s="1112"/>
      <c r="J36" s="1112"/>
      <c r="K36" s="1112"/>
      <c r="L36" s="667"/>
    </row>
    <row r="37" spans="2:12" ht="12">
      <c r="B37" s="667"/>
      <c r="C37" s="669"/>
      <c r="D37" s="1126" t="s">
        <v>32</v>
      </c>
      <c r="E37" s="1112"/>
      <c r="F37" s="1112"/>
      <c r="G37" s="1112"/>
      <c r="H37" s="1112"/>
      <c r="I37" s="1112"/>
      <c r="J37" s="1112"/>
      <c r="K37" s="1112"/>
      <c r="L37" s="667"/>
    </row>
    <row r="38" spans="2:12" ht="12">
      <c r="B38" s="667"/>
      <c r="C38" s="669"/>
      <c r="D38" s="1126" t="s">
        <v>33</v>
      </c>
      <c r="E38" s="1112"/>
      <c r="F38" s="1112"/>
      <c r="G38" s="1112"/>
      <c r="H38" s="1112"/>
      <c r="I38" s="1112"/>
      <c r="J38" s="1112"/>
      <c r="K38" s="1112"/>
      <c r="L38" s="667"/>
    </row>
    <row r="39" spans="2:12" ht="9" customHeight="1">
      <c r="B39" s="667"/>
      <c r="C39" s="668"/>
      <c r="D39" s="668"/>
      <c r="E39" s="668"/>
      <c r="F39" s="668"/>
      <c r="G39" s="668"/>
      <c r="H39" s="668"/>
      <c r="I39" s="668"/>
      <c r="J39" s="668"/>
      <c r="K39" s="668"/>
      <c r="L39" s="667"/>
    </row>
    <row r="40" spans="2:12" ht="29.25" customHeight="1">
      <c r="B40" s="667"/>
      <c r="C40" s="1127" t="s">
        <v>34</v>
      </c>
      <c r="D40" s="1112"/>
      <c r="E40" s="1112"/>
      <c r="F40" s="1112"/>
      <c r="G40" s="1112"/>
      <c r="H40" s="1112"/>
      <c r="I40" s="1112"/>
      <c r="J40" s="1112"/>
      <c r="K40" s="1112"/>
      <c r="L40" s="667"/>
    </row>
    <row r="41" spans="2:12" ht="12">
      <c r="B41" s="667"/>
      <c r="C41" s="668"/>
      <c r="D41" s="668"/>
      <c r="E41" s="668"/>
      <c r="F41" s="668"/>
      <c r="G41" s="668"/>
      <c r="H41" s="668"/>
      <c r="I41" s="668"/>
      <c r="J41" s="668"/>
      <c r="K41" s="668"/>
      <c r="L41" s="667"/>
    </row>
    <row r="42" spans="2:12" ht="12">
      <c r="B42" s="667"/>
      <c r="C42" s="1122" t="s">
        <v>35</v>
      </c>
      <c r="D42" s="1123"/>
      <c r="E42" s="1123"/>
      <c r="F42" s="1123"/>
      <c r="G42" s="1123"/>
      <c r="H42" s="1123"/>
      <c r="I42" s="1123"/>
      <c r="J42" s="1123"/>
      <c r="K42" s="1124"/>
      <c r="L42" s="667"/>
    </row>
    <row r="43" spans="2:12" ht="5.25" customHeight="1">
      <c r="B43" s="667"/>
      <c r="C43" s="667"/>
      <c r="D43" s="667"/>
      <c r="E43" s="667"/>
      <c r="F43" s="667"/>
      <c r="G43" s="667"/>
      <c r="H43" s="667"/>
      <c r="I43" s="667"/>
      <c r="J43" s="667"/>
      <c r="K43" s="667"/>
      <c r="L43" s="667"/>
    </row>
    <row r="44" spans="2:12" ht="27" customHeight="1">
      <c r="B44" s="667"/>
      <c r="C44" s="1127" t="s">
        <v>37</v>
      </c>
      <c r="D44" s="1112"/>
      <c r="E44" s="1112"/>
      <c r="F44" s="1112"/>
      <c r="G44" s="1112"/>
      <c r="H44" s="1112"/>
      <c r="I44" s="1112"/>
      <c r="J44" s="1112"/>
      <c r="K44" s="1112"/>
      <c r="L44" s="667"/>
    </row>
    <row r="45" spans="2:12" ht="5.25" customHeight="1">
      <c r="B45" s="667"/>
      <c r="C45" s="668"/>
      <c r="D45" s="668"/>
      <c r="E45" s="668"/>
      <c r="F45" s="668"/>
      <c r="G45" s="668"/>
      <c r="H45" s="668"/>
      <c r="I45" s="668"/>
      <c r="J45" s="668"/>
      <c r="K45" s="668"/>
      <c r="L45" s="667"/>
    </row>
    <row r="46" spans="2:12" ht="12">
      <c r="B46" s="667"/>
      <c r="C46" s="1127" t="s">
        <v>39</v>
      </c>
      <c r="D46" s="1112"/>
      <c r="E46" s="1112"/>
      <c r="F46" s="1112"/>
      <c r="G46" s="1112"/>
      <c r="H46" s="1112"/>
      <c r="I46" s="1112"/>
      <c r="J46" s="1112"/>
      <c r="K46" s="1112"/>
      <c r="L46" s="667"/>
    </row>
    <row r="47" spans="2:12" ht="5.25" customHeight="1">
      <c r="B47" s="667"/>
      <c r="C47" s="687"/>
      <c r="D47" s="668"/>
      <c r="E47" s="668"/>
      <c r="F47" s="668"/>
      <c r="G47" s="668"/>
      <c r="H47" s="668"/>
      <c r="I47" s="668"/>
      <c r="J47" s="668"/>
      <c r="K47" s="668"/>
      <c r="L47" s="667"/>
    </row>
    <row r="48" spans="2:12" ht="12">
      <c r="B48" s="667"/>
      <c r="C48" s="667"/>
      <c r="D48" s="1126" t="s">
        <v>41</v>
      </c>
      <c r="E48" s="1112"/>
      <c r="F48" s="1112"/>
      <c r="G48" s="1112"/>
      <c r="H48" s="1112"/>
      <c r="I48" s="1112"/>
      <c r="J48" s="1112"/>
      <c r="K48" s="1112"/>
      <c r="L48" s="667"/>
    </row>
    <row r="49" spans="1:29" ht="12">
      <c r="B49" s="667"/>
      <c r="C49" s="667"/>
      <c r="D49" s="1126" t="s">
        <v>42</v>
      </c>
      <c r="E49" s="1112"/>
      <c r="F49" s="1112"/>
      <c r="G49" s="1112"/>
      <c r="H49" s="1112"/>
      <c r="I49" s="1112"/>
      <c r="J49" s="1112"/>
      <c r="K49" s="1112"/>
      <c r="L49" s="667"/>
    </row>
    <row r="50" spans="1:29" ht="12">
      <c r="B50" s="667"/>
      <c r="C50" s="667"/>
      <c r="D50" s="669" t="s">
        <v>43</v>
      </c>
      <c r="E50" s="669"/>
      <c r="F50" s="669"/>
      <c r="G50" s="669"/>
      <c r="H50" s="669"/>
      <c r="I50" s="669"/>
      <c r="J50" s="669"/>
      <c r="K50" s="669"/>
      <c r="L50" s="667"/>
    </row>
    <row r="51" spans="1:29" ht="5.25" customHeight="1">
      <c r="B51" s="667"/>
      <c r="C51" s="668"/>
      <c r="D51" s="668"/>
      <c r="E51" s="668"/>
      <c r="F51" s="668"/>
      <c r="G51" s="668"/>
      <c r="H51" s="668"/>
      <c r="I51" s="668"/>
      <c r="J51" s="668"/>
      <c r="K51" s="668"/>
      <c r="L51" s="667"/>
    </row>
    <row r="52" spans="1:29" ht="27" customHeight="1">
      <c r="A52" s="688"/>
      <c r="B52" s="668"/>
      <c r="C52" s="1127" t="s">
        <v>45</v>
      </c>
      <c r="D52" s="1112"/>
      <c r="E52" s="1112"/>
      <c r="F52" s="1112"/>
      <c r="G52" s="1112"/>
      <c r="H52" s="1112"/>
      <c r="I52" s="1112"/>
      <c r="J52" s="1112"/>
      <c r="K52" s="1112"/>
      <c r="L52" s="668"/>
      <c r="M52" s="688"/>
      <c r="N52" s="688"/>
      <c r="O52" s="688"/>
      <c r="P52" s="688"/>
      <c r="Q52" s="688"/>
      <c r="R52" s="688"/>
      <c r="S52" s="688"/>
      <c r="T52" s="688"/>
      <c r="U52" s="688"/>
      <c r="V52" s="688"/>
      <c r="W52" s="688"/>
      <c r="X52" s="688"/>
      <c r="Y52" s="688"/>
      <c r="Z52" s="688"/>
      <c r="AA52" s="688"/>
      <c r="AB52" s="688"/>
      <c r="AC52" s="688"/>
    </row>
    <row r="53" spans="1:29" ht="12">
      <c r="B53" s="667"/>
      <c r="C53" s="667"/>
      <c r="D53" s="667"/>
      <c r="E53" s="667"/>
      <c r="F53" s="667"/>
      <c r="G53" s="667"/>
      <c r="H53" s="667"/>
      <c r="I53" s="667"/>
      <c r="J53" s="667"/>
      <c r="K53" s="667"/>
      <c r="L53" s="667"/>
    </row>
    <row r="54" spans="1:29" ht="5.25" customHeight="1">
      <c r="B54" s="667"/>
      <c r="C54" s="671"/>
      <c r="D54" s="672"/>
      <c r="E54" s="672"/>
      <c r="F54" s="672"/>
      <c r="G54" s="672"/>
      <c r="H54" s="672"/>
      <c r="I54" s="672"/>
      <c r="J54" s="672"/>
      <c r="K54" s="673"/>
      <c r="L54" s="667"/>
    </row>
    <row r="55" spans="1:29" ht="67.5" customHeight="1">
      <c r="B55" s="667"/>
      <c r="C55" s="1128" t="s">
        <v>1094</v>
      </c>
      <c r="D55" s="1112"/>
      <c r="E55" s="1112"/>
      <c r="F55" s="1112"/>
      <c r="G55" s="1112"/>
      <c r="H55" s="1112"/>
      <c r="I55" s="1112"/>
      <c r="J55" s="1112"/>
      <c r="K55" s="1129"/>
      <c r="L55" s="667"/>
    </row>
    <row r="56" spans="1:29" ht="5.25" customHeight="1">
      <c r="B56" s="667"/>
      <c r="C56" s="674"/>
      <c r="D56" s="675"/>
      <c r="E56" s="675"/>
      <c r="F56" s="675"/>
      <c r="G56" s="675"/>
      <c r="H56" s="675"/>
      <c r="I56" s="675"/>
      <c r="J56" s="675"/>
      <c r="K56" s="676"/>
      <c r="L56" s="667"/>
    </row>
    <row r="57" spans="1:29" ht="12">
      <c r="B57" s="667"/>
      <c r="C57" s="668"/>
      <c r="D57" s="668"/>
      <c r="E57" s="668"/>
      <c r="F57" s="668"/>
      <c r="G57" s="668"/>
      <c r="H57" s="668"/>
      <c r="I57" s="668"/>
      <c r="J57" s="668"/>
      <c r="K57" s="668"/>
      <c r="L57" s="667"/>
    </row>
    <row r="58" spans="1:29" ht="12">
      <c r="B58" s="667"/>
      <c r="C58" s="1122" t="s">
        <v>49</v>
      </c>
      <c r="D58" s="1123"/>
      <c r="E58" s="1123"/>
      <c r="F58" s="1123"/>
      <c r="G58" s="1123"/>
      <c r="H58" s="1123"/>
      <c r="I58" s="1123"/>
      <c r="J58" s="1123"/>
      <c r="K58" s="1124"/>
      <c r="L58" s="667"/>
    </row>
    <row r="59" spans="1:29" ht="5.25" customHeight="1">
      <c r="B59" s="667"/>
      <c r="C59" s="667"/>
      <c r="D59" s="667"/>
      <c r="E59" s="667"/>
      <c r="F59" s="667"/>
      <c r="G59" s="667"/>
      <c r="H59" s="667"/>
      <c r="I59" s="667"/>
      <c r="J59" s="667"/>
      <c r="K59" s="667"/>
      <c r="L59" s="667"/>
    </row>
    <row r="60" spans="1:29" ht="12">
      <c r="B60" s="667"/>
      <c r="C60" s="1125" t="s">
        <v>52</v>
      </c>
      <c r="D60" s="1112"/>
      <c r="E60" s="1127" t="s">
        <v>53</v>
      </c>
      <c r="F60" s="1112"/>
      <c r="G60" s="1112"/>
      <c r="H60" s="1112"/>
      <c r="I60" s="1112"/>
      <c r="J60" s="1112"/>
      <c r="K60" s="1112"/>
      <c r="L60" s="667"/>
    </row>
    <row r="61" spans="1:29" ht="5.25" customHeight="1">
      <c r="B61" s="667"/>
      <c r="C61" s="677"/>
      <c r="D61" s="677"/>
      <c r="E61" s="668"/>
      <c r="F61" s="668"/>
      <c r="G61" s="668"/>
      <c r="H61" s="668"/>
      <c r="I61" s="668"/>
      <c r="J61" s="668"/>
      <c r="K61" s="667"/>
      <c r="L61" s="667"/>
    </row>
    <row r="62" spans="1:29" ht="24.6" customHeight="1">
      <c r="B62" s="667"/>
      <c r="C62" s="1120" t="s">
        <v>54</v>
      </c>
      <c r="D62" s="1112"/>
      <c r="E62" s="1127" t="s">
        <v>55</v>
      </c>
      <c r="F62" s="1112"/>
      <c r="G62" s="1112"/>
      <c r="H62" s="1112"/>
      <c r="I62" s="1112"/>
      <c r="J62" s="1112"/>
      <c r="K62" s="1112"/>
      <c r="L62" s="667"/>
    </row>
    <row r="63" spans="1:29" ht="5.25" customHeight="1">
      <c r="B63" s="667"/>
      <c r="C63" s="678"/>
      <c r="D63" s="678"/>
      <c r="E63" s="668"/>
      <c r="F63" s="668"/>
      <c r="G63" s="668"/>
      <c r="H63" s="668"/>
      <c r="I63" s="668"/>
      <c r="J63" s="668"/>
      <c r="K63" s="667"/>
      <c r="L63" s="667"/>
    </row>
    <row r="64" spans="1:29" ht="12">
      <c r="B64" s="667"/>
      <c r="C64" s="1120" t="s">
        <v>56</v>
      </c>
      <c r="D64" s="1112"/>
      <c r="E64" s="1127" t="s">
        <v>57</v>
      </c>
      <c r="F64" s="1112"/>
      <c r="G64" s="1112"/>
      <c r="H64" s="1112"/>
      <c r="I64" s="1112"/>
      <c r="J64" s="1112"/>
      <c r="K64" s="1112"/>
      <c r="L64" s="667"/>
    </row>
    <row r="65" spans="2:12" ht="5.25" customHeight="1">
      <c r="B65" s="667"/>
      <c r="C65" s="679"/>
      <c r="D65" s="679"/>
      <c r="E65" s="668"/>
      <c r="F65" s="668"/>
      <c r="G65" s="668"/>
      <c r="H65" s="668"/>
      <c r="I65" s="668"/>
      <c r="J65" s="668"/>
      <c r="K65" s="667"/>
      <c r="L65" s="667"/>
    </row>
    <row r="66" spans="2:12" ht="23.45" customHeight="1">
      <c r="B66" s="667"/>
      <c r="C66" s="1120" t="s">
        <v>58</v>
      </c>
      <c r="D66" s="1112"/>
      <c r="E66" s="1119" t="s">
        <v>59</v>
      </c>
      <c r="F66" s="1112"/>
      <c r="G66" s="1112"/>
      <c r="H66" s="1112"/>
      <c r="I66" s="1112"/>
      <c r="J66" s="1112"/>
      <c r="K66" s="1112"/>
      <c r="L66" s="667"/>
    </row>
    <row r="67" spans="2:12" ht="5.25" customHeight="1">
      <c r="B67" s="667"/>
      <c r="C67" s="679"/>
      <c r="D67" s="679"/>
      <c r="E67" s="668"/>
      <c r="F67" s="668"/>
      <c r="G67" s="668"/>
      <c r="H67" s="668"/>
      <c r="I67" s="668"/>
      <c r="J67" s="668"/>
      <c r="K67" s="667"/>
      <c r="L67" s="667"/>
    </row>
    <row r="68" spans="2:12" ht="28.5" customHeight="1">
      <c r="B68" s="667"/>
      <c r="C68" s="1120" t="s">
        <v>60</v>
      </c>
      <c r="D68" s="1112"/>
      <c r="E68" s="1119" t="s">
        <v>61</v>
      </c>
      <c r="F68" s="1112"/>
      <c r="G68" s="1112"/>
      <c r="H68" s="1112"/>
      <c r="I68" s="1112"/>
      <c r="J68" s="1112"/>
      <c r="K68" s="1112"/>
      <c r="L68" s="667"/>
    </row>
    <row r="69" spans="2:12" ht="12">
      <c r="B69" s="667"/>
      <c r="C69" s="667"/>
      <c r="D69" s="667"/>
      <c r="E69" s="667"/>
      <c r="F69" s="667"/>
      <c r="G69" s="667"/>
      <c r="H69" s="667"/>
      <c r="I69" s="667"/>
      <c r="J69" s="667"/>
      <c r="K69" s="667"/>
      <c r="L69" s="667"/>
    </row>
    <row r="70" spans="2:12" ht="12">
      <c r="B70" s="667"/>
      <c r="C70" s="1121" t="s">
        <v>62</v>
      </c>
      <c r="D70" s="1112"/>
      <c r="E70" s="1112"/>
      <c r="F70" s="1112"/>
      <c r="G70" s="1112"/>
      <c r="H70" s="1112"/>
      <c r="I70" s="1112"/>
      <c r="J70" s="1112"/>
      <c r="K70" s="667"/>
      <c r="L70" s="667"/>
    </row>
    <row r="71" spans="2:12" ht="12">
      <c r="B71" s="667"/>
      <c r="C71" s="683"/>
      <c r="D71" s="667"/>
      <c r="E71" s="667"/>
      <c r="F71" s="667"/>
      <c r="G71" s="667"/>
      <c r="H71" s="667"/>
      <c r="I71" s="667"/>
      <c r="J71" s="667"/>
      <c r="K71" s="667"/>
      <c r="L71" s="667"/>
    </row>
    <row r="72" spans="2:12" ht="12">
      <c r="B72" s="667"/>
      <c r="C72" s="1122" t="s">
        <v>65</v>
      </c>
      <c r="D72" s="1123"/>
      <c r="E72" s="1123"/>
      <c r="F72" s="1123"/>
      <c r="G72" s="1123"/>
      <c r="H72" s="1123"/>
      <c r="I72" s="1123"/>
      <c r="J72" s="1123"/>
      <c r="K72" s="1124"/>
      <c r="L72" s="667"/>
    </row>
    <row r="73" spans="2:12" ht="12">
      <c r="B73" s="667"/>
      <c r="C73" s="667"/>
      <c r="D73" s="667"/>
      <c r="E73" s="667"/>
      <c r="F73" s="667"/>
      <c r="G73" s="667"/>
      <c r="H73" s="667"/>
      <c r="I73" s="667"/>
      <c r="J73" s="667"/>
      <c r="K73" s="667"/>
      <c r="L73" s="667"/>
    </row>
    <row r="74" spans="2:12" ht="15" customHeight="1">
      <c r="B74" s="667"/>
      <c r="C74" s="1104" t="s">
        <v>66</v>
      </c>
      <c r="D74" s="1099"/>
      <c r="E74" s="1100"/>
      <c r="F74" s="1104" t="s">
        <v>72</v>
      </c>
      <c r="G74" s="1100"/>
      <c r="H74" s="1104" t="s">
        <v>73</v>
      </c>
      <c r="I74" s="1099"/>
      <c r="J74" s="1099"/>
      <c r="K74" s="1100"/>
      <c r="L74" s="667"/>
    </row>
    <row r="75" spans="2:12" ht="15" customHeight="1">
      <c r="B75" s="667"/>
      <c r="C75" s="1098" t="s">
        <v>74</v>
      </c>
      <c r="D75" s="1099"/>
      <c r="E75" s="1100"/>
      <c r="F75" s="1103" t="s">
        <v>74</v>
      </c>
      <c r="G75" s="1100"/>
      <c r="H75" s="1098" t="s">
        <v>80</v>
      </c>
      <c r="I75" s="1099"/>
      <c r="J75" s="1099"/>
      <c r="K75" s="1100"/>
      <c r="L75" s="667"/>
    </row>
    <row r="76" spans="2:12" ht="15" customHeight="1">
      <c r="B76" s="667"/>
      <c r="C76" s="1108" t="s">
        <v>82</v>
      </c>
      <c r="D76" s="1109"/>
      <c r="E76" s="1110"/>
      <c r="F76" s="1118" t="s">
        <v>83</v>
      </c>
      <c r="G76" s="1100"/>
      <c r="H76" s="1098" t="s">
        <v>1095</v>
      </c>
      <c r="I76" s="1099"/>
      <c r="J76" s="1099"/>
      <c r="K76" s="1100"/>
      <c r="L76" s="667"/>
    </row>
    <row r="77" spans="2:12" ht="15" customHeight="1">
      <c r="B77" s="667"/>
      <c r="C77" s="1111"/>
      <c r="D77" s="1112"/>
      <c r="E77" s="1113"/>
      <c r="F77" s="1118" t="s">
        <v>87</v>
      </c>
      <c r="G77" s="1100"/>
      <c r="H77" s="1098" t="s">
        <v>1096</v>
      </c>
      <c r="I77" s="1099"/>
      <c r="J77" s="1099"/>
      <c r="K77" s="1100"/>
      <c r="L77" s="667"/>
    </row>
    <row r="78" spans="2:12" ht="27.95" customHeight="1">
      <c r="B78" s="667"/>
      <c r="C78" s="1114"/>
      <c r="D78" s="1115"/>
      <c r="E78" s="1116"/>
      <c r="F78" s="1118" t="s">
        <v>95</v>
      </c>
      <c r="G78" s="1100"/>
      <c r="H78" s="1105" t="s">
        <v>98</v>
      </c>
      <c r="I78" s="1106"/>
      <c r="J78" s="1106"/>
      <c r="K78" s="1107"/>
      <c r="L78" s="667"/>
    </row>
    <row r="79" spans="2:12" ht="15" customHeight="1">
      <c r="B79" s="667"/>
      <c r="C79" s="1098" t="s">
        <v>100</v>
      </c>
      <c r="D79" s="1099"/>
      <c r="E79" s="1100"/>
      <c r="F79" s="1101" t="s">
        <v>100</v>
      </c>
      <c r="G79" s="1102"/>
      <c r="H79" s="1098" t="s">
        <v>103</v>
      </c>
      <c r="I79" s="1099"/>
      <c r="J79" s="1099"/>
      <c r="K79" s="1100"/>
      <c r="L79" s="667"/>
    </row>
    <row r="80" spans="2:12" ht="15" customHeight="1">
      <c r="B80" s="667"/>
      <c r="C80" s="1108" t="s">
        <v>104</v>
      </c>
      <c r="D80" s="1109"/>
      <c r="E80" s="1110"/>
      <c r="F80" s="1117" t="s">
        <v>1093</v>
      </c>
      <c r="G80" s="1100"/>
      <c r="H80" s="1098" t="s">
        <v>105</v>
      </c>
      <c r="I80" s="1099"/>
      <c r="J80" s="1099"/>
      <c r="K80" s="1100"/>
      <c r="L80" s="667"/>
    </row>
    <row r="81" spans="2:12" ht="15" customHeight="1">
      <c r="B81" s="667"/>
      <c r="C81" s="1111"/>
      <c r="D81" s="1112"/>
      <c r="E81" s="1113"/>
      <c r="F81" s="1117" t="s">
        <v>107</v>
      </c>
      <c r="G81" s="1100"/>
      <c r="H81" s="1098" t="s">
        <v>108</v>
      </c>
      <c r="I81" s="1099"/>
      <c r="J81" s="1099"/>
      <c r="K81" s="1100"/>
      <c r="L81" s="667"/>
    </row>
    <row r="82" spans="2:12" ht="15" customHeight="1">
      <c r="B82" s="667"/>
      <c r="C82" s="1111"/>
      <c r="D82" s="1112"/>
      <c r="E82" s="1113"/>
      <c r="F82" s="1117" t="s">
        <v>110</v>
      </c>
      <c r="G82" s="1100"/>
      <c r="H82" s="1098" t="s">
        <v>111</v>
      </c>
      <c r="I82" s="1099"/>
      <c r="J82" s="1099"/>
      <c r="K82" s="1100"/>
      <c r="L82" s="667"/>
    </row>
    <row r="83" spans="2:12" ht="15" customHeight="1">
      <c r="B83" s="667"/>
      <c r="C83" s="1111"/>
      <c r="D83" s="1112"/>
      <c r="E83" s="1113"/>
      <c r="F83" s="1117" t="s">
        <v>112</v>
      </c>
      <c r="G83" s="1100"/>
      <c r="H83" s="1098" t="s">
        <v>113</v>
      </c>
      <c r="I83" s="1099"/>
      <c r="J83" s="1099"/>
      <c r="K83" s="1100"/>
      <c r="L83" s="667"/>
    </row>
    <row r="84" spans="2:12" ht="15" customHeight="1">
      <c r="B84" s="667"/>
      <c r="C84" s="1111"/>
      <c r="D84" s="1112"/>
      <c r="E84" s="1113"/>
      <c r="F84" s="1117" t="s">
        <v>2</v>
      </c>
      <c r="G84" s="1100"/>
      <c r="H84" s="1098" t="s">
        <v>116</v>
      </c>
      <c r="I84" s="1099"/>
      <c r="J84" s="1099"/>
      <c r="K84" s="1100"/>
      <c r="L84" s="667"/>
    </row>
    <row r="85" spans="2:12" ht="15" customHeight="1">
      <c r="B85" s="667"/>
      <c r="C85" s="1114"/>
      <c r="D85" s="1115"/>
      <c r="E85" s="1116"/>
      <c r="F85" s="1117" t="s">
        <v>118</v>
      </c>
      <c r="G85" s="1100"/>
      <c r="H85" s="1098" t="s">
        <v>121</v>
      </c>
      <c r="I85" s="1099"/>
      <c r="J85" s="1099"/>
      <c r="K85" s="1100"/>
      <c r="L85" s="667"/>
    </row>
    <row r="86" spans="2:12" ht="12">
      <c r="B86" s="667"/>
      <c r="C86" s="681"/>
      <c r="D86" s="681"/>
      <c r="E86" s="681"/>
      <c r="F86" s="681"/>
      <c r="G86" s="681"/>
      <c r="H86" s="681"/>
      <c r="I86" s="681"/>
      <c r="J86" s="681"/>
      <c r="K86" s="681"/>
      <c r="L86" s="667"/>
    </row>
    <row r="87" spans="2:12" ht="12">
      <c r="B87" s="667"/>
      <c r="C87" s="667"/>
      <c r="D87" s="667"/>
      <c r="E87" s="667"/>
      <c r="F87" s="667"/>
      <c r="G87" s="667"/>
      <c r="H87" s="667"/>
      <c r="I87" s="667"/>
      <c r="J87" s="667"/>
      <c r="K87" s="667"/>
      <c r="L87" s="667"/>
    </row>
  </sheetData>
  <mergeCells count="68">
    <mergeCell ref="H84:K84"/>
    <mergeCell ref="F84:G84"/>
    <mergeCell ref="C80:E85"/>
    <mergeCell ref="F85:G85"/>
    <mergeCell ref="H85:K85"/>
    <mergeCell ref="F83:G83"/>
    <mergeCell ref="H82:K82"/>
    <mergeCell ref="F82:G82"/>
    <mergeCell ref="C11:K11"/>
    <mergeCell ref="C13:K13"/>
    <mergeCell ref="D30:K30"/>
    <mergeCell ref="D35:K35"/>
    <mergeCell ref="D31:K31"/>
    <mergeCell ref="C25:K25"/>
    <mergeCell ref="C27:K27"/>
    <mergeCell ref="C23:K23"/>
    <mergeCell ref="D29:K29"/>
    <mergeCell ref="C33:K33"/>
    <mergeCell ref="C21:K21"/>
    <mergeCell ref="C19:K19"/>
    <mergeCell ref="D16:K16"/>
    <mergeCell ref="D15:K15"/>
    <mergeCell ref="D17:K17"/>
    <mergeCell ref="C42:K42"/>
    <mergeCell ref="C40:K40"/>
    <mergeCell ref="D49:K49"/>
    <mergeCell ref="D36:K36"/>
    <mergeCell ref="D38:K38"/>
    <mergeCell ref="D37:K37"/>
    <mergeCell ref="C58:K58"/>
    <mergeCell ref="C66:D66"/>
    <mergeCell ref="C60:D60"/>
    <mergeCell ref="D48:K48"/>
    <mergeCell ref="C44:K44"/>
    <mergeCell ref="C46:K46"/>
    <mergeCell ref="C55:K55"/>
    <mergeCell ref="C52:K52"/>
    <mergeCell ref="E62:K62"/>
    <mergeCell ref="C62:D62"/>
    <mergeCell ref="E64:K64"/>
    <mergeCell ref="E66:K66"/>
    <mergeCell ref="E60:K60"/>
    <mergeCell ref="E68:K68"/>
    <mergeCell ref="C68:D68"/>
    <mergeCell ref="C64:D64"/>
    <mergeCell ref="C70:J70"/>
    <mergeCell ref="C72:K72"/>
    <mergeCell ref="C79:E79"/>
    <mergeCell ref="C74:E74"/>
    <mergeCell ref="H83:K83"/>
    <mergeCell ref="H74:K74"/>
    <mergeCell ref="H77:K77"/>
    <mergeCell ref="H76:K76"/>
    <mergeCell ref="H81:K81"/>
    <mergeCell ref="H78:K78"/>
    <mergeCell ref="C75:E75"/>
    <mergeCell ref="C76:E78"/>
    <mergeCell ref="F81:G81"/>
    <mergeCell ref="F74:G74"/>
    <mergeCell ref="F77:G77"/>
    <mergeCell ref="F76:G76"/>
    <mergeCell ref="F78:G78"/>
    <mergeCell ref="F80:G80"/>
    <mergeCell ref="H79:K79"/>
    <mergeCell ref="H80:K80"/>
    <mergeCell ref="F79:G79"/>
    <mergeCell ref="F75:G75"/>
    <mergeCell ref="H75:K75"/>
  </mergeCells>
  <hyperlinks>
    <hyperlink ref="C70" location="Glossary!A1" display="Further definitions of terms used throughout the following sheets can be found here (On the Glossary sheet)"/>
    <hyperlink ref="F76" location="2.1 Input_FAIR_Facets!A1" display="2.1 FAIR Facets"/>
    <hyperlink ref="F77" location="2.2 Input_General_Information!A1" display="2.2 General_Information"/>
    <hyperlink ref="F78" location="2.3 Input_Main_Questionnaire!A1" display="2.3 Questionnaire"/>
    <hyperlink ref="F79" location="3. Results!A1" display="3. Results"/>
    <hyperlink ref="F81" location="Calc_time!A1" display="Calc_time"/>
    <hyperlink ref="F82" location="Calc_Misc!A1" display="Calc_Misc"/>
    <hyperlink ref="F83" location="Calc_Storage!A1" display="Calc_Storage"/>
    <hyperlink ref="F84" location="Glossary!A1" display="Glossary"/>
    <hyperlink ref="F85" location="Researchers_Salaries!A1" display="Researchers_Salaries"/>
    <hyperlink ref="F80:G80" location="Summary_Calc!A1" display="Summary_Calc"/>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66"/>
    <outlinePr summaryBelow="0" summaryRight="0"/>
  </sheetPr>
  <dimension ref="A1:N1019"/>
  <sheetViews>
    <sheetView showGridLines="0" workbookViewId="0">
      <selection activeCell="F7" sqref="F7"/>
    </sheetView>
  </sheetViews>
  <sheetFormatPr defaultColWidth="14.42578125" defaultRowHeight="15" customHeight="1"/>
  <cols>
    <col min="1" max="1" width="3" customWidth="1"/>
    <col min="2" max="2" width="4.42578125" customWidth="1"/>
    <col min="3" max="3" width="33.28515625" customWidth="1"/>
    <col min="4" max="4" width="94.7109375" customWidth="1"/>
    <col min="5" max="5" width="3" customWidth="1"/>
    <col min="6" max="6" width="43.85546875" customWidth="1"/>
    <col min="7" max="7" width="4.28515625" customWidth="1"/>
  </cols>
  <sheetData>
    <row r="1" spans="1:14">
      <c r="A1" s="109"/>
      <c r="B1" s="110"/>
      <c r="C1" s="110"/>
      <c r="D1" s="110"/>
      <c r="E1" s="109"/>
      <c r="F1" s="111"/>
      <c r="G1" s="109"/>
      <c r="H1" s="109"/>
      <c r="I1" s="109"/>
      <c r="J1" s="109"/>
      <c r="K1" s="109"/>
      <c r="L1" s="109"/>
      <c r="M1" s="109"/>
      <c r="N1" s="109"/>
    </row>
    <row r="2" spans="1:14">
      <c r="A2" s="109"/>
      <c r="B2" s="112"/>
      <c r="C2" s="112"/>
      <c r="D2" s="112"/>
      <c r="E2" s="113"/>
      <c r="F2" s="114"/>
      <c r="G2" s="113"/>
      <c r="H2" s="109"/>
      <c r="I2" s="109"/>
      <c r="J2" s="109"/>
      <c r="K2" s="109"/>
      <c r="L2" s="109"/>
      <c r="M2" s="109"/>
      <c r="N2" s="109"/>
    </row>
    <row r="3" spans="1:14" ht="25.5" customHeight="1">
      <c r="A3" s="109"/>
      <c r="B3" s="115"/>
      <c r="C3" s="1171" t="s">
        <v>656</v>
      </c>
      <c r="D3" s="1172"/>
      <c r="E3" s="113"/>
      <c r="F3" s="116" t="s">
        <v>657</v>
      </c>
      <c r="G3" s="113"/>
      <c r="H3" s="109"/>
      <c r="I3" s="109"/>
      <c r="J3" s="109"/>
      <c r="K3" s="109"/>
      <c r="L3" s="109"/>
      <c r="M3" s="109"/>
      <c r="N3" s="109"/>
    </row>
    <row r="4" spans="1:14" ht="5.25" customHeight="1">
      <c r="A4" s="109"/>
      <c r="B4" s="115"/>
      <c r="C4" s="112"/>
      <c r="D4" s="117"/>
      <c r="E4" s="113"/>
      <c r="F4" s="114"/>
      <c r="G4" s="113"/>
      <c r="H4" s="109"/>
      <c r="I4" s="109"/>
      <c r="J4" s="109"/>
      <c r="K4" s="109"/>
      <c r="L4" s="109"/>
      <c r="M4" s="109"/>
      <c r="N4" s="109"/>
    </row>
    <row r="5" spans="1:14" ht="25.5">
      <c r="A5" s="109"/>
      <c r="B5" s="115"/>
      <c r="C5" s="118" t="s">
        <v>1127</v>
      </c>
      <c r="D5" s="118" t="s">
        <v>658</v>
      </c>
      <c r="E5" s="113"/>
      <c r="F5" s="114"/>
      <c r="G5" s="113"/>
      <c r="H5" s="109"/>
      <c r="I5" s="109"/>
      <c r="J5" s="109"/>
      <c r="K5" s="109"/>
      <c r="L5" s="109"/>
      <c r="M5" s="109"/>
      <c r="N5" s="109"/>
    </row>
    <row r="6" spans="1:14">
      <c r="A6" s="109"/>
      <c r="B6" s="115"/>
      <c r="C6" s="119" t="s">
        <v>485</v>
      </c>
      <c r="D6" s="119"/>
      <c r="E6" s="113"/>
      <c r="F6" s="114"/>
      <c r="G6" s="113"/>
      <c r="H6" s="109"/>
      <c r="I6" s="109"/>
      <c r="J6" s="109"/>
      <c r="K6" s="109"/>
      <c r="L6" s="109"/>
      <c r="M6" s="109"/>
      <c r="N6" s="109"/>
    </row>
    <row r="7" spans="1:14" ht="177.75" customHeight="1">
      <c r="A7" s="109"/>
      <c r="B7" s="115"/>
      <c r="C7" s="120" t="str">
        <f>VLOOKUP(C6,C8:D501,1)</f>
        <v>Internal Rate of Return</v>
      </c>
      <c r="D7" s="121" t="str">
        <f>VLOOKUP(C6,C8:D501,2)</f>
        <v xml:space="preserve">Internal Rate of Return (IRR) is a metric used in capital budgeting to estimate the profitability of potential investments. Internal rate of return is a discount rate that makes the  net present value (NPV) of all cash flows from a particular project equal to zero. </v>
      </c>
      <c r="E7" s="113"/>
      <c r="F7" s="114"/>
      <c r="G7" s="113"/>
      <c r="H7" s="109"/>
      <c r="I7" s="109"/>
      <c r="J7" s="109"/>
      <c r="K7" s="109"/>
      <c r="L7" s="109"/>
      <c r="M7" s="109"/>
      <c r="N7" s="109"/>
    </row>
    <row r="8" spans="1:14" ht="67.5" customHeight="1">
      <c r="A8" s="109"/>
      <c r="B8" s="115"/>
      <c r="C8" s="118" t="str">
        <f>'2.3 Input_Main_Questionnaire'!F27</f>
        <v>(Research) project development / project initiation</v>
      </c>
      <c r="D8" s="117" t="s">
        <v>659</v>
      </c>
      <c r="E8" s="113"/>
      <c r="F8" s="114"/>
      <c r="G8" s="113"/>
      <c r="H8" s="109"/>
      <c r="I8" s="109"/>
      <c r="J8" s="109"/>
      <c r="K8" s="109"/>
      <c r="L8" s="109"/>
      <c r="M8" s="109"/>
      <c r="N8" s="109"/>
    </row>
    <row r="9" spans="1:14" ht="67.5" customHeight="1">
      <c r="A9" s="109"/>
      <c r="B9" s="115"/>
      <c r="C9" s="118" t="s">
        <v>660</v>
      </c>
      <c r="D9" s="117" t="s">
        <v>661</v>
      </c>
      <c r="E9" s="113"/>
      <c r="F9" s="114"/>
      <c r="G9" s="113"/>
      <c r="H9" s="109"/>
      <c r="I9" s="109"/>
      <c r="J9" s="109"/>
      <c r="K9" s="109"/>
      <c r="L9" s="109"/>
      <c r="M9" s="109"/>
      <c r="N9" s="109"/>
    </row>
    <row r="10" spans="1:14" ht="67.5" customHeight="1">
      <c r="A10" s="109"/>
      <c r="B10" s="115"/>
      <c r="C10" s="118" t="str">
        <f>'2.3 Input_Main_Questionnaire'!F32</f>
        <v>Analysis of the data</v>
      </c>
      <c r="D10" s="117" t="s">
        <v>662</v>
      </c>
      <c r="E10" s="113"/>
      <c r="F10" s="114"/>
      <c r="G10" s="113"/>
      <c r="H10" s="109"/>
      <c r="I10" s="109"/>
      <c r="J10" s="109"/>
      <c r="K10" s="109"/>
      <c r="L10" s="109"/>
      <c r="M10" s="109"/>
      <c r="N10" s="109"/>
    </row>
    <row r="11" spans="1:14" ht="67.5" customHeight="1">
      <c r="A11" s="109"/>
      <c r="B11" s="115"/>
      <c r="C11" s="118" t="str">
        <f>'3. Results'!B80</f>
        <v>Cost Savings &amp; Avoidance</v>
      </c>
      <c r="D11" s="117" t="s">
        <v>663</v>
      </c>
      <c r="E11" s="113"/>
      <c r="F11" s="122" t="s">
        <v>664</v>
      </c>
      <c r="G11" s="113"/>
      <c r="H11" s="109"/>
      <c r="I11" s="109"/>
      <c r="J11" s="109"/>
      <c r="K11" s="109"/>
      <c r="L11" s="109"/>
      <c r="M11" s="109"/>
      <c r="N11" s="109"/>
    </row>
    <row r="12" spans="1:14" ht="67.5" customHeight="1">
      <c r="A12" s="109"/>
      <c r="B12" s="115"/>
      <c r="C12" s="118" t="s">
        <v>665</v>
      </c>
      <c r="D12" s="123" t="s">
        <v>666</v>
      </c>
      <c r="E12" s="113"/>
      <c r="F12" s="114"/>
      <c r="G12" s="113"/>
      <c r="H12" s="109"/>
      <c r="I12" s="109"/>
      <c r="J12" s="109"/>
      <c r="K12" s="109"/>
      <c r="L12" s="109"/>
      <c r="M12" s="109"/>
      <c r="N12" s="109"/>
    </row>
    <row r="13" spans="1:14" ht="67.5" customHeight="1">
      <c r="A13" s="109"/>
      <c r="B13" s="115"/>
      <c r="C13" s="118" t="str">
        <f>'2.3 Input_Main_Questionnaire'!F29</f>
        <v>Creation and collection of the data</v>
      </c>
      <c r="D13" s="117" t="s">
        <v>667</v>
      </c>
      <c r="E13" s="113"/>
      <c r="F13" s="114"/>
      <c r="G13" s="113"/>
      <c r="H13" s="109"/>
      <c r="I13" s="109"/>
      <c r="J13" s="109"/>
      <c r="K13" s="109"/>
      <c r="L13" s="109"/>
      <c r="M13" s="109"/>
      <c r="N13" s="109"/>
    </row>
    <row r="14" spans="1:14" ht="201" customHeight="1">
      <c r="A14" s="109"/>
      <c r="B14" s="115"/>
      <c r="C14" s="118" t="s">
        <v>300</v>
      </c>
      <c r="D14" s="123" t="s">
        <v>668</v>
      </c>
      <c r="E14" s="113"/>
      <c r="F14" s="122" t="s">
        <v>669</v>
      </c>
      <c r="G14" s="113"/>
      <c r="H14" s="109"/>
      <c r="I14" s="109"/>
      <c r="J14" s="109"/>
      <c r="K14" s="109"/>
      <c r="L14" s="109"/>
      <c r="M14" s="109"/>
      <c r="N14" s="109"/>
    </row>
    <row r="15" spans="1:14" ht="67.5" customHeight="1">
      <c r="A15" s="109"/>
      <c r="B15" s="115"/>
      <c r="C15" s="118" t="str">
        <f>'3. Results'!C11</f>
        <v>Discount Rate</v>
      </c>
      <c r="D15" s="117" t="s">
        <v>670</v>
      </c>
      <c r="E15" s="113"/>
      <c r="F15" s="122" t="s">
        <v>671</v>
      </c>
      <c r="G15" s="113"/>
      <c r="H15" s="109"/>
      <c r="I15" s="109"/>
      <c r="J15" s="109"/>
      <c r="K15" s="109"/>
      <c r="L15" s="109"/>
      <c r="M15" s="109"/>
      <c r="N15" s="109"/>
    </row>
    <row r="16" spans="1:14" ht="67.5" customHeight="1">
      <c r="B16" s="115"/>
      <c r="C16" s="118" t="str">
        <f>Growth!B7</f>
        <v>Global growth</v>
      </c>
      <c r="D16" s="117" t="s">
        <v>672</v>
      </c>
      <c r="E16" s="113"/>
      <c r="F16" s="114"/>
      <c r="G16" s="113"/>
      <c r="H16" s="109"/>
      <c r="I16" s="109"/>
      <c r="J16" s="109"/>
      <c r="K16" s="109"/>
      <c r="L16" s="109"/>
      <c r="M16" s="109"/>
      <c r="N16" s="109"/>
    </row>
    <row r="17" spans="1:14" ht="67.5" customHeight="1">
      <c r="A17" s="109"/>
      <c r="B17" s="115"/>
      <c r="C17" s="118" t="str">
        <f>'2.3 Input_Main_Questionnaire'!F31</f>
        <v>Integration of the data</v>
      </c>
      <c r="D17" s="117" t="s">
        <v>673</v>
      </c>
      <c r="E17" s="113"/>
      <c r="F17" s="114"/>
      <c r="G17" s="113"/>
      <c r="H17" s="109"/>
      <c r="I17" s="109"/>
      <c r="J17" s="109"/>
      <c r="K17" s="109"/>
      <c r="L17" s="109"/>
      <c r="M17" s="109"/>
      <c r="N17" s="109"/>
    </row>
    <row r="18" spans="1:14" ht="67.5" customHeight="1">
      <c r="B18" s="115"/>
      <c r="C18" s="118" t="str">
        <f>'3. Results'!C6</f>
        <v>Internal Rate of Return</v>
      </c>
      <c r="D18" s="117" t="s">
        <v>674</v>
      </c>
      <c r="E18" s="113"/>
      <c r="F18" s="122" t="s">
        <v>675</v>
      </c>
      <c r="G18" s="113"/>
      <c r="H18" s="109"/>
      <c r="I18" s="109"/>
      <c r="J18" s="109"/>
      <c r="K18" s="109"/>
      <c r="L18" s="109"/>
      <c r="M18" s="109"/>
      <c r="N18" s="109"/>
    </row>
    <row r="19" spans="1:14" ht="67.5" customHeight="1">
      <c r="A19" s="109"/>
      <c r="B19" s="115"/>
      <c r="C19" s="118" t="s">
        <v>676</v>
      </c>
      <c r="D19" s="117" t="s">
        <v>677</v>
      </c>
      <c r="E19" s="113"/>
      <c r="F19" s="122" t="s">
        <v>678</v>
      </c>
      <c r="G19" s="126"/>
      <c r="H19" s="109"/>
      <c r="I19" s="109"/>
      <c r="J19" s="109"/>
      <c r="K19" s="109"/>
      <c r="L19" s="109"/>
      <c r="M19" s="109"/>
      <c r="N19" s="109"/>
    </row>
    <row r="20" spans="1:14" ht="67.5" customHeight="1">
      <c r="A20" s="109"/>
      <c r="B20" s="115"/>
      <c r="C20" s="118" t="str">
        <f>Growth!B62</f>
        <v>Local Growth</v>
      </c>
      <c r="D20" s="117" t="s">
        <v>679</v>
      </c>
      <c r="E20" s="113"/>
      <c r="F20" s="114"/>
      <c r="G20" s="126"/>
      <c r="H20" s="109"/>
      <c r="I20" s="109"/>
      <c r="J20" s="109"/>
      <c r="K20" s="109"/>
      <c r="L20" s="109"/>
      <c r="M20" s="109"/>
      <c r="N20" s="109"/>
    </row>
    <row r="21" spans="1:14" ht="118.5" customHeight="1">
      <c r="A21" s="109"/>
      <c r="B21" s="115"/>
      <c r="C21" s="118" t="s">
        <v>680</v>
      </c>
      <c r="D21" s="117" t="s">
        <v>681</v>
      </c>
      <c r="E21" s="113"/>
      <c r="F21" s="122" t="s">
        <v>682</v>
      </c>
      <c r="G21" s="126"/>
      <c r="H21" s="109"/>
      <c r="I21" s="109"/>
      <c r="J21" s="109"/>
      <c r="K21" s="109"/>
      <c r="L21" s="109"/>
      <c r="M21" s="109"/>
      <c r="N21" s="109"/>
    </row>
    <row r="22" spans="1:14" ht="67.5" customHeight="1">
      <c r="A22" s="109"/>
      <c r="B22" s="115"/>
      <c r="C22" s="118" t="s">
        <v>683</v>
      </c>
      <c r="D22" s="117" t="s">
        <v>684</v>
      </c>
      <c r="E22" s="113"/>
      <c r="F22" s="114"/>
      <c r="G22" s="113"/>
      <c r="H22" s="109"/>
      <c r="I22" s="109"/>
      <c r="J22" s="109"/>
      <c r="K22" s="109"/>
      <c r="L22" s="109"/>
      <c r="M22" s="109"/>
      <c r="N22" s="109"/>
    </row>
    <row r="23" spans="1:14" ht="126.95" customHeight="1">
      <c r="A23" s="109"/>
      <c r="B23" s="115"/>
      <c r="C23" s="118" t="s">
        <v>685</v>
      </c>
      <c r="D23" s="117" t="s">
        <v>686</v>
      </c>
      <c r="E23" s="113"/>
      <c r="F23" s="122" t="s">
        <v>687</v>
      </c>
      <c r="G23" s="113"/>
      <c r="H23" s="109"/>
      <c r="I23" s="109"/>
      <c r="J23" s="109"/>
      <c r="K23" s="109"/>
      <c r="L23" s="109"/>
      <c r="M23" s="109"/>
      <c r="N23" s="109"/>
    </row>
    <row r="24" spans="1:14" ht="67.5" customHeight="1">
      <c r="A24" s="109"/>
      <c r="B24" s="115"/>
      <c r="C24" s="118" t="s">
        <v>688</v>
      </c>
      <c r="D24" s="117" t="s">
        <v>689</v>
      </c>
      <c r="E24" s="113"/>
      <c r="F24" s="122" t="s">
        <v>690</v>
      </c>
      <c r="G24" s="113"/>
      <c r="H24" s="109"/>
      <c r="I24" s="109"/>
      <c r="J24" s="109"/>
      <c r="K24" s="109"/>
      <c r="L24" s="109"/>
      <c r="M24" s="109"/>
      <c r="N24" s="109"/>
    </row>
    <row r="25" spans="1:14" ht="291" customHeight="1">
      <c r="A25" s="109"/>
      <c r="B25" s="115"/>
      <c r="C25" s="118" t="s">
        <v>691</v>
      </c>
      <c r="D25" s="117" t="s">
        <v>692</v>
      </c>
      <c r="E25" s="113"/>
      <c r="F25" s="122" t="s">
        <v>690</v>
      </c>
      <c r="G25" s="113"/>
      <c r="H25" s="109"/>
      <c r="I25" s="109"/>
      <c r="J25" s="109"/>
      <c r="K25" s="109"/>
      <c r="L25" s="109"/>
      <c r="M25" s="109"/>
      <c r="N25" s="109"/>
    </row>
    <row r="26" spans="1:14" ht="67.5" customHeight="1">
      <c r="A26" s="109"/>
      <c r="B26" s="115"/>
      <c r="C26" s="118" t="str">
        <f ca="1">'3. Results'!B4</f>
        <v>Net Present Value in 2018</v>
      </c>
      <c r="D26" s="117" t="s">
        <v>693</v>
      </c>
      <c r="E26" s="113"/>
      <c r="F26" s="122" t="s">
        <v>694</v>
      </c>
      <c r="G26" s="113"/>
      <c r="H26" s="109"/>
      <c r="I26" s="109"/>
      <c r="J26" s="109"/>
      <c r="K26" s="109"/>
      <c r="L26" s="109"/>
      <c r="M26" s="109"/>
      <c r="N26" s="109"/>
    </row>
    <row r="27" spans="1:14" ht="67.5" customHeight="1">
      <c r="A27" s="109"/>
      <c r="B27" s="115"/>
      <c r="C27" s="118" t="str">
        <f>'2.3 Input_Main_Questionnaire'!F35</f>
        <v xml:space="preserve">Peer review </v>
      </c>
      <c r="D27" s="117" t="s">
        <v>695</v>
      </c>
      <c r="E27" s="113"/>
      <c r="F27" s="114"/>
      <c r="G27" s="113"/>
      <c r="H27" s="109"/>
      <c r="I27" s="109"/>
      <c r="J27" s="109"/>
      <c r="K27" s="109"/>
      <c r="L27" s="109"/>
      <c r="M27" s="109"/>
      <c r="N27" s="109"/>
    </row>
    <row r="28" spans="1:14" ht="67.5" customHeight="1">
      <c r="A28" s="109"/>
      <c r="B28" s="115"/>
      <c r="C28" s="118" t="str">
        <f>'2.3 Input_Main_Questionnaire'!F28</f>
        <v>Planning of a project</v>
      </c>
      <c r="D28" s="117" t="s">
        <v>696</v>
      </c>
      <c r="E28" s="113"/>
      <c r="F28" s="114"/>
      <c r="G28" s="113"/>
      <c r="H28" s="109"/>
      <c r="I28" s="109"/>
      <c r="J28" s="109"/>
      <c r="K28" s="109"/>
      <c r="L28" s="109"/>
      <c r="M28" s="109"/>
      <c r="N28" s="109"/>
    </row>
    <row r="29" spans="1:14" ht="67.5" customHeight="1">
      <c r="A29" s="109"/>
      <c r="B29" s="115"/>
      <c r="C29" s="118" t="str">
        <f>'2.3 Input_Main_Questionnaire'!F30</f>
        <v>Pre-processing and data cleansing</v>
      </c>
      <c r="D29" s="117" t="s">
        <v>697</v>
      </c>
      <c r="E29" s="113"/>
      <c r="F29" s="114"/>
      <c r="G29" s="113"/>
      <c r="H29" s="109"/>
      <c r="I29" s="109"/>
      <c r="J29" s="109"/>
      <c r="K29" s="109"/>
      <c r="L29" s="109"/>
      <c r="M29" s="109"/>
      <c r="N29" s="109"/>
    </row>
    <row r="30" spans="1:14" ht="67.5" customHeight="1">
      <c r="A30" s="109"/>
      <c r="B30" s="115"/>
      <c r="C30" s="118" t="str">
        <f>'2.3 Input_Main_Questionnaire'!F34</f>
        <v>Publication</v>
      </c>
      <c r="D30" s="117" t="s">
        <v>698</v>
      </c>
      <c r="E30" s="113"/>
      <c r="F30" s="114"/>
      <c r="G30" s="113"/>
      <c r="H30" s="109"/>
      <c r="I30" s="109"/>
      <c r="J30" s="109"/>
      <c r="K30" s="109"/>
      <c r="L30" s="109"/>
      <c r="M30" s="109"/>
      <c r="N30" s="109"/>
    </row>
    <row r="31" spans="1:14" ht="67.5" customHeight="1">
      <c r="A31" s="109"/>
      <c r="B31" s="115"/>
      <c r="C31" s="118" t="s">
        <v>333</v>
      </c>
      <c r="D31" s="117" t="s">
        <v>699</v>
      </c>
      <c r="E31" s="2"/>
      <c r="F31" s="122" t="s">
        <v>690</v>
      </c>
      <c r="G31" s="113"/>
      <c r="H31" s="109"/>
      <c r="I31" s="109"/>
      <c r="J31" s="109"/>
      <c r="K31" s="109"/>
      <c r="L31" s="109"/>
      <c r="M31" s="109"/>
      <c r="N31" s="109"/>
    </row>
    <row r="32" spans="1:14" ht="67.5" customHeight="1">
      <c r="A32" s="109"/>
      <c r="B32" s="115"/>
      <c r="C32" s="118" t="str">
        <f>'2.3 Input_Main_Questionnaire'!F33</f>
        <v>Redaction of the report</v>
      </c>
      <c r="D32" s="117" t="s">
        <v>700</v>
      </c>
      <c r="E32" s="113"/>
      <c r="F32" s="114"/>
      <c r="G32" s="113"/>
      <c r="H32" s="109"/>
      <c r="I32" s="109"/>
      <c r="J32" s="109"/>
      <c r="K32" s="109"/>
      <c r="L32" s="109"/>
      <c r="M32" s="109"/>
      <c r="N32" s="109"/>
    </row>
    <row r="33" spans="1:14" ht="170.45" customHeight="1">
      <c r="A33" s="109"/>
      <c r="B33" s="115"/>
      <c r="C33" s="118" t="s">
        <v>701</v>
      </c>
      <c r="D33" s="117" t="s">
        <v>702</v>
      </c>
      <c r="E33" s="113"/>
      <c r="F33" s="122" t="s">
        <v>703</v>
      </c>
      <c r="G33" s="113"/>
      <c r="H33" s="109"/>
      <c r="I33" s="109"/>
      <c r="J33" s="109"/>
      <c r="K33" s="109"/>
      <c r="L33" s="109"/>
      <c r="M33" s="109"/>
      <c r="N33" s="109"/>
    </row>
    <row r="34" spans="1:14" ht="67.5" customHeight="1">
      <c r="A34" s="109"/>
      <c r="B34" s="115"/>
      <c r="C34" s="118" t="s">
        <v>704</v>
      </c>
      <c r="D34" s="117" t="s">
        <v>705</v>
      </c>
      <c r="E34" s="113"/>
      <c r="F34" s="122" t="s">
        <v>690</v>
      </c>
      <c r="G34" s="113"/>
      <c r="H34" s="109"/>
      <c r="I34" s="109"/>
      <c r="J34" s="109"/>
      <c r="K34" s="109"/>
      <c r="L34" s="109"/>
      <c r="M34" s="109"/>
      <c r="N34" s="109"/>
    </row>
    <row r="35" spans="1:14" ht="67.5" customHeight="1">
      <c r="A35" s="109"/>
      <c r="B35" s="115"/>
      <c r="C35" s="21"/>
      <c r="D35" s="21"/>
      <c r="E35" s="113"/>
      <c r="F35" s="114"/>
      <c r="G35" s="113"/>
      <c r="H35" s="109"/>
      <c r="I35" s="109"/>
      <c r="J35" s="109"/>
      <c r="K35" s="109"/>
      <c r="L35" s="109"/>
      <c r="M35" s="109"/>
      <c r="N35" s="109"/>
    </row>
    <row r="36" spans="1:14" ht="67.5" customHeight="1">
      <c r="A36" s="109"/>
      <c r="B36" s="115"/>
      <c r="C36" s="112"/>
      <c r="D36" s="112"/>
      <c r="E36" s="113"/>
      <c r="F36" s="114"/>
      <c r="G36" s="113"/>
      <c r="H36" s="109"/>
      <c r="I36" s="109"/>
      <c r="J36" s="109"/>
      <c r="K36" s="109"/>
      <c r="L36" s="109"/>
      <c r="M36" s="109"/>
      <c r="N36" s="109"/>
    </row>
    <row r="37" spans="1:14" ht="67.5" customHeight="1">
      <c r="A37" s="109"/>
      <c r="B37" s="115"/>
      <c r="C37" s="112"/>
      <c r="D37" s="112"/>
      <c r="E37" s="113"/>
      <c r="F37" s="114"/>
      <c r="G37" s="113"/>
      <c r="H37" s="109"/>
      <c r="I37" s="109"/>
      <c r="J37" s="109"/>
      <c r="K37" s="109"/>
      <c r="L37" s="109"/>
      <c r="M37" s="109"/>
      <c r="N37" s="109"/>
    </row>
    <row r="38" spans="1:14" ht="67.5" customHeight="1">
      <c r="A38" s="109"/>
      <c r="B38" s="115"/>
      <c r="C38" s="112"/>
      <c r="D38" s="112"/>
      <c r="E38" s="113"/>
      <c r="F38" s="114"/>
      <c r="G38" s="113"/>
      <c r="H38" s="109"/>
      <c r="I38" s="109"/>
      <c r="J38" s="109"/>
      <c r="K38" s="109"/>
      <c r="L38" s="109"/>
      <c r="M38" s="109"/>
      <c r="N38" s="109"/>
    </row>
    <row r="39" spans="1:14" ht="67.5" customHeight="1">
      <c r="A39" s="109"/>
      <c r="B39" s="115"/>
      <c r="C39" s="112"/>
      <c r="D39" s="112"/>
      <c r="E39" s="113"/>
      <c r="F39" s="114"/>
      <c r="G39" s="113"/>
      <c r="H39" s="109"/>
      <c r="I39" s="109"/>
      <c r="J39" s="109"/>
      <c r="K39" s="109"/>
      <c r="L39" s="109"/>
      <c r="M39" s="109"/>
      <c r="N39" s="109"/>
    </row>
    <row r="40" spans="1:14" ht="67.5" customHeight="1">
      <c r="A40" s="109"/>
      <c r="B40" s="115"/>
      <c r="C40" s="112"/>
      <c r="D40" s="112"/>
      <c r="E40" s="113"/>
      <c r="F40" s="114"/>
      <c r="G40" s="113"/>
      <c r="H40" s="109"/>
      <c r="I40" s="109"/>
      <c r="J40" s="109"/>
      <c r="K40" s="109"/>
      <c r="L40" s="109"/>
      <c r="M40" s="109"/>
      <c r="N40" s="109"/>
    </row>
    <row r="41" spans="1:14" ht="67.5" customHeight="1">
      <c r="A41" s="109"/>
      <c r="B41" s="115"/>
      <c r="C41" s="112"/>
      <c r="D41" s="112"/>
      <c r="E41" s="113"/>
      <c r="F41" s="114"/>
      <c r="G41" s="113"/>
      <c r="H41" s="109"/>
      <c r="I41" s="109"/>
      <c r="J41" s="109"/>
      <c r="K41" s="109"/>
      <c r="L41" s="109"/>
      <c r="M41" s="109"/>
      <c r="N41" s="109"/>
    </row>
    <row r="42" spans="1:14" ht="67.5" customHeight="1">
      <c r="A42" s="109"/>
      <c r="B42" s="115"/>
      <c r="C42" s="112"/>
      <c r="D42" s="112"/>
      <c r="E42" s="113"/>
      <c r="F42" s="114"/>
      <c r="G42" s="113"/>
      <c r="H42" s="109"/>
      <c r="I42" s="109"/>
      <c r="J42" s="109"/>
      <c r="K42" s="109"/>
      <c r="L42" s="109"/>
      <c r="M42" s="109"/>
      <c r="N42" s="109"/>
    </row>
    <row r="43" spans="1:14" ht="67.5" customHeight="1">
      <c r="A43" s="109"/>
      <c r="B43" s="115"/>
      <c r="C43" s="112"/>
      <c r="D43" s="112"/>
      <c r="E43" s="113"/>
      <c r="F43" s="114"/>
      <c r="G43" s="113"/>
      <c r="H43" s="109"/>
      <c r="I43" s="109"/>
      <c r="J43" s="109"/>
      <c r="K43" s="109"/>
      <c r="L43" s="109"/>
      <c r="M43" s="109"/>
      <c r="N43" s="109"/>
    </row>
    <row r="44" spans="1:14" ht="67.5" customHeight="1">
      <c r="A44" s="109"/>
      <c r="B44" s="115"/>
      <c r="C44" s="112"/>
      <c r="D44" s="112"/>
      <c r="E44" s="113"/>
      <c r="F44" s="114"/>
      <c r="G44" s="113"/>
      <c r="H44" s="109"/>
      <c r="I44" s="109"/>
      <c r="J44" s="109"/>
      <c r="K44" s="109"/>
      <c r="L44" s="109"/>
      <c r="M44" s="109"/>
      <c r="N44" s="109"/>
    </row>
    <row r="45" spans="1:14" ht="67.5" customHeight="1">
      <c r="A45" s="109"/>
      <c r="B45" s="115"/>
      <c r="C45" s="112"/>
      <c r="D45" s="112"/>
      <c r="E45" s="113"/>
      <c r="F45" s="114"/>
      <c r="G45" s="113"/>
      <c r="H45" s="109"/>
      <c r="I45" s="109"/>
      <c r="J45" s="109"/>
      <c r="K45" s="109"/>
      <c r="L45" s="109"/>
      <c r="M45" s="109"/>
      <c r="N45" s="109"/>
    </row>
    <row r="46" spans="1:14" ht="67.5" customHeight="1">
      <c r="A46" s="109"/>
      <c r="B46" s="115"/>
      <c r="C46" s="112"/>
      <c r="D46" s="112"/>
      <c r="E46" s="113"/>
      <c r="F46" s="114"/>
      <c r="G46" s="113"/>
      <c r="H46" s="109"/>
      <c r="I46" s="109"/>
      <c r="J46" s="109"/>
      <c r="K46" s="109"/>
      <c r="L46" s="109"/>
      <c r="M46" s="109"/>
      <c r="N46" s="109"/>
    </row>
    <row r="47" spans="1:14" ht="67.5" customHeight="1">
      <c r="A47" s="109"/>
      <c r="B47" s="115"/>
      <c r="C47" s="112"/>
      <c r="D47" s="112"/>
      <c r="E47" s="113"/>
      <c r="F47" s="114"/>
      <c r="G47" s="113"/>
      <c r="H47" s="109"/>
      <c r="I47" s="109"/>
      <c r="J47" s="109"/>
      <c r="K47" s="109"/>
      <c r="L47" s="109"/>
      <c r="M47" s="109"/>
      <c r="N47" s="109"/>
    </row>
    <row r="48" spans="1:14" ht="67.5" customHeight="1">
      <c r="A48" s="109"/>
      <c r="B48" s="115"/>
      <c r="C48" s="112"/>
      <c r="D48" s="112"/>
      <c r="E48" s="113"/>
      <c r="F48" s="114"/>
      <c r="G48" s="113"/>
      <c r="H48" s="109"/>
      <c r="I48" s="109"/>
      <c r="J48" s="109"/>
      <c r="K48" s="109"/>
      <c r="L48" s="109"/>
      <c r="M48" s="109"/>
      <c r="N48" s="109"/>
    </row>
    <row r="49" spans="1:14" ht="67.5" customHeight="1">
      <c r="A49" s="109"/>
      <c r="B49" s="115"/>
      <c r="C49" s="112"/>
      <c r="D49" s="112"/>
      <c r="E49" s="113"/>
      <c r="F49" s="114"/>
      <c r="G49" s="113"/>
      <c r="H49" s="109"/>
      <c r="I49" s="109"/>
      <c r="J49" s="109"/>
      <c r="K49" s="109"/>
      <c r="L49" s="109"/>
      <c r="M49" s="109"/>
      <c r="N49" s="109"/>
    </row>
    <row r="50" spans="1:14" ht="67.5" customHeight="1">
      <c r="A50" s="109"/>
      <c r="B50" s="112"/>
      <c r="C50" s="112"/>
      <c r="D50" s="112"/>
      <c r="E50" s="113"/>
      <c r="F50" s="114"/>
      <c r="G50" s="113"/>
      <c r="H50" s="109"/>
      <c r="I50" s="109"/>
      <c r="J50" s="109"/>
      <c r="K50" s="109"/>
      <c r="L50" s="109"/>
      <c r="M50" s="109"/>
      <c r="N50" s="109"/>
    </row>
    <row r="51" spans="1:14" ht="67.5" customHeight="1">
      <c r="A51" s="109"/>
      <c r="B51" s="112"/>
      <c r="C51" s="112"/>
      <c r="D51" s="112"/>
      <c r="E51" s="113"/>
      <c r="F51" s="114"/>
      <c r="G51" s="113"/>
      <c r="H51" s="109"/>
      <c r="I51" s="109"/>
      <c r="J51" s="109"/>
      <c r="K51" s="109"/>
      <c r="L51" s="109"/>
      <c r="M51" s="109"/>
      <c r="N51" s="109"/>
    </row>
    <row r="52" spans="1:14" ht="67.5" customHeight="1">
      <c r="A52" s="109"/>
      <c r="B52" s="112"/>
      <c r="C52" s="112"/>
      <c r="D52" s="112"/>
      <c r="E52" s="113"/>
      <c r="F52" s="114"/>
      <c r="G52" s="113"/>
      <c r="H52" s="109"/>
      <c r="I52" s="109"/>
      <c r="J52" s="109"/>
      <c r="K52" s="109"/>
      <c r="L52" s="109"/>
      <c r="M52" s="109"/>
      <c r="N52" s="109"/>
    </row>
    <row r="53" spans="1:14" ht="67.5" customHeight="1">
      <c r="A53" s="109"/>
      <c r="B53" s="112"/>
      <c r="C53" s="112"/>
      <c r="D53" s="112"/>
      <c r="E53" s="113"/>
      <c r="F53" s="114"/>
      <c r="G53" s="113"/>
      <c r="H53" s="109"/>
      <c r="I53" s="109"/>
      <c r="J53" s="109"/>
      <c r="K53" s="109"/>
      <c r="L53" s="109"/>
      <c r="M53" s="109"/>
      <c r="N53" s="109"/>
    </row>
    <row r="54" spans="1:14" ht="67.5" customHeight="1">
      <c r="A54" s="109"/>
      <c r="B54" s="112"/>
      <c r="C54" s="112"/>
      <c r="D54" s="112"/>
      <c r="E54" s="113"/>
      <c r="F54" s="114"/>
      <c r="G54" s="113"/>
      <c r="H54" s="109"/>
      <c r="I54" s="109"/>
      <c r="J54" s="109"/>
      <c r="K54" s="109"/>
      <c r="L54" s="109"/>
      <c r="M54" s="109"/>
      <c r="N54" s="109"/>
    </row>
    <row r="55" spans="1:14" ht="67.5" customHeight="1">
      <c r="A55" s="109"/>
      <c r="B55" s="112"/>
      <c r="C55" s="112"/>
      <c r="D55" s="112"/>
      <c r="E55" s="113"/>
      <c r="F55" s="114"/>
      <c r="G55" s="113"/>
      <c r="H55" s="109"/>
      <c r="I55" s="109"/>
      <c r="J55" s="109"/>
      <c r="K55" s="109"/>
      <c r="L55" s="109"/>
      <c r="M55" s="109"/>
      <c r="N55" s="109"/>
    </row>
    <row r="56" spans="1:14" ht="67.5" customHeight="1">
      <c r="A56" s="109"/>
      <c r="B56" s="112"/>
      <c r="C56" s="112"/>
      <c r="D56" s="112"/>
      <c r="E56" s="113"/>
      <c r="F56" s="114"/>
      <c r="G56" s="113"/>
      <c r="H56" s="109"/>
      <c r="I56" s="109"/>
      <c r="J56" s="109"/>
      <c r="K56" s="109"/>
      <c r="L56" s="109"/>
      <c r="M56" s="109"/>
      <c r="N56" s="109"/>
    </row>
    <row r="57" spans="1:14" ht="67.5" customHeight="1">
      <c r="A57" s="109"/>
      <c r="B57" s="112"/>
      <c r="C57" s="112"/>
      <c r="D57" s="112"/>
      <c r="E57" s="113"/>
      <c r="F57" s="114"/>
      <c r="G57" s="113"/>
      <c r="H57" s="109"/>
      <c r="I57" s="109"/>
      <c r="J57" s="109"/>
      <c r="K57" s="109"/>
      <c r="L57" s="109"/>
      <c r="M57" s="109"/>
      <c r="N57" s="109"/>
    </row>
    <row r="58" spans="1:14" ht="67.5" customHeight="1">
      <c r="A58" s="109"/>
      <c r="B58" s="112"/>
      <c r="C58" s="112"/>
      <c r="D58" s="112"/>
      <c r="E58" s="113"/>
      <c r="F58" s="114"/>
      <c r="G58" s="113"/>
      <c r="H58" s="109"/>
      <c r="I58" s="109"/>
      <c r="J58" s="109"/>
      <c r="K58" s="109"/>
      <c r="L58" s="109"/>
      <c r="M58" s="109"/>
      <c r="N58" s="109"/>
    </row>
    <row r="59" spans="1:14">
      <c r="A59" s="109"/>
      <c r="B59" s="110"/>
      <c r="C59" s="110"/>
      <c r="D59" s="110"/>
      <c r="E59" s="109"/>
      <c r="F59" s="111"/>
      <c r="G59" s="109"/>
      <c r="H59" s="109"/>
      <c r="I59" s="109"/>
      <c r="J59" s="109"/>
      <c r="K59" s="109"/>
      <c r="L59" s="109"/>
      <c r="M59" s="109"/>
      <c r="N59" s="109"/>
    </row>
    <row r="60" spans="1:14">
      <c r="A60" s="109"/>
      <c r="B60" s="110"/>
      <c r="C60" s="110"/>
      <c r="D60" s="110"/>
      <c r="E60" s="109"/>
      <c r="F60" s="111"/>
      <c r="G60" s="109"/>
      <c r="H60" s="109"/>
      <c r="I60" s="109"/>
      <c r="J60" s="109"/>
      <c r="K60" s="109"/>
      <c r="L60" s="109"/>
      <c r="M60" s="109"/>
      <c r="N60" s="109"/>
    </row>
    <row r="61" spans="1:14">
      <c r="A61" s="109"/>
      <c r="B61" s="110"/>
      <c r="C61" s="110"/>
      <c r="D61" s="110"/>
      <c r="E61" s="109"/>
      <c r="F61" s="111"/>
      <c r="G61" s="109"/>
      <c r="H61" s="109"/>
      <c r="I61" s="109"/>
      <c r="J61" s="109"/>
      <c r="K61" s="109"/>
      <c r="L61" s="109"/>
      <c r="M61" s="109"/>
      <c r="N61" s="109"/>
    </row>
    <row r="62" spans="1:14">
      <c r="A62" s="109"/>
      <c r="B62" s="110"/>
      <c r="C62" s="110"/>
      <c r="D62" s="110"/>
      <c r="E62" s="109"/>
      <c r="F62" s="111"/>
      <c r="G62" s="109"/>
      <c r="H62" s="109"/>
      <c r="I62" s="109"/>
      <c r="J62" s="109"/>
      <c r="K62" s="109"/>
      <c r="L62" s="109"/>
      <c r="M62" s="109"/>
      <c r="N62" s="109"/>
    </row>
    <row r="63" spans="1:14">
      <c r="A63" s="109"/>
      <c r="B63" s="110"/>
      <c r="C63" s="110"/>
      <c r="D63" s="110"/>
      <c r="E63" s="109"/>
      <c r="F63" s="111"/>
      <c r="G63" s="109"/>
      <c r="H63" s="109"/>
      <c r="I63" s="109"/>
      <c r="J63" s="109"/>
      <c r="K63" s="109"/>
      <c r="L63" s="109"/>
      <c r="M63" s="109"/>
      <c r="N63" s="109"/>
    </row>
    <row r="64" spans="1:14">
      <c r="A64" s="109"/>
      <c r="B64" s="110"/>
      <c r="C64" s="110"/>
      <c r="D64" s="110"/>
      <c r="E64" s="109"/>
      <c r="F64" s="111"/>
      <c r="G64" s="109"/>
      <c r="H64" s="109"/>
      <c r="I64" s="109"/>
      <c r="J64" s="109"/>
      <c r="K64" s="109"/>
      <c r="L64" s="109"/>
      <c r="M64" s="109"/>
      <c r="N64" s="109"/>
    </row>
    <row r="65" spans="1:14">
      <c r="A65" s="109"/>
      <c r="B65" s="110"/>
      <c r="C65" s="110"/>
      <c r="D65" s="110"/>
      <c r="E65" s="109"/>
      <c r="F65" s="111"/>
      <c r="G65" s="109"/>
      <c r="H65" s="109"/>
      <c r="I65" s="109"/>
      <c r="J65" s="109"/>
      <c r="K65" s="109"/>
      <c r="L65" s="109"/>
      <c r="M65" s="109"/>
      <c r="N65" s="109"/>
    </row>
    <row r="66" spans="1:14">
      <c r="A66" s="109"/>
      <c r="B66" s="110"/>
      <c r="C66" s="110"/>
      <c r="D66" s="110"/>
      <c r="E66" s="109"/>
      <c r="F66" s="111"/>
      <c r="G66" s="109"/>
      <c r="H66" s="109"/>
      <c r="I66" s="109"/>
      <c r="J66" s="109"/>
      <c r="K66" s="109"/>
      <c r="L66" s="109"/>
      <c r="M66" s="109"/>
      <c r="N66" s="109"/>
    </row>
    <row r="67" spans="1:14">
      <c r="A67" s="109"/>
      <c r="B67" s="110"/>
      <c r="C67" s="110"/>
      <c r="D67" s="110"/>
      <c r="E67" s="109"/>
      <c r="F67" s="111"/>
      <c r="G67" s="109"/>
      <c r="H67" s="109"/>
      <c r="I67" s="109"/>
      <c r="J67" s="109"/>
      <c r="K67" s="109"/>
      <c r="L67" s="109"/>
      <c r="M67" s="109"/>
      <c r="N67" s="109"/>
    </row>
    <row r="68" spans="1:14">
      <c r="A68" s="109"/>
      <c r="B68" s="110"/>
      <c r="C68" s="110"/>
      <c r="D68" s="110"/>
      <c r="E68" s="109"/>
      <c r="F68" s="111"/>
      <c r="G68" s="109"/>
      <c r="H68" s="109"/>
      <c r="I68" s="109"/>
      <c r="J68" s="109"/>
      <c r="K68" s="109"/>
      <c r="L68" s="109"/>
      <c r="M68" s="109"/>
      <c r="N68" s="109"/>
    </row>
    <row r="69" spans="1:14">
      <c r="A69" s="109"/>
      <c r="B69" s="110"/>
      <c r="C69" s="110"/>
      <c r="D69" s="110"/>
      <c r="E69" s="109"/>
      <c r="F69" s="111"/>
      <c r="G69" s="109"/>
      <c r="H69" s="109"/>
      <c r="I69" s="109"/>
      <c r="J69" s="109"/>
      <c r="K69" s="109"/>
      <c r="L69" s="109"/>
      <c r="M69" s="109"/>
      <c r="N69" s="109"/>
    </row>
    <row r="70" spans="1:14">
      <c r="A70" s="109"/>
      <c r="B70" s="110"/>
      <c r="C70" s="110"/>
      <c r="D70" s="110"/>
      <c r="E70" s="109"/>
      <c r="F70" s="111"/>
      <c r="G70" s="109"/>
      <c r="H70" s="109"/>
      <c r="I70" s="109"/>
      <c r="J70" s="109"/>
      <c r="K70" s="109"/>
      <c r="L70" s="109"/>
      <c r="M70" s="109"/>
      <c r="N70" s="109"/>
    </row>
    <row r="71" spans="1:14">
      <c r="A71" s="109"/>
      <c r="B71" s="110"/>
      <c r="C71" s="110"/>
      <c r="D71" s="110"/>
      <c r="E71" s="109"/>
      <c r="F71" s="111"/>
      <c r="G71" s="109"/>
      <c r="H71" s="109"/>
      <c r="I71" s="109"/>
      <c r="J71" s="109"/>
      <c r="K71" s="109"/>
      <c r="L71" s="109"/>
      <c r="M71" s="109"/>
      <c r="N71" s="109"/>
    </row>
    <row r="72" spans="1:14">
      <c r="A72" s="109"/>
      <c r="B72" s="110"/>
      <c r="C72" s="110"/>
      <c r="D72" s="110"/>
      <c r="E72" s="109"/>
      <c r="F72" s="111"/>
      <c r="G72" s="109"/>
      <c r="H72" s="109"/>
      <c r="I72" s="109"/>
      <c r="J72" s="109"/>
      <c r="K72" s="109"/>
      <c r="L72" s="109"/>
      <c r="M72" s="109"/>
      <c r="N72" s="109"/>
    </row>
    <row r="73" spans="1:14">
      <c r="A73" s="109"/>
      <c r="B73" s="110"/>
      <c r="C73" s="110"/>
      <c r="D73" s="110"/>
      <c r="E73" s="109"/>
      <c r="F73" s="111"/>
      <c r="G73" s="109"/>
      <c r="H73" s="109"/>
      <c r="I73" s="109"/>
      <c r="J73" s="109"/>
      <c r="K73" s="109"/>
      <c r="L73" s="109"/>
      <c r="M73" s="109"/>
      <c r="N73" s="109"/>
    </row>
    <row r="74" spans="1:14">
      <c r="A74" s="109"/>
      <c r="B74" s="110"/>
      <c r="C74" s="110"/>
      <c r="D74" s="110"/>
      <c r="E74" s="109"/>
      <c r="F74" s="111"/>
      <c r="G74" s="109"/>
      <c r="H74" s="109"/>
      <c r="I74" s="109"/>
      <c r="J74" s="109"/>
      <c r="K74" s="109"/>
      <c r="L74" s="109"/>
      <c r="M74" s="109"/>
      <c r="N74" s="109"/>
    </row>
    <row r="75" spans="1:14">
      <c r="A75" s="109"/>
      <c r="B75" s="110"/>
      <c r="C75" s="110"/>
      <c r="D75" s="110"/>
      <c r="E75" s="109"/>
      <c r="F75" s="111"/>
      <c r="G75" s="109"/>
      <c r="H75" s="109"/>
      <c r="I75" s="109"/>
      <c r="J75" s="109"/>
      <c r="K75" s="109"/>
      <c r="L75" s="109"/>
      <c r="M75" s="109"/>
      <c r="N75" s="109"/>
    </row>
    <row r="76" spans="1:14">
      <c r="A76" s="109"/>
      <c r="B76" s="110"/>
      <c r="C76" s="110"/>
      <c r="D76" s="110"/>
      <c r="E76" s="109"/>
      <c r="F76" s="111"/>
      <c r="G76" s="109"/>
      <c r="H76" s="109"/>
      <c r="I76" s="109"/>
      <c r="J76" s="109"/>
      <c r="K76" s="109"/>
      <c r="L76" s="109"/>
      <c r="M76" s="109"/>
      <c r="N76" s="109"/>
    </row>
    <row r="77" spans="1:14">
      <c r="A77" s="109"/>
      <c r="B77" s="110"/>
      <c r="C77" s="110"/>
      <c r="D77" s="110"/>
      <c r="E77" s="109"/>
      <c r="F77" s="111"/>
      <c r="G77" s="109"/>
      <c r="H77" s="109"/>
      <c r="I77" s="109"/>
      <c r="J77" s="109"/>
      <c r="K77" s="109"/>
      <c r="L77" s="109"/>
      <c r="M77" s="109"/>
      <c r="N77" s="109"/>
    </row>
    <row r="78" spans="1:14">
      <c r="A78" s="109"/>
      <c r="B78" s="110"/>
      <c r="C78" s="110"/>
      <c r="D78" s="110"/>
      <c r="E78" s="109"/>
      <c r="F78" s="111"/>
      <c r="G78" s="109"/>
      <c r="H78" s="109"/>
      <c r="I78" s="109"/>
      <c r="J78" s="109"/>
      <c r="K78" s="109"/>
      <c r="L78" s="109"/>
      <c r="M78" s="109"/>
      <c r="N78" s="109"/>
    </row>
    <row r="79" spans="1:14">
      <c r="A79" s="109"/>
      <c r="B79" s="110"/>
      <c r="C79" s="110"/>
      <c r="D79" s="110"/>
      <c r="E79" s="109"/>
      <c r="F79" s="111"/>
      <c r="G79" s="109"/>
      <c r="H79" s="109"/>
      <c r="I79" s="109"/>
      <c r="J79" s="109"/>
      <c r="K79" s="109"/>
      <c r="L79" s="109"/>
      <c r="M79" s="109"/>
      <c r="N79" s="109"/>
    </row>
    <row r="80" spans="1:14">
      <c r="A80" s="109"/>
      <c r="B80" s="110"/>
      <c r="C80" s="110"/>
      <c r="D80" s="110"/>
      <c r="E80" s="109"/>
      <c r="F80" s="111"/>
      <c r="G80" s="109"/>
      <c r="H80" s="109"/>
      <c r="I80" s="109"/>
      <c r="J80" s="109"/>
      <c r="K80" s="109"/>
      <c r="L80" s="109"/>
      <c r="M80" s="109"/>
      <c r="N80" s="109"/>
    </row>
    <row r="81" spans="1:14">
      <c r="A81" s="109"/>
      <c r="B81" s="110"/>
      <c r="C81" s="110"/>
      <c r="D81" s="110"/>
      <c r="E81" s="109"/>
      <c r="F81" s="111"/>
      <c r="G81" s="109"/>
      <c r="H81" s="109"/>
      <c r="I81" s="109"/>
      <c r="J81" s="109"/>
      <c r="K81" s="109"/>
      <c r="L81" s="109"/>
      <c r="M81" s="109"/>
      <c r="N81" s="109"/>
    </row>
    <row r="82" spans="1:14">
      <c r="A82" s="109"/>
      <c r="B82" s="110"/>
      <c r="C82" s="110"/>
      <c r="D82" s="110"/>
      <c r="E82" s="109"/>
      <c r="F82" s="111"/>
      <c r="G82" s="109"/>
      <c r="H82" s="109"/>
      <c r="I82" s="109"/>
      <c r="J82" s="109"/>
      <c r="K82" s="109"/>
      <c r="L82" s="109"/>
      <c r="M82" s="109"/>
      <c r="N82" s="109"/>
    </row>
    <row r="83" spans="1:14">
      <c r="A83" s="109"/>
      <c r="B83" s="110"/>
      <c r="C83" s="110"/>
      <c r="D83" s="110"/>
      <c r="E83" s="109"/>
      <c r="F83" s="111"/>
      <c r="G83" s="109"/>
      <c r="H83" s="109"/>
      <c r="I83" s="109"/>
      <c r="J83" s="109"/>
      <c r="K83" s="109"/>
      <c r="L83" s="109"/>
      <c r="M83" s="109"/>
      <c r="N83" s="109"/>
    </row>
    <row r="84" spans="1:14">
      <c r="A84" s="109"/>
      <c r="B84" s="110"/>
      <c r="C84" s="110"/>
      <c r="D84" s="110"/>
      <c r="E84" s="109"/>
      <c r="F84" s="111"/>
      <c r="G84" s="109"/>
      <c r="H84" s="109"/>
      <c r="I84" s="109"/>
      <c r="J84" s="109"/>
      <c r="K84" s="109"/>
      <c r="L84" s="109"/>
      <c r="M84" s="109"/>
      <c r="N84" s="109"/>
    </row>
    <row r="85" spans="1:14">
      <c r="A85" s="109"/>
      <c r="B85" s="110"/>
      <c r="C85" s="110"/>
      <c r="D85" s="110"/>
      <c r="E85" s="109"/>
      <c r="F85" s="111"/>
      <c r="G85" s="109"/>
      <c r="H85" s="109"/>
      <c r="I85" s="109"/>
      <c r="J85" s="109"/>
      <c r="K85" s="109"/>
      <c r="L85" s="109"/>
      <c r="M85" s="109"/>
      <c r="N85" s="109"/>
    </row>
    <row r="86" spans="1:14">
      <c r="A86" s="109"/>
      <c r="B86" s="110"/>
      <c r="C86" s="110"/>
      <c r="D86" s="110"/>
      <c r="E86" s="109"/>
      <c r="F86" s="111"/>
      <c r="G86" s="109"/>
      <c r="H86" s="109"/>
      <c r="I86" s="109"/>
      <c r="J86" s="109"/>
      <c r="K86" s="109"/>
      <c r="L86" s="109"/>
      <c r="M86" s="109"/>
      <c r="N86" s="109"/>
    </row>
    <row r="87" spans="1:14">
      <c r="A87" s="109"/>
      <c r="B87" s="110"/>
      <c r="C87" s="110"/>
      <c r="D87" s="110"/>
      <c r="E87" s="109"/>
      <c r="F87" s="111"/>
      <c r="G87" s="109"/>
      <c r="H87" s="109"/>
      <c r="I87" s="109"/>
      <c r="J87" s="109"/>
      <c r="K87" s="109"/>
      <c r="L87" s="109"/>
      <c r="M87" s="109"/>
      <c r="N87" s="109"/>
    </row>
    <row r="88" spans="1:14">
      <c r="A88" s="109"/>
      <c r="B88" s="110"/>
      <c r="C88" s="110"/>
      <c r="D88" s="110"/>
      <c r="E88" s="109"/>
      <c r="F88" s="111"/>
      <c r="G88" s="109"/>
      <c r="H88" s="109"/>
      <c r="I88" s="109"/>
      <c r="J88" s="109"/>
      <c r="K88" s="109"/>
      <c r="L88" s="109"/>
      <c r="M88" s="109"/>
      <c r="N88" s="109"/>
    </row>
    <row r="89" spans="1:14">
      <c r="A89" s="109"/>
      <c r="B89" s="110"/>
      <c r="C89" s="110"/>
      <c r="D89" s="110"/>
      <c r="E89" s="109"/>
      <c r="F89" s="111"/>
      <c r="G89" s="109"/>
      <c r="H89" s="109"/>
      <c r="I89" s="109"/>
      <c r="J89" s="109"/>
      <c r="K89" s="109"/>
      <c r="L89" s="109"/>
      <c r="M89" s="109"/>
      <c r="N89" s="109"/>
    </row>
    <row r="90" spans="1:14">
      <c r="A90" s="109"/>
      <c r="B90" s="110"/>
      <c r="C90" s="110"/>
      <c r="D90" s="110"/>
      <c r="E90" s="109"/>
      <c r="F90" s="111"/>
      <c r="G90" s="109"/>
      <c r="H90" s="109"/>
      <c r="I90" s="109"/>
      <c r="J90" s="109"/>
      <c r="K90" s="109"/>
      <c r="L90" s="109"/>
      <c r="M90" s="109"/>
      <c r="N90" s="109"/>
    </row>
    <row r="91" spans="1:14">
      <c r="A91" s="109"/>
      <c r="B91" s="110"/>
      <c r="C91" s="110"/>
      <c r="D91" s="110"/>
      <c r="E91" s="109"/>
      <c r="F91" s="111"/>
      <c r="G91" s="109"/>
      <c r="H91" s="109"/>
      <c r="I91" s="109"/>
      <c r="J91" s="109"/>
      <c r="K91" s="109"/>
      <c r="L91" s="109"/>
      <c r="M91" s="109"/>
      <c r="N91" s="109"/>
    </row>
    <row r="92" spans="1:14">
      <c r="A92" s="109"/>
      <c r="B92" s="110"/>
      <c r="C92" s="110"/>
      <c r="D92" s="110"/>
      <c r="E92" s="109"/>
      <c r="F92" s="111"/>
      <c r="G92" s="109"/>
      <c r="H92" s="109"/>
      <c r="I92" s="109"/>
      <c r="J92" s="109"/>
      <c r="K92" s="109"/>
      <c r="L92" s="109"/>
      <c r="M92" s="109"/>
      <c r="N92" s="109"/>
    </row>
    <row r="93" spans="1:14">
      <c r="A93" s="109"/>
      <c r="B93" s="110"/>
      <c r="C93" s="110"/>
      <c r="D93" s="110"/>
      <c r="E93" s="109"/>
      <c r="F93" s="111"/>
      <c r="G93" s="109"/>
      <c r="H93" s="109"/>
      <c r="I93" s="109"/>
      <c r="J93" s="109"/>
      <c r="K93" s="109"/>
      <c r="L93" s="109"/>
      <c r="M93" s="109"/>
      <c r="N93" s="109"/>
    </row>
    <row r="94" spans="1:14">
      <c r="A94" s="109"/>
      <c r="B94" s="110"/>
      <c r="C94" s="110"/>
      <c r="D94" s="110"/>
      <c r="E94" s="109"/>
      <c r="F94" s="111"/>
      <c r="G94" s="109"/>
      <c r="H94" s="109"/>
      <c r="I94" s="109"/>
      <c r="J94" s="109"/>
      <c r="K94" s="109"/>
      <c r="L94" s="109"/>
      <c r="M94" s="109"/>
      <c r="N94" s="109"/>
    </row>
    <row r="95" spans="1:14">
      <c r="A95" s="109"/>
      <c r="B95" s="110"/>
      <c r="C95" s="110"/>
      <c r="D95" s="110"/>
      <c r="E95" s="109"/>
      <c r="F95" s="111"/>
      <c r="G95" s="109"/>
      <c r="H95" s="109"/>
      <c r="I95" s="109"/>
      <c r="J95" s="109"/>
      <c r="K95" s="109"/>
      <c r="L95" s="109"/>
      <c r="M95" s="109"/>
      <c r="N95" s="109"/>
    </row>
    <row r="96" spans="1:14">
      <c r="A96" s="109"/>
      <c r="B96" s="110"/>
      <c r="C96" s="110"/>
      <c r="D96" s="110"/>
      <c r="E96" s="109"/>
      <c r="F96" s="111"/>
      <c r="G96" s="109"/>
      <c r="H96" s="109"/>
      <c r="I96" s="109"/>
      <c r="J96" s="109"/>
      <c r="K96" s="109"/>
      <c r="L96" s="109"/>
      <c r="M96" s="109"/>
      <c r="N96" s="109"/>
    </row>
    <row r="97" spans="1:14">
      <c r="A97" s="109"/>
      <c r="B97" s="110"/>
      <c r="C97" s="110"/>
      <c r="D97" s="110"/>
      <c r="E97" s="109"/>
      <c r="F97" s="111"/>
      <c r="G97" s="109"/>
      <c r="H97" s="109"/>
      <c r="I97" s="109"/>
      <c r="J97" s="109"/>
      <c r="K97" s="109"/>
      <c r="L97" s="109"/>
      <c r="M97" s="109"/>
      <c r="N97" s="109"/>
    </row>
    <row r="98" spans="1:14">
      <c r="A98" s="109"/>
      <c r="B98" s="110"/>
      <c r="C98" s="110"/>
      <c r="D98" s="110"/>
      <c r="E98" s="109"/>
      <c r="F98" s="111"/>
      <c r="G98" s="109"/>
      <c r="H98" s="109"/>
      <c r="I98" s="109"/>
      <c r="J98" s="109"/>
      <c r="K98" s="109"/>
      <c r="L98" s="109"/>
      <c r="M98" s="109"/>
      <c r="N98" s="109"/>
    </row>
    <row r="99" spans="1:14">
      <c r="A99" s="109"/>
      <c r="B99" s="110"/>
      <c r="C99" s="110"/>
      <c r="D99" s="110"/>
      <c r="E99" s="109"/>
      <c r="F99" s="111"/>
      <c r="G99" s="109"/>
      <c r="H99" s="109"/>
      <c r="I99" s="109"/>
      <c r="J99" s="109"/>
      <c r="K99" s="109"/>
      <c r="L99" s="109"/>
      <c r="M99" s="109"/>
      <c r="N99" s="109"/>
    </row>
    <row r="100" spans="1:14">
      <c r="A100" s="109"/>
      <c r="B100" s="110"/>
      <c r="C100" s="110"/>
      <c r="D100" s="110"/>
      <c r="E100" s="109"/>
      <c r="F100" s="111"/>
      <c r="G100" s="109"/>
      <c r="H100" s="109"/>
      <c r="I100" s="109"/>
      <c r="J100" s="109"/>
      <c r="K100" s="109"/>
      <c r="L100" s="109"/>
      <c r="M100" s="109"/>
      <c r="N100" s="109"/>
    </row>
    <row r="101" spans="1:14">
      <c r="A101" s="109"/>
      <c r="B101" s="110"/>
      <c r="C101" s="110"/>
      <c r="D101" s="110"/>
      <c r="E101" s="109"/>
      <c r="F101" s="111"/>
      <c r="G101" s="109"/>
      <c r="H101" s="109"/>
      <c r="I101" s="109"/>
      <c r="J101" s="109"/>
      <c r="K101" s="109"/>
      <c r="L101" s="109"/>
      <c r="M101" s="109"/>
      <c r="N101" s="109"/>
    </row>
    <row r="102" spans="1:14">
      <c r="A102" s="109"/>
      <c r="B102" s="110"/>
      <c r="C102" s="110"/>
      <c r="D102" s="110"/>
      <c r="E102" s="109"/>
      <c r="F102" s="111"/>
      <c r="G102" s="109"/>
      <c r="H102" s="109"/>
      <c r="I102" s="109"/>
      <c r="J102" s="109"/>
      <c r="K102" s="109"/>
      <c r="L102" s="109"/>
      <c r="M102" s="109"/>
      <c r="N102" s="109"/>
    </row>
    <row r="103" spans="1:14">
      <c r="A103" s="109"/>
      <c r="B103" s="110"/>
      <c r="C103" s="110"/>
      <c r="D103" s="110"/>
      <c r="E103" s="109"/>
      <c r="F103" s="111"/>
      <c r="G103" s="109"/>
      <c r="H103" s="109"/>
      <c r="I103" s="109"/>
      <c r="J103" s="109"/>
      <c r="K103" s="109"/>
      <c r="L103" s="109"/>
      <c r="M103" s="109"/>
      <c r="N103" s="109"/>
    </row>
    <row r="104" spans="1:14">
      <c r="A104" s="109"/>
      <c r="B104" s="110"/>
      <c r="C104" s="110"/>
      <c r="D104" s="110"/>
      <c r="E104" s="109"/>
      <c r="F104" s="111"/>
      <c r="G104" s="109"/>
      <c r="H104" s="109"/>
      <c r="I104" s="109"/>
      <c r="J104" s="109"/>
      <c r="K104" s="109"/>
      <c r="L104" s="109"/>
      <c r="M104" s="109"/>
      <c r="N104" s="109"/>
    </row>
    <row r="105" spans="1:14">
      <c r="A105" s="109"/>
      <c r="B105" s="110"/>
      <c r="C105" s="110"/>
      <c r="D105" s="110"/>
      <c r="E105" s="109"/>
      <c r="F105" s="111"/>
      <c r="G105" s="109"/>
      <c r="H105" s="109"/>
      <c r="I105" s="109"/>
      <c r="J105" s="109"/>
      <c r="K105" s="109"/>
      <c r="L105" s="109"/>
      <c r="M105" s="109"/>
      <c r="N105" s="109"/>
    </row>
    <row r="106" spans="1:14">
      <c r="A106" s="109"/>
      <c r="B106" s="110"/>
      <c r="C106" s="110"/>
      <c r="D106" s="110"/>
      <c r="E106" s="109"/>
      <c r="F106" s="111"/>
      <c r="G106" s="109"/>
      <c r="H106" s="109"/>
      <c r="I106" s="109"/>
      <c r="J106" s="109"/>
      <c r="K106" s="109"/>
      <c r="L106" s="109"/>
      <c r="M106" s="109"/>
      <c r="N106" s="109"/>
    </row>
    <row r="107" spans="1:14">
      <c r="A107" s="109"/>
      <c r="B107" s="110"/>
      <c r="C107" s="110"/>
      <c r="D107" s="110"/>
      <c r="E107" s="109"/>
      <c r="F107" s="111"/>
      <c r="G107" s="109"/>
      <c r="H107" s="109"/>
      <c r="I107" s="109"/>
      <c r="J107" s="109"/>
      <c r="K107" s="109"/>
      <c r="L107" s="109"/>
      <c r="M107" s="109"/>
      <c r="N107" s="109"/>
    </row>
    <row r="108" spans="1:14">
      <c r="A108" s="109"/>
      <c r="B108" s="110"/>
      <c r="C108" s="110"/>
      <c r="D108" s="110"/>
      <c r="E108" s="109"/>
      <c r="F108" s="111"/>
      <c r="G108" s="109"/>
      <c r="H108" s="109"/>
      <c r="I108" s="109"/>
      <c r="J108" s="109"/>
      <c r="K108" s="109"/>
      <c r="L108" s="109"/>
      <c r="M108" s="109"/>
      <c r="N108" s="109"/>
    </row>
    <row r="109" spans="1:14">
      <c r="A109" s="109"/>
      <c r="B109" s="110"/>
      <c r="C109" s="110"/>
      <c r="D109" s="110"/>
      <c r="E109" s="109"/>
      <c r="F109" s="111"/>
      <c r="G109" s="109"/>
      <c r="H109" s="109"/>
      <c r="I109" s="109"/>
      <c r="J109" s="109"/>
      <c r="K109" s="109"/>
      <c r="L109" s="109"/>
      <c r="M109" s="109"/>
      <c r="N109" s="109"/>
    </row>
    <row r="110" spans="1:14">
      <c r="A110" s="109"/>
      <c r="B110" s="110"/>
      <c r="C110" s="110"/>
      <c r="D110" s="110"/>
      <c r="E110" s="109"/>
      <c r="F110" s="111"/>
      <c r="G110" s="109"/>
      <c r="H110" s="109"/>
      <c r="I110" s="109"/>
      <c r="J110" s="109"/>
      <c r="K110" s="109"/>
      <c r="L110" s="109"/>
      <c r="M110" s="109"/>
      <c r="N110" s="109"/>
    </row>
    <row r="111" spans="1:14">
      <c r="A111" s="109"/>
      <c r="B111" s="110"/>
      <c r="C111" s="110"/>
      <c r="D111" s="110"/>
      <c r="E111" s="109"/>
      <c r="F111" s="111"/>
      <c r="G111" s="109"/>
      <c r="H111" s="109"/>
      <c r="I111" s="109"/>
      <c r="J111" s="109"/>
      <c r="K111" s="109"/>
      <c r="L111" s="109"/>
      <c r="M111" s="109"/>
      <c r="N111" s="109"/>
    </row>
    <row r="112" spans="1:14">
      <c r="A112" s="109"/>
      <c r="B112" s="110"/>
      <c r="C112" s="110"/>
      <c r="D112" s="110"/>
      <c r="E112" s="109"/>
      <c r="F112" s="111"/>
      <c r="G112" s="109"/>
      <c r="H112" s="109"/>
      <c r="I112" s="109"/>
      <c r="J112" s="109"/>
      <c r="K112" s="109"/>
      <c r="L112" s="109"/>
      <c r="M112" s="109"/>
      <c r="N112" s="109"/>
    </row>
    <row r="113" spans="1:14">
      <c r="A113" s="109"/>
      <c r="B113" s="110"/>
      <c r="C113" s="110"/>
      <c r="D113" s="110"/>
      <c r="E113" s="109"/>
      <c r="F113" s="111"/>
      <c r="G113" s="109"/>
      <c r="H113" s="109"/>
      <c r="I113" s="109"/>
      <c r="J113" s="109"/>
      <c r="K113" s="109"/>
      <c r="L113" s="109"/>
      <c r="M113" s="109"/>
      <c r="N113" s="109"/>
    </row>
    <row r="114" spans="1:14">
      <c r="A114" s="109"/>
      <c r="B114" s="110"/>
      <c r="C114" s="110"/>
      <c r="D114" s="110"/>
      <c r="E114" s="109"/>
      <c r="F114" s="111"/>
      <c r="G114" s="109"/>
      <c r="H114" s="109"/>
      <c r="I114" s="109"/>
      <c r="J114" s="109"/>
      <c r="K114" s="109"/>
      <c r="L114" s="109"/>
      <c r="M114" s="109"/>
      <c r="N114" s="109"/>
    </row>
    <row r="115" spans="1:14">
      <c r="A115" s="109"/>
      <c r="B115" s="110"/>
      <c r="C115" s="110"/>
      <c r="D115" s="110"/>
      <c r="E115" s="109"/>
      <c r="F115" s="111"/>
      <c r="G115" s="109"/>
      <c r="H115" s="109"/>
      <c r="I115" s="109"/>
      <c r="J115" s="109"/>
      <c r="K115" s="109"/>
      <c r="L115" s="109"/>
      <c r="M115" s="109"/>
      <c r="N115" s="109"/>
    </row>
    <row r="116" spans="1:14">
      <c r="A116" s="109"/>
      <c r="B116" s="110"/>
      <c r="C116" s="110"/>
      <c r="D116" s="110"/>
      <c r="E116" s="109"/>
      <c r="F116" s="111"/>
      <c r="G116" s="109"/>
      <c r="H116" s="109"/>
      <c r="I116" s="109"/>
      <c r="J116" s="109"/>
      <c r="K116" s="109"/>
      <c r="L116" s="109"/>
      <c r="M116" s="109"/>
      <c r="N116" s="109"/>
    </row>
    <row r="117" spans="1:14">
      <c r="A117" s="109"/>
      <c r="B117" s="110"/>
      <c r="C117" s="110"/>
      <c r="D117" s="110"/>
      <c r="E117" s="109"/>
      <c r="F117" s="111"/>
      <c r="G117" s="109"/>
      <c r="H117" s="109"/>
      <c r="I117" s="109"/>
      <c r="J117" s="109"/>
      <c r="K117" s="109"/>
      <c r="L117" s="109"/>
      <c r="M117" s="109"/>
      <c r="N117" s="109"/>
    </row>
    <row r="118" spans="1:14">
      <c r="A118" s="109"/>
      <c r="B118" s="110"/>
      <c r="C118" s="110"/>
      <c r="D118" s="110"/>
      <c r="E118" s="109"/>
      <c r="F118" s="111"/>
      <c r="G118" s="109"/>
      <c r="H118" s="109"/>
      <c r="I118" s="109"/>
      <c r="J118" s="109"/>
      <c r="K118" s="109"/>
      <c r="L118" s="109"/>
      <c r="M118" s="109"/>
      <c r="N118" s="109"/>
    </row>
    <row r="119" spans="1:14">
      <c r="A119" s="109"/>
      <c r="B119" s="110"/>
      <c r="C119" s="110"/>
      <c r="D119" s="110"/>
      <c r="E119" s="109"/>
      <c r="F119" s="111"/>
      <c r="G119" s="109"/>
      <c r="H119" s="109"/>
      <c r="I119" s="109"/>
      <c r="J119" s="109"/>
      <c r="K119" s="109"/>
      <c r="L119" s="109"/>
      <c r="M119" s="109"/>
      <c r="N119" s="109"/>
    </row>
    <row r="120" spans="1:14">
      <c r="A120" s="109"/>
      <c r="B120" s="110"/>
      <c r="C120" s="110"/>
      <c r="D120" s="110"/>
      <c r="E120" s="109"/>
      <c r="F120" s="111"/>
      <c r="G120" s="109"/>
      <c r="H120" s="109"/>
      <c r="I120" s="109"/>
      <c r="J120" s="109"/>
      <c r="K120" s="109"/>
      <c r="L120" s="109"/>
      <c r="M120" s="109"/>
      <c r="N120" s="109"/>
    </row>
    <row r="121" spans="1:14">
      <c r="A121" s="109"/>
      <c r="B121" s="110"/>
      <c r="C121" s="110"/>
      <c r="D121" s="110"/>
      <c r="E121" s="109"/>
      <c r="F121" s="111"/>
      <c r="G121" s="109"/>
      <c r="H121" s="109"/>
      <c r="I121" s="109"/>
      <c r="J121" s="109"/>
      <c r="K121" s="109"/>
      <c r="L121" s="109"/>
      <c r="M121" s="109"/>
      <c r="N121" s="109"/>
    </row>
    <row r="122" spans="1:14">
      <c r="A122" s="109"/>
      <c r="B122" s="110"/>
      <c r="C122" s="110"/>
      <c r="D122" s="110"/>
      <c r="E122" s="109"/>
      <c r="F122" s="111"/>
      <c r="G122" s="109"/>
      <c r="H122" s="109"/>
      <c r="I122" s="109"/>
      <c r="J122" s="109"/>
      <c r="K122" s="109"/>
      <c r="L122" s="109"/>
      <c r="M122" s="109"/>
      <c r="N122" s="109"/>
    </row>
    <row r="123" spans="1:14">
      <c r="A123" s="109"/>
      <c r="B123" s="110"/>
      <c r="C123" s="110"/>
      <c r="D123" s="110"/>
      <c r="E123" s="109"/>
      <c r="F123" s="111"/>
      <c r="G123" s="109"/>
      <c r="H123" s="109"/>
      <c r="I123" s="109"/>
      <c r="J123" s="109"/>
      <c r="K123" s="109"/>
      <c r="L123" s="109"/>
      <c r="M123" s="109"/>
      <c r="N123" s="109"/>
    </row>
    <row r="124" spans="1:14">
      <c r="A124" s="109"/>
      <c r="B124" s="110"/>
      <c r="C124" s="110"/>
      <c r="D124" s="110"/>
      <c r="E124" s="109"/>
      <c r="F124" s="111"/>
      <c r="G124" s="109"/>
      <c r="H124" s="109"/>
      <c r="I124" s="109"/>
      <c r="J124" s="109"/>
      <c r="K124" s="109"/>
      <c r="L124" s="109"/>
      <c r="M124" s="109"/>
      <c r="N124" s="109"/>
    </row>
    <row r="125" spans="1:14">
      <c r="A125" s="109"/>
      <c r="B125" s="110"/>
      <c r="C125" s="110"/>
      <c r="D125" s="110"/>
      <c r="E125" s="109"/>
      <c r="F125" s="111"/>
      <c r="G125" s="109"/>
      <c r="H125" s="109"/>
      <c r="I125" s="109"/>
      <c r="J125" s="109"/>
      <c r="K125" s="109"/>
      <c r="L125" s="109"/>
      <c r="M125" s="109"/>
      <c r="N125" s="109"/>
    </row>
    <row r="126" spans="1:14">
      <c r="A126" s="109"/>
      <c r="B126" s="110"/>
      <c r="C126" s="110"/>
      <c r="D126" s="110"/>
      <c r="E126" s="109"/>
      <c r="F126" s="111"/>
      <c r="G126" s="109"/>
      <c r="H126" s="109"/>
      <c r="I126" s="109"/>
      <c r="J126" s="109"/>
      <c r="K126" s="109"/>
      <c r="L126" s="109"/>
      <c r="M126" s="109"/>
      <c r="N126" s="109"/>
    </row>
    <row r="127" spans="1:14">
      <c r="A127" s="109"/>
      <c r="B127" s="110"/>
      <c r="C127" s="110"/>
      <c r="D127" s="110"/>
      <c r="E127" s="109"/>
      <c r="F127" s="111"/>
      <c r="G127" s="109"/>
      <c r="H127" s="109"/>
      <c r="I127" s="109"/>
      <c r="J127" s="109"/>
      <c r="K127" s="109"/>
      <c r="L127" s="109"/>
      <c r="M127" s="109"/>
      <c r="N127" s="109"/>
    </row>
    <row r="128" spans="1:14">
      <c r="A128" s="109"/>
      <c r="B128" s="110"/>
      <c r="C128" s="110"/>
      <c r="D128" s="110"/>
      <c r="E128" s="109"/>
      <c r="F128" s="111"/>
      <c r="G128" s="109"/>
      <c r="H128" s="109"/>
      <c r="I128" s="109"/>
      <c r="J128" s="109"/>
      <c r="K128" s="109"/>
      <c r="L128" s="109"/>
      <c r="M128" s="109"/>
      <c r="N128" s="109"/>
    </row>
    <row r="129" spans="1:14">
      <c r="A129" s="109"/>
      <c r="B129" s="110"/>
      <c r="C129" s="110"/>
      <c r="D129" s="110"/>
      <c r="E129" s="109"/>
      <c r="F129" s="111"/>
      <c r="G129" s="109"/>
      <c r="H129" s="109"/>
      <c r="I129" s="109"/>
      <c r="J129" s="109"/>
      <c r="K129" s="109"/>
      <c r="L129" s="109"/>
      <c r="M129" s="109"/>
      <c r="N129" s="109"/>
    </row>
    <row r="130" spans="1:14">
      <c r="A130" s="109"/>
      <c r="B130" s="110"/>
      <c r="C130" s="110"/>
      <c r="D130" s="110"/>
      <c r="E130" s="109"/>
      <c r="F130" s="111"/>
      <c r="G130" s="109"/>
      <c r="H130" s="109"/>
      <c r="I130" s="109"/>
      <c r="J130" s="109"/>
      <c r="K130" s="109"/>
      <c r="L130" s="109"/>
      <c r="M130" s="109"/>
      <c r="N130" s="109"/>
    </row>
    <row r="131" spans="1:14">
      <c r="A131" s="109"/>
      <c r="B131" s="110"/>
      <c r="C131" s="110"/>
      <c r="D131" s="110"/>
      <c r="E131" s="109"/>
      <c r="F131" s="111"/>
      <c r="G131" s="109"/>
      <c r="H131" s="109"/>
      <c r="I131" s="109"/>
      <c r="J131" s="109"/>
      <c r="K131" s="109"/>
      <c r="L131" s="109"/>
      <c r="M131" s="109"/>
      <c r="N131" s="109"/>
    </row>
    <row r="132" spans="1:14">
      <c r="A132" s="109"/>
      <c r="B132" s="110"/>
      <c r="C132" s="110"/>
      <c r="D132" s="110"/>
      <c r="E132" s="109"/>
      <c r="F132" s="111"/>
      <c r="G132" s="109"/>
      <c r="H132" s="109"/>
      <c r="I132" s="109"/>
      <c r="J132" s="109"/>
      <c r="K132" s="109"/>
      <c r="L132" s="109"/>
      <c r="M132" s="109"/>
      <c r="N132" s="109"/>
    </row>
    <row r="133" spans="1:14">
      <c r="A133" s="109"/>
      <c r="B133" s="110"/>
      <c r="C133" s="110"/>
      <c r="D133" s="110"/>
      <c r="E133" s="109"/>
      <c r="F133" s="111"/>
      <c r="G133" s="109"/>
      <c r="H133" s="109"/>
      <c r="I133" s="109"/>
      <c r="J133" s="109"/>
      <c r="K133" s="109"/>
      <c r="L133" s="109"/>
      <c r="M133" s="109"/>
      <c r="N133" s="109"/>
    </row>
    <row r="134" spans="1:14">
      <c r="A134" s="109"/>
      <c r="B134" s="110"/>
      <c r="C134" s="110"/>
      <c r="D134" s="110"/>
      <c r="E134" s="109"/>
      <c r="F134" s="111"/>
      <c r="G134" s="109"/>
      <c r="H134" s="109"/>
      <c r="I134" s="109"/>
      <c r="J134" s="109"/>
      <c r="K134" s="109"/>
      <c r="L134" s="109"/>
      <c r="M134" s="109"/>
      <c r="N134" s="109"/>
    </row>
    <row r="135" spans="1:14">
      <c r="A135" s="109"/>
      <c r="B135" s="110"/>
      <c r="C135" s="110"/>
      <c r="D135" s="110"/>
      <c r="E135" s="109"/>
      <c r="F135" s="111"/>
      <c r="G135" s="109"/>
      <c r="H135" s="109"/>
      <c r="I135" s="109"/>
      <c r="J135" s="109"/>
      <c r="K135" s="109"/>
      <c r="L135" s="109"/>
      <c r="M135" s="109"/>
      <c r="N135" s="109"/>
    </row>
    <row r="136" spans="1:14">
      <c r="A136" s="109"/>
      <c r="B136" s="110"/>
      <c r="C136" s="110"/>
      <c r="D136" s="110"/>
      <c r="E136" s="109"/>
      <c r="F136" s="111"/>
      <c r="G136" s="109"/>
      <c r="H136" s="109"/>
      <c r="I136" s="109"/>
      <c r="J136" s="109"/>
      <c r="K136" s="109"/>
      <c r="L136" s="109"/>
      <c r="M136" s="109"/>
      <c r="N136" s="109"/>
    </row>
    <row r="137" spans="1:14">
      <c r="A137" s="109"/>
      <c r="B137" s="110"/>
      <c r="C137" s="110"/>
      <c r="D137" s="110"/>
      <c r="E137" s="109"/>
      <c r="F137" s="111"/>
      <c r="G137" s="109"/>
      <c r="H137" s="109"/>
      <c r="I137" s="109"/>
      <c r="J137" s="109"/>
      <c r="K137" s="109"/>
      <c r="L137" s="109"/>
      <c r="M137" s="109"/>
      <c r="N137" s="109"/>
    </row>
    <row r="138" spans="1:14">
      <c r="A138" s="109"/>
      <c r="B138" s="110"/>
      <c r="C138" s="110"/>
      <c r="D138" s="110"/>
      <c r="E138" s="109"/>
      <c r="F138" s="111"/>
      <c r="G138" s="109"/>
      <c r="H138" s="109"/>
      <c r="I138" s="109"/>
      <c r="J138" s="109"/>
      <c r="K138" s="109"/>
      <c r="L138" s="109"/>
      <c r="M138" s="109"/>
      <c r="N138" s="109"/>
    </row>
    <row r="139" spans="1:14">
      <c r="A139" s="109"/>
      <c r="B139" s="110"/>
      <c r="C139" s="110"/>
      <c r="D139" s="110"/>
      <c r="E139" s="109"/>
      <c r="F139" s="111"/>
      <c r="G139" s="109"/>
      <c r="H139" s="109"/>
      <c r="I139" s="109"/>
      <c r="J139" s="109"/>
      <c r="K139" s="109"/>
      <c r="L139" s="109"/>
      <c r="M139" s="109"/>
      <c r="N139" s="109"/>
    </row>
    <row r="140" spans="1:14">
      <c r="A140" s="109"/>
      <c r="B140" s="110"/>
      <c r="C140" s="110"/>
      <c r="D140" s="110"/>
      <c r="E140" s="109"/>
      <c r="F140" s="111"/>
      <c r="G140" s="109"/>
      <c r="H140" s="109"/>
      <c r="I140" s="109"/>
      <c r="J140" s="109"/>
      <c r="K140" s="109"/>
      <c r="L140" s="109"/>
      <c r="M140" s="109"/>
      <c r="N140" s="109"/>
    </row>
    <row r="141" spans="1:14">
      <c r="A141" s="109"/>
      <c r="B141" s="110"/>
      <c r="C141" s="110"/>
      <c r="D141" s="110"/>
      <c r="E141" s="109"/>
      <c r="F141" s="111"/>
      <c r="G141" s="109"/>
      <c r="H141" s="109"/>
      <c r="I141" s="109"/>
      <c r="J141" s="109"/>
      <c r="K141" s="109"/>
      <c r="L141" s="109"/>
      <c r="M141" s="109"/>
      <c r="N141" s="109"/>
    </row>
    <row r="142" spans="1:14">
      <c r="A142" s="109"/>
      <c r="B142" s="110"/>
      <c r="C142" s="110"/>
      <c r="D142" s="110"/>
      <c r="E142" s="109"/>
      <c r="F142" s="111"/>
      <c r="G142" s="109"/>
      <c r="H142" s="109"/>
      <c r="I142" s="109"/>
      <c r="J142" s="109"/>
      <c r="K142" s="109"/>
      <c r="L142" s="109"/>
      <c r="M142" s="109"/>
      <c r="N142" s="109"/>
    </row>
    <row r="143" spans="1:14">
      <c r="A143" s="109"/>
      <c r="B143" s="110"/>
      <c r="C143" s="110"/>
      <c r="D143" s="110"/>
      <c r="E143" s="109"/>
      <c r="F143" s="111"/>
      <c r="G143" s="109"/>
      <c r="H143" s="109"/>
      <c r="I143" s="109"/>
      <c r="J143" s="109"/>
      <c r="K143" s="109"/>
      <c r="L143" s="109"/>
      <c r="M143" s="109"/>
      <c r="N143" s="109"/>
    </row>
    <row r="144" spans="1:14">
      <c r="A144" s="109"/>
      <c r="B144" s="110"/>
      <c r="C144" s="110"/>
      <c r="D144" s="110"/>
      <c r="E144" s="109"/>
      <c r="F144" s="111"/>
      <c r="G144" s="109"/>
      <c r="H144" s="109"/>
      <c r="I144" s="109"/>
      <c r="J144" s="109"/>
      <c r="K144" s="109"/>
      <c r="L144" s="109"/>
      <c r="M144" s="109"/>
      <c r="N144" s="109"/>
    </row>
    <row r="145" spans="1:14">
      <c r="A145" s="109"/>
      <c r="B145" s="110"/>
      <c r="C145" s="110"/>
      <c r="D145" s="110"/>
      <c r="E145" s="109"/>
      <c r="F145" s="111"/>
      <c r="G145" s="109"/>
      <c r="H145" s="109"/>
      <c r="I145" s="109"/>
      <c r="J145" s="109"/>
      <c r="K145" s="109"/>
      <c r="L145" s="109"/>
      <c r="M145" s="109"/>
      <c r="N145" s="109"/>
    </row>
    <row r="146" spans="1:14">
      <c r="A146" s="109"/>
      <c r="B146" s="110"/>
      <c r="C146" s="110"/>
      <c r="D146" s="110"/>
      <c r="E146" s="109"/>
      <c r="F146" s="111"/>
      <c r="G146" s="109"/>
      <c r="H146" s="109"/>
      <c r="I146" s="109"/>
      <c r="J146" s="109"/>
      <c r="K146" s="109"/>
      <c r="L146" s="109"/>
      <c r="M146" s="109"/>
      <c r="N146" s="109"/>
    </row>
    <row r="147" spans="1:14">
      <c r="A147" s="109"/>
      <c r="B147" s="110"/>
      <c r="C147" s="110"/>
      <c r="D147" s="110"/>
      <c r="E147" s="109"/>
      <c r="F147" s="111"/>
      <c r="G147" s="109"/>
      <c r="H147" s="109"/>
      <c r="I147" s="109"/>
      <c r="J147" s="109"/>
      <c r="K147" s="109"/>
      <c r="L147" s="109"/>
      <c r="M147" s="109"/>
      <c r="N147" s="109"/>
    </row>
    <row r="148" spans="1:14">
      <c r="A148" s="109"/>
      <c r="B148" s="110"/>
      <c r="C148" s="110"/>
      <c r="D148" s="110"/>
      <c r="E148" s="109"/>
      <c r="F148" s="111"/>
      <c r="G148" s="109"/>
      <c r="H148" s="109"/>
      <c r="I148" s="109"/>
      <c r="J148" s="109"/>
      <c r="K148" s="109"/>
      <c r="L148" s="109"/>
      <c r="M148" s="109"/>
      <c r="N148" s="109"/>
    </row>
    <row r="149" spans="1:14">
      <c r="A149" s="109"/>
      <c r="B149" s="110"/>
      <c r="C149" s="110"/>
      <c r="D149" s="110"/>
      <c r="E149" s="109"/>
      <c r="F149" s="111"/>
      <c r="G149" s="109"/>
      <c r="H149" s="109"/>
      <c r="I149" s="109"/>
      <c r="J149" s="109"/>
      <c r="K149" s="109"/>
      <c r="L149" s="109"/>
      <c r="M149" s="109"/>
      <c r="N149" s="109"/>
    </row>
    <row r="150" spans="1:14">
      <c r="A150" s="109"/>
      <c r="B150" s="110"/>
      <c r="C150" s="110"/>
      <c r="D150" s="110"/>
      <c r="E150" s="109"/>
      <c r="F150" s="111"/>
      <c r="G150" s="109"/>
      <c r="H150" s="109"/>
      <c r="I150" s="109"/>
      <c r="J150" s="109"/>
      <c r="K150" s="109"/>
      <c r="L150" s="109"/>
      <c r="M150" s="109"/>
      <c r="N150" s="109"/>
    </row>
    <row r="151" spans="1:14">
      <c r="A151" s="109"/>
      <c r="B151" s="110"/>
      <c r="C151" s="110"/>
      <c r="D151" s="110"/>
      <c r="E151" s="109"/>
      <c r="F151" s="111"/>
      <c r="G151" s="109"/>
      <c r="H151" s="109"/>
      <c r="I151" s="109"/>
      <c r="J151" s="109"/>
      <c r="K151" s="109"/>
      <c r="L151" s="109"/>
      <c r="M151" s="109"/>
      <c r="N151" s="109"/>
    </row>
    <row r="152" spans="1:14">
      <c r="A152" s="109"/>
      <c r="B152" s="110"/>
      <c r="C152" s="110"/>
      <c r="D152" s="110"/>
      <c r="E152" s="109"/>
      <c r="F152" s="111"/>
      <c r="G152" s="109"/>
      <c r="H152" s="109"/>
      <c r="I152" s="109"/>
      <c r="J152" s="109"/>
      <c r="K152" s="109"/>
      <c r="L152" s="109"/>
      <c r="M152" s="109"/>
      <c r="N152" s="109"/>
    </row>
    <row r="153" spans="1:14">
      <c r="A153" s="109"/>
      <c r="B153" s="110"/>
      <c r="C153" s="110"/>
      <c r="D153" s="110"/>
      <c r="E153" s="109"/>
      <c r="F153" s="111"/>
      <c r="G153" s="109"/>
      <c r="H153" s="109"/>
      <c r="I153" s="109"/>
      <c r="J153" s="109"/>
      <c r="K153" s="109"/>
      <c r="L153" s="109"/>
      <c r="M153" s="109"/>
      <c r="N153" s="109"/>
    </row>
    <row r="154" spans="1:14">
      <c r="A154" s="109"/>
      <c r="B154" s="110"/>
      <c r="C154" s="110"/>
      <c r="D154" s="110"/>
      <c r="E154" s="109"/>
      <c r="F154" s="111"/>
      <c r="G154" s="109"/>
      <c r="H154" s="109"/>
      <c r="I154" s="109"/>
      <c r="J154" s="109"/>
      <c r="K154" s="109"/>
      <c r="L154" s="109"/>
      <c r="M154" s="109"/>
      <c r="N154" s="109"/>
    </row>
    <row r="155" spans="1:14">
      <c r="A155" s="109"/>
      <c r="B155" s="110"/>
      <c r="C155" s="110"/>
      <c r="D155" s="110"/>
      <c r="E155" s="109"/>
      <c r="F155" s="111"/>
      <c r="G155" s="109"/>
      <c r="H155" s="109"/>
      <c r="I155" s="109"/>
      <c r="J155" s="109"/>
      <c r="K155" s="109"/>
      <c r="L155" s="109"/>
      <c r="M155" s="109"/>
      <c r="N155" s="109"/>
    </row>
    <row r="156" spans="1:14">
      <c r="A156" s="109"/>
      <c r="B156" s="110"/>
      <c r="C156" s="110"/>
      <c r="D156" s="110"/>
      <c r="E156" s="109"/>
      <c r="F156" s="111"/>
      <c r="G156" s="109"/>
      <c r="H156" s="109"/>
      <c r="I156" s="109"/>
      <c r="J156" s="109"/>
      <c r="K156" s="109"/>
      <c r="L156" s="109"/>
      <c r="M156" s="109"/>
      <c r="N156" s="109"/>
    </row>
    <row r="157" spans="1:14">
      <c r="A157" s="109"/>
      <c r="B157" s="110"/>
      <c r="C157" s="110"/>
      <c r="D157" s="110"/>
      <c r="E157" s="109"/>
      <c r="F157" s="111"/>
      <c r="G157" s="109"/>
      <c r="H157" s="109"/>
      <c r="I157" s="109"/>
      <c r="J157" s="109"/>
      <c r="K157" s="109"/>
      <c r="L157" s="109"/>
      <c r="M157" s="109"/>
      <c r="N157" s="109"/>
    </row>
    <row r="158" spans="1:14">
      <c r="A158" s="109"/>
      <c r="B158" s="110"/>
      <c r="C158" s="110"/>
      <c r="D158" s="110"/>
      <c r="E158" s="109"/>
      <c r="F158" s="111"/>
      <c r="G158" s="109"/>
      <c r="H158" s="109"/>
      <c r="I158" s="109"/>
      <c r="J158" s="109"/>
      <c r="K158" s="109"/>
      <c r="L158" s="109"/>
      <c r="M158" s="109"/>
      <c r="N158" s="109"/>
    </row>
    <row r="159" spans="1:14">
      <c r="A159" s="109"/>
      <c r="B159" s="110"/>
      <c r="C159" s="110"/>
      <c r="D159" s="110"/>
      <c r="E159" s="109"/>
      <c r="F159" s="111"/>
      <c r="G159" s="109"/>
      <c r="H159" s="109"/>
      <c r="I159" s="109"/>
      <c r="J159" s="109"/>
      <c r="K159" s="109"/>
      <c r="L159" s="109"/>
      <c r="M159" s="109"/>
      <c r="N159" s="109"/>
    </row>
    <row r="160" spans="1:14">
      <c r="A160" s="109"/>
      <c r="B160" s="110"/>
      <c r="C160" s="110"/>
      <c r="D160" s="110"/>
      <c r="E160" s="109"/>
      <c r="F160" s="111"/>
      <c r="G160" s="109"/>
      <c r="H160" s="109"/>
      <c r="I160" s="109"/>
      <c r="J160" s="109"/>
      <c r="K160" s="109"/>
      <c r="L160" s="109"/>
      <c r="M160" s="109"/>
      <c r="N160" s="109"/>
    </row>
    <row r="161" spans="1:14">
      <c r="A161" s="109"/>
      <c r="B161" s="110"/>
      <c r="C161" s="110"/>
      <c r="D161" s="110"/>
      <c r="E161" s="109"/>
      <c r="F161" s="111"/>
      <c r="G161" s="109"/>
      <c r="H161" s="109"/>
      <c r="I161" s="109"/>
      <c r="J161" s="109"/>
      <c r="K161" s="109"/>
      <c r="L161" s="109"/>
      <c r="M161" s="109"/>
      <c r="N161" s="109"/>
    </row>
    <row r="162" spans="1:14">
      <c r="A162" s="109"/>
      <c r="B162" s="110"/>
      <c r="C162" s="110"/>
      <c r="D162" s="110"/>
      <c r="E162" s="109"/>
      <c r="F162" s="111"/>
      <c r="G162" s="109"/>
      <c r="H162" s="109"/>
      <c r="I162" s="109"/>
      <c r="J162" s="109"/>
      <c r="K162" s="109"/>
      <c r="L162" s="109"/>
      <c r="M162" s="109"/>
      <c r="N162" s="109"/>
    </row>
    <row r="163" spans="1:14">
      <c r="A163" s="109"/>
      <c r="B163" s="110"/>
      <c r="C163" s="110"/>
      <c r="D163" s="110"/>
      <c r="E163" s="109"/>
      <c r="F163" s="111"/>
      <c r="G163" s="109"/>
      <c r="H163" s="109"/>
      <c r="I163" s="109"/>
      <c r="J163" s="109"/>
      <c r="K163" s="109"/>
      <c r="L163" s="109"/>
      <c r="M163" s="109"/>
      <c r="N163" s="109"/>
    </row>
    <row r="164" spans="1:14">
      <c r="A164" s="109"/>
      <c r="B164" s="110"/>
      <c r="C164" s="110"/>
      <c r="D164" s="110"/>
      <c r="E164" s="109"/>
      <c r="F164" s="111"/>
      <c r="G164" s="109"/>
      <c r="H164" s="109"/>
      <c r="I164" s="109"/>
      <c r="J164" s="109"/>
      <c r="K164" s="109"/>
      <c r="L164" s="109"/>
      <c r="M164" s="109"/>
      <c r="N164" s="109"/>
    </row>
    <row r="165" spans="1:14">
      <c r="A165" s="109"/>
      <c r="B165" s="110"/>
      <c r="C165" s="110"/>
      <c r="D165" s="110"/>
      <c r="E165" s="109"/>
      <c r="F165" s="111"/>
      <c r="G165" s="109"/>
      <c r="H165" s="109"/>
      <c r="I165" s="109"/>
      <c r="J165" s="109"/>
      <c r="K165" s="109"/>
      <c r="L165" s="109"/>
      <c r="M165" s="109"/>
      <c r="N165" s="109"/>
    </row>
    <row r="166" spans="1:14">
      <c r="A166" s="109"/>
      <c r="B166" s="110"/>
      <c r="C166" s="110"/>
      <c r="D166" s="110"/>
      <c r="E166" s="109"/>
      <c r="F166" s="111"/>
      <c r="G166" s="109"/>
      <c r="H166" s="109"/>
      <c r="I166" s="109"/>
      <c r="J166" s="109"/>
      <c r="K166" s="109"/>
      <c r="L166" s="109"/>
      <c r="M166" s="109"/>
      <c r="N166" s="109"/>
    </row>
    <row r="167" spans="1:14">
      <c r="A167" s="109"/>
      <c r="B167" s="110"/>
      <c r="C167" s="110"/>
      <c r="D167" s="110"/>
      <c r="E167" s="109"/>
      <c r="F167" s="111"/>
      <c r="G167" s="109"/>
      <c r="H167" s="109"/>
      <c r="I167" s="109"/>
      <c r="J167" s="109"/>
      <c r="K167" s="109"/>
      <c r="L167" s="109"/>
      <c r="M167" s="109"/>
      <c r="N167" s="109"/>
    </row>
    <row r="168" spans="1:14">
      <c r="A168" s="109"/>
      <c r="B168" s="110"/>
      <c r="C168" s="110"/>
      <c r="D168" s="110"/>
      <c r="E168" s="109"/>
      <c r="F168" s="111"/>
      <c r="G168" s="109"/>
      <c r="H168" s="109"/>
      <c r="I168" s="109"/>
      <c r="J168" s="109"/>
      <c r="K168" s="109"/>
      <c r="L168" s="109"/>
      <c r="M168" s="109"/>
      <c r="N168" s="109"/>
    </row>
    <row r="169" spans="1:14">
      <c r="A169" s="109"/>
      <c r="B169" s="110"/>
      <c r="C169" s="110"/>
      <c r="D169" s="110"/>
      <c r="E169" s="109"/>
      <c r="F169" s="111"/>
      <c r="G169" s="109"/>
      <c r="H169" s="109"/>
      <c r="I169" s="109"/>
      <c r="J169" s="109"/>
      <c r="K169" s="109"/>
      <c r="L169" s="109"/>
      <c r="M169" s="109"/>
      <c r="N169" s="109"/>
    </row>
    <row r="170" spans="1:14">
      <c r="A170" s="109"/>
      <c r="B170" s="110"/>
      <c r="C170" s="110"/>
      <c r="D170" s="110"/>
      <c r="E170" s="109"/>
      <c r="F170" s="111"/>
      <c r="G170" s="109"/>
      <c r="H170" s="109"/>
      <c r="I170" s="109"/>
      <c r="J170" s="109"/>
      <c r="K170" s="109"/>
      <c r="L170" s="109"/>
      <c r="M170" s="109"/>
      <c r="N170" s="109"/>
    </row>
    <row r="171" spans="1:14">
      <c r="A171" s="109"/>
      <c r="B171" s="110"/>
      <c r="C171" s="110"/>
      <c r="D171" s="110"/>
      <c r="E171" s="109"/>
      <c r="F171" s="111"/>
      <c r="G171" s="109"/>
      <c r="H171" s="109"/>
      <c r="I171" s="109"/>
      <c r="J171" s="109"/>
      <c r="K171" s="109"/>
      <c r="L171" s="109"/>
      <c r="M171" s="109"/>
      <c r="N171" s="109"/>
    </row>
    <row r="172" spans="1:14">
      <c r="A172" s="109"/>
      <c r="B172" s="110"/>
      <c r="C172" s="110"/>
      <c r="D172" s="110"/>
      <c r="E172" s="109"/>
      <c r="F172" s="111"/>
      <c r="G172" s="109"/>
      <c r="H172" s="109"/>
      <c r="I172" s="109"/>
      <c r="J172" s="109"/>
      <c r="K172" s="109"/>
      <c r="L172" s="109"/>
      <c r="M172" s="109"/>
      <c r="N172" s="109"/>
    </row>
    <row r="173" spans="1:14">
      <c r="A173" s="109"/>
      <c r="B173" s="110"/>
      <c r="C173" s="110"/>
      <c r="D173" s="110"/>
      <c r="E173" s="109"/>
      <c r="F173" s="111"/>
      <c r="G173" s="109"/>
      <c r="H173" s="109"/>
      <c r="I173" s="109"/>
      <c r="J173" s="109"/>
      <c r="K173" s="109"/>
      <c r="L173" s="109"/>
      <c r="M173" s="109"/>
      <c r="N173" s="109"/>
    </row>
    <row r="174" spans="1:14">
      <c r="A174" s="109"/>
      <c r="B174" s="110"/>
      <c r="C174" s="110"/>
      <c r="D174" s="110"/>
      <c r="E174" s="109"/>
      <c r="F174" s="111"/>
      <c r="G174" s="109"/>
      <c r="H174" s="109"/>
      <c r="I174" s="109"/>
      <c r="J174" s="109"/>
      <c r="K174" s="109"/>
      <c r="L174" s="109"/>
      <c r="M174" s="109"/>
      <c r="N174" s="109"/>
    </row>
    <row r="175" spans="1:14">
      <c r="A175" s="109"/>
      <c r="B175" s="110"/>
      <c r="C175" s="110"/>
      <c r="D175" s="110"/>
      <c r="E175" s="109"/>
      <c r="F175" s="111"/>
      <c r="G175" s="109"/>
      <c r="H175" s="109"/>
      <c r="I175" s="109"/>
      <c r="J175" s="109"/>
      <c r="K175" s="109"/>
      <c r="L175" s="109"/>
      <c r="M175" s="109"/>
      <c r="N175" s="109"/>
    </row>
    <row r="176" spans="1:14">
      <c r="A176" s="109"/>
      <c r="B176" s="110"/>
      <c r="C176" s="110"/>
      <c r="D176" s="110"/>
      <c r="E176" s="109"/>
      <c r="F176" s="111"/>
      <c r="G176" s="109"/>
      <c r="H176" s="109"/>
      <c r="I176" s="109"/>
      <c r="J176" s="109"/>
      <c r="K176" s="109"/>
      <c r="L176" s="109"/>
      <c r="M176" s="109"/>
      <c r="N176" s="109"/>
    </row>
    <row r="177" spans="1:14">
      <c r="A177" s="109"/>
      <c r="B177" s="110"/>
      <c r="C177" s="110"/>
      <c r="D177" s="110"/>
      <c r="E177" s="109"/>
      <c r="F177" s="111"/>
      <c r="G177" s="109"/>
      <c r="H177" s="109"/>
      <c r="I177" s="109"/>
      <c r="J177" s="109"/>
      <c r="K177" s="109"/>
      <c r="L177" s="109"/>
      <c r="M177" s="109"/>
      <c r="N177" s="109"/>
    </row>
    <row r="178" spans="1:14">
      <c r="A178" s="109"/>
      <c r="B178" s="110"/>
      <c r="C178" s="110"/>
      <c r="D178" s="110"/>
      <c r="E178" s="109"/>
      <c r="F178" s="111"/>
      <c r="G178" s="109"/>
      <c r="H178" s="109"/>
      <c r="I178" s="109"/>
      <c r="J178" s="109"/>
      <c r="K178" s="109"/>
      <c r="L178" s="109"/>
      <c r="M178" s="109"/>
      <c r="N178" s="109"/>
    </row>
    <row r="179" spans="1:14">
      <c r="A179" s="109"/>
      <c r="B179" s="110"/>
      <c r="C179" s="110"/>
      <c r="D179" s="110"/>
      <c r="E179" s="109"/>
      <c r="F179" s="111"/>
      <c r="G179" s="109"/>
      <c r="H179" s="109"/>
      <c r="I179" s="109"/>
      <c r="J179" s="109"/>
      <c r="K179" s="109"/>
      <c r="L179" s="109"/>
      <c r="M179" s="109"/>
      <c r="N179" s="109"/>
    </row>
    <row r="180" spans="1:14">
      <c r="A180" s="109"/>
      <c r="B180" s="110"/>
      <c r="C180" s="110"/>
      <c r="D180" s="110"/>
      <c r="E180" s="109"/>
      <c r="F180" s="111"/>
      <c r="G180" s="109"/>
      <c r="H180" s="109"/>
      <c r="I180" s="109"/>
      <c r="J180" s="109"/>
      <c r="K180" s="109"/>
      <c r="L180" s="109"/>
      <c r="M180" s="109"/>
      <c r="N180" s="109"/>
    </row>
    <row r="181" spans="1:14">
      <c r="A181" s="109"/>
      <c r="B181" s="110"/>
      <c r="C181" s="110"/>
      <c r="D181" s="110"/>
      <c r="E181" s="109"/>
      <c r="F181" s="111"/>
      <c r="G181" s="109"/>
      <c r="H181" s="109"/>
      <c r="I181" s="109"/>
      <c r="J181" s="109"/>
      <c r="K181" s="109"/>
      <c r="L181" s="109"/>
      <c r="M181" s="109"/>
      <c r="N181" s="109"/>
    </row>
    <row r="182" spans="1:14">
      <c r="A182" s="109"/>
      <c r="B182" s="110"/>
      <c r="C182" s="110"/>
      <c r="D182" s="110"/>
      <c r="E182" s="109"/>
      <c r="F182" s="111"/>
      <c r="G182" s="109"/>
      <c r="H182" s="109"/>
      <c r="I182" s="109"/>
      <c r="J182" s="109"/>
      <c r="K182" s="109"/>
      <c r="L182" s="109"/>
      <c r="M182" s="109"/>
      <c r="N182" s="109"/>
    </row>
    <row r="183" spans="1:14">
      <c r="A183" s="109"/>
      <c r="B183" s="110"/>
      <c r="C183" s="110"/>
      <c r="D183" s="110"/>
      <c r="E183" s="109"/>
      <c r="F183" s="111"/>
      <c r="G183" s="109"/>
      <c r="H183" s="109"/>
      <c r="I183" s="109"/>
      <c r="J183" s="109"/>
      <c r="K183" s="109"/>
      <c r="L183" s="109"/>
      <c r="M183" s="109"/>
      <c r="N183" s="109"/>
    </row>
    <row r="184" spans="1:14">
      <c r="A184" s="109"/>
      <c r="B184" s="110"/>
      <c r="C184" s="110"/>
      <c r="D184" s="110"/>
      <c r="E184" s="109"/>
      <c r="F184" s="111"/>
      <c r="G184" s="109"/>
      <c r="H184" s="109"/>
      <c r="I184" s="109"/>
      <c r="J184" s="109"/>
      <c r="K184" s="109"/>
      <c r="L184" s="109"/>
      <c r="M184" s="109"/>
      <c r="N184" s="109"/>
    </row>
    <row r="185" spans="1:14">
      <c r="A185" s="109"/>
      <c r="B185" s="110"/>
      <c r="C185" s="110"/>
      <c r="D185" s="110"/>
      <c r="E185" s="109"/>
      <c r="F185" s="111"/>
      <c r="G185" s="109"/>
      <c r="H185" s="109"/>
      <c r="I185" s="109"/>
      <c r="J185" s="109"/>
      <c r="K185" s="109"/>
      <c r="L185" s="109"/>
      <c r="M185" s="109"/>
      <c r="N185" s="109"/>
    </row>
    <row r="186" spans="1:14">
      <c r="A186" s="109"/>
      <c r="B186" s="110"/>
      <c r="C186" s="110"/>
      <c r="D186" s="110"/>
      <c r="E186" s="109"/>
      <c r="F186" s="111"/>
      <c r="G186" s="109"/>
      <c r="H186" s="109"/>
      <c r="I186" s="109"/>
      <c r="J186" s="109"/>
      <c r="K186" s="109"/>
      <c r="L186" s="109"/>
      <c r="M186" s="109"/>
      <c r="N186" s="109"/>
    </row>
    <row r="187" spans="1:14">
      <c r="A187" s="109"/>
      <c r="B187" s="110"/>
      <c r="C187" s="110"/>
      <c r="D187" s="110"/>
      <c r="E187" s="109"/>
      <c r="F187" s="111"/>
      <c r="G187" s="109"/>
      <c r="H187" s="109"/>
      <c r="I187" s="109"/>
      <c r="J187" s="109"/>
      <c r="K187" s="109"/>
      <c r="L187" s="109"/>
      <c r="M187" s="109"/>
      <c r="N187" s="109"/>
    </row>
    <row r="188" spans="1:14">
      <c r="A188" s="109"/>
      <c r="B188" s="110"/>
      <c r="C188" s="110"/>
      <c r="D188" s="110"/>
      <c r="E188" s="109"/>
      <c r="F188" s="111"/>
      <c r="G188" s="109"/>
      <c r="H188" s="109"/>
      <c r="I188" s="109"/>
      <c r="J188" s="109"/>
      <c r="K188" s="109"/>
      <c r="L188" s="109"/>
      <c r="M188" s="109"/>
      <c r="N188" s="109"/>
    </row>
    <row r="189" spans="1:14">
      <c r="A189" s="109"/>
      <c r="B189" s="110"/>
      <c r="C189" s="110"/>
      <c r="D189" s="110"/>
      <c r="E189" s="109"/>
      <c r="F189" s="111"/>
      <c r="G189" s="109"/>
      <c r="H189" s="109"/>
      <c r="I189" s="109"/>
      <c r="J189" s="109"/>
      <c r="K189" s="109"/>
      <c r="L189" s="109"/>
      <c r="M189" s="109"/>
      <c r="N189" s="109"/>
    </row>
    <row r="190" spans="1:14">
      <c r="A190" s="109"/>
      <c r="B190" s="110"/>
      <c r="C190" s="110"/>
      <c r="D190" s="110"/>
      <c r="E190" s="109"/>
      <c r="F190" s="111"/>
      <c r="G190" s="109"/>
      <c r="H190" s="109"/>
      <c r="I190" s="109"/>
      <c r="J190" s="109"/>
      <c r="K190" s="109"/>
      <c r="L190" s="109"/>
      <c r="M190" s="109"/>
      <c r="N190" s="109"/>
    </row>
    <row r="191" spans="1:14">
      <c r="A191" s="109"/>
      <c r="B191" s="110"/>
      <c r="C191" s="110"/>
      <c r="D191" s="110"/>
      <c r="E191" s="109"/>
      <c r="F191" s="111"/>
      <c r="G191" s="109"/>
      <c r="H191" s="109"/>
      <c r="I191" s="109"/>
      <c r="J191" s="109"/>
      <c r="K191" s="109"/>
      <c r="L191" s="109"/>
      <c r="M191" s="109"/>
      <c r="N191" s="109"/>
    </row>
    <row r="192" spans="1:14">
      <c r="A192" s="109"/>
      <c r="B192" s="110"/>
      <c r="C192" s="110"/>
      <c r="D192" s="110"/>
      <c r="E192" s="109"/>
      <c r="F192" s="111"/>
      <c r="G192" s="109"/>
      <c r="H192" s="109"/>
      <c r="I192" s="109"/>
      <c r="J192" s="109"/>
      <c r="K192" s="109"/>
      <c r="L192" s="109"/>
      <c r="M192" s="109"/>
      <c r="N192" s="109"/>
    </row>
    <row r="193" spans="1:14">
      <c r="A193" s="109"/>
      <c r="B193" s="110"/>
      <c r="C193" s="110"/>
      <c r="D193" s="110"/>
      <c r="E193" s="109"/>
      <c r="F193" s="111"/>
      <c r="G193" s="109"/>
      <c r="H193" s="109"/>
      <c r="I193" s="109"/>
      <c r="J193" s="109"/>
      <c r="K193" s="109"/>
      <c r="L193" s="109"/>
      <c r="M193" s="109"/>
      <c r="N193" s="109"/>
    </row>
    <row r="194" spans="1:14">
      <c r="A194" s="109"/>
      <c r="B194" s="110"/>
      <c r="C194" s="110"/>
      <c r="D194" s="110"/>
      <c r="E194" s="109"/>
      <c r="F194" s="111"/>
      <c r="G194" s="109"/>
      <c r="H194" s="109"/>
      <c r="I194" s="109"/>
      <c r="J194" s="109"/>
      <c r="K194" s="109"/>
      <c r="L194" s="109"/>
      <c r="M194" s="109"/>
      <c r="N194" s="109"/>
    </row>
    <row r="195" spans="1:14">
      <c r="A195" s="109"/>
      <c r="B195" s="110"/>
      <c r="C195" s="110"/>
      <c r="D195" s="110"/>
      <c r="E195" s="109"/>
      <c r="F195" s="111"/>
      <c r="G195" s="109"/>
      <c r="H195" s="109"/>
      <c r="I195" s="109"/>
      <c r="J195" s="109"/>
      <c r="K195" s="109"/>
      <c r="L195" s="109"/>
      <c r="M195" s="109"/>
      <c r="N195" s="109"/>
    </row>
    <row r="196" spans="1:14">
      <c r="A196" s="109"/>
      <c r="B196" s="110"/>
      <c r="C196" s="110"/>
      <c r="D196" s="110"/>
      <c r="E196" s="109"/>
      <c r="F196" s="111"/>
      <c r="G196" s="109"/>
      <c r="H196" s="109"/>
      <c r="I196" s="109"/>
      <c r="J196" s="109"/>
      <c r="K196" s="109"/>
      <c r="L196" s="109"/>
      <c r="M196" s="109"/>
      <c r="N196" s="109"/>
    </row>
    <row r="197" spans="1:14">
      <c r="A197" s="109"/>
      <c r="B197" s="110"/>
      <c r="C197" s="110"/>
      <c r="D197" s="110"/>
      <c r="E197" s="109"/>
      <c r="F197" s="111"/>
      <c r="G197" s="109"/>
      <c r="H197" s="109"/>
      <c r="I197" s="109"/>
      <c r="J197" s="109"/>
      <c r="K197" s="109"/>
      <c r="L197" s="109"/>
      <c r="M197" s="109"/>
      <c r="N197" s="109"/>
    </row>
    <row r="198" spans="1:14">
      <c r="A198" s="109"/>
      <c r="B198" s="110"/>
      <c r="C198" s="110"/>
      <c r="D198" s="110"/>
      <c r="E198" s="109"/>
      <c r="F198" s="111"/>
      <c r="G198" s="109"/>
      <c r="H198" s="109"/>
      <c r="I198" s="109"/>
      <c r="J198" s="109"/>
      <c r="K198" s="109"/>
      <c r="L198" s="109"/>
      <c r="M198" s="109"/>
      <c r="N198" s="109"/>
    </row>
    <row r="199" spans="1:14">
      <c r="A199" s="109"/>
      <c r="B199" s="110"/>
      <c r="C199" s="110"/>
      <c r="D199" s="110"/>
      <c r="E199" s="109"/>
      <c r="F199" s="111"/>
      <c r="G199" s="109"/>
      <c r="H199" s="109"/>
      <c r="I199" s="109"/>
      <c r="J199" s="109"/>
      <c r="K199" s="109"/>
      <c r="L199" s="109"/>
      <c r="M199" s="109"/>
      <c r="N199" s="109"/>
    </row>
    <row r="200" spans="1:14">
      <c r="A200" s="109"/>
      <c r="B200" s="110"/>
      <c r="C200" s="110"/>
      <c r="D200" s="110"/>
      <c r="E200" s="109"/>
      <c r="F200" s="111"/>
      <c r="G200" s="109"/>
      <c r="H200" s="109"/>
      <c r="I200" s="109"/>
      <c r="J200" s="109"/>
      <c r="K200" s="109"/>
      <c r="L200" s="109"/>
      <c r="M200" s="109"/>
      <c r="N200" s="109"/>
    </row>
    <row r="201" spans="1:14">
      <c r="A201" s="109"/>
      <c r="B201" s="110"/>
      <c r="C201" s="110"/>
      <c r="D201" s="110"/>
      <c r="E201" s="109"/>
      <c r="F201" s="111"/>
      <c r="G201" s="109"/>
      <c r="H201" s="109"/>
      <c r="I201" s="109"/>
      <c r="J201" s="109"/>
      <c r="K201" s="109"/>
      <c r="L201" s="109"/>
      <c r="M201" s="109"/>
      <c r="N201" s="109"/>
    </row>
    <row r="202" spans="1:14">
      <c r="A202" s="109"/>
      <c r="B202" s="110"/>
      <c r="C202" s="110"/>
      <c r="D202" s="110"/>
      <c r="E202" s="109"/>
      <c r="F202" s="111"/>
      <c r="G202" s="109"/>
      <c r="H202" s="109"/>
      <c r="I202" s="109"/>
      <c r="J202" s="109"/>
      <c r="K202" s="109"/>
      <c r="L202" s="109"/>
      <c r="M202" s="109"/>
      <c r="N202" s="109"/>
    </row>
    <row r="203" spans="1:14">
      <c r="A203" s="109"/>
      <c r="B203" s="110"/>
      <c r="C203" s="110"/>
      <c r="D203" s="110"/>
      <c r="E203" s="109"/>
      <c r="F203" s="111"/>
      <c r="G203" s="109"/>
      <c r="H203" s="109"/>
      <c r="I203" s="109"/>
      <c r="J203" s="109"/>
      <c r="K203" s="109"/>
      <c r="L203" s="109"/>
      <c r="M203" s="109"/>
      <c r="N203" s="109"/>
    </row>
    <row r="204" spans="1:14">
      <c r="A204" s="109"/>
      <c r="B204" s="110"/>
      <c r="C204" s="110"/>
      <c r="D204" s="110"/>
      <c r="E204" s="109"/>
      <c r="F204" s="111"/>
      <c r="G204" s="109"/>
      <c r="H204" s="109"/>
      <c r="I204" s="109"/>
      <c r="J204" s="109"/>
      <c r="K204" s="109"/>
      <c r="L204" s="109"/>
      <c r="M204" s="109"/>
      <c r="N204" s="109"/>
    </row>
    <row r="205" spans="1:14">
      <c r="A205" s="109"/>
      <c r="B205" s="110"/>
      <c r="C205" s="110"/>
      <c r="D205" s="110"/>
      <c r="E205" s="109"/>
      <c r="F205" s="111"/>
      <c r="G205" s="109"/>
      <c r="H205" s="109"/>
      <c r="I205" s="109"/>
      <c r="J205" s="109"/>
      <c r="K205" s="109"/>
      <c r="L205" s="109"/>
      <c r="M205" s="109"/>
      <c r="N205" s="109"/>
    </row>
    <row r="206" spans="1:14">
      <c r="A206" s="109"/>
      <c r="B206" s="110"/>
      <c r="C206" s="110"/>
      <c r="D206" s="110"/>
      <c r="E206" s="109"/>
      <c r="F206" s="111"/>
      <c r="G206" s="109"/>
      <c r="H206" s="109"/>
      <c r="I206" s="109"/>
      <c r="J206" s="109"/>
      <c r="K206" s="109"/>
      <c r="L206" s="109"/>
      <c r="M206" s="109"/>
      <c r="N206" s="109"/>
    </row>
    <row r="207" spans="1:14">
      <c r="A207" s="109"/>
      <c r="B207" s="110"/>
      <c r="C207" s="110"/>
      <c r="D207" s="110"/>
      <c r="E207" s="109"/>
      <c r="F207" s="111"/>
      <c r="G207" s="109"/>
      <c r="H207" s="109"/>
      <c r="I207" s="109"/>
      <c r="J207" s="109"/>
      <c r="K207" s="109"/>
      <c r="L207" s="109"/>
      <c r="M207" s="109"/>
      <c r="N207" s="109"/>
    </row>
    <row r="208" spans="1:14">
      <c r="A208" s="109"/>
      <c r="B208" s="110"/>
      <c r="C208" s="110"/>
      <c r="D208" s="110"/>
      <c r="E208" s="109"/>
      <c r="F208" s="111"/>
      <c r="G208" s="109"/>
      <c r="H208" s="109"/>
      <c r="I208" s="109"/>
      <c r="J208" s="109"/>
      <c r="K208" s="109"/>
      <c r="L208" s="109"/>
      <c r="M208" s="109"/>
      <c r="N208" s="109"/>
    </row>
    <row r="209" spans="1:14">
      <c r="A209" s="109"/>
      <c r="B209" s="110"/>
      <c r="C209" s="110"/>
      <c r="D209" s="110"/>
      <c r="E209" s="109"/>
      <c r="F209" s="111"/>
      <c r="G209" s="109"/>
      <c r="H209" s="109"/>
      <c r="I209" s="109"/>
      <c r="J209" s="109"/>
      <c r="K209" s="109"/>
      <c r="L209" s="109"/>
      <c r="M209" s="109"/>
      <c r="N209" s="109"/>
    </row>
    <row r="210" spans="1:14">
      <c r="A210" s="109"/>
      <c r="B210" s="110"/>
      <c r="C210" s="110"/>
      <c r="D210" s="110"/>
      <c r="E210" s="109"/>
      <c r="F210" s="111"/>
      <c r="G210" s="109"/>
      <c r="H210" s="109"/>
      <c r="I210" s="109"/>
      <c r="J210" s="109"/>
      <c r="K210" s="109"/>
      <c r="L210" s="109"/>
      <c r="M210" s="109"/>
      <c r="N210" s="109"/>
    </row>
    <row r="211" spans="1:14">
      <c r="A211" s="109"/>
      <c r="B211" s="110"/>
      <c r="C211" s="110"/>
      <c r="D211" s="110"/>
      <c r="E211" s="109"/>
      <c r="F211" s="111"/>
      <c r="G211" s="109"/>
      <c r="H211" s="109"/>
      <c r="I211" s="109"/>
      <c r="J211" s="109"/>
      <c r="K211" s="109"/>
      <c r="L211" s="109"/>
      <c r="M211" s="109"/>
      <c r="N211" s="109"/>
    </row>
    <row r="212" spans="1:14">
      <c r="A212" s="109"/>
      <c r="B212" s="110"/>
      <c r="C212" s="110"/>
      <c r="D212" s="110"/>
      <c r="E212" s="109"/>
      <c r="F212" s="111"/>
      <c r="G212" s="109"/>
      <c r="H212" s="109"/>
      <c r="I212" s="109"/>
      <c r="J212" s="109"/>
      <c r="K212" s="109"/>
      <c r="L212" s="109"/>
      <c r="M212" s="109"/>
      <c r="N212" s="109"/>
    </row>
    <row r="213" spans="1:14">
      <c r="A213" s="109"/>
      <c r="B213" s="110"/>
      <c r="C213" s="110"/>
      <c r="D213" s="110"/>
      <c r="E213" s="109"/>
      <c r="F213" s="111"/>
      <c r="G213" s="109"/>
      <c r="H213" s="109"/>
      <c r="I213" s="109"/>
      <c r="J213" s="109"/>
      <c r="K213" s="109"/>
      <c r="L213" s="109"/>
      <c r="M213" s="109"/>
      <c r="N213" s="109"/>
    </row>
    <row r="214" spans="1:14">
      <c r="A214" s="109"/>
      <c r="B214" s="110"/>
      <c r="C214" s="110"/>
      <c r="D214" s="110"/>
      <c r="E214" s="109"/>
      <c r="F214" s="111"/>
      <c r="G214" s="109"/>
      <c r="H214" s="109"/>
      <c r="I214" s="109"/>
      <c r="J214" s="109"/>
      <c r="K214" s="109"/>
      <c r="L214" s="109"/>
      <c r="M214" s="109"/>
      <c r="N214" s="109"/>
    </row>
    <row r="215" spans="1:14">
      <c r="A215" s="109"/>
      <c r="B215" s="110"/>
      <c r="C215" s="110"/>
      <c r="D215" s="110"/>
      <c r="E215" s="109"/>
      <c r="F215" s="111"/>
      <c r="G215" s="109"/>
      <c r="H215" s="109"/>
      <c r="I215" s="109"/>
      <c r="J215" s="109"/>
      <c r="K215" s="109"/>
      <c r="L215" s="109"/>
      <c r="M215" s="109"/>
      <c r="N215" s="109"/>
    </row>
    <row r="216" spans="1:14">
      <c r="A216" s="109"/>
      <c r="B216" s="110"/>
      <c r="C216" s="110"/>
      <c r="D216" s="110"/>
      <c r="E216" s="109"/>
      <c r="F216" s="111"/>
      <c r="G216" s="109"/>
      <c r="H216" s="109"/>
      <c r="I216" s="109"/>
      <c r="J216" s="109"/>
      <c r="K216" s="109"/>
      <c r="L216" s="109"/>
      <c r="M216" s="109"/>
      <c r="N216" s="109"/>
    </row>
    <row r="217" spans="1:14">
      <c r="A217" s="109"/>
      <c r="B217" s="110"/>
      <c r="C217" s="110"/>
      <c r="D217" s="110"/>
      <c r="E217" s="109"/>
      <c r="F217" s="111"/>
      <c r="G217" s="109"/>
      <c r="H217" s="109"/>
      <c r="I217" s="109"/>
      <c r="J217" s="109"/>
      <c r="K217" s="109"/>
      <c r="L217" s="109"/>
      <c r="M217" s="109"/>
      <c r="N217" s="109"/>
    </row>
    <row r="218" spans="1:14">
      <c r="A218" s="109"/>
      <c r="B218" s="110"/>
      <c r="C218" s="110"/>
      <c r="D218" s="110"/>
      <c r="E218" s="109"/>
      <c r="F218" s="111"/>
      <c r="G218" s="109"/>
      <c r="H218" s="109"/>
      <c r="I218" s="109"/>
      <c r="J218" s="109"/>
      <c r="K218" s="109"/>
      <c r="L218" s="109"/>
      <c r="M218" s="109"/>
      <c r="N218" s="109"/>
    </row>
    <row r="219" spans="1:14">
      <c r="A219" s="109"/>
      <c r="B219" s="110"/>
      <c r="C219" s="110"/>
      <c r="D219" s="110"/>
      <c r="E219" s="109"/>
      <c r="F219" s="111"/>
      <c r="G219" s="109"/>
      <c r="H219" s="109"/>
      <c r="I219" s="109"/>
      <c r="J219" s="109"/>
      <c r="K219" s="109"/>
      <c r="L219" s="109"/>
      <c r="M219" s="109"/>
      <c r="N219" s="109"/>
    </row>
    <row r="220" spans="1:14">
      <c r="A220" s="109"/>
      <c r="B220" s="110"/>
      <c r="C220" s="110"/>
      <c r="D220" s="110"/>
      <c r="E220" s="109"/>
      <c r="F220" s="111"/>
      <c r="G220" s="109"/>
      <c r="H220" s="109"/>
      <c r="I220" s="109"/>
      <c r="J220" s="109"/>
      <c r="K220" s="109"/>
      <c r="L220" s="109"/>
      <c r="M220" s="109"/>
      <c r="N220" s="109"/>
    </row>
    <row r="221" spans="1:14">
      <c r="A221" s="109"/>
      <c r="B221" s="110"/>
      <c r="C221" s="110"/>
      <c r="D221" s="110"/>
      <c r="E221" s="109"/>
      <c r="F221" s="111"/>
      <c r="G221" s="109"/>
      <c r="H221" s="109"/>
      <c r="I221" s="109"/>
      <c r="J221" s="109"/>
      <c r="K221" s="109"/>
      <c r="L221" s="109"/>
      <c r="M221" s="109"/>
      <c r="N221" s="109"/>
    </row>
    <row r="222" spans="1:14">
      <c r="A222" s="109"/>
      <c r="B222" s="110"/>
      <c r="C222" s="110"/>
      <c r="D222" s="110"/>
      <c r="E222" s="109"/>
      <c r="F222" s="111"/>
      <c r="G222" s="109"/>
      <c r="H222" s="109"/>
      <c r="I222" s="109"/>
      <c r="J222" s="109"/>
      <c r="K222" s="109"/>
      <c r="L222" s="109"/>
      <c r="M222" s="109"/>
      <c r="N222" s="109"/>
    </row>
    <row r="223" spans="1:14">
      <c r="A223" s="109"/>
      <c r="B223" s="110"/>
      <c r="C223" s="110"/>
      <c r="D223" s="110"/>
      <c r="E223" s="109"/>
      <c r="F223" s="111"/>
      <c r="G223" s="109"/>
      <c r="H223" s="109"/>
      <c r="I223" s="109"/>
      <c r="J223" s="109"/>
      <c r="K223" s="109"/>
      <c r="L223" s="109"/>
      <c r="M223" s="109"/>
      <c r="N223" s="109"/>
    </row>
    <row r="224" spans="1:14">
      <c r="A224" s="109"/>
      <c r="B224" s="110"/>
      <c r="C224" s="110"/>
      <c r="D224" s="110"/>
      <c r="E224" s="109"/>
      <c r="F224" s="111"/>
      <c r="G224" s="109"/>
      <c r="H224" s="109"/>
      <c r="I224" s="109"/>
      <c r="J224" s="109"/>
      <c r="K224" s="109"/>
      <c r="L224" s="109"/>
      <c r="M224" s="109"/>
      <c r="N224" s="109"/>
    </row>
    <row r="225" spans="1:14">
      <c r="A225" s="109"/>
      <c r="B225" s="110"/>
      <c r="C225" s="110"/>
      <c r="D225" s="110"/>
      <c r="E225" s="109"/>
      <c r="F225" s="111"/>
      <c r="G225" s="109"/>
      <c r="H225" s="109"/>
      <c r="I225" s="109"/>
      <c r="J225" s="109"/>
      <c r="K225" s="109"/>
      <c r="L225" s="109"/>
      <c r="M225" s="109"/>
      <c r="N225" s="109"/>
    </row>
    <row r="226" spans="1:14">
      <c r="A226" s="109"/>
      <c r="B226" s="110"/>
      <c r="C226" s="110"/>
      <c r="D226" s="110"/>
      <c r="E226" s="109"/>
      <c r="F226" s="111"/>
      <c r="G226" s="109"/>
      <c r="H226" s="109"/>
      <c r="I226" s="109"/>
      <c r="J226" s="109"/>
      <c r="K226" s="109"/>
      <c r="L226" s="109"/>
      <c r="M226" s="109"/>
      <c r="N226" s="109"/>
    </row>
    <row r="227" spans="1:14">
      <c r="A227" s="109"/>
      <c r="B227" s="110"/>
      <c r="C227" s="110"/>
      <c r="D227" s="110"/>
      <c r="E227" s="109"/>
      <c r="F227" s="111"/>
      <c r="G227" s="109"/>
      <c r="H227" s="109"/>
      <c r="I227" s="109"/>
      <c r="J227" s="109"/>
      <c r="K227" s="109"/>
      <c r="L227" s="109"/>
      <c r="M227" s="109"/>
      <c r="N227" s="109"/>
    </row>
    <row r="228" spans="1:14">
      <c r="A228" s="109"/>
      <c r="B228" s="110"/>
      <c r="C228" s="110"/>
      <c r="D228" s="110"/>
      <c r="E228" s="109"/>
      <c r="F228" s="111"/>
      <c r="G228" s="109"/>
      <c r="H228" s="109"/>
      <c r="I228" s="109"/>
      <c r="J228" s="109"/>
      <c r="K228" s="109"/>
      <c r="L228" s="109"/>
      <c r="M228" s="109"/>
      <c r="N228" s="109"/>
    </row>
    <row r="229" spans="1:14">
      <c r="A229" s="109"/>
      <c r="B229" s="110"/>
      <c r="C229" s="110"/>
      <c r="D229" s="110"/>
      <c r="E229" s="109"/>
      <c r="F229" s="111"/>
      <c r="G229" s="109"/>
      <c r="H229" s="109"/>
      <c r="I229" s="109"/>
      <c r="J229" s="109"/>
      <c r="K229" s="109"/>
      <c r="L229" s="109"/>
      <c r="M229" s="109"/>
      <c r="N229" s="109"/>
    </row>
    <row r="230" spans="1:14">
      <c r="A230" s="109"/>
      <c r="B230" s="110"/>
      <c r="C230" s="110"/>
      <c r="D230" s="110"/>
      <c r="E230" s="109"/>
      <c r="F230" s="111"/>
      <c r="G230" s="109"/>
      <c r="H230" s="109"/>
      <c r="I230" s="109"/>
      <c r="J230" s="109"/>
      <c r="K230" s="109"/>
      <c r="L230" s="109"/>
      <c r="M230" s="109"/>
      <c r="N230" s="109"/>
    </row>
    <row r="231" spans="1:14">
      <c r="A231" s="109"/>
      <c r="B231" s="110"/>
      <c r="C231" s="110"/>
      <c r="D231" s="110"/>
      <c r="E231" s="109"/>
      <c r="F231" s="111"/>
      <c r="G231" s="109"/>
      <c r="H231" s="109"/>
      <c r="I231" s="109"/>
      <c r="J231" s="109"/>
      <c r="K231" s="109"/>
      <c r="L231" s="109"/>
      <c r="M231" s="109"/>
      <c r="N231" s="109"/>
    </row>
    <row r="232" spans="1:14">
      <c r="A232" s="109"/>
      <c r="B232" s="110"/>
      <c r="C232" s="110"/>
      <c r="D232" s="110"/>
      <c r="E232" s="109"/>
      <c r="F232" s="111"/>
      <c r="G232" s="109"/>
      <c r="H232" s="109"/>
      <c r="I232" s="109"/>
      <c r="J232" s="109"/>
      <c r="K232" s="109"/>
      <c r="L232" s="109"/>
      <c r="M232" s="109"/>
      <c r="N232" s="109"/>
    </row>
    <row r="233" spans="1:14">
      <c r="A233" s="109"/>
      <c r="B233" s="110"/>
      <c r="C233" s="110"/>
      <c r="D233" s="110"/>
      <c r="E233" s="109"/>
      <c r="F233" s="111"/>
      <c r="G233" s="109"/>
      <c r="H233" s="109"/>
      <c r="I233" s="109"/>
      <c r="J233" s="109"/>
      <c r="K233" s="109"/>
      <c r="L233" s="109"/>
      <c r="M233" s="109"/>
      <c r="N233" s="109"/>
    </row>
    <row r="234" spans="1:14">
      <c r="A234" s="109"/>
      <c r="B234" s="110"/>
      <c r="C234" s="110"/>
      <c r="D234" s="110"/>
      <c r="E234" s="109"/>
      <c r="F234" s="111"/>
      <c r="G234" s="109"/>
      <c r="H234" s="109"/>
      <c r="I234" s="109"/>
      <c r="J234" s="109"/>
      <c r="K234" s="109"/>
      <c r="L234" s="109"/>
      <c r="M234" s="109"/>
      <c r="N234" s="109"/>
    </row>
    <row r="235" spans="1:14">
      <c r="A235" s="109"/>
      <c r="B235" s="110"/>
      <c r="C235" s="110"/>
      <c r="D235" s="110"/>
      <c r="E235" s="109"/>
      <c r="F235" s="111"/>
      <c r="G235" s="109"/>
      <c r="H235" s="109"/>
      <c r="I235" s="109"/>
      <c r="J235" s="109"/>
      <c r="K235" s="109"/>
      <c r="L235" s="109"/>
      <c r="M235" s="109"/>
      <c r="N235" s="109"/>
    </row>
    <row r="236" spans="1:14">
      <c r="A236" s="109"/>
      <c r="B236" s="110"/>
      <c r="C236" s="110"/>
      <c r="D236" s="110"/>
      <c r="E236" s="109"/>
      <c r="F236" s="111"/>
      <c r="G236" s="109"/>
      <c r="H236" s="109"/>
      <c r="I236" s="109"/>
      <c r="J236" s="109"/>
      <c r="K236" s="109"/>
      <c r="L236" s="109"/>
      <c r="M236" s="109"/>
      <c r="N236" s="109"/>
    </row>
    <row r="237" spans="1:14">
      <c r="A237" s="109"/>
      <c r="B237" s="110"/>
      <c r="C237" s="110"/>
      <c r="D237" s="110"/>
      <c r="E237" s="109"/>
      <c r="F237" s="111"/>
      <c r="G237" s="109"/>
      <c r="H237" s="109"/>
      <c r="I237" s="109"/>
      <c r="J237" s="109"/>
      <c r="K237" s="109"/>
      <c r="L237" s="109"/>
      <c r="M237" s="109"/>
      <c r="N237" s="109"/>
    </row>
    <row r="238" spans="1:14">
      <c r="A238" s="109"/>
      <c r="B238" s="110"/>
      <c r="C238" s="110"/>
      <c r="D238" s="110"/>
      <c r="E238" s="109"/>
      <c r="F238" s="111"/>
      <c r="G238" s="109"/>
      <c r="H238" s="109"/>
      <c r="I238" s="109"/>
      <c r="J238" s="109"/>
      <c r="K238" s="109"/>
      <c r="L238" s="109"/>
      <c r="M238" s="109"/>
      <c r="N238" s="109"/>
    </row>
    <row r="239" spans="1:14">
      <c r="A239" s="109"/>
      <c r="B239" s="110"/>
      <c r="C239" s="110"/>
      <c r="D239" s="110"/>
      <c r="E239" s="109"/>
      <c r="F239" s="111"/>
      <c r="G239" s="109"/>
      <c r="H239" s="109"/>
      <c r="I239" s="109"/>
      <c r="J239" s="109"/>
      <c r="K239" s="109"/>
      <c r="L239" s="109"/>
      <c r="M239" s="109"/>
      <c r="N239" s="109"/>
    </row>
    <row r="240" spans="1:14">
      <c r="A240" s="109"/>
      <c r="B240" s="110"/>
      <c r="C240" s="110"/>
      <c r="D240" s="110"/>
      <c r="E240" s="109"/>
      <c r="F240" s="111"/>
      <c r="G240" s="109"/>
      <c r="H240" s="109"/>
      <c r="I240" s="109"/>
      <c r="J240" s="109"/>
      <c r="K240" s="109"/>
      <c r="L240" s="109"/>
      <c r="M240" s="109"/>
      <c r="N240" s="109"/>
    </row>
    <row r="241" spans="1:14">
      <c r="A241" s="109"/>
      <c r="B241" s="110"/>
      <c r="C241" s="110"/>
      <c r="D241" s="110"/>
      <c r="E241" s="109"/>
      <c r="F241" s="111"/>
      <c r="G241" s="109"/>
      <c r="H241" s="109"/>
      <c r="I241" s="109"/>
      <c r="J241" s="109"/>
      <c r="K241" s="109"/>
      <c r="L241" s="109"/>
      <c r="M241" s="109"/>
      <c r="N241" s="109"/>
    </row>
    <row r="242" spans="1:14">
      <c r="A242" s="109"/>
      <c r="B242" s="110"/>
      <c r="C242" s="110"/>
      <c r="D242" s="110"/>
      <c r="E242" s="109"/>
      <c r="F242" s="111"/>
      <c r="G242" s="109"/>
      <c r="H242" s="109"/>
      <c r="I242" s="109"/>
      <c r="J242" s="109"/>
      <c r="K242" s="109"/>
      <c r="L242" s="109"/>
      <c r="M242" s="109"/>
      <c r="N242" s="109"/>
    </row>
    <row r="243" spans="1:14">
      <c r="A243" s="109"/>
      <c r="B243" s="110"/>
      <c r="C243" s="110"/>
      <c r="D243" s="110"/>
      <c r="E243" s="109"/>
      <c r="F243" s="111"/>
      <c r="G243" s="109"/>
      <c r="H243" s="109"/>
      <c r="I243" s="109"/>
      <c r="J243" s="109"/>
      <c r="K243" s="109"/>
      <c r="L243" s="109"/>
      <c r="M243" s="109"/>
      <c r="N243" s="109"/>
    </row>
    <row r="244" spans="1:14">
      <c r="A244" s="109"/>
      <c r="B244" s="110"/>
      <c r="C244" s="110"/>
      <c r="D244" s="110"/>
      <c r="E244" s="109"/>
      <c r="F244" s="111"/>
      <c r="G244" s="109"/>
      <c r="H244" s="109"/>
      <c r="I244" s="109"/>
      <c r="J244" s="109"/>
      <c r="K244" s="109"/>
      <c r="L244" s="109"/>
      <c r="M244" s="109"/>
      <c r="N244" s="109"/>
    </row>
    <row r="245" spans="1:14">
      <c r="A245" s="109"/>
      <c r="B245" s="110"/>
      <c r="C245" s="110"/>
      <c r="D245" s="110"/>
      <c r="E245" s="109"/>
      <c r="F245" s="111"/>
      <c r="G245" s="109"/>
      <c r="H245" s="109"/>
      <c r="I245" s="109"/>
      <c r="J245" s="109"/>
      <c r="K245" s="109"/>
      <c r="L245" s="109"/>
      <c r="M245" s="109"/>
      <c r="N245" s="109"/>
    </row>
    <row r="246" spans="1:14">
      <c r="A246" s="109"/>
      <c r="B246" s="110"/>
      <c r="C246" s="110"/>
      <c r="D246" s="110"/>
      <c r="E246" s="109"/>
      <c r="F246" s="111"/>
      <c r="G246" s="109"/>
      <c r="H246" s="109"/>
      <c r="I246" s="109"/>
      <c r="J246" s="109"/>
      <c r="K246" s="109"/>
      <c r="L246" s="109"/>
      <c r="M246" s="109"/>
      <c r="N246" s="109"/>
    </row>
    <row r="247" spans="1:14">
      <c r="A247" s="109"/>
      <c r="B247" s="110"/>
      <c r="C247" s="110"/>
      <c r="D247" s="110"/>
      <c r="E247" s="109"/>
      <c r="F247" s="111"/>
      <c r="G247" s="109"/>
      <c r="H247" s="109"/>
      <c r="I247" s="109"/>
      <c r="J247" s="109"/>
      <c r="K247" s="109"/>
      <c r="L247" s="109"/>
      <c r="M247" s="109"/>
      <c r="N247" s="109"/>
    </row>
    <row r="248" spans="1:14">
      <c r="A248" s="109"/>
      <c r="B248" s="110"/>
      <c r="C248" s="110"/>
      <c r="D248" s="110"/>
      <c r="E248" s="109"/>
      <c r="F248" s="111"/>
      <c r="G248" s="109"/>
      <c r="H248" s="109"/>
      <c r="I248" s="109"/>
      <c r="J248" s="109"/>
      <c r="K248" s="109"/>
      <c r="L248" s="109"/>
      <c r="M248" s="109"/>
      <c r="N248" s="109"/>
    </row>
    <row r="249" spans="1:14">
      <c r="A249" s="109"/>
      <c r="B249" s="110"/>
      <c r="C249" s="110"/>
      <c r="D249" s="110"/>
      <c r="E249" s="109"/>
      <c r="F249" s="111"/>
      <c r="G249" s="109"/>
      <c r="H249" s="109"/>
      <c r="I249" s="109"/>
      <c r="J249" s="109"/>
      <c r="K249" s="109"/>
      <c r="L249" s="109"/>
      <c r="M249" s="109"/>
      <c r="N249" s="109"/>
    </row>
    <row r="250" spans="1:14">
      <c r="A250" s="109"/>
      <c r="B250" s="110"/>
      <c r="C250" s="110"/>
      <c r="D250" s="110"/>
      <c r="E250" s="109"/>
      <c r="F250" s="111"/>
      <c r="G250" s="109"/>
      <c r="H250" s="109"/>
      <c r="I250" s="109"/>
      <c r="J250" s="109"/>
      <c r="K250" s="109"/>
      <c r="L250" s="109"/>
      <c r="M250" s="109"/>
      <c r="N250" s="109"/>
    </row>
    <row r="251" spans="1:14">
      <c r="A251" s="109"/>
      <c r="B251" s="110"/>
      <c r="C251" s="110"/>
      <c r="D251" s="110"/>
      <c r="E251" s="109"/>
      <c r="F251" s="111"/>
      <c r="G251" s="109"/>
      <c r="H251" s="109"/>
      <c r="I251" s="109"/>
      <c r="J251" s="109"/>
      <c r="K251" s="109"/>
      <c r="L251" s="109"/>
      <c r="M251" s="109"/>
      <c r="N251" s="109"/>
    </row>
    <row r="252" spans="1:14">
      <c r="A252" s="109"/>
      <c r="B252" s="110"/>
      <c r="C252" s="110"/>
      <c r="D252" s="110"/>
      <c r="E252" s="109"/>
      <c r="F252" s="111"/>
      <c r="G252" s="109"/>
      <c r="H252" s="109"/>
      <c r="I252" s="109"/>
      <c r="J252" s="109"/>
      <c r="K252" s="109"/>
      <c r="L252" s="109"/>
      <c r="M252" s="109"/>
      <c r="N252" s="109"/>
    </row>
    <row r="253" spans="1:14">
      <c r="A253" s="109"/>
      <c r="B253" s="110"/>
      <c r="C253" s="110"/>
      <c r="D253" s="110"/>
      <c r="E253" s="109"/>
      <c r="F253" s="111"/>
      <c r="G253" s="109"/>
      <c r="H253" s="109"/>
      <c r="I253" s="109"/>
      <c r="J253" s="109"/>
      <c r="K253" s="109"/>
      <c r="L253" s="109"/>
      <c r="M253" s="109"/>
      <c r="N253" s="109"/>
    </row>
    <row r="254" spans="1:14">
      <c r="A254" s="109"/>
      <c r="B254" s="110"/>
      <c r="C254" s="110"/>
      <c r="D254" s="110"/>
      <c r="E254" s="109"/>
      <c r="F254" s="111"/>
      <c r="G254" s="109"/>
      <c r="H254" s="109"/>
      <c r="I254" s="109"/>
      <c r="J254" s="109"/>
      <c r="K254" s="109"/>
      <c r="L254" s="109"/>
      <c r="M254" s="109"/>
      <c r="N254" s="109"/>
    </row>
    <row r="255" spans="1:14">
      <c r="A255" s="109"/>
      <c r="B255" s="110"/>
      <c r="C255" s="110"/>
      <c r="D255" s="110"/>
      <c r="E255" s="109"/>
      <c r="F255" s="111"/>
      <c r="G255" s="109"/>
      <c r="H255" s="109"/>
      <c r="I255" s="109"/>
      <c r="J255" s="109"/>
      <c r="K255" s="109"/>
      <c r="L255" s="109"/>
      <c r="M255" s="109"/>
      <c r="N255" s="109"/>
    </row>
    <row r="256" spans="1:14">
      <c r="A256" s="109"/>
      <c r="B256" s="110"/>
      <c r="C256" s="110"/>
      <c r="D256" s="110"/>
      <c r="E256" s="109"/>
      <c r="F256" s="111"/>
      <c r="G256" s="109"/>
      <c r="H256" s="109"/>
      <c r="I256" s="109"/>
      <c r="J256" s="109"/>
      <c r="K256" s="109"/>
      <c r="L256" s="109"/>
      <c r="M256" s="109"/>
      <c r="N256" s="109"/>
    </row>
    <row r="257" spans="1:14">
      <c r="A257" s="109"/>
      <c r="B257" s="110"/>
      <c r="C257" s="110"/>
      <c r="D257" s="110"/>
      <c r="E257" s="109"/>
      <c r="F257" s="111"/>
      <c r="G257" s="109"/>
      <c r="H257" s="109"/>
      <c r="I257" s="109"/>
      <c r="J257" s="109"/>
      <c r="K257" s="109"/>
      <c r="L257" s="109"/>
      <c r="M257" s="109"/>
      <c r="N257" s="109"/>
    </row>
    <row r="258" spans="1:14">
      <c r="A258" s="109"/>
      <c r="B258" s="110"/>
      <c r="C258" s="110"/>
      <c r="D258" s="110"/>
      <c r="E258" s="109"/>
      <c r="F258" s="111"/>
      <c r="G258" s="109"/>
      <c r="H258" s="109"/>
      <c r="I258" s="109"/>
      <c r="J258" s="109"/>
      <c r="K258" s="109"/>
      <c r="L258" s="109"/>
      <c r="M258" s="109"/>
      <c r="N258" s="109"/>
    </row>
    <row r="259" spans="1:14">
      <c r="A259" s="109"/>
      <c r="B259" s="110"/>
      <c r="C259" s="110"/>
      <c r="D259" s="110"/>
      <c r="E259" s="109"/>
      <c r="F259" s="111"/>
      <c r="G259" s="109"/>
      <c r="H259" s="109"/>
      <c r="I259" s="109"/>
      <c r="J259" s="109"/>
      <c r="K259" s="109"/>
      <c r="L259" s="109"/>
      <c r="M259" s="109"/>
      <c r="N259" s="109"/>
    </row>
    <row r="260" spans="1:14">
      <c r="A260" s="109"/>
      <c r="B260" s="110"/>
      <c r="C260" s="110"/>
      <c r="D260" s="110"/>
      <c r="E260" s="109"/>
      <c r="F260" s="111"/>
      <c r="G260" s="109"/>
      <c r="H260" s="109"/>
      <c r="I260" s="109"/>
      <c r="J260" s="109"/>
      <c r="K260" s="109"/>
      <c r="L260" s="109"/>
      <c r="M260" s="109"/>
      <c r="N260" s="109"/>
    </row>
    <row r="261" spans="1:14">
      <c r="A261" s="109"/>
      <c r="B261" s="110"/>
      <c r="C261" s="110"/>
      <c r="D261" s="110"/>
      <c r="E261" s="109"/>
      <c r="F261" s="111"/>
      <c r="G261" s="109"/>
      <c r="H261" s="109"/>
      <c r="I261" s="109"/>
      <c r="J261" s="109"/>
      <c r="K261" s="109"/>
      <c r="L261" s="109"/>
      <c r="M261" s="109"/>
      <c r="N261" s="109"/>
    </row>
    <row r="262" spans="1:14">
      <c r="A262" s="109"/>
      <c r="B262" s="110"/>
      <c r="C262" s="110"/>
      <c r="D262" s="110"/>
      <c r="E262" s="109"/>
      <c r="F262" s="111"/>
      <c r="G262" s="109"/>
      <c r="H262" s="109"/>
      <c r="I262" s="109"/>
      <c r="J262" s="109"/>
      <c r="K262" s="109"/>
      <c r="L262" s="109"/>
      <c r="M262" s="109"/>
      <c r="N262" s="109"/>
    </row>
    <row r="263" spans="1:14">
      <c r="A263" s="109"/>
      <c r="B263" s="110"/>
      <c r="C263" s="110"/>
      <c r="D263" s="110"/>
      <c r="E263" s="109"/>
      <c r="F263" s="111"/>
      <c r="G263" s="109"/>
      <c r="H263" s="109"/>
      <c r="I263" s="109"/>
      <c r="J263" s="109"/>
      <c r="K263" s="109"/>
      <c r="L263" s="109"/>
      <c r="M263" s="109"/>
      <c r="N263" s="109"/>
    </row>
    <row r="264" spans="1:14">
      <c r="A264" s="109"/>
      <c r="B264" s="110"/>
      <c r="C264" s="110"/>
      <c r="D264" s="110"/>
      <c r="E264" s="109"/>
      <c r="F264" s="111"/>
      <c r="G264" s="109"/>
      <c r="H264" s="109"/>
      <c r="I264" s="109"/>
      <c r="J264" s="109"/>
      <c r="K264" s="109"/>
      <c r="L264" s="109"/>
      <c r="M264" s="109"/>
      <c r="N264" s="109"/>
    </row>
    <row r="265" spans="1:14">
      <c r="A265" s="109"/>
      <c r="B265" s="110"/>
      <c r="C265" s="110"/>
      <c r="D265" s="110"/>
      <c r="E265" s="109"/>
      <c r="F265" s="111"/>
      <c r="G265" s="109"/>
      <c r="H265" s="109"/>
      <c r="I265" s="109"/>
      <c r="J265" s="109"/>
      <c r="K265" s="109"/>
      <c r="L265" s="109"/>
      <c r="M265" s="109"/>
      <c r="N265" s="109"/>
    </row>
    <row r="266" spans="1:14">
      <c r="A266" s="109"/>
      <c r="B266" s="110"/>
      <c r="C266" s="110"/>
      <c r="D266" s="110"/>
      <c r="E266" s="109"/>
      <c r="F266" s="111"/>
      <c r="G266" s="109"/>
      <c r="H266" s="109"/>
      <c r="I266" s="109"/>
      <c r="J266" s="109"/>
      <c r="K266" s="109"/>
      <c r="L266" s="109"/>
      <c r="M266" s="109"/>
      <c r="N266" s="109"/>
    </row>
    <row r="267" spans="1:14">
      <c r="A267" s="109"/>
      <c r="B267" s="110"/>
      <c r="C267" s="110"/>
      <c r="D267" s="110"/>
      <c r="E267" s="109"/>
      <c r="F267" s="111"/>
      <c r="G267" s="109"/>
      <c r="H267" s="109"/>
      <c r="I267" s="109"/>
      <c r="J267" s="109"/>
      <c r="K267" s="109"/>
      <c r="L267" s="109"/>
      <c r="M267" s="109"/>
      <c r="N267" s="109"/>
    </row>
    <row r="268" spans="1:14">
      <c r="A268" s="109"/>
      <c r="B268" s="110"/>
      <c r="C268" s="110"/>
      <c r="D268" s="110"/>
      <c r="E268" s="109"/>
      <c r="F268" s="111"/>
      <c r="G268" s="109"/>
      <c r="H268" s="109"/>
      <c r="I268" s="109"/>
      <c r="J268" s="109"/>
      <c r="K268" s="109"/>
      <c r="L268" s="109"/>
      <c r="M268" s="109"/>
      <c r="N268" s="109"/>
    </row>
    <row r="269" spans="1:14">
      <c r="A269" s="109"/>
      <c r="B269" s="110"/>
      <c r="C269" s="110"/>
      <c r="D269" s="110"/>
      <c r="E269" s="109"/>
      <c r="F269" s="111"/>
      <c r="G269" s="109"/>
      <c r="H269" s="109"/>
      <c r="I269" s="109"/>
      <c r="J269" s="109"/>
      <c r="K269" s="109"/>
      <c r="L269" s="109"/>
      <c r="M269" s="109"/>
      <c r="N269" s="109"/>
    </row>
    <row r="270" spans="1:14">
      <c r="A270" s="109"/>
      <c r="B270" s="110"/>
      <c r="C270" s="110"/>
      <c r="D270" s="110"/>
      <c r="E270" s="109"/>
      <c r="F270" s="111"/>
      <c r="G270" s="109"/>
      <c r="H270" s="109"/>
      <c r="I270" s="109"/>
      <c r="J270" s="109"/>
      <c r="K270" s="109"/>
      <c r="L270" s="109"/>
      <c r="M270" s="109"/>
      <c r="N270" s="109"/>
    </row>
    <row r="271" spans="1:14">
      <c r="A271" s="109"/>
      <c r="B271" s="110"/>
      <c r="C271" s="110"/>
      <c r="D271" s="110"/>
      <c r="E271" s="109"/>
      <c r="F271" s="111"/>
      <c r="G271" s="109"/>
      <c r="H271" s="109"/>
      <c r="I271" s="109"/>
      <c r="J271" s="109"/>
      <c r="K271" s="109"/>
      <c r="L271" s="109"/>
      <c r="M271" s="109"/>
      <c r="N271" s="109"/>
    </row>
    <row r="272" spans="1:14">
      <c r="A272" s="109"/>
      <c r="B272" s="110"/>
      <c r="C272" s="110"/>
      <c r="D272" s="110"/>
      <c r="E272" s="109"/>
      <c r="F272" s="111"/>
      <c r="G272" s="109"/>
      <c r="H272" s="109"/>
      <c r="I272" s="109"/>
      <c r="J272" s="109"/>
      <c r="K272" s="109"/>
      <c r="L272" s="109"/>
      <c r="M272" s="109"/>
      <c r="N272" s="109"/>
    </row>
    <row r="273" spans="1:14">
      <c r="A273" s="109"/>
      <c r="B273" s="110"/>
      <c r="C273" s="110"/>
      <c r="D273" s="110"/>
      <c r="E273" s="109"/>
      <c r="F273" s="111"/>
      <c r="G273" s="109"/>
      <c r="H273" s="109"/>
      <c r="I273" s="109"/>
      <c r="J273" s="109"/>
      <c r="K273" s="109"/>
      <c r="L273" s="109"/>
      <c r="M273" s="109"/>
      <c r="N273" s="109"/>
    </row>
    <row r="274" spans="1:14">
      <c r="A274" s="109"/>
      <c r="B274" s="110"/>
      <c r="C274" s="110"/>
      <c r="D274" s="110"/>
      <c r="E274" s="109"/>
      <c r="F274" s="111"/>
      <c r="G274" s="109"/>
      <c r="H274" s="109"/>
      <c r="I274" s="109"/>
      <c r="J274" s="109"/>
      <c r="K274" s="109"/>
      <c r="L274" s="109"/>
      <c r="M274" s="109"/>
      <c r="N274" s="109"/>
    </row>
    <row r="275" spans="1:14">
      <c r="A275" s="109"/>
      <c r="B275" s="110"/>
      <c r="C275" s="110"/>
      <c r="D275" s="110"/>
      <c r="E275" s="109"/>
      <c r="F275" s="111"/>
      <c r="G275" s="109"/>
      <c r="H275" s="109"/>
      <c r="I275" s="109"/>
      <c r="J275" s="109"/>
      <c r="K275" s="109"/>
      <c r="L275" s="109"/>
      <c r="M275" s="109"/>
      <c r="N275" s="109"/>
    </row>
    <row r="276" spans="1:14">
      <c r="A276" s="109"/>
      <c r="B276" s="110"/>
      <c r="C276" s="110"/>
      <c r="D276" s="110"/>
      <c r="E276" s="109"/>
      <c r="F276" s="111"/>
      <c r="G276" s="109"/>
      <c r="H276" s="109"/>
      <c r="I276" s="109"/>
      <c r="J276" s="109"/>
      <c r="K276" s="109"/>
      <c r="L276" s="109"/>
      <c r="M276" s="109"/>
      <c r="N276" s="109"/>
    </row>
    <row r="277" spans="1:14">
      <c r="A277" s="109"/>
      <c r="B277" s="110"/>
      <c r="C277" s="110"/>
      <c r="D277" s="110"/>
      <c r="E277" s="109"/>
      <c r="F277" s="111"/>
      <c r="G277" s="109"/>
      <c r="H277" s="109"/>
      <c r="I277" s="109"/>
      <c r="J277" s="109"/>
      <c r="K277" s="109"/>
      <c r="L277" s="109"/>
      <c r="M277" s="109"/>
      <c r="N277" s="109"/>
    </row>
    <row r="278" spans="1:14">
      <c r="A278" s="109"/>
      <c r="B278" s="110"/>
      <c r="C278" s="110"/>
      <c r="D278" s="110"/>
      <c r="E278" s="109"/>
      <c r="F278" s="111"/>
      <c r="G278" s="109"/>
      <c r="H278" s="109"/>
      <c r="I278" s="109"/>
      <c r="J278" s="109"/>
      <c r="K278" s="109"/>
      <c r="L278" s="109"/>
      <c r="M278" s="109"/>
      <c r="N278" s="109"/>
    </row>
    <row r="279" spans="1:14">
      <c r="A279" s="109"/>
      <c r="B279" s="110"/>
      <c r="C279" s="110"/>
      <c r="D279" s="110"/>
      <c r="E279" s="109"/>
      <c r="F279" s="111"/>
      <c r="G279" s="109"/>
      <c r="H279" s="109"/>
      <c r="I279" s="109"/>
      <c r="J279" s="109"/>
      <c r="K279" s="109"/>
      <c r="L279" s="109"/>
      <c r="M279" s="109"/>
      <c r="N279" s="109"/>
    </row>
    <row r="280" spans="1:14">
      <c r="A280" s="109"/>
      <c r="B280" s="110"/>
      <c r="C280" s="110"/>
      <c r="D280" s="110"/>
      <c r="E280" s="109"/>
      <c r="F280" s="111"/>
      <c r="G280" s="109"/>
      <c r="H280" s="109"/>
      <c r="I280" s="109"/>
      <c r="J280" s="109"/>
      <c r="K280" s="109"/>
      <c r="L280" s="109"/>
      <c r="M280" s="109"/>
      <c r="N280" s="109"/>
    </row>
    <row r="281" spans="1:14">
      <c r="A281" s="109"/>
      <c r="B281" s="110"/>
      <c r="C281" s="110"/>
      <c r="D281" s="110"/>
      <c r="E281" s="109"/>
      <c r="F281" s="111"/>
      <c r="G281" s="109"/>
      <c r="H281" s="109"/>
      <c r="I281" s="109"/>
      <c r="J281" s="109"/>
      <c r="K281" s="109"/>
      <c r="L281" s="109"/>
      <c r="M281" s="109"/>
      <c r="N281" s="109"/>
    </row>
    <row r="282" spans="1:14">
      <c r="A282" s="109"/>
      <c r="B282" s="110"/>
      <c r="C282" s="110"/>
      <c r="D282" s="110"/>
      <c r="E282" s="109"/>
      <c r="F282" s="111"/>
      <c r="G282" s="109"/>
      <c r="H282" s="109"/>
      <c r="I282" s="109"/>
      <c r="J282" s="109"/>
      <c r="K282" s="109"/>
      <c r="L282" s="109"/>
      <c r="M282" s="109"/>
      <c r="N282" s="109"/>
    </row>
    <row r="283" spans="1:14">
      <c r="A283" s="109"/>
      <c r="B283" s="110"/>
      <c r="C283" s="110"/>
      <c r="D283" s="110"/>
      <c r="E283" s="109"/>
      <c r="F283" s="111"/>
      <c r="G283" s="109"/>
      <c r="H283" s="109"/>
      <c r="I283" s="109"/>
      <c r="J283" s="109"/>
      <c r="K283" s="109"/>
      <c r="L283" s="109"/>
      <c r="M283" s="109"/>
      <c r="N283" s="109"/>
    </row>
    <row r="284" spans="1:14">
      <c r="A284" s="109"/>
      <c r="B284" s="110"/>
      <c r="C284" s="110"/>
      <c r="D284" s="110"/>
      <c r="E284" s="109"/>
      <c r="F284" s="111"/>
      <c r="G284" s="109"/>
      <c r="H284" s="109"/>
      <c r="I284" s="109"/>
      <c r="J284" s="109"/>
      <c r="K284" s="109"/>
      <c r="L284" s="109"/>
      <c r="M284" s="109"/>
      <c r="N284" s="109"/>
    </row>
    <row r="285" spans="1:14">
      <c r="A285" s="109"/>
      <c r="B285" s="110"/>
      <c r="C285" s="110"/>
      <c r="D285" s="110"/>
      <c r="E285" s="109"/>
      <c r="F285" s="111"/>
      <c r="G285" s="109"/>
      <c r="H285" s="109"/>
      <c r="I285" s="109"/>
      <c r="J285" s="109"/>
      <c r="K285" s="109"/>
      <c r="L285" s="109"/>
      <c r="M285" s="109"/>
      <c r="N285" s="109"/>
    </row>
    <row r="286" spans="1:14">
      <c r="A286" s="109"/>
      <c r="B286" s="110"/>
      <c r="C286" s="110"/>
      <c r="D286" s="110"/>
      <c r="E286" s="109"/>
      <c r="F286" s="111"/>
      <c r="G286" s="109"/>
      <c r="H286" s="109"/>
      <c r="I286" s="109"/>
      <c r="J286" s="109"/>
      <c r="K286" s="109"/>
      <c r="L286" s="109"/>
      <c r="M286" s="109"/>
      <c r="N286" s="109"/>
    </row>
    <row r="287" spans="1:14">
      <c r="A287" s="109"/>
      <c r="B287" s="110"/>
      <c r="C287" s="110"/>
      <c r="D287" s="110"/>
      <c r="E287" s="109"/>
      <c r="F287" s="111"/>
      <c r="G287" s="109"/>
      <c r="H287" s="109"/>
      <c r="I287" s="109"/>
      <c r="J287" s="109"/>
      <c r="K287" s="109"/>
      <c r="L287" s="109"/>
      <c r="M287" s="109"/>
      <c r="N287" s="109"/>
    </row>
    <row r="288" spans="1:14">
      <c r="A288" s="109"/>
      <c r="B288" s="110"/>
      <c r="C288" s="110"/>
      <c r="D288" s="110"/>
      <c r="E288" s="109"/>
      <c r="F288" s="111"/>
      <c r="G288" s="109"/>
      <c r="H288" s="109"/>
      <c r="I288" s="109"/>
      <c r="J288" s="109"/>
      <c r="K288" s="109"/>
      <c r="L288" s="109"/>
      <c r="M288" s="109"/>
      <c r="N288" s="109"/>
    </row>
    <row r="289" spans="1:14">
      <c r="A289" s="109"/>
      <c r="B289" s="110"/>
      <c r="C289" s="110"/>
      <c r="D289" s="110"/>
      <c r="E289" s="109"/>
      <c r="F289" s="111"/>
      <c r="G289" s="109"/>
      <c r="H289" s="109"/>
      <c r="I289" s="109"/>
      <c r="J289" s="109"/>
      <c r="K289" s="109"/>
      <c r="L289" s="109"/>
      <c r="M289" s="109"/>
      <c r="N289" s="109"/>
    </row>
    <row r="290" spans="1:14">
      <c r="A290" s="109"/>
      <c r="B290" s="110"/>
      <c r="C290" s="110"/>
      <c r="D290" s="110"/>
      <c r="E290" s="109"/>
      <c r="F290" s="111"/>
      <c r="G290" s="109"/>
      <c r="H290" s="109"/>
      <c r="I290" s="109"/>
      <c r="J290" s="109"/>
      <c r="K290" s="109"/>
      <c r="L290" s="109"/>
      <c r="M290" s="109"/>
      <c r="N290" s="109"/>
    </row>
    <row r="291" spans="1:14">
      <c r="A291" s="109"/>
      <c r="B291" s="110"/>
      <c r="C291" s="110"/>
      <c r="D291" s="110"/>
      <c r="E291" s="109"/>
      <c r="F291" s="111"/>
      <c r="G291" s="109"/>
      <c r="H291" s="109"/>
      <c r="I291" s="109"/>
      <c r="J291" s="109"/>
      <c r="K291" s="109"/>
      <c r="L291" s="109"/>
      <c r="M291" s="109"/>
      <c r="N291" s="109"/>
    </row>
    <row r="292" spans="1:14">
      <c r="A292" s="109"/>
      <c r="B292" s="110"/>
      <c r="C292" s="110"/>
      <c r="D292" s="110"/>
      <c r="E292" s="109"/>
      <c r="F292" s="111"/>
      <c r="G292" s="109"/>
      <c r="H292" s="109"/>
      <c r="I292" s="109"/>
      <c r="J292" s="109"/>
      <c r="K292" s="109"/>
      <c r="L292" s="109"/>
      <c r="M292" s="109"/>
      <c r="N292" s="109"/>
    </row>
    <row r="293" spans="1:14">
      <c r="A293" s="109"/>
      <c r="B293" s="110"/>
      <c r="C293" s="110"/>
      <c r="D293" s="110"/>
      <c r="E293" s="109"/>
      <c r="F293" s="111"/>
      <c r="G293" s="109"/>
      <c r="H293" s="109"/>
      <c r="I293" s="109"/>
      <c r="J293" s="109"/>
      <c r="K293" s="109"/>
      <c r="L293" s="109"/>
      <c r="M293" s="109"/>
      <c r="N293" s="109"/>
    </row>
    <row r="294" spans="1:14">
      <c r="A294" s="109"/>
      <c r="B294" s="110"/>
      <c r="C294" s="110"/>
      <c r="D294" s="110"/>
      <c r="E294" s="109"/>
      <c r="F294" s="111"/>
      <c r="G294" s="109"/>
      <c r="H294" s="109"/>
      <c r="I294" s="109"/>
      <c r="J294" s="109"/>
      <c r="K294" s="109"/>
      <c r="L294" s="109"/>
      <c r="M294" s="109"/>
      <c r="N294" s="109"/>
    </row>
    <row r="295" spans="1:14">
      <c r="A295" s="109"/>
      <c r="B295" s="110"/>
      <c r="C295" s="110"/>
      <c r="D295" s="110"/>
      <c r="E295" s="109"/>
      <c r="F295" s="111"/>
      <c r="G295" s="109"/>
      <c r="H295" s="109"/>
      <c r="I295" s="109"/>
      <c r="J295" s="109"/>
      <c r="K295" s="109"/>
      <c r="L295" s="109"/>
      <c r="M295" s="109"/>
      <c r="N295" s="109"/>
    </row>
    <row r="296" spans="1:14">
      <c r="A296" s="109"/>
      <c r="B296" s="110"/>
      <c r="C296" s="110"/>
      <c r="D296" s="110"/>
      <c r="E296" s="109"/>
      <c r="F296" s="111"/>
      <c r="G296" s="109"/>
      <c r="H296" s="109"/>
      <c r="I296" s="109"/>
      <c r="J296" s="109"/>
      <c r="K296" s="109"/>
      <c r="L296" s="109"/>
      <c r="M296" s="109"/>
      <c r="N296" s="109"/>
    </row>
    <row r="297" spans="1:14">
      <c r="A297" s="109"/>
      <c r="B297" s="110"/>
      <c r="C297" s="110"/>
      <c r="D297" s="110"/>
      <c r="E297" s="109"/>
      <c r="F297" s="111"/>
      <c r="G297" s="109"/>
      <c r="H297" s="109"/>
      <c r="I297" s="109"/>
      <c r="J297" s="109"/>
      <c r="K297" s="109"/>
      <c r="L297" s="109"/>
      <c r="M297" s="109"/>
      <c r="N297" s="109"/>
    </row>
    <row r="298" spans="1:14">
      <c r="A298" s="109"/>
      <c r="B298" s="110"/>
      <c r="C298" s="110"/>
      <c r="D298" s="110"/>
      <c r="E298" s="109"/>
      <c r="F298" s="111"/>
      <c r="G298" s="109"/>
      <c r="H298" s="109"/>
      <c r="I298" s="109"/>
      <c r="J298" s="109"/>
      <c r="K298" s="109"/>
      <c r="L298" s="109"/>
      <c r="M298" s="109"/>
      <c r="N298" s="109"/>
    </row>
    <row r="299" spans="1:14">
      <c r="A299" s="109"/>
      <c r="B299" s="110"/>
      <c r="C299" s="110"/>
      <c r="D299" s="110"/>
      <c r="E299" s="109"/>
      <c r="F299" s="111"/>
      <c r="G299" s="109"/>
      <c r="H299" s="109"/>
      <c r="I299" s="109"/>
      <c r="J299" s="109"/>
      <c r="K299" s="109"/>
      <c r="L299" s="109"/>
      <c r="M299" s="109"/>
      <c r="N299" s="109"/>
    </row>
    <row r="300" spans="1:14">
      <c r="A300" s="109"/>
      <c r="B300" s="110"/>
      <c r="C300" s="110"/>
      <c r="D300" s="110"/>
      <c r="E300" s="109"/>
      <c r="F300" s="111"/>
      <c r="G300" s="109"/>
      <c r="H300" s="109"/>
      <c r="I300" s="109"/>
      <c r="J300" s="109"/>
      <c r="K300" s="109"/>
      <c r="L300" s="109"/>
      <c r="M300" s="109"/>
      <c r="N300" s="109"/>
    </row>
    <row r="301" spans="1:14">
      <c r="A301" s="109"/>
      <c r="B301" s="110"/>
      <c r="C301" s="110"/>
      <c r="D301" s="110"/>
      <c r="E301" s="109"/>
      <c r="F301" s="111"/>
      <c r="G301" s="109"/>
      <c r="H301" s="109"/>
      <c r="I301" s="109"/>
      <c r="J301" s="109"/>
      <c r="K301" s="109"/>
      <c r="L301" s="109"/>
      <c r="M301" s="109"/>
      <c r="N301" s="109"/>
    </row>
    <row r="302" spans="1:14">
      <c r="A302" s="109"/>
      <c r="B302" s="110"/>
      <c r="C302" s="110"/>
      <c r="D302" s="110"/>
      <c r="E302" s="109"/>
      <c r="F302" s="111"/>
      <c r="G302" s="109"/>
      <c r="H302" s="109"/>
      <c r="I302" s="109"/>
      <c r="J302" s="109"/>
      <c r="K302" s="109"/>
      <c r="L302" s="109"/>
      <c r="M302" s="109"/>
      <c r="N302" s="109"/>
    </row>
    <row r="303" spans="1:14">
      <c r="A303" s="109"/>
      <c r="B303" s="110"/>
      <c r="C303" s="110"/>
      <c r="D303" s="110"/>
      <c r="E303" s="109"/>
      <c r="F303" s="111"/>
      <c r="G303" s="109"/>
      <c r="H303" s="109"/>
      <c r="I303" s="109"/>
      <c r="J303" s="109"/>
      <c r="K303" s="109"/>
      <c r="L303" s="109"/>
      <c r="M303" s="109"/>
      <c r="N303" s="109"/>
    </row>
    <row r="304" spans="1:14">
      <c r="A304" s="109"/>
      <c r="B304" s="110"/>
      <c r="C304" s="110"/>
      <c r="D304" s="110"/>
      <c r="E304" s="109"/>
      <c r="F304" s="111"/>
      <c r="G304" s="109"/>
      <c r="H304" s="109"/>
      <c r="I304" s="109"/>
      <c r="J304" s="109"/>
      <c r="K304" s="109"/>
      <c r="L304" s="109"/>
      <c r="M304" s="109"/>
      <c r="N304" s="109"/>
    </row>
    <row r="305" spans="1:14">
      <c r="A305" s="109"/>
      <c r="B305" s="110"/>
      <c r="C305" s="110"/>
      <c r="D305" s="110"/>
      <c r="E305" s="109"/>
      <c r="F305" s="111"/>
      <c r="G305" s="109"/>
      <c r="H305" s="109"/>
      <c r="I305" s="109"/>
      <c r="J305" s="109"/>
      <c r="K305" s="109"/>
      <c r="L305" s="109"/>
      <c r="M305" s="109"/>
      <c r="N305" s="109"/>
    </row>
    <row r="306" spans="1:14">
      <c r="A306" s="109"/>
      <c r="B306" s="110"/>
      <c r="C306" s="110"/>
      <c r="D306" s="110"/>
      <c r="E306" s="109"/>
      <c r="F306" s="111"/>
      <c r="G306" s="109"/>
      <c r="H306" s="109"/>
      <c r="I306" s="109"/>
      <c r="J306" s="109"/>
      <c r="K306" s="109"/>
      <c r="L306" s="109"/>
      <c r="M306" s="109"/>
      <c r="N306" s="109"/>
    </row>
    <row r="307" spans="1:14">
      <c r="A307" s="109"/>
      <c r="B307" s="110"/>
      <c r="C307" s="110"/>
      <c r="D307" s="110"/>
      <c r="E307" s="109"/>
      <c r="F307" s="111"/>
      <c r="G307" s="109"/>
      <c r="H307" s="109"/>
      <c r="I307" s="109"/>
      <c r="J307" s="109"/>
      <c r="K307" s="109"/>
      <c r="L307" s="109"/>
      <c r="M307" s="109"/>
      <c r="N307" s="109"/>
    </row>
    <row r="308" spans="1:14">
      <c r="A308" s="109"/>
      <c r="B308" s="110"/>
      <c r="C308" s="110"/>
      <c r="D308" s="110"/>
      <c r="E308" s="109"/>
      <c r="F308" s="111"/>
      <c r="G308" s="109"/>
      <c r="H308" s="109"/>
      <c r="I308" s="109"/>
      <c r="J308" s="109"/>
      <c r="K308" s="109"/>
      <c r="L308" s="109"/>
      <c r="M308" s="109"/>
      <c r="N308" s="109"/>
    </row>
    <row r="309" spans="1:14">
      <c r="A309" s="109"/>
      <c r="B309" s="110"/>
      <c r="C309" s="110"/>
      <c r="D309" s="110"/>
      <c r="E309" s="109"/>
      <c r="F309" s="111"/>
      <c r="G309" s="109"/>
      <c r="H309" s="109"/>
      <c r="I309" s="109"/>
      <c r="J309" s="109"/>
      <c r="K309" s="109"/>
      <c r="L309" s="109"/>
      <c r="M309" s="109"/>
      <c r="N309" s="109"/>
    </row>
    <row r="310" spans="1:14">
      <c r="A310" s="109"/>
      <c r="B310" s="110"/>
      <c r="C310" s="110"/>
      <c r="D310" s="110"/>
      <c r="E310" s="109"/>
      <c r="F310" s="111"/>
      <c r="G310" s="109"/>
      <c r="H310" s="109"/>
      <c r="I310" s="109"/>
      <c r="J310" s="109"/>
      <c r="K310" s="109"/>
      <c r="L310" s="109"/>
      <c r="M310" s="109"/>
      <c r="N310" s="109"/>
    </row>
    <row r="311" spans="1:14">
      <c r="A311" s="109"/>
      <c r="B311" s="110"/>
      <c r="C311" s="110"/>
      <c r="D311" s="110"/>
      <c r="E311" s="109"/>
      <c r="F311" s="111"/>
      <c r="G311" s="109"/>
      <c r="H311" s="109"/>
      <c r="I311" s="109"/>
      <c r="J311" s="109"/>
      <c r="K311" s="109"/>
      <c r="L311" s="109"/>
      <c r="M311" s="109"/>
      <c r="N311" s="109"/>
    </row>
    <row r="312" spans="1:14">
      <c r="A312" s="109"/>
      <c r="B312" s="110"/>
      <c r="C312" s="110"/>
      <c r="D312" s="110"/>
      <c r="E312" s="109"/>
      <c r="F312" s="111"/>
      <c r="G312" s="109"/>
      <c r="H312" s="109"/>
      <c r="I312" s="109"/>
      <c r="J312" s="109"/>
      <c r="K312" s="109"/>
      <c r="L312" s="109"/>
      <c r="M312" s="109"/>
      <c r="N312" s="109"/>
    </row>
    <row r="313" spans="1:14">
      <c r="A313" s="109"/>
      <c r="B313" s="110"/>
      <c r="C313" s="110"/>
      <c r="D313" s="110"/>
      <c r="E313" s="109"/>
      <c r="F313" s="111"/>
      <c r="G313" s="109"/>
      <c r="H313" s="109"/>
      <c r="I313" s="109"/>
      <c r="J313" s="109"/>
      <c r="K313" s="109"/>
      <c r="L313" s="109"/>
      <c r="M313" s="109"/>
      <c r="N313" s="109"/>
    </row>
    <row r="314" spans="1:14">
      <c r="A314" s="109"/>
      <c r="B314" s="110"/>
      <c r="C314" s="110"/>
      <c r="D314" s="110"/>
      <c r="E314" s="109"/>
      <c r="F314" s="111"/>
      <c r="G314" s="109"/>
      <c r="H314" s="109"/>
      <c r="I314" s="109"/>
      <c r="J314" s="109"/>
      <c r="K314" s="109"/>
      <c r="L314" s="109"/>
      <c r="M314" s="109"/>
      <c r="N314" s="109"/>
    </row>
    <row r="315" spans="1:14">
      <c r="A315" s="109"/>
      <c r="B315" s="110"/>
      <c r="C315" s="110"/>
      <c r="D315" s="110"/>
      <c r="E315" s="109"/>
      <c r="F315" s="111"/>
      <c r="G315" s="109"/>
      <c r="H315" s="109"/>
      <c r="I315" s="109"/>
      <c r="J315" s="109"/>
      <c r="K315" s="109"/>
      <c r="L315" s="109"/>
      <c r="M315" s="109"/>
      <c r="N315" s="109"/>
    </row>
    <row r="316" spans="1:14">
      <c r="A316" s="109"/>
      <c r="B316" s="110"/>
      <c r="C316" s="110"/>
      <c r="D316" s="110"/>
      <c r="E316" s="109"/>
      <c r="F316" s="111"/>
      <c r="G316" s="109"/>
      <c r="H316" s="109"/>
      <c r="I316" s="109"/>
      <c r="J316" s="109"/>
      <c r="K316" s="109"/>
      <c r="L316" s="109"/>
      <c r="M316" s="109"/>
      <c r="N316" s="109"/>
    </row>
    <row r="317" spans="1:14">
      <c r="A317" s="109"/>
      <c r="B317" s="110"/>
      <c r="C317" s="110"/>
      <c r="D317" s="110"/>
      <c r="E317" s="109"/>
      <c r="F317" s="111"/>
      <c r="G317" s="109"/>
      <c r="H317" s="109"/>
      <c r="I317" s="109"/>
      <c r="J317" s="109"/>
      <c r="K317" s="109"/>
      <c r="L317" s="109"/>
      <c r="M317" s="109"/>
      <c r="N317" s="109"/>
    </row>
    <row r="318" spans="1:14">
      <c r="A318" s="109"/>
      <c r="B318" s="110"/>
      <c r="C318" s="110"/>
      <c r="D318" s="110"/>
      <c r="E318" s="109"/>
      <c r="F318" s="111"/>
      <c r="G318" s="109"/>
      <c r="H318" s="109"/>
      <c r="I318" s="109"/>
      <c r="J318" s="109"/>
      <c r="K318" s="109"/>
      <c r="L318" s="109"/>
      <c r="M318" s="109"/>
      <c r="N318" s="109"/>
    </row>
    <row r="319" spans="1:14">
      <c r="A319" s="109"/>
      <c r="B319" s="110"/>
      <c r="C319" s="110"/>
      <c r="D319" s="110"/>
      <c r="E319" s="109"/>
      <c r="F319" s="111"/>
      <c r="G319" s="109"/>
      <c r="H319" s="109"/>
      <c r="I319" s="109"/>
      <c r="J319" s="109"/>
      <c r="K319" s="109"/>
      <c r="L319" s="109"/>
      <c r="M319" s="109"/>
      <c r="N319" s="109"/>
    </row>
    <row r="320" spans="1:14">
      <c r="A320" s="109"/>
      <c r="B320" s="110"/>
      <c r="C320" s="110"/>
      <c r="D320" s="110"/>
      <c r="E320" s="109"/>
      <c r="F320" s="111"/>
      <c r="G320" s="109"/>
      <c r="H320" s="109"/>
      <c r="I320" s="109"/>
      <c r="J320" s="109"/>
      <c r="K320" s="109"/>
      <c r="L320" s="109"/>
      <c r="M320" s="109"/>
      <c r="N320" s="109"/>
    </row>
    <row r="321" spans="1:14">
      <c r="A321" s="109"/>
      <c r="B321" s="110"/>
      <c r="C321" s="110"/>
      <c r="D321" s="110"/>
      <c r="E321" s="109"/>
      <c r="F321" s="111"/>
      <c r="G321" s="109"/>
      <c r="H321" s="109"/>
      <c r="I321" s="109"/>
      <c r="J321" s="109"/>
      <c r="K321" s="109"/>
      <c r="L321" s="109"/>
      <c r="M321" s="109"/>
      <c r="N321" s="109"/>
    </row>
    <row r="322" spans="1:14">
      <c r="A322" s="109"/>
      <c r="B322" s="110"/>
      <c r="C322" s="110"/>
      <c r="D322" s="110"/>
      <c r="E322" s="109"/>
      <c r="F322" s="111"/>
      <c r="G322" s="109"/>
      <c r="H322" s="109"/>
      <c r="I322" s="109"/>
      <c r="J322" s="109"/>
      <c r="K322" s="109"/>
      <c r="L322" s="109"/>
      <c r="M322" s="109"/>
      <c r="N322" s="109"/>
    </row>
    <row r="323" spans="1:14">
      <c r="A323" s="109"/>
      <c r="B323" s="110"/>
      <c r="C323" s="110"/>
      <c r="D323" s="110"/>
      <c r="E323" s="109"/>
      <c r="F323" s="111"/>
      <c r="G323" s="109"/>
      <c r="H323" s="109"/>
      <c r="I323" s="109"/>
      <c r="J323" s="109"/>
      <c r="K323" s="109"/>
      <c r="L323" s="109"/>
      <c r="M323" s="109"/>
      <c r="N323" s="109"/>
    </row>
    <row r="324" spans="1:14">
      <c r="A324" s="109"/>
      <c r="B324" s="110"/>
      <c r="C324" s="110"/>
      <c r="D324" s="110"/>
      <c r="E324" s="109"/>
      <c r="F324" s="111"/>
      <c r="G324" s="109"/>
      <c r="H324" s="109"/>
      <c r="I324" s="109"/>
      <c r="J324" s="109"/>
      <c r="K324" s="109"/>
      <c r="L324" s="109"/>
      <c r="M324" s="109"/>
      <c r="N324" s="109"/>
    </row>
    <row r="325" spans="1:14">
      <c r="A325" s="109"/>
      <c r="B325" s="110"/>
      <c r="C325" s="110"/>
      <c r="D325" s="110"/>
      <c r="E325" s="109"/>
      <c r="F325" s="111"/>
      <c r="G325" s="109"/>
      <c r="H325" s="109"/>
      <c r="I325" s="109"/>
      <c r="J325" s="109"/>
      <c r="K325" s="109"/>
      <c r="L325" s="109"/>
      <c r="M325" s="109"/>
      <c r="N325" s="109"/>
    </row>
    <row r="326" spans="1:14">
      <c r="A326" s="109"/>
      <c r="B326" s="110"/>
      <c r="C326" s="110"/>
      <c r="D326" s="110"/>
      <c r="E326" s="109"/>
      <c r="F326" s="111"/>
      <c r="G326" s="109"/>
      <c r="H326" s="109"/>
      <c r="I326" s="109"/>
      <c r="J326" s="109"/>
      <c r="K326" s="109"/>
      <c r="L326" s="109"/>
      <c r="M326" s="109"/>
      <c r="N326" s="109"/>
    </row>
    <row r="327" spans="1:14">
      <c r="A327" s="109"/>
      <c r="B327" s="110"/>
      <c r="C327" s="110"/>
      <c r="D327" s="110"/>
      <c r="E327" s="109"/>
      <c r="F327" s="111"/>
      <c r="G327" s="109"/>
      <c r="H327" s="109"/>
      <c r="I327" s="109"/>
      <c r="J327" s="109"/>
      <c r="K327" s="109"/>
      <c r="L327" s="109"/>
      <c r="M327" s="109"/>
      <c r="N327" s="109"/>
    </row>
    <row r="328" spans="1:14">
      <c r="A328" s="109"/>
      <c r="B328" s="110"/>
      <c r="C328" s="110"/>
      <c r="D328" s="110"/>
      <c r="E328" s="109"/>
      <c r="F328" s="111"/>
      <c r="G328" s="109"/>
      <c r="H328" s="109"/>
      <c r="I328" s="109"/>
      <c r="J328" s="109"/>
      <c r="K328" s="109"/>
      <c r="L328" s="109"/>
      <c r="M328" s="109"/>
      <c r="N328" s="109"/>
    </row>
    <row r="329" spans="1:14">
      <c r="A329" s="109"/>
      <c r="B329" s="110"/>
      <c r="C329" s="110"/>
      <c r="D329" s="110"/>
      <c r="E329" s="109"/>
      <c r="F329" s="111"/>
      <c r="G329" s="109"/>
      <c r="H329" s="109"/>
      <c r="I329" s="109"/>
      <c r="J329" s="109"/>
      <c r="K329" s="109"/>
      <c r="L329" s="109"/>
      <c r="M329" s="109"/>
      <c r="N329" s="109"/>
    </row>
    <row r="330" spans="1:14">
      <c r="A330" s="109"/>
      <c r="B330" s="110"/>
      <c r="C330" s="110"/>
      <c r="D330" s="110"/>
      <c r="E330" s="109"/>
      <c r="F330" s="111"/>
      <c r="G330" s="109"/>
      <c r="H330" s="109"/>
      <c r="I330" s="109"/>
      <c r="J330" s="109"/>
      <c r="K330" s="109"/>
      <c r="L330" s="109"/>
      <c r="M330" s="109"/>
      <c r="N330" s="109"/>
    </row>
    <row r="331" spans="1:14">
      <c r="A331" s="109"/>
      <c r="B331" s="110"/>
      <c r="C331" s="110"/>
      <c r="D331" s="110"/>
      <c r="E331" s="109"/>
      <c r="F331" s="111"/>
      <c r="G331" s="109"/>
      <c r="H331" s="109"/>
      <c r="I331" s="109"/>
      <c r="J331" s="109"/>
      <c r="K331" s="109"/>
      <c r="L331" s="109"/>
      <c r="M331" s="109"/>
      <c r="N331" s="109"/>
    </row>
    <row r="332" spans="1:14">
      <c r="A332" s="109"/>
      <c r="B332" s="110"/>
      <c r="C332" s="110"/>
      <c r="D332" s="110"/>
      <c r="E332" s="109"/>
      <c r="F332" s="111"/>
      <c r="G332" s="109"/>
      <c r="H332" s="109"/>
      <c r="I332" s="109"/>
      <c r="J332" s="109"/>
      <c r="K332" s="109"/>
      <c r="L332" s="109"/>
      <c r="M332" s="109"/>
      <c r="N332" s="109"/>
    </row>
    <row r="333" spans="1:14">
      <c r="A333" s="109"/>
      <c r="B333" s="110"/>
      <c r="C333" s="110"/>
      <c r="D333" s="110"/>
      <c r="E333" s="109"/>
      <c r="F333" s="111"/>
      <c r="G333" s="109"/>
      <c r="H333" s="109"/>
      <c r="I333" s="109"/>
      <c r="J333" s="109"/>
      <c r="K333" s="109"/>
      <c r="L333" s="109"/>
      <c r="M333" s="109"/>
      <c r="N333" s="109"/>
    </row>
    <row r="334" spans="1:14">
      <c r="A334" s="109"/>
      <c r="B334" s="110"/>
      <c r="C334" s="110"/>
      <c r="D334" s="110"/>
      <c r="E334" s="109"/>
      <c r="F334" s="111"/>
      <c r="G334" s="109"/>
      <c r="H334" s="109"/>
      <c r="I334" s="109"/>
      <c r="J334" s="109"/>
      <c r="K334" s="109"/>
      <c r="L334" s="109"/>
      <c r="M334" s="109"/>
      <c r="N334" s="109"/>
    </row>
    <row r="335" spans="1:14">
      <c r="A335" s="109"/>
      <c r="B335" s="110"/>
      <c r="C335" s="110"/>
      <c r="D335" s="110"/>
      <c r="E335" s="109"/>
      <c r="F335" s="111"/>
      <c r="G335" s="109"/>
      <c r="H335" s="109"/>
      <c r="I335" s="109"/>
      <c r="J335" s="109"/>
      <c r="K335" s="109"/>
      <c r="L335" s="109"/>
      <c r="M335" s="109"/>
      <c r="N335" s="109"/>
    </row>
    <row r="336" spans="1:14">
      <c r="A336" s="109"/>
      <c r="B336" s="110"/>
      <c r="C336" s="110"/>
      <c r="D336" s="110"/>
      <c r="E336" s="109"/>
      <c r="F336" s="111"/>
      <c r="G336" s="109"/>
      <c r="H336" s="109"/>
      <c r="I336" s="109"/>
      <c r="J336" s="109"/>
      <c r="K336" s="109"/>
      <c r="L336" s="109"/>
      <c r="M336" s="109"/>
      <c r="N336" s="109"/>
    </row>
    <row r="337" spans="1:14">
      <c r="A337" s="109"/>
      <c r="B337" s="110"/>
      <c r="C337" s="110"/>
      <c r="D337" s="110"/>
      <c r="E337" s="109"/>
      <c r="F337" s="111"/>
      <c r="G337" s="109"/>
      <c r="H337" s="109"/>
      <c r="I337" s="109"/>
      <c r="J337" s="109"/>
      <c r="K337" s="109"/>
      <c r="L337" s="109"/>
      <c r="M337" s="109"/>
      <c r="N337" s="109"/>
    </row>
    <row r="338" spans="1:14">
      <c r="A338" s="109"/>
      <c r="B338" s="110"/>
      <c r="C338" s="110"/>
      <c r="D338" s="110"/>
      <c r="E338" s="109"/>
      <c r="F338" s="111"/>
      <c r="G338" s="109"/>
      <c r="H338" s="109"/>
      <c r="I338" s="109"/>
      <c r="J338" s="109"/>
      <c r="K338" s="109"/>
      <c r="L338" s="109"/>
      <c r="M338" s="109"/>
      <c r="N338" s="109"/>
    </row>
    <row r="339" spans="1:14">
      <c r="A339" s="109"/>
      <c r="B339" s="110"/>
      <c r="C339" s="110"/>
      <c r="D339" s="110"/>
      <c r="E339" s="109"/>
      <c r="F339" s="111"/>
      <c r="G339" s="109"/>
      <c r="H339" s="109"/>
      <c r="I339" s="109"/>
      <c r="J339" s="109"/>
      <c r="K339" s="109"/>
      <c r="L339" s="109"/>
      <c r="M339" s="109"/>
      <c r="N339" s="109"/>
    </row>
    <row r="340" spans="1:14">
      <c r="A340" s="109"/>
      <c r="B340" s="110"/>
      <c r="C340" s="110"/>
      <c r="D340" s="110"/>
      <c r="E340" s="109"/>
      <c r="F340" s="111"/>
      <c r="G340" s="109"/>
      <c r="H340" s="109"/>
      <c r="I340" s="109"/>
      <c r="J340" s="109"/>
      <c r="K340" s="109"/>
      <c r="L340" s="109"/>
      <c r="M340" s="109"/>
      <c r="N340" s="109"/>
    </row>
    <row r="341" spans="1:14">
      <c r="A341" s="109"/>
      <c r="B341" s="110"/>
      <c r="C341" s="110"/>
      <c r="D341" s="110"/>
      <c r="E341" s="109"/>
      <c r="F341" s="111"/>
      <c r="G341" s="109"/>
      <c r="H341" s="109"/>
      <c r="I341" s="109"/>
      <c r="J341" s="109"/>
      <c r="K341" s="109"/>
      <c r="L341" s="109"/>
      <c r="M341" s="109"/>
      <c r="N341" s="109"/>
    </row>
    <row r="342" spans="1:14">
      <c r="A342" s="109"/>
      <c r="B342" s="110"/>
      <c r="C342" s="110"/>
      <c r="D342" s="110"/>
      <c r="E342" s="109"/>
      <c r="F342" s="111"/>
      <c r="G342" s="109"/>
      <c r="H342" s="109"/>
      <c r="I342" s="109"/>
      <c r="J342" s="109"/>
      <c r="K342" s="109"/>
      <c r="L342" s="109"/>
      <c r="M342" s="109"/>
      <c r="N342" s="109"/>
    </row>
    <row r="343" spans="1:14">
      <c r="A343" s="109"/>
      <c r="B343" s="110"/>
      <c r="C343" s="110"/>
      <c r="D343" s="110"/>
      <c r="E343" s="109"/>
      <c r="F343" s="111"/>
      <c r="G343" s="109"/>
      <c r="H343" s="109"/>
      <c r="I343" s="109"/>
      <c r="J343" s="109"/>
      <c r="K343" s="109"/>
      <c r="L343" s="109"/>
      <c r="M343" s="109"/>
      <c r="N343" s="109"/>
    </row>
    <row r="344" spans="1:14">
      <c r="A344" s="109"/>
      <c r="B344" s="110"/>
      <c r="C344" s="110"/>
      <c r="D344" s="110"/>
      <c r="E344" s="109"/>
      <c r="F344" s="111"/>
      <c r="G344" s="109"/>
      <c r="H344" s="109"/>
      <c r="I344" s="109"/>
      <c r="J344" s="109"/>
      <c r="K344" s="109"/>
      <c r="L344" s="109"/>
      <c r="M344" s="109"/>
      <c r="N344" s="109"/>
    </row>
    <row r="345" spans="1:14">
      <c r="A345" s="109"/>
      <c r="B345" s="110"/>
      <c r="C345" s="110"/>
      <c r="D345" s="110"/>
      <c r="E345" s="109"/>
      <c r="F345" s="111"/>
      <c r="G345" s="109"/>
      <c r="H345" s="109"/>
      <c r="I345" s="109"/>
      <c r="J345" s="109"/>
      <c r="K345" s="109"/>
      <c r="L345" s="109"/>
      <c r="M345" s="109"/>
      <c r="N345" s="109"/>
    </row>
    <row r="346" spans="1:14">
      <c r="A346" s="109"/>
      <c r="B346" s="110"/>
      <c r="C346" s="110"/>
      <c r="D346" s="110"/>
      <c r="E346" s="109"/>
      <c r="F346" s="111"/>
      <c r="G346" s="109"/>
      <c r="H346" s="109"/>
      <c r="I346" s="109"/>
      <c r="J346" s="109"/>
      <c r="K346" s="109"/>
      <c r="L346" s="109"/>
      <c r="M346" s="109"/>
      <c r="N346" s="109"/>
    </row>
    <row r="347" spans="1:14">
      <c r="A347" s="109"/>
      <c r="B347" s="110"/>
      <c r="C347" s="110"/>
      <c r="D347" s="110"/>
      <c r="E347" s="109"/>
      <c r="F347" s="111"/>
      <c r="G347" s="109"/>
      <c r="H347" s="109"/>
      <c r="I347" s="109"/>
      <c r="J347" s="109"/>
      <c r="K347" s="109"/>
      <c r="L347" s="109"/>
      <c r="M347" s="109"/>
      <c r="N347" s="109"/>
    </row>
    <row r="348" spans="1:14">
      <c r="A348" s="109"/>
      <c r="B348" s="110"/>
      <c r="C348" s="110"/>
      <c r="D348" s="110"/>
      <c r="E348" s="109"/>
      <c r="F348" s="111"/>
      <c r="G348" s="109"/>
      <c r="H348" s="109"/>
      <c r="I348" s="109"/>
      <c r="J348" s="109"/>
      <c r="K348" s="109"/>
      <c r="L348" s="109"/>
      <c r="M348" s="109"/>
      <c r="N348" s="109"/>
    </row>
    <row r="349" spans="1:14">
      <c r="A349" s="109"/>
      <c r="B349" s="110"/>
      <c r="C349" s="110"/>
      <c r="D349" s="110"/>
      <c r="E349" s="109"/>
      <c r="F349" s="111"/>
      <c r="G349" s="109"/>
      <c r="H349" s="109"/>
      <c r="I349" s="109"/>
      <c r="J349" s="109"/>
      <c r="K349" s="109"/>
      <c r="L349" s="109"/>
      <c r="M349" s="109"/>
      <c r="N349" s="109"/>
    </row>
    <row r="350" spans="1:14">
      <c r="A350" s="109"/>
      <c r="B350" s="110"/>
      <c r="C350" s="110"/>
      <c r="D350" s="110"/>
      <c r="E350" s="109"/>
      <c r="F350" s="111"/>
      <c r="G350" s="109"/>
      <c r="H350" s="109"/>
      <c r="I350" s="109"/>
      <c r="J350" s="109"/>
      <c r="K350" s="109"/>
      <c r="L350" s="109"/>
      <c r="M350" s="109"/>
      <c r="N350" s="109"/>
    </row>
    <row r="351" spans="1:14">
      <c r="A351" s="109"/>
      <c r="B351" s="110"/>
      <c r="C351" s="110"/>
      <c r="D351" s="110"/>
      <c r="E351" s="109"/>
      <c r="F351" s="111"/>
      <c r="G351" s="109"/>
      <c r="H351" s="109"/>
      <c r="I351" s="109"/>
      <c r="J351" s="109"/>
      <c r="K351" s="109"/>
      <c r="L351" s="109"/>
      <c r="M351" s="109"/>
      <c r="N351" s="109"/>
    </row>
    <row r="352" spans="1:14">
      <c r="A352" s="109"/>
      <c r="B352" s="110"/>
      <c r="C352" s="110"/>
      <c r="D352" s="110"/>
      <c r="E352" s="109"/>
      <c r="F352" s="111"/>
      <c r="G352" s="109"/>
      <c r="H352" s="109"/>
      <c r="I352" s="109"/>
      <c r="J352" s="109"/>
      <c r="K352" s="109"/>
      <c r="L352" s="109"/>
      <c r="M352" s="109"/>
      <c r="N352" s="109"/>
    </row>
    <row r="353" spans="1:14">
      <c r="A353" s="109"/>
      <c r="B353" s="110"/>
      <c r="C353" s="110"/>
      <c r="D353" s="110"/>
      <c r="E353" s="109"/>
      <c r="F353" s="111"/>
      <c r="G353" s="109"/>
      <c r="H353" s="109"/>
      <c r="I353" s="109"/>
      <c r="J353" s="109"/>
      <c r="K353" s="109"/>
      <c r="L353" s="109"/>
      <c r="M353" s="109"/>
      <c r="N353" s="109"/>
    </row>
    <row r="354" spans="1:14">
      <c r="A354" s="109"/>
      <c r="B354" s="110"/>
      <c r="C354" s="110"/>
      <c r="D354" s="110"/>
      <c r="E354" s="109"/>
      <c r="F354" s="111"/>
      <c r="G354" s="109"/>
      <c r="H354" s="109"/>
      <c r="I354" s="109"/>
      <c r="J354" s="109"/>
      <c r="K354" s="109"/>
      <c r="L354" s="109"/>
      <c r="M354" s="109"/>
      <c r="N354" s="109"/>
    </row>
    <row r="355" spans="1:14">
      <c r="A355" s="109"/>
      <c r="B355" s="110"/>
      <c r="C355" s="110"/>
      <c r="D355" s="110"/>
      <c r="E355" s="109"/>
      <c r="F355" s="111"/>
      <c r="G355" s="109"/>
      <c r="H355" s="109"/>
      <c r="I355" s="109"/>
      <c r="J355" s="109"/>
      <c r="K355" s="109"/>
      <c r="L355" s="109"/>
      <c r="M355" s="109"/>
      <c r="N355" s="109"/>
    </row>
    <row r="356" spans="1:14">
      <c r="A356" s="109"/>
      <c r="B356" s="110"/>
      <c r="C356" s="110"/>
      <c r="D356" s="110"/>
      <c r="E356" s="109"/>
      <c r="F356" s="111"/>
      <c r="G356" s="109"/>
      <c r="H356" s="109"/>
      <c r="I356" s="109"/>
      <c r="J356" s="109"/>
      <c r="K356" s="109"/>
      <c r="L356" s="109"/>
      <c r="M356" s="109"/>
      <c r="N356" s="109"/>
    </row>
    <row r="357" spans="1:14">
      <c r="A357" s="109"/>
      <c r="B357" s="110"/>
      <c r="C357" s="110"/>
      <c r="D357" s="110"/>
      <c r="E357" s="109"/>
      <c r="F357" s="111"/>
      <c r="G357" s="109"/>
      <c r="H357" s="109"/>
      <c r="I357" s="109"/>
      <c r="J357" s="109"/>
      <c r="K357" s="109"/>
      <c r="L357" s="109"/>
      <c r="M357" s="109"/>
      <c r="N357" s="109"/>
    </row>
    <row r="358" spans="1:14">
      <c r="A358" s="109"/>
      <c r="B358" s="110"/>
      <c r="C358" s="110"/>
      <c r="D358" s="110"/>
      <c r="E358" s="109"/>
      <c r="F358" s="111"/>
      <c r="G358" s="109"/>
      <c r="H358" s="109"/>
      <c r="I358" s="109"/>
      <c r="J358" s="109"/>
      <c r="K358" s="109"/>
      <c r="L358" s="109"/>
      <c r="M358" s="109"/>
      <c r="N358" s="109"/>
    </row>
    <row r="359" spans="1:14">
      <c r="A359" s="109"/>
      <c r="B359" s="110"/>
      <c r="C359" s="110"/>
      <c r="D359" s="110"/>
      <c r="E359" s="109"/>
      <c r="F359" s="111"/>
      <c r="G359" s="109"/>
      <c r="H359" s="109"/>
      <c r="I359" s="109"/>
      <c r="J359" s="109"/>
      <c r="K359" s="109"/>
      <c r="L359" s="109"/>
      <c r="M359" s="109"/>
      <c r="N359" s="109"/>
    </row>
    <row r="360" spans="1:14">
      <c r="A360" s="109"/>
      <c r="B360" s="110"/>
      <c r="C360" s="110"/>
      <c r="D360" s="110"/>
      <c r="E360" s="109"/>
      <c r="F360" s="111"/>
      <c r="G360" s="109"/>
      <c r="H360" s="109"/>
      <c r="I360" s="109"/>
      <c r="J360" s="109"/>
      <c r="K360" s="109"/>
      <c r="L360" s="109"/>
      <c r="M360" s="109"/>
      <c r="N360" s="109"/>
    </row>
    <row r="361" spans="1:14">
      <c r="A361" s="109"/>
      <c r="B361" s="110"/>
      <c r="C361" s="110"/>
      <c r="D361" s="110"/>
      <c r="E361" s="109"/>
      <c r="F361" s="111"/>
      <c r="G361" s="109"/>
      <c r="H361" s="109"/>
      <c r="I361" s="109"/>
      <c r="J361" s="109"/>
      <c r="K361" s="109"/>
      <c r="L361" s="109"/>
      <c r="M361" s="109"/>
      <c r="N361" s="109"/>
    </row>
    <row r="362" spans="1:14">
      <c r="A362" s="109"/>
      <c r="B362" s="110"/>
      <c r="C362" s="110"/>
      <c r="D362" s="110"/>
      <c r="E362" s="109"/>
      <c r="F362" s="111"/>
      <c r="G362" s="109"/>
      <c r="H362" s="109"/>
      <c r="I362" s="109"/>
      <c r="J362" s="109"/>
      <c r="K362" s="109"/>
      <c r="L362" s="109"/>
      <c r="M362" s="109"/>
      <c r="N362" s="109"/>
    </row>
    <row r="363" spans="1:14">
      <c r="A363" s="109"/>
      <c r="B363" s="110"/>
      <c r="C363" s="110"/>
      <c r="D363" s="110"/>
      <c r="E363" s="109"/>
      <c r="F363" s="111"/>
      <c r="G363" s="109"/>
      <c r="H363" s="109"/>
      <c r="I363" s="109"/>
      <c r="J363" s="109"/>
      <c r="K363" s="109"/>
      <c r="L363" s="109"/>
      <c r="M363" s="109"/>
      <c r="N363" s="109"/>
    </row>
    <row r="364" spans="1:14">
      <c r="A364" s="109"/>
      <c r="B364" s="110"/>
      <c r="C364" s="110"/>
      <c r="D364" s="110"/>
      <c r="E364" s="109"/>
      <c r="F364" s="111"/>
      <c r="G364" s="109"/>
      <c r="H364" s="109"/>
      <c r="I364" s="109"/>
      <c r="J364" s="109"/>
      <c r="K364" s="109"/>
      <c r="L364" s="109"/>
      <c r="M364" s="109"/>
      <c r="N364" s="109"/>
    </row>
    <row r="365" spans="1:14">
      <c r="A365" s="109"/>
      <c r="B365" s="110"/>
      <c r="C365" s="110"/>
      <c r="D365" s="110"/>
      <c r="E365" s="109"/>
      <c r="F365" s="111"/>
      <c r="G365" s="109"/>
      <c r="H365" s="109"/>
      <c r="I365" s="109"/>
      <c r="J365" s="109"/>
      <c r="K365" s="109"/>
      <c r="L365" s="109"/>
      <c r="M365" s="109"/>
      <c r="N365" s="109"/>
    </row>
    <row r="366" spans="1:14">
      <c r="A366" s="109"/>
      <c r="B366" s="110"/>
      <c r="C366" s="110"/>
      <c r="D366" s="110"/>
      <c r="E366" s="109"/>
      <c r="F366" s="111"/>
      <c r="G366" s="109"/>
      <c r="H366" s="109"/>
      <c r="I366" s="109"/>
      <c r="J366" s="109"/>
      <c r="K366" s="109"/>
      <c r="L366" s="109"/>
      <c r="M366" s="109"/>
      <c r="N366" s="109"/>
    </row>
    <row r="367" spans="1:14">
      <c r="A367" s="109"/>
      <c r="B367" s="110"/>
      <c r="C367" s="110"/>
      <c r="D367" s="110"/>
      <c r="E367" s="109"/>
      <c r="F367" s="111"/>
      <c r="G367" s="109"/>
      <c r="H367" s="109"/>
      <c r="I367" s="109"/>
      <c r="J367" s="109"/>
      <c r="K367" s="109"/>
      <c r="L367" s="109"/>
      <c r="M367" s="109"/>
      <c r="N367" s="109"/>
    </row>
    <row r="368" spans="1:14">
      <c r="A368" s="109"/>
      <c r="B368" s="110"/>
      <c r="C368" s="110"/>
      <c r="D368" s="110"/>
      <c r="E368" s="109"/>
      <c r="F368" s="111"/>
      <c r="G368" s="109"/>
      <c r="H368" s="109"/>
      <c r="I368" s="109"/>
      <c r="J368" s="109"/>
      <c r="K368" s="109"/>
      <c r="L368" s="109"/>
      <c r="M368" s="109"/>
      <c r="N368" s="109"/>
    </row>
    <row r="369" spans="1:14">
      <c r="A369" s="109"/>
      <c r="B369" s="110"/>
      <c r="C369" s="110"/>
      <c r="D369" s="110"/>
      <c r="E369" s="109"/>
      <c r="F369" s="111"/>
      <c r="G369" s="109"/>
      <c r="H369" s="109"/>
      <c r="I369" s="109"/>
      <c r="J369" s="109"/>
      <c r="K369" s="109"/>
      <c r="L369" s="109"/>
      <c r="M369" s="109"/>
      <c r="N369" s="109"/>
    </row>
    <row r="370" spans="1:14">
      <c r="A370" s="109"/>
      <c r="B370" s="110"/>
      <c r="C370" s="110"/>
      <c r="D370" s="110"/>
      <c r="E370" s="109"/>
      <c r="F370" s="111"/>
      <c r="G370" s="109"/>
      <c r="H370" s="109"/>
      <c r="I370" s="109"/>
      <c r="J370" s="109"/>
      <c r="K370" s="109"/>
      <c r="L370" s="109"/>
      <c r="M370" s="109"/>
      <c r="N370" s="109"/>
    </row>
    <row r="371" spans="1:14">
      <c r="A371" s="109"/>
      <c r="B371" s="110"/>
      <c r="C371" s="110"/>
      <c r="D371" s="110"/>
      <c r="E371" s="109"/>
      <c r="F371" s="111"/>
      <c r="G371" s="109"/>
      <c r="H371" s="109"/>
      <c r="I371" s="109"/>
      <c r="J371" s="109"/>
      <c r="K371" s="109"/>
      <c r="L371" s="109"/>
      <c r="M371" s="109"/>
      <c r="N371" s="109"/>
    </row>
    <row r="372" spans="1:14">
      <c r="A372" s="109"/>
      <c r="B372" s="110"/>
      <c r="C372" s="110"/>
      <c r="D372" s="110"/>
      <c r="E372" s="109"/>
      <c r="F372" s="111"/>
      <c r="G372" s="109"/>
      <c r="H372" s="109"/>
      <c r="I372" s="109"/>
      <c r="J372" s="109"/>
      <c r="K372" s="109"/>
      <c r="L372" s="109"/>
      <c r="M372" s="109"/>
      <c r="N372" s="109"/>
    </row>
    <row r="373" spans="1:14">
      <c r="A373" s="109"/>
      <c r="B373" s="110"/>
      <c r="C373" s="110"/>
      <c r="D373" s="110"/>
      <c r="E373" s="109"/>
      <c r="F373" s="111"/>
      <c r="G373" s="109"/>
      <c r="H373" s="109"/>
      <c r="I373" s="109"/>
      <c r="J373" s="109"/>
      <c r="K373" s="109"/>
      <c r="L373" s="109"/>
      <c r="M373" s="109"/>
      <c r="N373" s="109"/>
    </row>
    <row r="374" spans="1:14">
      <c r="A374" s="109"/>
      <c r="B374" s="110"/>
      <c r="C374" s="110"/>
      <c r="D374" s="110"/>
      <c r="E374" s="109"/>
      <c r="F374" s="111"/>
      <c r="G374" s="109"/>
      <c r="H374" s="109"/>
      <c r="I374" s="109"/>
      <c r="J374" s="109"/>
      <c r="K374" s="109"/>
      <c r="L374" s="109"/>
      <c r="M374" s="109"/>
      <c r="N374" s="109"/>
    </row>
    <row r="375" spans="1:14">
      <c r="A375" s="109"/>
      <c r="B375" s="110"/>
      <c r="C375" s="110"/>
      <c r="D375" s="110"/>
      <c r="E375" s="109"/>
      <c r="F375" s="111"/>
      <c r="G375" s="109"/>
      <c r="H375" s="109"/>
      <c r="I375" s="109"/>
      <c r="J375" s="109"/>
      <c r="K375" s="109"/>
      <c r="L375" s="109"/>
      <c r="M375" s="109"/>
      <c r="N375" s="109"/>
    </row>
    <row r="376" spans="1:14">
      <c r="A376" s="109"/>
      <c r="B376" s="110"/>
      <c r="C376" s="110"/>
      <c r="D376" s="110"/>
      <c r="E376" s="109"/>
      <c r="F376" s="111"/>
      <c r="G376" s="109"/>
      <c r="H376" s="109"/>
      <c r="I376" s="109"/>
      <c r="J376" s="109"/>
      <c r="K376" s="109"/>
      <c r="L376" s="109"/>
      <c r="M376" s="109"/>
      <c r="N376" s="109"/>
    </row>
    <row r="377" spans="1:14">
      <c r="A377" s="109"/>
      <c r="B377" s="110"/>
      <c r="C377" s="110"/>
      <c r="D377" s="110"/>
      <c r="E377" s="109"/>
      <c r="F377" s="111"/>
      <c r="G377" s="109"/>
      <c r="H377" s="109"/>
      <c r="I377" s="109"/>
      <c r="J377" s="109"/>
      <c r="K377" s="109"/>
      <c r="L377" s="109"/>
      <c r="M377" s="109"/>
      <c r="N377" s="109"/>
    </row>
    <row r="378" spans="1:14">
      <c r="A378" s="109"/>
      <c r="B378" s="110"/>
      <c r="C378" s="110"/>
      <c r="D378" s="110"/>
      <c r="E378" s="109"/>
      <c r="F378" s="111"/>
      <c r="G378" s="109"/>
      <c r="H378" s="109"/>
      <c r="I378" s="109"/>
      <c r="J378" s="109"/>
      <c r="K378" s="109"/>
      <c r="L378" s="109"/>
      <c r="M378" s="109"/>
      <c r="N378" s="109"/>
    </row>
    <row r="379" spans="1:14">
      <c r="A379" s="109"/>
      <c r="B379" s="110"/>
      <c r="C379" s="110"/>
      <c r="D379" s="110"/>
      <c r="E379" s="109"/>
      <c r="F379" s="111"/>
      <c r="G379" s="109"/>
      <c r="H379" s="109"/>
      <c r="I379" s="109"/>
      <c r="J379" s="109"/>
      <c r="K379" s="109"/>
      <c r="L379" s="109"/>
      <c r="M379" s="109"/>
      <c r="N379" s="109"/>
    </row>
    <row r="380" spans="1:14">
      <c r="A380" s="109"/>
      <c r="B380" s="110"/>
      <c r="C380" s="110"/>
      <c r="D380" s="110"/>
      <c r="E380" s="109"/>
      <c r="F380" s="111"/>
      <c r="G380" s="109"/>
      <c r="H380" s="109"/>
      <c r="I380" s="109"/>
      <c r="J380" s="109"/>
      <c r="K380" s="109"/>
      <c r="L380" s="109"/>
      <c r="M380" s="109"/>
      <c r="N380" s="109"/>
    </row>
    <row r="381" spans="1:14">
      <c r="A381" s="109"/>
      <c r="B381" s="110"/>
      <c r="C381" s="110"/>
      <c r="D381" s="110"/>
      <c r="E381" s="109"/>
      <c r="F381" s="111"/>
      <c r="G381" s="109"/>
      <c r="H381" s="109"/>
      <c r="I381" s="109"/>
      <c r="J381" s="109"/>
      <c r="K381" s="109"/>
      <c r="L381" s="109"/>
      <c r="M381" s="109"/>
      <c r="N381" s="109"/>
    </row>
    <row r="382" spans="1:14">
      <c r="A382" s="109"/>
      <c r="B382" s="110"/>
      <c r="C382" s="110"/>
      <c r="D382" s="110"/>
      <c r="E382" s="109"/>
      <c r="F382" s="111"/>
      <c r="G382" s="109"/>
      <c r="H382" s="109"/>
      <c r="I382" s="109"/>
      <c r="J382" s="109"/>
      <c r="K382" s="109"/>
      <c r="L382" s="109"/>
      <c r="M382" s="109"/>
      <c r="N382" s="109"/>
    </row>
    <row r="383" spans="1:14">
      <c r="A383" s="109"/>
      <c r="B383" s="110"/>
      <c r="C383" s="110"/>
      <c r="D383" s="110"/>
      <c r="E383" s="109"/>
      <c r="F383" s="111"/>
      <c r="G383" s="109"/>
      <c r="H383" s="109"/>
      <c r="I383" s="109"/>
      <c r="J383" s="109"/>
      <c r="K383" s="109"/>
      <c r="L383" s="109"/>
      <c r="M383" s="109"/>
      <c r="N383" s="109"/>
    </row>
    <row r="384" spans="1:14">
      <c r="A384" s="109"/>
      <c r="B384" s="110"/>
      <c r="C384" s="110"/>
      <c r="D384" s="110"/>
      <c r="E384" s="109"/>
      <c r="F384" s="111"/>
      <c r="G384" s="109"/>
      <c r="H384" s="109"/>
      <c r="I384" s="109"/>
      <c r="J384" s="109"/>
      <c r="K384" s="109"/>
      <c r="L384" s="109"/>
      <c r="M384" s="109"/>
      <c r="N384" s="109"/>
    </row>
    <row r="385" spans="1:14">
      <c r="A385" s="109"/>
      <c r="B385" s="110"/>
      <c r="C385" s="110"/>
      <c r="D385" s="110"/>
      <c r="E385" s="109"/>
      <c r="F385" s="111"/>
      <c r="G385" s="109"/>
      <c r="H385" s="109"/>
      <c r="I385" s="109"/>
      <c r="J385" s="109"/>
      <c r="K385" s="109"/>
      <c r="L385" s="109"/>
      <c r="M385" s="109"/>
      <c r="N385" s="109"/>
    </row>
    <row r="386" spans="1:14">
      <c r="A386" s="109"/>
      <c r="B386" s="110"/>
      <c r="C386" s="110"/>
      <c r="D386" s="110"/>
      <c r="E386" s="109"/>
      <c r="F386" s="111"/>
      <c r="G386" s="109"/>
      <c r="H386" s="109"/>
      <c r="I386" s="109"/>
      <c r="J386" s="109"/>
      <c r="K386" s="109"/>
      <c r="L386" s="109"/>
      <c r="M386" s="109"/>
      <c r="N386" s="109"/>
    </row>
    <row r="387" spans="1:14">
      <c r="A387" s="109"/>
      <c r="B387" s="110"/>
      <c r="C387" s="110"/>
      <c r="D387" s="110"/>
      <c r="E387" s="109"/>
      <c r="F387" s="111"/>
      <c r="G387" s="109"/>
      <c r="H387" s="109"/>
      <c r="I387" s="109"/>
      <c r="J387" s="109"/>
      <c r="K387" s="109"/>
      <c r="L387" s="109"/>
      <c r="M387" s="109"/>
      <c r="N387" s="109"/>
    </row>
    <row r="388" spans="1:14">
      <c r="A388" s="109"/>
      <c r="B388" s="110"/>
      <c r="C388" s="110"/>
      <c r="D388" s="110"/>
      <c r="E388" s="109"/>
      <c r="F388" s="111"/>
      <c r="G388" s="109"/>
      <c r="H388" s="109"/>
      <c r="I388" s="109"/>
      <c r="J388" s="109"/>
      <c r="K388" s="109"/>
      <c r="L388" s="109"/>
      <c r="M388" s="109"/>
      <c r="N388" s="109"/>
    </row>
    <row r="389" spans="1:14">
      <c r="A389" s="109"/>
      <c r="B389" s="110"/>
      <c r="C389" s="110"/>
      <c r="D389" s="110"/>
      <c r="E389" s="109"/>
      <c r="F389" s="111"/>
      <c r="G389" s="109"/>
      <c r="H389" s="109"/>
      <c r="I389" s="109"/>
      <c r="J389" s="109"/>
      <c r="K389" s="109"/>
      <c r="L389" s="109"/>
      <c r="M389" s="109"/>
      <c r="N389" s="109"/>
    </row>
    <row r="390" spans="1:14">
      <c r="A390" s="109"/>
      <c r="B390" s="110"/>
      <c r="C390" s="110"/>
      <c r="D390" s="110"/>
      <c r="E390" s="109"/>
      <c r="F390" s="111"/>
      <c r="G390" s="109"/>
      <c r="H390" s="109"/>
      <c r="I390" s="109"/>
      <c r="J390" s="109"/>
      <c r="K390" s="109"/>
      <c r="L390" s="109"/>
      <c r="M390" s="109"/>
      <c r="N390" s="109"/>
    </row>
    <row r="391" spans="1:14">
      <c r="A391" s="109"/>
      <c r="B391" s="110"/>
      <c r="C391" s="110"/>
      <c r="D391" s="110"/>
      <c r="E391" s="109"/>
      <c r="F391" s="111"/>
      <c r="G391" s="109"/>
      <c r="H391" s="109"/>
      <c r="I391" s="109"/>
      <c r="J391" s="109"/>
      <c r="K391" s="109"/>
      <c r="L391" s="109"/>
      <c r="M391" s="109"/>
      <c r="N391" s="109"/>
    </row>
    <row r="392" spans="1:14">
      <c r="A392" s="109"/>
      <c r="B392" s="110"/>
      <c r="C392" s="110"/>
      <c r="D392" s="110"/>
      <c r="E392" s="109"/>
      <c r="F392" s="111"/>
      <c r="G392" s="109"/>
      <c r="H392" s="109"/>
      <c r="I392" s="109"/>
      <c r="J392" s="109"/>
      <c r="K392" s="109"/>
      <c r="L392" s="109"/>
      <c r="M392" s="109"/>
      <c r="N392" s="109"/>
    </row>
    <row r="393" spans="1:14">
      <c r="A393" s="109"/>
      <c r="B393" s="110"/>
      <c r="C393" s="110"/>
      <c r="D393" s="110"/>
      <c r="E393" s="109"/>
      <c r="F393" s="111"/>
      <c r="G393" s="109"/>
      <c r="H393" s="109"/>
      <c r="I393" s="109"/>
      <c r="J393" s="109"/>
      <c r="K393" s="109"/>
      <c r="L393" s="109"/>
      <c r="M393" s="109"/>
      <c r="N393" s="109"/>
    </row>
    <row r="394" spans="1:14">
      <c r="A394" s="109"/>
      <c r="B394" s="110"/>
      <c r="C394" s="110"/>
      <c r="D394" s="110"/>
      <c r="E394" s="109"/>
      <c r="F394" s="111"/>
      <c r="G394" s="109"/>
      <c r="H394" s="109"/>
      <c r="I394" s="109"/>
      <c r="J394" s="109"/>
      <c r="K394" s="109"/>
      <c r="L394" s="109"/>
      <c r="M394" s="109"/>
      <c r="N394" s="109"/>
    </row>
    <row r="395" spans="1:14">
      <c r="A395" s="109"/>
      <c r="B395" s="110"/>
      <c r="C395" s="110"/>
      <c r="D395" s="110"/>
      <c r="E395" s="109"/>
      <c r="F395" s="111"/>
      <c r="G395" s="109"/>
      <c r="H395" s="109"/>
      <c r="I395" s="109"/>
      <c r="J395" s="109"/>
      <c r="K395" s="109"/>
      <c r="L395" s="109"/>
      <c r="M395" s="109"/>
      <c r="N395" s="109"/>
    </row>
    <row r="396" spans="1:14">
      <c r="A396" s="109"/>
      <c r="B396" s="110"/>
      <c r="C396" s="110"/>
      <c r="D396" s="110"/>
      <c r="E396" s="109"/>
      <c r="F396" s="111"/>
      <c r="G396" s="109"/>
      <c r="H396" s="109"/>
      <c r="I396" s="109"/>
      <c r="J396" s="109"/>
      <c r="K396" s="109"/>
      <c r="L396" s="109"/>
      <c r="M396" s="109"/>
      <c r="N396" s="109"/>
    </row>
    <row r="397" spans="1:14">
      <c r="A397" s="109"/>
      <c r="B397" s="110"/>
      <c r="C397" s="110"/>
      <c r="D397" s="110"/>
      <c r="E397" s="109"/>
      <c r="F397" s="111"/>
      <c r="G397" s="109"/>
      <c r="H397" s="109"/>
      <c r="I397" s="109"/>
      <c r="J397" s="109"/>
      <c r="K397" s="109"/>
      <c r="L397" s="109"/>
      <c r="M397" s="109"/>
      <c r="N397" s="109"/>
    </row>
    <row r="398" spans="1:14">
      <c r="A398" s="109"/>
      <c r="B398" s="110"/>
      <c r="C398" s="110"/>
      <c r="D398" s="110"/>
      <c r="E398" s="109"/>
      <c r="F398" s="111"/>
      <c r="G398" s="109"/>
      <c r="H398" s="109"/>
      <c r="I398" s="109"/>
      <c r="J398" s="109"/>
      <c r="K398" s="109"/>
      <c r="L398" s="109"/>
      <c r="M398" s="109"/>
      <c r="N398" s="109"/>
    </row>
    <row r="399" spans="1:14">
      <c r="A399" s="109"/>
      <c r="B399" s="110"/>
      <c r="C399" s="110"/>
      <c r="D399" s="110"/>
      <c r="E399" s="109"/>
      <c r="F399" s="111"/>
      <c r="G399" s="109"/>
      <c r="H399" s="109"/>
      <c r="I399" s="109"/>
      <c r="J399" s="109"/>
      <c r="K399" s="109"/>
      <c r="L399" s="109"/>
      <c r="M399" s="109"/>
      <c r="N399" s="109"/>
    </row>
    <row r="400" spans="1:14">
      <c r="A400" s="109"/>
      <c r="B400" s="110"/>
      <c r="C400" s="110"/>
      <c r="D400" s="110"/>
      <c r="E400" s="109"/>
      <c r="F400" s="111"/>
      <c r="G400" s="109"/>
      <c r="H400" s="109"/>
      <c r="I400" s="109"/>
      <c r="J400" s="109"/>
      <c r="K400" s="109"/>
      <c r="L400" s="109"/>
      <c r="M400" s="109"/>
      <c r="N400" s="109"/>
    </row>
    <row r="401" spans="1:14">
      <c r="A401" s="109"/>
      <c r="B401" s="110"/>
      <c r="C401" s="110"/>
      <c r="D401" s="110"/>
      <c r="E401" s="109"/>
      <c r="F401" s="111"/>
      <c r="G401" s="109"/>
      <c r="H401" s="109"/>
      <c r="I401" s="109"/>
      <c r="J401" s="109"/>
      <c r="K401" s="109"/>
      <c r="L401" s="109"/>
      <c r="M401" s="109"/>
      <c r="N401" s="109"/>
    </row>
    <row r="402" spans="1:14">
      <c r="A402" s="109"/>
      <c r="B402" s="110"/>
      <c r="C402" s="110"/>
      <c r="D402" s="110"/>
      <c r="E402" s="109"/>
      <c r="F402" s="111"/>
      <c r="G402" s="109"/>
      <c r="H402" s="109"/>
      <c r="I402" s="109"/>
      <c r="J402" s="109"/>
      <c r="K402" s="109"/>
      <c r="L402" s="109"/>
      <c r="M402" s="109"/>
      <c r="N402" s="109"/>
    </row>
    <row r="403" spans="1:14">
      <c r="A403" s="109"/>
      <c r="B403" s="110"/>
      <c r="C403" s="110"/>
      <c r="D403" s="110"/>
      <c r="E403" s="109"/>
      <c r="F403" s="111"/>
      <c r="G403" s="109"/>
      <c r="H403" s="109"/>
      <c r="I403" s="109"/>
      <c r="J403" s="109"/>
      <c r="K403" s="109"/>
      <c r="L403" s="109"/>
      <c r="M403" s="109"/>
      <c r="N403" s="109"/>
    </row>
    <row r="404" spans="1:14">
      <c r="A404" s="109"/>
      <c r="B404" s="110"/>
      <c r="C404" s="110"/>
      <c r="D404" s="110"/>
      <c r="E404" s="109"/>
      <c r="F404" s="111"/>
      <c r="G404" s="109"/>
      <c r="H404" s="109"/>
      <c r="I404" s="109"/>
      <c r="J404" s="109"/>
      <c r="K404" s="109"/>
      <c r="L404" s="109"/>
      <c r="M404" s="109"/>
      <c r="N404" s="109"/>
    </row>
    <row r="405" spans="1:14">
      <c r="A405" s="109"/>
      <c r="B405" s="110"/>
      <c r="C405" s="110"/>
      <c r="D405" s="110"/>
      <c r="E405" s="109"/>
      <c r="F405" s="111"/>
      <c r="G405" s="109"/>
      <c r="H405" s="109"/>
      <c r="I405" s="109"/>
      <c r="J405" s="109"/>
      <c r="K405" s="109"/>
      <c r="L405" s="109"/>
      <c r="M405" s="109"/>
      <c r="N405" s="109"/>
    </row>
    <row r="406" spans="1:14">
      <c r="A406" s="109"/>
      <c r="B406" s="110"/>
      <c r="C406" s="110"/>
      <c r="D406" s="110"/>
      <c r="E406" s="109"/>
      <c r="F406" s="111"/>
      <c r="G406" s="109"/>
      <c r="H406" s="109"/>
      <c r="I406" s="109"/>
      <c r="J406" s="109"/>
      <c r="K406" s="109"/>
      <c r="L406" s="109"/>
      <c r="M406" s="109"/>
      <c r="N406" s="109"/>
    </row>
    <row r="407" spans="1:14">
      <c r="A407" s="109"/>
      <c r="B407" s="110"/>
      <c r="C407" s="110"/>
      <c r="D407" s="110"/>
      <c r="E407" s="109"/>
      <c r="F407" s="111"/>
      <c r="G407" s="109"/>
      <c r="H407" s="109"/>
      <c r="I407" s="109"/>
      <c r="J407" s="109"/>
      <c r="K407" s="109"/>
      <c r="L407" s="109"/>
      <c r="M407" s="109"/>
      <c r="N407" s="109"/>
    </row>
    <row r="408" spans="1:14">
      <c r="A408" s="109"/>
      <c r="B408" s="110"/>
      <c r="C408" s="110"/>
      <c r="D408" s="110"/>
      <c r="E408" s="109"/>
      <c r="F408" s="111"/>
      <c r="G408" s="109"/>
      <c r="H408" s="109"/>
      <c r="I408" s="109"/>
      <c r="J408" s="109"/>
      <c r="K408" s="109"/>
      <c r="L408" s="109"/>
      <c r="M408" s="109"/>
      <c r="N408" s="109"/>
    </row>
    <row r="409" spans="1:14">
      <c r="A409" s="109"/>
      <c r="B409" s="110"/>
      <c r="C409" s="110"/>
      <c r="D409" s="110"/>
      <c r="E409" s="109"/>
      <c r="F409" s="111"/>
      <c r="G409" s="109"/>
      <c r="H409" s="109"/>
      <c r="I409" s="109"/>
      <c r="J409" s="109"/>
      <c r="K409" s="109"/>
      <c r="L409" s="109"/>
      <c r="M409" s="109"/>
      <c r="N409" s="109"/>
    </row>
    <row r="410" spans="1:14">
      <c r="A410" s="109"/>
      <c r="B410" s="110"/>
      <c r="C410" s="110"/>
      <c r="D410" s="110"/>
      <c r="E410" s="109"/>
      <c r="F410" s="111"/>
      <c r="G410" s="109"/>
      <c r="H410" s="109"/>
      <c r="I410" s="109"/>
      <c r="J410" s="109"/>
      <c r="K410" s="109"/>
      <c r="L410" s="109"/>
      <c r="M410" s="109"/>
      <c r="N410" s="109"/>
    </row>
    <row r="411" spans="1:14">
      <c r="A411" s="109"/>
      <c r="B411" s="110"/>
      <c r="C411" s="110"/>
      <c r="D411" s="110"/>
      <c r="E411" s="109"/>
      <c r="F411" s="111"/>
      <c r="G411" s="109"/>
      <c r="H411" s="109"/>
      <c r="I411" s="109"/>
      <c r="J411" s="109"/>
      <c r="K411" s="109"/>
      <c r="L411" s="109"/>
      <c r="M411" s="109"/>
      <c r="N411" s="109"/>
    </row>
    <row r="412" spans="1:14">
      <c r="A412" s="109"/>
      <c r="B412" s="110"/>
      <c r="C412" s="110"/>
      <c r="D412" s="110"/>
      <c r="E412" s="109"/>
      <c r="F412" s="111"/>
      <c r="G412" s="109"/>
      <c r="H412" s="109"/>
      <c r="I412" s="109"/>
      <c r="J412" s="109"/>
      <c r="K412" s="109"/>
      <c r="L412" s="109"/>
      <c r="M412" s="109"/>
      <c r="N412" s="109"/>
    </row>
    <row r="413" spans="1:14">
      <c r="A413" s="109"/>
      <c r="B413" s="110"/>
      <c r="C413" s="110"/>
      <c r="D413" s="110"/>
      <c r="E413" s="109"/>
      <c r="F413" s="111"/>
      <c r="G413" s="109"/>
      <c r="H413" s="109"/>
      <c r="I413" s="109"/>
      <c r="J413" s="109"/>
      <c r="K413" s="109"/>
      <c r="L413" s="109"/>
      <c r="M413" s="109"/>
      <c r="N413" s="109"/>
    </row>
    <row r="414" spans="1:14">
      <c r="A414" s="109"/>
      <c r="B414" s="110"/>
      <c r="C414" s="110"/>
      <c r="D414" s="110"/>
      <c r="E414" s="109"/>
      <c r="F414" s="111"/>
      <c r="G414" s="109"/>
      <c r="H414" s="109"/>
      <c r="I414" s="109"/>
      <c r="J414" s="109"/>
      <c r="K414" s="109"/>
      <c r="L414" s="109"/>
      <c r="M414" s="109"/>
      <c r="N414" s="109"/>
    </row>
    <row r="415" spans="1:14">
      <c r="A415" s="109"/>
      <c r="B415" s="110"/>
      <c r="C415" s="110"/>
      <c r="D415" s="110"/>
      <c r="E415" s="109"/>
      <c r="F415" s="111"/>
      <c r="G415" s="109"/>
      <c r="H415" s="109"/>
      <c r="I415" s="109"/>
      <c r="J415" s="109"/>
      <c r="K415" s="109"/>
      <c r="L415" s="109"/>
      <c r="M415" s="109"/>
      <c r="N415" s="109"/>
    </row>
    <row r="416" spans="1:14">
      <c r="A416" s="109"/>
      <c r="B416" s="110"/>
      <c r="C416" s="110"/>
      <c r="D416" s="110"/>
      <c r="E416" s="109"/>
      <c r="F416" s="111"/>
      <c r="G416" s="109"/>
      <c r="H416" s="109"/>
      <c r="I416" s="109"/>
      <c r="J416" s="109"/>
      <c r="K416" s="109"/>
      <c r="L416" s="109"/>
      <c r="M416" s="109"/>
      <c r="N416" s="109"/>
    </row>
    <row r="417" spans="1:14">
      <c r="A417" s="109"/>
      <c r="B417" s="110"/>
      <c r="C417" s="110"/>
      <c r="D417" s="110"/>
      <c r="E417" s="109"/>
      <c r="F417" s="111"/>
      <c r="G417" s="109"/>
      <c r="H417" s="109"/>
      <c r="I417" s="109"/>
      <c r="J417" s="109"/>
      <c r="K417" s="109"/>
      <c r="L417" s="109"/>
      <c r="M417" s="109"/>
      <c r="N417" s="109"/>
    </row>
    <row r="418" spans="1:14">
      <c r="A418" s="109"/>
      <c r="B418" s="110"/>
      <c r="C418" s="110"/>
      <c r="D418" s="110"/>
      <c r="E418" s="109"/>
      <c r="F418" s="111"/>
      <c r="G418" s="109"/>
      <c r="H418" s="109"/>
      <c r="I418" s="109"/>
      <c r="J418" s="109"/>
      <c r="K418" s="109"/>
      <c r="L418" s="109"/>
      <c r="M418" s="109"/>
      <c r="N418" s="109"/>
    </row>
    <row r="419" spans="1:14">
      <c r="A419" s="109"/>
      <c r="B419" s="110"/>
      <c r="C419" s="110"/>
      <c r="D419" s="110"/>
      <c r="E419" s="109"/>
      <c r="F419" s="111"/>
      <c r="G419" s="109"/>
      <c r="H419" s="109"/>
      <c r="I419" s="109"/>
      <c r="J419" s="109"/>
      <c r="K419" s="109"/>
      <c r="L419" s="109"/>
      <c r="M419" s="109"/>
      <c r="N419" s="109"/>
    </row>
    <row r="420" spans="1:14">
      <c r="A420" s="109"/>
      <c r="B420" s="110"/>
      <c r="C420" s="110"/>
      <c r="D420" s="110"/>
      <c r="E420" s="109"/>
      <c r="F420" s="111"/>
      <c r="G420" s="109"/>
      <c r="H420" s="109"/>
      <c r="I420" s="109"/>
      <c r="J420" s="109"/>
      <c r="K420" s="109"/>
      <c r="L420" s="109"/>
      <c r="M420" s="109"/>
      <c r="N420" s="109"/>
    </row>
    <row r="421" spans="1:14">
      <c r="A421" s="109"/>
      <c r="B421" s="110"/>
      <c r="C421" s="110"/>
      <c r="D421" s="110"/>
      <c r="E421" s="109"/>
      <c r="F421" s="111"/>
      <c r="G421" s="109"/>
      <c r="H421" s="109"/>
      <c r="I421" s="109"/>
      <c r="J421" s="109"/>
      <c r="K421" s="109"/>
      <c r="L421" s="109"/>
      <c r="M421" s="109"/>
      <c r="N421" s="109"/>
    </row>
    <row r="422" spans="1:14">
      <c r="A422" s="109"/>
      <c r="B422" s="110"/>
      <c r="C422" s="110"/>
      <c r="D422" s="110"/>
      <c r="E422" s="109"/>
      <c r="F422" s="111"/>
      <c r="G422" s="109"/>
      <c r="H422" s="109"/>
      <c r="I422" s="109"/>
      <c r="J422" s="109"/>
      <c r="K422" s="109"/>
      <c r="L422" s="109"/>
      <c r="M422" s="109"/>
      <c r="N422" s="109"/>
    </row>
    <row r="423" spans="1:14">
      <c r="A423" s="109"/>
      <c r="B423" s="110"/>
      <c r="C423" s="110"/>
      <c r="D423" s="110"/>
      <c r="E423" s="109"/>
      <c r="F423" s="111"/>
      <c r="G423" s="109"/>
      <c r="H423" s="109"/>
      <c r="I423" s="109"/>
      <c r="J423" s="109"/>
      <c r="K423" s="109"/>
      <c r="L423" s="109"/>
      <c r="M423" s="109"/>
      <c r="N423" s="109"/>
    </row>
    <row r="424" spans="1:14">
      <c r="A424" s="109"/>
      <c r="B424" s="110"/>
      <c r="C424" s="110"/>
      <c r="D424" s="110"/>
      <c r="E424" s="109"/>
      <c r="F424" s="111"/>
      <c r="G424" s="109"/>
      <c r="H424" s="109"/>
      <c r="I424" s="109"/>
      <c r="J424" s="109"/>
      <c r="K424" s="109"/>
      <c r="L424" s="109"/>
      <c r="M424" s="109"/>
      <c r="N424" s="109"/>
    </row>
    <row r="425" spans="1:14">
      <c r="A425" s="109"/>
      <c r="B425" s="110"/>
      <c r="C425" s="110"/>
      <c r="D425" s="110"/>
      <c r="E425" s="109"/>
      <c r="F425" s="111"/>
      <c r="G425" s="109"/>
      <c r="H425" s="109"/>
      <c r="I425" s="109"/>
      <c r="J425" s="109"/>
      <c r="K425" s="109"/>
      <c r="L425" s="109"/>
      <c r="M425" s="109"/>
      <c r="N425" s="109"/>
    </row>
    <row r="426" spans="1:14">
      <c r="A426" s="109"/>
      <c r="B426" s="110"/>
      <c r="C426" s="110"/>
      <c r="D426" s="110"/>
      <c r="E426" s="109"/>
      <c r="F426" s="111"/>
      <c r="G426" s="109"/>
      <c r="H426" s="109"/>
      <c r="I426" s="109"/>
      <c r="J426" s="109"/>
      <c r="K426" s="109"/>
      <c r="L426" s="109"/>
      <c r="M426" s="109"/>
      <c r="N426" s="109"/>
    </row>
    <row r="427" spans="1:14">
      <c r="A427" s="109"/>
      <c r="B427" s="110"/>
      <c r="C427" s="110"/>
      <c r="D427" s="110"/>
      <c r="E427" s="109"/>
      <c r="F427" s="111"/>
      <c r="G427" s="109"/>
      <c r="H427" s="109"/>
      <c r="I427" s="109"/>
      <c r="J427" s="109"/>
      <c r="K427" s="109"/>
      <c r="L427" s="109"/>
      <c r="M427" s="109"/>
      <c r="N427" s="109"/>
    </row>
    <row r="428" spans="1:14">
      <c r="A428" s="109"/>
      <c r="B428" s="110"/>
      <c r="C428" s="110"/>
      <c r="D428" s="110"/>
      <c r="E428" s="109"/>
      <c r="F428" s="111"/>
      <c r="G428" s="109"/>
      <c r="H428" s="109"/>
      <c r="I428" s="109"/>
      <c r="J428" s="109"/>
      <c r="K428" s="109"/>
      <c r="L428" s="109"/>
      <c r="M428" s="109"/>
      <c r="N428" s="109"/>
    </row>
    <row r="429" spans="1:14">
      <c r="A429" s="109"/>
      <c r="B429" s="110"/>
      <c r="C429" s="110"/>
      <c r="D429" s="110"/>
      <c r="E429" s="109"/>
      <c r="F429" s="111"/>
      <c r="G429" s="109"/>
      <c r="H429" s="109"/>
      <c r="I429" s="109"/>
      <c r="J429" s="109"/>
      <c r="K429" s="109"/>
      <c r="L429" s="109"/>
      <c r="M429" s="109"/>
      <c r="N429" s="109"/>
    </row>
    <row r="430" spans="1:14">
      <c r="A430" s="109"/>
      <c r="B430" s="110"/>
      <c r="C430" s="110"/>
      <c r="D430" s="110"/>
      <c r="E430" s="109"/>
      <c r="F430" s="111"/>
      <c r="G430" s="109"/>
      <c r="H430" s="109"/>
      <c r="I430" s="109"/>
      <c r="J430" s="109"/>
      <c r="K430" s="109"/>
      <c r="L430" s="109"/>
      <c r="M430" s="109"/>
      <c r="N430" s="109"/>
    </row>
    <row r="431" spans="1:14">
      <c r="A431" s="109"/>
      <c r="B431" s="110"/>
      <c r="C431" s="110"/>
      <c r="D431" s="110"/>
      <c r="E431" s="109"/>
      <c r="F431" s="111"/>
      <c r="G431" s="109"/>
      <c r="H431" s="109"/>
      <c r="I431" s="109"/>
      <c r="J431" s="109"/>
      <c r="K431" s="109"/>
      <c r="L431" s="109"/>
      <c r="M431" s="109"/>
      <c r="N431" s="109"/>
    </row>
    <row r="432" spans="1:14">
      <c r="A432" s="109"/>
      <c r="B432" s="110"/>
      <c r="C432" s="110"/>
      <c r="D432" s="110"/>
      <c r="E432" s="109"/>
      <c r="F432" s="111"/>
      <c r="G432" s="109"/>
      <c r="H432" s="109"/>
      <c r="I432" s="109"/>
      <c r="J432" s="109"/>
      <c r="K432" s="109"/>
      <c r="L432" s="109"/>
      <c r="M432" s="109"/>
      <c r="N432" s="109"/>
    </row>
    <row r="433" spans="1:14">
      <c r="A433" s="109"/>
      <c r="B433" s="110"/>
      <c r="C433" s="110"/>
      <c r="D433" s="110"/>
      <c r="E433" s="109"/>
      <c r="F433" s="111"/>
      <c r="G433" s="109"/>
      <c r="H433" s="109"/>
      <c r="I433" s="109"/>
      <c r="J433" s="109"/>
      <c r="K433" s="109"/>
      <c r="L433" s="109"/>
      <c r="M433" s="109"/>
      <c r="N433" s="109"/>
    </row>
    <row r="434" spans="1:14">
      <c r="A434" s="109"/>
      <c r="B434" s="110"/>
      <c r="C434" s="110"/>
      <c r="D434" s="110"/>
      <c r="E434" s="109"/>
      <c r="F434" s="111"/>
      <c r="G434" s="109"/>
      <c r="H434" s="109"/>
      <c r="I434" s="109"/>
      <c r="J434" s="109"/>
      <c r="K434" s="109"/>
      <c r="L434" s="109"/>
      <c r="M434" s="109"/>
      <c r="N434" s="109"/>
    </row>
    <row r="435" spans="1:14">
      <c r="A435" s="109"/>
      <c r="B435" s="110"/>
      <c r="C435" s="110"/>
      <c r="D435" s="110"/>
      <c r="E435" s="109"/>
      <c r="F435" s="111"/>
      <c r="G435" s="109"/>
      <c r="H435" s="109"/>
      <c r="I435" s="109"/>
      <c r="J435" s="109"/>
      <c r="K435" s="109"/>
      <c r="L435" s="109"/>
      <c r="M435" s="109"/>
      <c r="N435" s="109"/>
    </row>
    <row r="436" spans="1:14">
      <c r="A436" s="109"/>
      <c r="B436" s="110"/>
      <c r="C436" s="110"/>
      <c r="D436" s="110"/>
      <c r="E436" s="109"/>
      <c r="F436" s="111"/>
      <c r="G436" s="109"/>
      <c r="H436" s="109"/>
      <c r="I436" s="109"/>
      <c r="J436" s="109"/>
      <c r="K436" s="109"/>
      <c r="L436" s="109"/>
      <c r="M436" s="109"/>
      <c r="N436" s="109"/>
    </row>
    <row r="437" spans="1:14">
      <c r="A437" s="109"/>
      <c r="B437" s="110"/>
      <c r="C437" s="110"/>
      <c r="D437" s="110"/>
      <c r="E437" s="109"/>
      <c r="F437" s="111"/>
      <c r="G437" s="109"/>
      <c r="H437" s="109"/>
      <c r="I437" s="109"/>
      <c r="J437" s="109"/>
      <c r="K437" s="109"/>
      <c r="L437" s="109"/>
      <c r="M437" s="109"/>
      <c r="N437" s="109"/>
    </row>
    <row r="438" spans="1:14">
      <c r="A438" s="109"/>
      <c r="B438" s="110"/>
      <c r="C438" s="110"/>
      <c r="D438" s="110"/>
      <c r="E438" s="109"/>
      <c r="F438" s="111"/>
      <c r="G438" s="109"/>
      <c r="H438" s="109"/>
      <c r="I438" s="109"/>
      <c r="J438" s="109"/>
      <c r="K438" s="109"/>
      <c r="L438" s="109"/>
      <c r="M438" s="109"/>
      <c r="N438" s="109"/>
    </row>
    <row r="439" spans="1:14">
      <c r="A439" s="109"/>
      <c r="B439" s="110"/>
      <c r="C439" s="110"/>
      <c r="D439" s="110"/>
      <c r="E439" s="109"/>
      <c r="F439" s="111"/>
      <c r="G439" s="109"/>
      <c r="H439" s="109"/>
      <c r="I439" s="109"/>
      <c r="J439" s="109"/>
      <c r="K439" s="109"/>
      <c r="L439" s="109"/>
      <c r="M439" s="109"/>
      <c r="N439" s="109"/>
    </row>
    <row r="440" spans="1:14">
      <c r="A440" s="109"/>
      <c r="B440" s="110"/>
      <c r="C440" s="110"/>
      <c r="D440" s="110"/>
      <c r="E440" s="109"/>
      <c r="F440" s="111"/>
      <c r="G440" s="109"/>
      <c r="H440" s="109"/>
      <c r="I440" s="109"/>
      <c r="J440" s="109"/>
      <c r="K440" s="109"/>
      <c r="L440" s="109"/>
      <c r="M440" s="109"/>
      <c r="N440" s="109"/>
    </row>
    <row r="441" spans="1:14">
      <c r="A441" s="109"/>
      <c r="B441" s="110"/>
      <c r="C441" s="110"/>
      <c r="D441" s="110"/>
      <c r="E441" s="109"/>
      <c r="F441" s="111"/>
      <c r="G441" s="109"/>
      <c r="H441" s="109"/>
      <c r="I441" s="109"/>
      <c r="J441" s="109"/>
      <c r="K441" s="109"/>
      <c r="L441" s="109"/>
      <c r="M441" s="109"/>
      <c r="N441" s="109"/>
    </row>
    <row r="442" spans="1:14">
      <c r="A442" s="109"/>
      <c r="B442" s="110"/>
      <c r="C442" s="110"/>
      <c r="D442" s="110"/>
      <c r="E442" s="109"/>
      <c r="F442" s="111"/>
      <c r="G442" s="109"/>
      <c r="H442" s="109"/>
      <c r="I442" s="109"/>
      <c r="J442" s="109"/>
      <c r="K442" s="109"/>
      <c r="L442" s="109"/>
      <c r="M442" s="109"/>
      <c r="N442" s="109"/>
    </row>
    <row r="443" spans="1:14">
      <c r="A443" s="109"/>
      <c r="B443" s="110"/>
      <c r="C443" s="110"/>
      <c r="D443" s="110"/>
      <c r="E443" s="109"/>
      <c r="F443" s="111"/>
      <c r="G443" s="109"/>
      <c r="H443" s="109"/>
      <c r="I443" s="109"/>
      <c r="J443" s="109"/>
      <c r="K443" s="109"/>
      <c r="L443" s="109"/>
      <c r="M443" s="109"/>
      <c r="N443" s="109"/>
    </row>
    <row r="444" spans="1:14">
      <c r="A444" s="109"/>
      <c r="B444" s="110"/>
      <c r="C444" s="110"/>
      <c r="D444" s="110"/>
      <c r="E444" s="109"/>
      <c r="F444" s="111"/>
      <c r="G444" s="109"/>
      <c r="H444" s="109"/>
      <c r="I444" s="109"/>
      <c r="J444" s="109"/>
      <c r="K444" s="109"/>
      <c r="L444" s="109"/>
      <c r="M444" s="109"/>
      <c r="N444" s="109"/>
    </row>
    <row r="445" spans="1:14">
      <c r="A445" s="109"/>
      <c r="B445" s="110"/>
      <c r="C445" s="110"/>
      <c r="D445" s="110"/>
      <c r="E445" s="109"/>
      <c r="F445" s="111"/>
      <c r="G445" s="109"/>
      <c r="H445" s="109"/>
      <c r="I445" s="109"/>
      <c r="J445" s="109"/>
      <c r="K445" s="109"/>
      <c r="L445" s="109"/>
      <c r="M445" s="109"/>
      <c r="N445" s="109"/>
    </row>
    <row r="446" spans="1:14">
      <c r="A446" s="109"/>
      <c r="B446" s="110"/>
      <c r="C446" s="110"/>
      <c r="D446" s="110"/>
      <c r="E446" s="109"/>
      <c r="F446" s="111"/>
      <c r="G446" s="109"/>
      <c r="H446" s="109"/>
      <c r="I446" s="109"/>
      <c r="J446" s="109"/>
      <c r="K446" s="109"/>
      <c r="L446" s="109"/>
      <c r="M446" s="109"/>
      <c r="N446" s="109"/>
    </row>
    <row r="447" spans="1:14">
      <c r="A447" s="109"/>
      <c r="B447" s="110"/>
      <c r="C447" s="110"/>
      <c r="D447" s="110"/>
      <c r="E447" s="109"/>
      <c r="F447" s="111"/>
      <c r="G447" s="109"/>
      <c r="H447" s="109"/>
      <c r="I447" s="109"/>
      <c r="J447" s="109"/>
      <c r="K447" s="109"/>
      <c r="L447" s="109"/>
      <c r="M447" s="109"/>
      <c r="N447" s="109"/>
    </row>
    <row r="448" spans="1:14">
      <c r="A448" s="109"/>
      <c r="B448" s="110"/>
      <c r="C448" s="110"/>
      <c r="D448" s="110"/>
      <c r="E448" s="109"/>
      <c r="F448" s="111"/>
      <c r="G448" s="109"/>
      <c r="H448" s="109"/>
      <c r="I448" s="109"/>
      <c r="J448" s="109"/>
      <c r="K448" s="109"/>
      <c r="L448" s="109"/>
      <c r="M448" s="109"/>
      <c r="N448" s="109"/>
    </row>
    <row r="449" spans="1:14">
      <c r="A449" s="109"/>
      <c r="B449" s="110"/>
      <c r="C449" s="110"/>
      <c r="D449" s="110"/>
      <c r="E449" s="109"/>
      <c r="F449" s="111"/>
      <c r="G449" s="109"/>
      <c r="H449" s="109"/>
      <c r="I449" s="109"/>
      <c r="J449" s="109"/>
      <c r="K449" s="109"/>
      <c r="L449" s="109"/>
      <c r="M449" s="109"/>
      <c r="N449" s="109"/>
    </row>
    <row r="450" spans="1:14">
      <c r="A450" s="109"/>
      <c r="B450" s="110"/>
      <c r="C450" s="110"/>
      <c r="D450" s="110"/>
      <c r="E450" s="109"/>
      <c r="F450" s="111"/>
      <c r="G450" s="109"/>
      <c r="H450" s="109"/>
      <c r="I450" s="109"/>
      <c r="J450" s="109"/>
      <c r="K450" s="109"/>
      <c r="L450" s="109"/>
      <c r="M450" s="109"/>
      <c r="N450" s="109"/>
    </row>
    <row r="451" spans="1:14">
      <c r="A451" s="109"/>
      <c r="B451" s="110"/>
      <c r="C451" s="110"/>
      <c r="D451" s="110"/>
      <c r="E451" s="109"/>
      <c r="F451" s="111"/>
      <c r="G451" s="109"/>
      <c r="H451" s="109"/>
      <c r="I451" s="109"/>
      <c r="J451" s="109"/>
      <c r="K451" s="109"/>
      <c r="L451" s="109"/>
      <c r="M451" s="109"/>
      <c r="N451" s="109"/>
    </row>
    <row r="452" spans="1:14">
      <c r="A452" s="109"/>
      <c r="B452" s="110"/>
      <c r="C452" s="110"/>
      <c r="D452" s="110"/>
      <c r="E452" s="109"/>
      <c r="F452" s="111"/>
      <c r="G452" s="109"/>
      <c r="H452" s="109"/>
      <c r="I452" s="109"/>
      <c r="J452" s="109"/>
      <c r="K452" s="109"/>
      <c r="L452" s="109"/>
      <c r="M452" s="109"/>
      <c r="N452" s="109"/>
    </row>
    <row r="453" spans="1:14">
      <c r="A453" s="109"/>
      <c r="B453" s="110"/>
      <c r="C453" s="110"/>
      <c r="D453" s="110"/>
      <c r="E453" s="109"/>
      <c r="F453" s="111"/>
      <c r="G453" s="109"/>
      <c r="H453" s="109"/>
      <c r="I453" s="109"/>
      <c r="J453" s="109"/>
      <c r="K453" s="109"/>
      <c r="L453" s="109"/>
      <c r="M453" s="109"/>
      <c r="N453" s="109"/>
    </row>
    <row r="454" spans="1:14">
      <c r="A454" s="109"/>
      <c r="B454" s="110"/>
      <c r="C454" s="110"/>
      <c r="D454" s="110"/>
      <c r="E454" s="109"/>
      <c r="F454" s="111"/>
      <c r="G454" s="109"/>
      <c r="H454" s="109"/>
      <c r="I454" s="109"/>
      <c r="J454" s="109"/>
      <c r="K454" s="109"/>
      <c r="L454" s="109"/>
      <c r="M454" s="109"/>
      <c r="N454" s="109"/>
    </row>
    <row r="455" spans="1:14">
      <c r="A455" s="109"/>
      <c r="B455" s="110"/>
      <c r="C455" s="110"/>
      <c r="D455" s="110"/>
      <c r="E455" s="109"/>
      <c r="F455" s="111"/>
      <c r="G455" s="109"/>
      <c r="H455" s="109"/>
      <c r="I455" s="109"/>
      <c r="J455" s="109"/>
      <c r="K455" s="109"/>
      <c r="L455" s="109"/>
      <c r="M455" s="109"/>
      <c r="N455" s="109"/>
    </row>
    <row r="456" spans="1:14">
      <c r="A456" s="109"/>
      <c r="B456" s="110"/>
      <c r="C456" s="110"/>
      <c r="D456" s="110"/>
      <c r="E456" s="109"/>
      <c r="F456" s="111"/>
      <c r="G456" s="109"/>
      <c r="H456" s="109"/>
      <c r="I456" s="109"/>
      <c r="J456" s="109"/>
      <c r="K456" s="109"/>
      <c r="L456" s="109"/>
      <c r="M456" s="109"/>
      <c r="N456" s="109"/>
    </row>
    <row r="457" spans="1:14">
      <c r="A457" s="109"/>
      <c r="B457" s="110"/>
      <c r="C457" s="110"/>
      <c r="D457" s="110"/>
      <c r="E457" s="109"/>
      <c r="F457" s="111"/>
      <c r="G457" s="109"/>
      <c r="H457" s="109"/>
      <c r="I457" s="109"/>
      <c r="J457" s="109"/>
      <c r="K457" s="109"/>
      <c r="L457" s="109"/>
      <c r="M457" s="109"/>
      <c r="N457" s="109"/>
    </row>
    <row r="458" spans="1:14">
      <c r="A458" s="109"/>
      <c r="B458" s="110"/>
      <c r="C458" s="110"/>
      <c r="D458" s="110"/>
      <c r="E458" s="109"/>
      <c r="F458" s="111"/>
      <c r="G458" s="109"/>
      <c r="H458" s="109"/>
      <c r="I458" s="109"/>
      <c r="J458" s="109"/>
      <c r="K458" s="109"/>
      <c r="L458" s="109"/>
      <c r="M458" s="109"/>
      <c r="N458" s="109"/>
    </row>
    <row r="459" spans="1:14">
      <c r="A459" s="109"/>
      <c r="B459" s="110"/>
      <c r="C459" s="110"/>
      <c r="D459" s="110"/>
      <c r="E459" s="109"/>
      <c r="F459" s="111"/>
      <c r="G459" s="109"/>
      <c r="H459" s="109"/>
      <c r="I459" s="109"/>
      <c r="J459" s="109"/>
      <c r="K459" s="109"/>
      <c r="L459" s="109"/>
      <c r="M459" s="109"/>
      <c r="N459" s="109"/>
    </row>
    <row r="460" spans="1:14">
      <c r="A460" s="109"/>
      <c r="B460" s="110"/>
      <c r="C460" s="110"/>
      <c r="D460" s="110"/>
      <c r="E460" s="109"/>
      <c r="F460" s="111"/>
      <c r="G460" s="109"/>
      <c r="H460" s="109"/>
      <c r="I460" s="109"/>
      <c r="J460" s="109"/>
      <c r="K460" s="109"/>
      <c r="L460" s="109"/>
      <c r="M460" s="109"/>
      <c r="N460" s="109"/>
    </row>
    <row r="461" spans="1:14">
      <c r="A461" s="109"/>
      <c r="B461" s="110"/>
      <c r="C461" s="110"/>
      <c r="D461" s="110"/>
      <c r="E461" s="109"/>
      <c r="F461" s="111"/>
      <c r="G461" s="109"/>
      <c r="H461" s="109"/>
      <c r="I461" s="109"/>
      <c r="J461" s="109"/>
      <c r="K461" s="109"/>
      <c r="L461" s="109"/>
      <c r="M461" s="109"/>
      <c r="N461" s="109"/>
    </row>
    <row r="462" spans="1:14">
      <c r="A462" s="109"/>
      <c r="B462" s="110"/>
      <c r="C462" s="110"/>
      <c r="D462" s="110"/>
      <c r="E462" s="109"/>
      <c r="F462" s="111"/>
      <c r="G462" s="109"/>
      <c r="H462" s="109"/>
      <c r="I462" s="109"/>
      <c r="J462" s="109"/>
      <c r="K462" s="109"/>
      <c r="L462" s="109"/>
      <c r="M462" s="109"/>
      <c r="N462" s="109"/>
    </row>
    <row r="463" spans="1:14">
      <c r="A463" s="109"/>
      <c r="B463" s="110"/>
      <c r="C463" s="110"/>
      <c r="D463" s="110"/>
      <c r="E463" s="109"/>
      <c r="F463" s="111"/>
      <c r="G463" s="109"/>
      <c r="H463" s="109"/>
      <c r="I463" s="109"/>
      <c r="J463" s="109"/>
      <c r="K463" s="109"/>
      <c r="L463" s="109"/>
      <c r="M463" s="109"/>
      <c r="N463" s="109"/>
    </row>
    <row r="464" spans="1:14">
      <c r="A464" s="109"/>
      <c r="B464" s="110"/>
      <c r="C464" s="110"/>
      <c r="D464" s="110"/>
      <c r="E464" s="109"/>
      <c r="F464" s="111"/>
      <c r="G464" s="109"/>
      <c r="H464" s="109"/>
      <c r="I464" s="109"/>
      <c r="J464" s="109"/>
      <c r="K464" s="109"/>
      <c r="L464" s="109"/>
      <c r="M464" s="109"/>
      <c r="N464" s="109"/>
    </row>
    <row r="465" spans="1:14">
      <c r="A465" s="109"/>
      <c r="B465" s="110"/>
      <c r="C465" s="110"/>
      <c r="D465" s="110"/>
      <c r="E465" s="109"/>
      <c r="F465" s="111"/>
      <c r="G465" s="109"/>
      <c r="H465" s="109"/>
      <c r="I465" s="109"/>
      <c r="J465" s="109"/>
      <c r="K465" s="109"/>
      <c r="L465" s="109"/>
      <c r="M465" s="109"/>
      <c r="N465" s="109"/>
    </row>
    <row r="466" spans="1:14">
      <c r="A466" s="109"/>
      <c r="B466" s="110"/>
      <c r="C466" s="110"/>
      <c r="D466" s="110"/>
      <c r="E466" s="109"/>
      <c r="F466" s="111"/>
      <c r="G466" s="109"/>
      <c r="H466" s="109"/>
      <c r="I466" s="109"/>
      <c r="J466" s="109"/>
      <c r="K466" s="109"/>
      <c r="L466" s="109"/>
      <c r="M466" s="109"/>
      <c r="N466" s="109"/>
    </row>
    <row r="467" spans="1:14">
      <c r="A467" s="109"/>
      <c r="B467" s="110"/>
      <c r="C467" s="110"/>
      <c r="D467" s="110"/>
      <c r="E467" s="109"/>
      <c r="F467" s="111"/>
      <c r="G467" s="109"/>
      <c r="H467" s="109"/>
      <c r="I467" s="109"/>
      <c r="J467" s="109"/>
      <c r="K467" s="109"/>
      <c r="L467" s="109"/>
      <c r="M467" s="109"/>
      <c r="N467" s="109"/>
    </row>
    <row r="468" spans="1:14">
      <c r="A468" s="109"/>
      <c r="B468" s="110"/>
      <c r="C468" s="110"/>
      <c r="D468" s="110"/>
      <c r="E468" s="109"/>
      <c r="F468" s="111"/>
      <c r="G468" s="109"/>
      <c r="H468" s="109"/>
      <c r="I468" s="109"/>
      <c r="J468" s="109"/>
      <c r="K468" s="109"/>
      <c r="L468" s="109"/>
      <c r="M468" s="109"/>
      <c r="N468" s="109"/>
    </row>
    <row r="469" spans="1:14">
      <c r="A469" s="109"/>
      <c r="B469" s="110"/>
      <c r="C469" s="110"/>
      <c r="D469" s="110"/>
      <c r="E469" s="109"/>
      <c r="F469" s="111"/>
      <c r="G469" s="109"/>
      <c r="H469" s="109"/>
      <c r="I469" s="109"/>
      <c r="J469" s="109"/>
      <c r="K469" s="109"/>
      <c r="L469" s="109"/>
      <c r="M469" s="109"/>
      <c r="N469" s="109"/>
    </row>
    <row r="470" spans="1:14">
      <c r="A470" s="109"/>
      <c r="B470" s="110"/>
      <c r="C470" s="110"/>
      <c r="D470" s="110"/>
      <c r="E470" s="109"/>
      <c r="F470" s="111"/>
      <c r="G470" s="109"/>
      <c r="H470" s="109"/>
      <c r="I470" s="109"/>
      <c r="J470" s="109"/>
      <c r="K470" s="109"/>
      <c r="L470" s="109"/>
      <c r="M470" s="109"/>
      <c r="N470" s="109"/>
    </row>
    <row r="471" spans="1:14">
      <c r="A471" s="109"/>
      <c r="B471" s="110"/>
      <c r="C471" s="110"/>
      <c r="D471" s="110"/>
      <c r="E471" s="109"/>
      <c r="F471" s="111"/>
      <c r="G471" s="109"/>
      <c r="H471" s="109"/>
      <c r="I471" s="109"/>
      <c r="J471" s="109"/>
      <c r="K471" s="109"/>
      <c r="L471" s="109"/>
      <c r="M471" s="109"/>
      <c r="N471" s="109"/>
    </row>
    <row r="472" spans="1:14">
      <c r="A472" s="109"/>
      <c r="B472" s="110"/>
      <c r="C472" s="110"/>
      <c r="D472" s="110"/>
      <c r="E472" s="109"/>
      <c r="F472" s="111"/>
      <c r="G472" s="109"/>
      <c r="H472" s="109"/>
      <c r="I472" s="109"/>
      <c r="J472" s="109"/>
      <c r="K472" s="109"/>
      <c r="L472" s="109"/>
      <c r="M472" s="109"/>
      <c r="N472" s="109"/>
    </row>
    <row r="473" spans="1:14">
      <c r="A473" s="109"/>
      <c r="B473" s="110"/>
      <c r="C473" s="110"/>
      <c r="D473" s="110"/>
      <c r="E473" s="109"/>
      <c r="F473" s="111"/>
      <c r="G473" s="109"/>
      <c r="H473" s="109"/>
      <c r="I473" s="109"/>
      <c r="J473" s="109"/>
      <c r="K473" s="109"/>
      <c r="L473" s="109"/>
      <c r="M473" s="109"/>
      <c r="N473" s="109"/>
    </row>
    <row r="474" spans="1:14">
      <c r="A474" s="109"/>
      <c r="B474" s="110"/>
      <c r="C474" s="110"/>
      <c r="D474" s="110"/>
      <c r="E474" s="109"/>
      <c r="F474" s="111"/>
      <c r="G474" s="109"/>
      <c r="H474" s="109"/>
      <c r="I474" s="109"/>
      <c r="J474" s="109"/>
      <c r="K474" s="109"/>
      <c r="L474" s="109"/>
      <c r="M474" s="109"/>
      <c r="N474" s="109"/>
    </row>
    <row r="475" spans="1:14">
      <c r="A475" s="109"/>
      <c r="B475" s="110"/>
      <c r="C475" s="110"/>
      <c r="D475" s="110"/>
      <c r="E475" s="109"/>
      <c r="F475" s="111"/>
      <c r="G475" s="109"/>
      <c r="H475" s="109"/>
      <c r="I475" s="109"/>
      <c r="J475" s="109"/>
      <c r="K475" s="109"/>
      <c r="L475" s="109"/>
      <c r="M475" s="109"/>
      <c r="N475" s="109"/>
    </row>
    <row r="476" spans="1:14">
      <c r="A476" s="109"/>
      <c r="B476" s="110"/>
      <c r="C476" s="110"/>
      <c r="D476" s="110"/>
      <c r="E476" s="109"/>
      <c r="F476" s="111"/>
      <c r="G476" s="109"/>
      <c r="H476" s="109"/>
      <c r="I476" s="109"/>
      <c r="J476" s="109"/>
      <c r="K476" s="109"/>
      <c r="L476" s="109"/>
      <c r="M476" s="109"/>
      <c r="N476" s="109"/>
    </row>
    <row r="477" spans="1:14">
      <c r="A477" s="109"/>
      <c r="B477" s="110"/>
      <c r="C477" s="110"/>
      <c r="D477" s="110"/>
      <c r="E477" s="109"/>
      <c r="F477" s="111"/>
      <c r="G477" s="109"/>
      <c r="H477" s="109"/>
      <c r="I477" s="109"/>
      <c r="J477" s="109"/>
      <c r="K477" s="109"/>
      <c r="L477" s="109"/>
      <c r="M477" s="109"/>
      <c r="N477" s="109"/>
    </row>
    <row r="478" spans="1:14">
      <c r="A478" s="109"/>
      <c r="B478" s="110"/>
      <c r="C478" s="110"/>
      <c r="D478" s="110"/>
      <c r="E478" s="109"/>
      <c r="F478" s="111"/>
      <c r="G478" s="109"/>
      <c r="H478" s="109"/>
      <c r="I478" s="109"/>
      <c r="J478" s="109"/>
      <c r="K478" s="109"/>
      <c r="L478" s="109"/>
      <c r="M478" s="109"/>
      <c r="N478" s="109"/>
    </row>
    <row r="479" spans="1:14">
      <c r="A479" s="109"/>
      <c r="B479" s="110"/>
      <c r="C479" s="110"/>
      <c r="D479" s="110"/>
      <c r="E479" s="109"/>
      <c r="F479" s="111"/>
      <c r="G479" s="109"/>
      <c r="H479" s="109"/>
      <c r="I479" s="109"/>
      <c r="J479" s="109"/>
      <c r="K479" s="109"/>
      <c r="L479" s="109"/>
      <c r="M479" s="109"/>
      <c r="N479" s="109"/>
    </row>
    <row r="480" spans="1:14">
      <c r="A480" s="109"/>
      <c r="B480" s="110"/>
      <c r="C480" s="110"/>
      <c r="D480" s="110"/>
      <c r="E480" s="109"/>
      <c r="F480" s="111"/>
      <c r="G480" s="109"/>
      <c r="H480" s="109"/>
      <c r="I480" s="109"/>
      <c r="J480" s="109"/>
      <c r="K480" s="109"/>
      <c r="L480" s="109"/>
      <c r="M480" s="109"/>
      <c r="N480" s="109"/>
    </row>
    <row r="481" spans="1:14">
      <c r="A481" s="109"/>
      <c r="B481" s="110"/>
      <c r="C481" s="110"/>
      <c r="D481" s="110"/>
      <c r="E481" s="109"/>
      <c r="F481" s="111"/>
      <c r="G481" s="109"/>
      <c r="H481" s="109"/>
      <c r="I481" s="109"/>
      <c r="J481" s="109"/>
      <c r="K481" s="109"/>
      <c r="L481" s="109"/>
      <c r="M481" s="109"/>
      <c r="N481" s="109"/>
    </row>
    <row r="482" spans="1:14">
      <c r="A482" s="109"/>
      <c r="B482" s="110"/>
      <c r="C482" s="110"/>
      <c r="D482" s="110"/>
      <c r="E482" s="109"/>
      <c r="F482" s="111"/>
      <c r="G482" s="109"/>
      <c r="H482" s="109"/>
      <c r="I482" s="109"/>
      <c r="J482" s="109"/>
      <c r="K482" s="109"/>
      <c r="L482" s="109"/>
      <c r="M482" s="109"/>
      <c r="N482" s="109"/>
    </row>
    <row r="483" spans="1:14">
      <c r="A483" s="109"/>
      <c r="B483" s="110"/>
      <c r="C483" s="110"/>
      <c r="D483" s="110"/>
      <c r="E483" s="109"/>
      <c r="F483" s="111"/>
      <c r="G483" s="109"/>
      <c r="H483" s="109"/>
      <c r="I483" s="109"/>
      <c r="J483" s="109"/>
      <c r="K483" s="109"/>
      <c r="L483" s="109"/>
      <c r="M483" s="109"/>
      <c r="N483" s="109"/>
    </row>
    <row r="484" spans="1:14">
      <c r="A484" s="109"/>
      <c r="B484" s="110"/>
      <c r="C484" s="110"/>
      <c r="D484" s="110"/>
      <c r="E484" s="109"/>
      <c r="F484" s="111"/>
      <c r="G484" s="109"/>
      <c r="H484" s="109"/>
      <c r="I484" s="109"/>
      <c r="J484" s="109"/>
      <c r="K484" s="109"/>
      <c r="L484" s="109"/>
      <c r="M484" s="109"/>
      <c r="N484" s="109"/>
    </row>
    <row r="485" spans="1:14">
      <c r="A485" s="109"/>
      <c r="B485" s="110"/>
      <c r="C485" s="110"/>
      <c r="D485" s="110"/>
      <c r="E485" s="109"/>
      <c r="F485" s="111"/>
      <c r="G485" s="109"/>
      <c r="H485" s="109"/>
      <c r="I485" s="109"/>
      <c r="J485" s="109"/>
      <c r="K485" s="109"/>
      <c r="L485" s="109"/>
      <c r="M485" s="109"/>
      <c r="N485" s="109"/>
    </row>
    <row r="486" spans="1:14">
      <c r="A486" s="109"/>
      <c r="B486" s="110"/>
      <c r="C486" s="110"/>
      <c r="D486" s="110"/>
      <c r="E486" s="109"/>
      <c r="F486" s="111"/>
      <c r="G486" s="109"/>
      <c r="H486" s="109"/>
      <c r="I486" s="109"/>
      <c r="J486" s="109"/>
      <c r="K486" s="109"/>
      <c r="L486" s="109"/>
      <c r="M486" s="109"/>
      <c r="N486" s="109"/>
    </row>
    <row r="487" spans="1:14">
      <c r="A487" s="109"/>
      <c r="B487" s="110"/>
      <c r="C487" s="110"/>
      <c r="D487" s="110"/>
      <c r="E487" s="109"/>
      <c r="F487" s="111"/>
      <c r="G487" s="109"/>
      <c r="H487" s="109"/>
      <c r="I487" s="109"/>
      <c r="J487" s="109"/>
      <c r="K487" s="109"/>
      <c r="L487" s="109"/>
      <c r="M487" s="109"/>
      <c r="N487" s="109"/>
    </row>
    <row r="488" spans="1:14">
      <c r="A488" s="109"/>
      <c r="B488" s="110"/>
      <c r="C488" s="110"/>
      <c r="D488" s="110"/>
      <c r="E488" s="109"/>
      <c r="F488" s="111"/>
      <c r="G488" s="109"/>
      <c r="H488" s="109"/>
      <c r="I488" s="109"/>
      <c r="J488" s="109"/>
      <c r="K488" s="109"/>
      <c r="L488" s="109"/>
      <c r="M488" s="109"/>
      <c r="N488" s="109"/>
    </row>
    <row r="489" spans="1:14">
      <c r="A489" s="109"/>
      <c r="B489" s="110"/>
      <c r="C489" s="110"/>
      <c r="D489" s="110"/>
      <c r="E489" s="109"/>
      <c r="F489" s="111"/>
      <c r="G489" s="109"/>
      <c r="H489" s="109"/>
      <c r="I489" s="109"/>
      <c r="J489" s="109"/>
      <c r="K489" s="109"/>
      <c r="L489" s="109"/>
      <c r="M489" s="109"/>
      <c r="N489" s="109"/>
    </row>
    <row r="490" spans="1:14">
      <c r="A490" s="109"/>
      <c r="B490" s="110"/>
      <c r="C490" s="110"/>
      <c r="D490" s="110"/>
      <c r="E490" s="109"/>
      <c r="F490" s="111"/>
      <c r="G490" s="109"/>
      <c r="H490" s="109"/>
      <c r="I490" s="109"/>
      <c r="J490" s="109"/>
      <c r="K490" s="109"/>
      <c r="L490" s="109"/>
      <c r="M490" s="109"/>
      <c r="N490" s="109"/>
    </row>
    <row r="491" spans="1:14">
      <c r="A491" s="109"/>
      <c r="B491" s="110"/>
      <c r="C491" s="110"/>
      <c r="D491" s="110"/>
      <c r="E491" s="109"/>
      <c r="F491" s="111"/>
      <c r="G491" s="109"/>
      <c r="H491" s="109"/>
      <c r="I491" s="109"/>
      <c r="J491" s="109"/>
      <c r="K491" s="109"/>
      <c r="L491" s="109"/>
      <c r="M491" s="109"/>
      <c r="N491" s="109"/>
    </row>
    <row r="492" spans="1:14">
      <c r="A492" s="109"/>
      <c r="B492" s="110"/>
      <c r="C492" s="110"/>
      <c r="D492" s="110"/>
      <c r="E492" s="109"/>
      <c r="F492" s="111"/>
      <c r="G492" s="109"/>
      <c r="H492" s="109"/>
      <c r="I492" s="109"/>
      <c r="J492" s="109"/>
      <c r="K492" s="109"/>
      <c r="L492" s="109"/>
      <c r="M492" s="109"/>
      <c r="N492" s="109"/>
    </row>
    <row r="493" spans="1:14">
      <c r="A493" s="109"/>
      <c r="B493" s="110"/>
      <c r="C493" s="110"/>
      <c r="D493" s="110"/>
      <c r="E493" s="109"/>
      <c r="F493" s="111"/>
      <c r="G493" s="109"/>
      <c r="H493" s="109"/>
      <c r="I493" s="109"/>
      <c r="J493" s="109"/>
      <c r="K493" s="109"/>
      <c r="L493" s="109"/>
      <c r="M493" s="109"/>
      <c r="N493" s="109"/>
    </row>
    <row r="494" spans="1:14">
      <c r="A494" s="109"/>
      <c r="B494" s="110"/>
      <c r="C494" s="110"/>
      <c r="D494" s="110"/>
      <c r="E494" s="109"/>
      <c r="F494" s="111"/>
      <c r="G494" s="109"/>
      <c r="H494" s="109"/>
      <c r="I494" s="109"/>
      <c r="J494" s="109"/>
      <c r="K494" s="109"/>
      <c r="L494" s="109"/>
      <c r="M494" s="109"/>
      <c r="N494" s="109"/>
    </row>
    <row r="495" spans="1:14">
      <c r="A495" s="109"/>
      <c r="B495" s="110"/>
      <c r="C495" s="110"/>
      <c r="D495" s="110"/>
      <c r="E495" s="109"/>
      <c r="F495" s="111"/>
      <c r="G495" s="109"/>
      <c r="H495" s="109"/>
      <c r="I495" s="109"/>
      <c r="J495" s="109"/>
      <c r="K495" s="109"/>
      <c r="L495" s="109"/>
      <c r="M495" s="109"/>
      <c r="N495" s="109"/>
    </row>
    <row r="496" spans="1:14">
      <c r="A496" s="109"/>
      <c r="B496" s="110"/>
      <c r="C496" s="110"/>
      <c r="D496" s="110"/>
      <c r="E496" s="109"/>
      <c r="F496" s="111"/>
      <c r="G496" s="109"/>
      <c r="H496" s="109"/>
      <c r="I496" s="109"/>
      <c r="J496" s="109"/>
      <c r="K496" s="109"/>
      <c r="L496" s="109"/>
      <c r="M496" s="109"/>
      <c r="N496" s="109"/>
    </row>
    <row r="497" spans="1:14">
      <c r="A497" s="109"/>
      <c r="B497" s="110"/>
      <c r="C497" s="110"/>
      <c r="D497" s="110"/>
      <c r="E497" s="109"/>
      <c r="F497" s="111"/>
      <c r="G497" s="109"/>
      <c r="H497" s="109"/>
      <c r="I497" s="109"/>
      <c r="J497" s="109"/>
      <c r="K497" s="109"/>
      <c r="L497" s="109"/>
      <c r="M497" s="109"/>
      <c r="N497" s="109"/>
    </row>
    <row r="498" spans="1:14">
      <c r="A498" s="109"/>
      <c r="B498" s="110"/>
      <c r="C498" s="110"/>
      <c r="D498" s="110"/>
      <c r="E498" s="109"/>
      <c r="F498" s="111"/>
      <c r="G498" s="109"/>
      <c r="H498" s="109"/>
      <c r="I498" s="109"/>
      <c r="J498" s="109"/>
      <c r="K498" s="109"/>
      <c r="L498" s="109"/>
      <c r="M498" s="109"/>
      <c r="N498" s="109"/>
    </row>
    <row r="499" spans="1:14">
      <c r="A499" s="109"/>
      <c r="B499" s="110"/>
      <c r="C499" s="110"/>
      <c r="D499" s="110"/>
      <c r="E499" s="109"/>
      <c r="F499" s="111"/>
      <c r="G499" s="109"/>
      <c r="H499" s="109"/>
      <c r="I499" s="109"/>
      <c r="J499" s="109"/>
      <c r="K499" s="109"/>
      <c r="L499" s="109"/>
      <c r="M499" s="109"/>
      <c r="N499" s="109"/>
    </row>
    <row r="500" spans="1:14">
      <c r="A500" s="109"/>
      <c r="B500" s="110"/>
      <c r="C500" s="110"/>
      <c r="D500" s="110"/>
      <c r="E500" s="109"/>
      <c r="F500" s="111"/>
      <c r="G500" s="109"/>
      <c r="H500" s="109"/>
      <c r="I500" s="109"/>
      <c r="J500" s="109"/>
      <c r="K500" s="109"/>
      <c r="L500" s="109"/>
      <c r="M500" s="109"/>
      <c r="N500" s="109"/>
    </row>
    <row r="501" spans="1:14">
      <c r="A501" s="109"/>
      <c r="B501" s="110"/>
      <c r="C501" s="110"/>
      <c r="D501" s="110"/>
      <c r="E501" s="109"/>
      <c r="F501" s="111"/>
      <c r="G501" s="109"/>
      <c r="H501" s="109"/>
      <c r="I501" s="109"/>
      <c r="J501" s="109"/>
      <c r="K501" s="109"/>
      <c r="L501" s="109"/>
      <c r="M501" s="109"/>
      <c r="N501" s="109"/>
    </row>
    <row r="502" spans="1:14">
      <c r="A502" s="109"/>
      <c r="B502" s="110"/>
      <c r="C502" s="110"/>
      <c r="D502" s="110"/>
      <c r="E502" s="109"/>
      <c r="F502" s="111"/>
      <c r="G502" s="109"/>
      <c r="H502" s="109"/>
      <c r="I502" s="109"/>
      <c r="J502" s="109"/>
      <c r="K502" s="109"/>
      <c r="L502" s="109"/>
      <c r="M502" s="109"/>
      <c r="N502" s="109"/>
    </row>
    <row r="503" spans="1:14">
      <c r="A503" s="109"/>
      <c r="B503" s="110"/>
      <c r="C503" s="110"/>
      <c r="D503" s="110"/>
      <c r="E503" s="109"/>
      <c r="F503" s="111"/>
      <c r="G503" s="109"/>
      <c r="H503" s="109"/>
      <c r="I503" s="109"/>
      <c r="J503" s="109"/>
      <c r="K503" s="109"/>
      <c r="L503" s="109"/>
      <c r="M503" s="109"/>
      <c r="N503" s="109"/>
    </row>
    <row r="504" spans="1:14">
      <c r="A504" s="109"/>
      <c r="B504" s="110"/>
      <c r="C504" s="110"/>
      <c r="D504" s="110"/>
      <c r="E504" s="109"/>
      <c r="F504" s="111"/>
      <c r="G504" s="109"/>
      <c r="H504" s="109"/>
      <c r="I504" s="109"/>
      <c r="J504" s="109"/>
      <c r="K504" s="109"/>
      <c r="L504" s="109"/>
      <c r="M504" s="109"/>
      <c r="N504" s="109"/>
    </row>
    <row r="505" spans="1:14">
      <c r="A505" s="109"/>
      <c r="B505" s="110"/>
      <c r="C505" s="110"/>
      <c r="D505" s="110"/>
      <c r="E505" s="109"/>
      <c r="F505" s="111"/>
      <c r="G505" s="109"/>
      <c r="H505" s="109"/>
      <c r="I505" s="109"/>
      <c r="J505" s="109"/>
      <c r="K505" s="109"/>
      <c r="L505" s="109"/>
      <c r="M505" s="109"/>
      <c r="N505" s="109"/>
    </row>
    <row r="506" spans="1:14">
      <c r="A506" s="109"/>
      <c r="B506" s="110"/>
      <c r="C506" s="110"/>
      <c r="D506" s="110"/>
      <c r="E506" s="109"/>
      <c r="F506" s="111"/>
      <c r="G506" s="109"/>
      <c r="H506" s="109"/>
      <c r="I506" s="109"/>
      <c r="J506" s="109"/>
      <c r="K506" s="109"/>
      <c r="L506" s="109"/>
      <c r="M506" s="109"/>
      <c r="N506" s="109"/>
    </row>
    <row r="507" spans="1:14">
      <c r="A507" s="109"/>
      <c r="B507" s="110"/>
      <c r="C507" s="110"/>
      <c r="D507" s="110"/>
      <c r="E507" s="109"/>
      <c r="F507" s="111"/>
      <c r="G507" s="109"/>
      <c r="H507" s="109"/>
      <c r="I507" s="109"/>
      <c r="J507" s="109"/>
      <c r="K507" s="109"/>
      <c r="L507" s="109"/>
      <c r="M507" s="109"/>
      <c r="N507" s="109"/>
    </row>
    <row r="508" spans="1:14">
      <c r="A508" s="109"/>
      <c r="B508" s="110"/>
      <c r="C508" s="110"/>
      <c r="D508" s="110"/>
      <c r="E508" s="109"/>
      <c r="F508" s="111"/>
      <c r="G508" s="109"/>
      <c r="H508" s="109"/>
      <c r="I508" s="109"/>
      <c r="J508" s="109"/>
      <c r="K508" s="109"/>
      <c r="L508" s="109"/>
      <c r="M508" s="109"/>
      <c r="N508" s="109"/>
    </row>
    <row r="509" spans="1:14">
      <c r="A509" s="109"/>
      <c r="B509" s="110"/>
      <c r="C509" s="110"/>
      <c r="D509" s="110"/>
      <c r="E509" s="109"/>
      <c r="F509" s="111"/>
      <c r="G509" s="109"/>
      <c r="H509" s="109"/>
      <c r="I509" s="109"/>
      <c r="J509" s="109"/>
      <c r="K509" s="109"/>
      <c r="L509" s="109"/>
      <c r="M509" s="109"/>
      <c r="N509" s="109"/>
    </row>
    <row r="510" spans="1:14">
      <c r="A510" s="109"/>
      <c r="B510" s="110"/>
      <c r="C510" s="110"/>
      <c r="D510" s="110"/>
      <c r="E510" s="109"/>
      <c r="F510" s="111"/>
      <c r="G510" s="109"/>
      <c r="H510" s="109"/>
      <c r="I510" s="109"/>
      <c r="J510" s="109"/>
      <c r="K510" s="109"/>
      <c r="L510" s="109"/>
      <c r="M510" s="109"/>
      <c r="N510" s="109"/>
    </row>
    <row r="511" spans="1:14">
      <c r="A511" s="109"/>
      <c r="B511" s="110"/>
      <c r="C511" s="110"/>
      <c r="D511" s="110"/>
      <c r="E511" s="109"/>
      <c r="F511" s="111"/>
      <c r="G511" s="109"/>
      <c r="H511" s="109"/>
      <c r="I511" s="109"/>
      <c r="J511" s="109"/>
      <c r="K511" s="109"/>
      <c r="L511" s="109"/>
      <c r="M511" s="109"/>
      <c r="N511" s="109"/>
    </row>
    <row r="512" spans="1:14">
      <c r="A512" s="109"/>
      <c r="B512" s="110"/>
      <c r="C512" s="110"/>
      <c r="D512" s="110"/>
      <c r="E512" s="109"/>
      <c r="F512" s="111"/>
      <c r="G512" s="109"/>
      <c r="H512" s="109"/>
      <c r="I512" s="109"/>
      <c r="J512" s="109"/>
      <c r="K512" s="109"/>
      <c r="L512" s="109"/>
      <c r="M512" s="109"/>
      <c r="N512" s="109"/>
    </row>
    <row r="513" spans="1:14">
      <c r="A513" s="109"/>
      <c r="B513" s="110"/>
      <c r="C513" s="110"/>
      <c r="D513" s="110"/>
      <c r="E513" s="109"/>
      <c r="F513" s="111"/>
      <c r="G513" s="109"/>
      <c r="H513" s="109"/>
      <c r="I513" s="109"/>
      <c r="J513" s="109"/>
      <c r="K513" s="109"/>
      <c r="L513" s="109"/>
      <c r="M513" s="109"/>
      <c r="N513" s="109"/>
    </row>
    <row r="514" spans="1:14">
      <c r="A514" s="109"/>
      <c r="B514" s="110"/>
      <c r="C514" s="110"/>
      <c r="D514" s="110"/>
      <c r="E514" s="109"/>
      <c r="F514" s="111"/>
      <c r="G514" s="109"/>
      <c r="H514" s="109"/>
      <c r="I514" s="109"/>
      <c r="J514" s="109"/>
      <c r="K514" s="109"/>
      <c r="L514" s="109"/>
      <c r="M514" s="109"/>
      <c r="N514" s="109"/>
    </row>
    <row r="515" spans="1:14">
      <c r="A515" s="109"/>
      <c r="B515" s="110"/>
      <c r="C515" s="110"/>
      <c r="D515" s="110"/>
      <c r="E515" s="109"/>
      <c r="F515" s="111"/>
      <c r="G515" s="109"/>
      <c r="H515" s="109"/>
      <c r="I515" s="109"/>
      <c r="J515" s="109"/>
      <c r="K515" s="109"/>
      <c r="L515" s="109"/>
      <c r="M515" s="109"/>
      <c r="N515" s="109"/>
    </row>
    <row r="516" spans="1:14">
      <c r="A516" s="109"/>
      <c r="B516" s="110"/>
      <c r="C516" s="110"/>
      <c r="D516" s="110"/>
      <c r="E516" s="109"/>
      <c r="F516" s="111"/>
      <c r="G516" s="109"/>
      <c r="H516" s="109"/>
      <c r="I516" s="109"/>
      <c r="J516" s="109"/>
      <c r="K516" s="109"/>
      <c r="L516" s="109"/>
      <c r="M516" s="109"/>
      <c r="N516" s="109"/>
    </row>
    <row r="517" spans="1:14">
      <c r="A517" s="109"/>
      <c r="B517" s="110"/>
      <c r="C517" s="110"/>
      <c r="D517" s="110"/>
      <c r="E517" s="109"/>
      <c r="F517" s="111"/>
      <c r="G517" s="109"/>
      <c r="H517" s="109"/>
      <c r="I517" s="109"/>
      <c r="J517" s="109"/>
      <c r="K517" s="109"/>
      <c r="L517" s="109"/>
      <c r="M517" s="109"/>
      <c r="N517" s="109"/>
    </row>
    <row r="518" spans="1:14">
      <c r="A518" s="109"/>
      <c r="B518" s="110"/>
      <c r="C518" s="110"/>
      <c r="D518" s="110"/>
      <c r="E518" s="109"/>
      <c r="F518" s="111"/>
      <c r="G518" s="109"/>
      <c r="H518" s="109"/>
      <c r="I518" s="109"/>
      <c r="J518" s="109"/>
      <c r="K518" s="109"/>
      <c r="L518" s="109"/>
      <c r="M518" s="109"/>
      <c r="N518" s="109"/>
    </row>
    <row r="519" spans="1:14">
      <c r="A519" s="109"/>
      <c r="B519" s="110"/>
      <c r="C519" s="110"/>
      <c r="D519" s="110"/>
      <c r="E519" s="109"/>
      <c r="F519" s="111"/>
      <c r="G519" s="109"/>
      <c r="H519" s="109"/>
      <c r="I519" s="109"/>
      <c r="J519" s="109"/>
      <c r="K519" s="109"/>
      <c r="L519" s="109"/>
      <c r="M519" s="109"/>
      <c r="N519" s="109"/>
    </row>
    <row r="520" spans="1:14">
      <c r="A520" s="109"/>
      <c r="B520" s="110"/>
      <c r="C520" s="110"/>
      <c r="D520" s="110"/>
      <c r="E520" s="109"/>
      <c r="F520" s="111"/>
      <c r="G520" s="109"/>
      <c r="H520" s="109"/>
      <c r="I520" s="109"/>
      <c r="J520" s="109"/>
      <c r="K520" s="109"/>
      <c r="L520" s="109"/>
      <c r="M520" s="109"/>
      <c r="N520" s="109"/>
    </row>
    <row r="521" spans="1:14">
      <c r="A521" s="109"/>
      <c r="B521" s="110"/>
      <c r="C521" s="110"/>
      <c r="D521" s="110"/>
      <c r="E521" s="109"/>
      <c r="F521" s="111"/>
      <c r="G521" s="109"/>
      <c r="H521" s="109"/>
      <c r="I521" s="109"/>
      <c r="J521" s="109"/>
      <c r="K521" s="109"/>
      <c r="L521" s="109"/>
      <c r="M521" s="109"/>
      <c r="N521" s="109"/>
    </row>
    <row r="522" spans="1:14">
      <c r="A522" s="109"/>
      <c r="B522" s="110"/>
      <c r="C522" s="110"/>
      <c r="D522" s="110"/>
      <c r="E522" s="109"/>
      <c r="F522" s="111"/>
      <c r="G522" s="109"/>
      <c r="H522" s="109"/>
      <c r="I522" s="109"/>
      <c r="J522" s="109"/>
      <c r="K522" s="109"/>
      <c r="L522" s="109"/>
      <c r="M522" s="109"/>
      <c r="N522" s="109"/>
    </row>
    <row r="523" spans="1:14">
      <c r="A523" s="109"/>
      <c r="B523" s="110"/>
      <c r="C523" s="110"/>
      <c r="D523" s="110"/>
      <c r="E523" s="109"/>
      <c r="F523" s="111"/>
      <c r="G523" s="109"/>
      <c r="H523" s="109"/>
      <c r="I523" s="109"/>
      <c r="J523" s="109"/>
      <c r="K523" s="109"/>
      <c r="L523" s="109"/>
      <c r="M523" s="109"/>
      <c r="N523" s="109"/>
    </row>
    <row r="524" spans="1:14">
      <c r="A524" s="109"/>
      <c r="B524" s="110"/>
      <c r="C524" s="110"/>
      <c r="D524" s="110"/>
      <c r="E524" s="109"/>
      <c r="F524" s="111"/>
      <c r="G524" s="109"/>
      <c r="H524" s="109"/>
      <c r="I524" s="109"/>
      <c r="J524" s="109"/>
      <c r="K524" s="109"/>
      <c r="L524" s="109"/>
      <c r="M524" s="109"/>
      <c r="N524" s="109"/>
    </row>
    <row r="525" spans="1:14">
      <c r="A525" s="109"/>
      <c r="B525" s="110"/>
      <c r="C525" s="110"/>
      <c r="D525" s="110"/>
      <c r="E525" s="109"/>
      <c r="F525" s="111"/>
      <c r="G525" s="109"/>
      <c r="H525" s="109"/>
      <c r="I525" s="109"/>
      <c r="J525" s="109"/>
      <c r="K525" s="109"/>
      <c r="L525" s="109"/>
      <c r="M525" s="109"/>
      <c r="N525" s="109"/>
    </row>
    <row r="526" spans="1:14">
      <c r="A526" s="109"/>
      <c r="B526" s="110"/>
      <c r="C526" s="110"/>
      <c r="D526" s="110"/>
      <c r="E526" s="109"/>
      <c r="F526" s="111"/>
      <c r="G526" s="109"/>
      <c r="H526" s="109"/>
      <c r="I526" s="109"/>
      <c r="J526" s="109"/>
      <c r="K526" s="109"/>
      <c r="L526" s="109"/>
      <c r="M526" s="109"/>
      <c r="N526" s="109"/>
    </row>
    <row r="527" spans="1:14">
      <c r="A527" s="109"/>
      <c r="B527" s="110"/>
      <c r="C527" s="110"/>
      <c r="D527" s="110"/>
      <c r="E527" s="109"/>
      <c r="F527" s="111"/>
      <c r="G527" s="109"/>
      <c r="H527" s="109"/>
      <c r="I527" s="109"/>
      <c r="J527" s="109"/>
      <c r="K527" s="109"/>
      <c r="L527" s="109"/>
      <c r="M527" s="109"/>
      <c r="N527" s="109"/>
    </row>
    <row r="528" spans="1:14">
      <c r="A528" s="109"/>
      <c r="B528" s="110"/>
      <c r="C528" s="110"/>
      <c r="D528" s="110"/>
      <c r="E528" s="109"/>
      <c r="F528" s="111"/>
      <c r="G528" s="109"/>
      <c r="H528" s="109"/>
      <c r="I528" s="109"/>
      <c r="J528" s="109"/>
      <c r="K528" s="109"/>
      <c r="L528" s="109"/>
      <c r="M528" s="109"/>
      <c r="N528" s="109"/>
    </row>
    <row r="529" spans="1:14">
      <c r="A529" s="109"/>
      <c r="B529" s="110"/>
      <c r="C529" s="110"/>
      <c r="D529" s="110"/>
      <c r="E529" s="109"/>
      <c r="F529" s="111"/>
      <c r="G529" s="109"/>
      <c r="H529" s="109"/>
      <c r="I529" s="109"/>
      <c r="J529" s="109"/>
      <c r="K529" s="109"/>
      <c r="L529" s="109"/>
      <c r="M529" s="109"/>
      <c r="N529" s="109"/>
    </row>
    <row r="530" spans="1:14">
      <c r="A530" s="109"/>
      <c r="B530" s="110"/>
      <c r="C530" s="110"/>
      <c r="D530" s="110"/>
      <c r="E530" s="109"/>
      <c r="F530" s="111"/>
      <c r="G530" s="109"/>
      <c r="H530" s="109"/>
      <c r="I530" s="109"/>
      <c r="J530" s="109"/>
      <c r="K530" s="109"/>
      <c r="L530" s="109"/>
      <c r="M530" s="109"/>
      <c r="N530" s="109"/>
    </row>
    <row r="531" spans="1:14">
      <c r="A531" s="109"/>
      <c r="B531" s="110"/>
      <c r="C531" s="110"/>
      <c r="D531" s="110"/>
      <c r="E531" s="109"/>
      <c r="F531" s="111"/>
      <c r="G531" s="109"/>
      <c r="H531" s="109"/>
      <c r="I531" s="109"/>
      <c r="J531" s="109"/>
      <c r="K531" s="109"/>
      <c r="L531" s="109"/>
      <c r="M531" s="109"/>
      <c r="N531" s="109"/>
    </row>
    <row r="532" spans="1:14">
      <c r="A532" s="109"/>
      <c r="B532" s="110"/>
      <c r="C532" s="110"/>
      <c r="D532" s="110"/>
      <c r="E532" s="109"/>
      <c r="F532" s="111"/>
      <c r="G532" s="109"/>
      <c r="H532" s="109"/>
      <c r="I532" s="109"/>
      <c r="J532" s="109"/>
      <c r="K532" s="109"/>
      <c r="L532" s="109"/>
      <c r="M532" s="109"/>
      <c r="N532" s="109"/>
    </row>
    <row r="533" spans="1:14">
      <c r="A533" s="109"/>
      <c r="B533" s="110"/>
      <c r="C533" s="110"/>
      <c r="D533" s="110"/>
      <c r="E533" s="109"/>
      <c r="F533" s="111"/>
      <c r="G533" s="109"/>
      <c r="H533" s="109"/>
      <c r="I533" s="109"/>
      <c r="J533" s="109"/>
      <c r="K533" s="109"/>
      <c r="L533" s="109"/>
      <c r="M533" s="109"/>
      <c r="N533" s="109"/>
    </row>
    <row r="534" spans="1:14">
      <c r="A534" s="109"/>
      <c r="B534" s="110"/>
      <c r="C534" s="110"/>
      <c r="D534" s="110"/>
      <c r="E534" s="109"/>
      <c r="F534" s="111"/>
      <c r="G534" s="109"/>
      <c r="H534" s="109"/>
      <c r="I534" s="109"/>
      <c r="J534" s="109"/>
      <c r="K534" s="109"/>
      <c r="L534" s="109"/>
      <c r="M534" s="109"/>
      <c r="N534" s="109"/>
    </row>
    <row r="535" spans="1:14">
      <c r="A535" s="109"/>
      <c r="B535" s="110"/>
      <c r="C535" s="110"/>
      <c r="D535" s="110"/>
      <c r="E535" s="109"/>
      <c r="F535" s="111"/>
      <c r="G535" s="109"/>
      <c r="H535" s="109"/>
      <c r="I535" s="109"/>
      <c r="J535" s="109"/>
      <c r="K535" s="109"/>
      <c r="L535" s="109"/>
      <c r="M535" s="109"/>
      <c r="N535" s="109"/>
    </row>
    <row r="536" spans="1:14">
      <c r="A536" s="109"/>
      <c r="B536" s="110"/>
      <c r="C536" s="110"/>
      <c r="D536" s="110"/>
      <c r="E536" s="109"/>
      <c r="F536" s="111"/>
      <c r="G536" s="109"/>
      <c r="H536" s="109"/>
      <c r="I536" s="109"/>
      <c r="J536" s="109"/>
      <c r="K536" s="109"/>
      <c r="L536" s="109"/>
      <c r="M536" s="109"/>
      <c r="N536" s="109"/>
    </row>
    <row r="537" spans="1:14">
      <c r="A537" s="109"/>
      <c r="B537" s="110"/>
      <c r="C537" s="110"/>
      <c r="D537" s="110"/>
      <c r="E537" s="109"/>
      <c r="F537" s="111"/>
      <c r="G537" s="109"/>
      <c r="H537" s="109"/>
      <c r="I537" s="109"/>
      <c r="J537" s="109"/>
      <c r="K537" s="109"/>
      <c r="L537" s="109"/>
      <c r="M537" s="109"/>
      <c r="N537" s="109"/>
    </row>
    <row r="538" spans="1:14">
      <c r="A538" s="109"/>
      <c r="B538" s="110"/>
      <c r="C538" s="110"/>
      <c r="D538" s="110"/>
      <c r="E538" s="109"/>
      <c r="F538" s="111"/>
      <c r="G538" s="109"/>
      <c r="H538" s="109"/>
      <c r="I538" s="109"/>
      <c r="J538" s="109"/>
      <c r="K538" s="109"/>
      <c r="L538" s="109"/>
      <c r="M538" s="109"/>
      <c r="N538" s="109"/>
    </row>
    <row r="539" spans="1:14">
      <c r="A539" s="109"/>
      <c r="B539" s="110"/>
      <c r="C539" s="110"/>
      <c r="D539" s="110"/>
      <c r="E539" s="109"/>
      <c r="F539" s="111"/>
      <c r="G539" s="109"/>
      <c r="H539" s="109"/>
      <c r="I539" s="109"/>
      <c r="J539" s="109"/>
      <c r="K539" s="109"/>
      <c r="L539" s="109"/>
      <c r="M539" s="109"/>
      <c r="N539" s="109"/>
    </row>
    <row r="540" spans="1:14">
      <c r="A540" s="109"/>
      <c r="B540" s="110"/>
      <c r="C540" s="110"/>
      <c r="D540" s="110"/>
      <c r="E540" s="109"/>
      <c r="F540" s="111"/>
      <c r="G540" s="109"/>
      <c r="H540" s="109"/>
      <c r="I540" s="109"/>
      <c r="J540" s="109"/>
      <c r="K540" s="109"/>
      <c r="L540" s="109"/>
      <c r="M540" s="109"/>
      <c r="N540" s="109"/>
    </row>
    <row r="541" spans="1:14">
      <c r="A541" s="109"/>
      <c r="B541" s="110"/>
      <c r="C541" s="110"/>
      <c r="D541" s="110"/>
      <c r="E541" s="109"/>
      <c r="F541" s="111"/>
      <c r="G541" s="109"/>
      <c r="H541" s="109"/>
      <c r="I541" s="109"/>
      <c r="J541" s="109"/>
      <c r="K541" s="109"/>
      <c r="L541" s="109"/>
      <c r="M541" s="109"/>
      <c r="N541" s="109"/>
    </row>
    <row r="542" spans="1:14">
      <c r="A542" s="109"/>
      <c r="B542" s="110"/>
      <c r="C542" s="110"/>
      <c r="D542" s="110"/>
      <c r="E542" s="109"/>
      <c r="F542" s="111"/>
      <c r="G542" s="109"/>
      <c r="H542" s="109"/>
      <c r="I542" s="109"/>
      <c r="J542" s="109"/>
      <c r="K542" s="109"/>
      <c r="L542" s="109"/>
      <c r="M542" s="109"/>
      <c r="N542" s="109"/>
    </row>
    <row r="543" spans="1:14">
      <c r="A543" s="109"/>
      <c r="B543" s="110"/>
      <c r="C543" s="110"/>
      <c r="D543" s="110"/>
      <c r="E543" s="109"/>
      <c r="F543" s="111"/>
      <c r="G543" s="109"/>
      <c r="H543" s="109"/>
      <c r="I543" s="109"/>
      <c r="J543" s="109"/>
      <c r="K543" s="109"/>
      <c r="L543" s="109"/>
      <c r="M543" s="109"/>
      <c r="N543" s="109"/>
    </row>
    <row r="544" spans="1:14">
      <c r="A544" s="109"/>
      <c r="B544" s="110"/>
      <c r="C544" s="110"/>
      <c r="D544" s="110"/>
      <c r="E544" s="109"/>
      <c r="F544" s="111"/>
      <c r="G544" s="109"/>
      <c r="H544" s="109"/>
      <c r="I544" s="109"/>
      <c r="J544" s="109"/>
      <c r="K544" s="109"/>
      <c r="L544" s="109"/>
      <c r="M544" s="109"/>
      <c r="N544" s="109"/>
    </row>
    <row r="545" spans="1:14">
      <c r="A545" s="109"/>
      <c r="B545" s="110"/>
      <c r="C545" s="110"/>
      <c r="D545" s="110"/>
      <c r="E545" s="109"/>
      <c r="F545" s="111"/>
      <c r="G545" s="109"/>
      <c r="H545" s="109"/>
      <c r="I545" s="109"/>
      <c r="J545" s="109"/>
      <c r="K545" s="109"/>
      <c r="L545" s="109"/>
      <c r="M545" s="109"/>
      <c r="N545" s="109"/>
    </row>
    <row r="546" spans="1:14">
      <c r="A546" s="109"/>
      <c r="B546" s="110"/>
      <c r="C546" s="110"/>
      <c r="D546" s="110"/>
      <c r="E546" s="109"/>
      <c r="F546" s="111"/>
      <c r="G546" s="109"/>
      <c r="H546" s="109"/>
      <c r="I546" s="109"/>
      <c r="J546" s="109"/>
      <c r="K546" s="109"/>
      <c r="L546" s="109"/>
      <c r="M546" s="109"/>
      <c r="N546" s="109"/>
    </row>
    <row r="547" spans="1:14">
      <c r="A547" s="109"/>
      <c r="B547" s="110"/>
      <c r="C547" s="110"/>
      <c r="D547" s="110"/>
      <c r="E547" s="109"/>
      <c r="F547" s="111"/>
      <c r="G547" s="109"/>
      <c r="H547" s="109"/>
      <c r="I547" s="109"/>
      <c r="J547" s="109"/>
      <c r="K547" s="109"/>
      <c r="L547" s="109"/>
      <c r="M547" s="109"/>
      <c r="N547" s="109"/>
    </row>
    <row r="548" spans="1:14">
      <c r="A548" s="109"/>
      <c r="B548" s="110"/>
      <c r="C548" s="110"/>
      <c r="D548" s="110"/>
      <c r="E548" s="109"/>
      <c r="F548" s="111"/>
      <c r="G548" s="109"/>
      <c r="H548" s="109"/>
      <c r="I548" s="109"/>
      <c r="J548" s="109"/>
      <c r="K548" s="109"/>
      <c r="L548" s="109"/>
      <c r="M548" s="109"/>
      <c r="N548" s="109"/>
    </row>
    <row r="549" spans="1:14">
      <c r="A549" s="109"/>
      <c r="B549" s="110"/>
      <c r="C549" s="110"/>
      <c r="D549" s="110"/>
      <c r="E549" s="109"/>
      <c r="F549" s="111"/>
      <c r="G549" s="109"/>
      <c r="H549" s="109"/>
      <c r="I549" s="109"/>
      <c r="J549" s="109"/>
      <c r="K549" s="109"/>
      <c r="L549" s="109"/>
      <c r="M549" s="109"/>
      <c r="N549" s="109"/>
    </row>
    <row r="550" spans="1:14">
      <c r="A550" s="109"/>
      <c r="B550" s="110"/>
      <c r="C550" s="110"/>
      <c r="D550" s="110"/>
      <c r="E550" s="109"/>
      <c r="F550" s="111"/>
      <c r="G550" s="109"/>
      <c r="H550" s="109"/>
      <c r="I550" s="109"/>
      <c r="J550" s="109"/>
      <c r="K550" s="109"/>
      <c r="L550" s="109"/>
      <c r="M550" s="109"/>
      <c r="N550" s="109"/>
    </row>
    <row r="551" spans="1:14">
      <c r="A551" s="109"/>
      <c r="B551" s="110"/>
      <c r="C551" s="110"/>
      <c r="D551" s="110"/>
      <c r="E551" s="109"/>
      <c r="F551" s="111"/>
      <c r="G551" s="109"/>
      <c r="H551" s="109"/>
      <c r="I551" s="109"/>
      <c r="J551" s="109"/>
      <c r="K551" s="109"/>
      <c r="L551" s="109"/>
      <c r="M551" s="109"/>
      <c r="N551" s="109"/>
    </row>
    <row r="552" spans="1:14">
      <c r="A552" s="109"/>
      <c r="B552" s="110"/>
      <c r="C552" s="110"/>
      <c r="D552" s="110"/>
      <c r="E552" s="109"/>
      <c r="F552" s="111"/>
      <c r="G552" s="109"/>
      <c r="H552" s="109"/>
      <c r="I552" s="109"/>
      <c r="J552" s="109"/>
      <c r="K552" s="109"/>
      <c r="L552" s="109"/>
      <c r="M552" s="109"/>
      <c r="N552" s="109"/>
    </row>
    <row r="553" spans="1:14">
      <c r="A553" s="109"/>
      <c r="B553" s="110"/>
      <c r="C553" s="110"/>
      <c r="D553" s="110"/>
      <c r="E553" s="109"/>
      <c r="F553" s="111"/>
      <c r="G553" s="109"/>
      <c r="H553" s="109"/>
      <c r="I553" s="109"/>
      <c r="J553" s="109"/>
      <c r="K553" s="109"/>
      <c r="L553" s="109"/>
      <c r="M553" s="109"/>
      <c r="N553" s="109"/>
    </row>
    <row r="554" spans="1:14">
      <c r="A554" s="109"/>
      <c r="B554" s="110"/>
      <c r="C554" s="110"/>
      <c r="D554" s="110"/>
      <c r="E554" s="109"/>
      <c r="F554" s="111"/>
      <c r="G554" s="109"/>
      <c r="H554" s="109"/>
      <c r="I554" s="109"/>
      <c r="J554" s="109"/>
      <c r="K554" s="109"/>
      <c r="L554" s="109"/>
      <c r="M554" s="109"/>
      <c r="N554" s="109"/>
    </row>
    <row r="555" spans="1:14">
      <c r="A555" s="109"/>
      <c r="B555" s="110"/>
      <c r="C555" s="110"/>
      <c r="D555" s="110"/>
      <c r="E555" s="109"/>
      <c r="F555" s="111"/>
      <c r="G555" s="109"/>
      <c r="H555" s="109"/>
      <c r="I555" s="109"/>
      <c r="J555" s="109"/>
      <c r="K555" s="109"/>
      <c r="L555" s="109"/>
      <c r="M555" s="109"/>
      <c r="N555" s="109"/>
    </row>
    <row r="556" spans="1:14">
      <c r="A556" s="109"/>
      <c r="B556" s="110"/>
      <c r="C556" s="110"/>
      <c r="D556" s="110"/>
      <c r="E556" s="109"/>
      <c r="F556" s="111"/>
      <c r="G556" s="109"/>
      <c r="H556" s="109"/>
      <c r="I556" s="109"/>
      <c r="J556" s="109"/>
      <c r="K556" s="109"/>
      <c r="L556" s="109"/>
      <c r="M556" s="109"/>
      <c r="N556" s="109"/>
    </row>
    <row r="557" spans="1:14">
      <c r="A557" s="109"/>
      <c r="B557" s="110"/>
      <c r="C557" s="110"/>
      <c r="D557" s="110"/>
      <c r="E557" s="109"/>
      <c r="F557" s="111"/>
      <c r="G557" s="109"/>
      <c r="H557" s="109"/>
      <c r="I557" s="109"/>
      <c r="J557" s="109"/>
      <c r="K557" s="109"/>
      <c r="L557" s="109"/>
      <c r="M557" s="109"/>
      <c r="N557" s="109"/>
    </row>
    <row r="558" spans="1:14">
      <c r="A558" s="109"/>
      <c r="B558" s="110"/>
      <c r="C558" s="110"/>
      <c r="D558" s="110"/>
      <c r="E558" s="109"/>
      <c r="F558" s="111"/>
      <c r="G558" s="109"/>
      <c r="H558" s="109"/>
      <c r="I558" s="109"/>
      <c r="J558" s="109"/>
      <c r="K558" s="109"/>
      <c r="L558" s="109"/>
      <c r="M558" s="109"/>
      <c r="N558" s="109"/>
    </row>
    <row r="559" spans="1:14">
      <c r="A559" s="109"/>
      <c r="B559" s="110"/>
      <c r="C559" s="110"/>
      <c r="D559" s="110"/>
      <c r="E559" s="109"/>
      <c r="F559" s="111"/>
      <c r="G559" s="109"/>
      <c r="H559" s="109"/>
      <c r="I559" s="109"/>
      <c r="J559" s="109"/>
      <c r="K559" s="109"/>
      <c r="L559" s="109"/>
      <c r="M559" s="109"/>
      <c r="N559" s="109"/>
    </row>
    <row r="560" spans="1:14">
      <c r="A560" s="109"/>
      <c r="B560" s="110"/>
      <c r="C560" s="110"/>
      <c r="D560" s="110"/>
      <c r="E560" s="109"/>
      <c r="F560" s="111"/>
      <c r="G560" s="109"/>
      <c r="H560" s="109"/>
      <c r="I560" s="109"/>
      <c r="J560" s="109"/>
      <c r="K560" s="109"/>
      <c r="L560" s="109"/>
      <c r="M560" s="109"/>
      <c r="N560" s="109"/>
    </row>
    <row r="561" spans="1:14">
      <c r="A561" s="109"/>
      <c r="B561" s="110"/>
      <c r="C561" s="110"/>
      <c r="D561" s="110"/>
      <c r="E561" s="109"/>
      <c r="F561" s="111"/>
      <c r="G561" s="109"/>
      <c r="H561" s="109"/>
      <c r="I561" s="109"/>
      <c r="J561" s="109"/>
      <c r="K561" s="109"/>
      <c r="L561" s="109"/>
      <c r="M561" s="109"/>
      <c r="N561" s="109"/>
    </row>
    <row r="562" spans="1:14">
      <c r="A562" s="109"/>
      <c r="B562" s="110"/>
      <c r="C562" s="110"/>
      <c r="D562" s="110"/>
      <c r="E562" s="109"/>
      <c r="F562" s="111"/>
      <c r="G562" s="109"/>
      <c r="H562" s="109"/>
      <c r="I562" s="109"/>
      <c r="J562" s="109"/>
      <c r="K562" s="109"/>
      <c r="L562" s="109"/>
      <c r="M562" s="109"/>
      <c r="N562" s="109"/>
    </row>
    <row r="563" spans="1:14">
      <c r="A563" s="109"/>
      <c r="B563" s="110"/>
      <c r="C563" s="110"/>
      <c r="D563" s="110"/>
      <c r="E563" s="109"/>
      <c r="F563" s="111"/>
      <c r="G563" s="109"/>
      <c r="H563" s="109"/>
      <c r="I563" s="109"/>
      <c r="J563" s="109"/>
      <c r="K563" s="109"/>
      <c r="L563" s="109"/>
      <c r="M563" s="109"/>
      <c r="N563" s="109"/>
    </row>
    <row r="564" spans="1:14">
      <c r="A564" s="109"/>
      <c r="B564" s="110"/>
      <c r="C564" s="110"/>
      <c r="D564" s="110"/>
      <c r="E564" s="109"/>
      <c r="F564" s="111"/>
      <c r="G564" s="109"/>
      <c r="H564" s="109"/>
      <c r="I564" s="109"/>
      <c r="J564" s="109"/>
      <c r="K564" s="109"/>
      <c r="L564" s="109"/>
      <c r="M564" s="109"/>
      <c r="N564" s="109"/>
    </row>
    <row r="565" spans="1:14">
      <c r="A565" s="109"/>
      <c r="B565" s="110"/>
      <c r="C565" s="110"/>
      <c r="D565" s="110"/>
      <c r="E565" s="109"/>
      <c r="F565" s="111"/>
      <c r="G565" s="109"/>
      <c r="H565" s="109"/>
      <c r="I565" s="109"/>
      <c r="J565" s="109"/>
      <c r="K565" s="109"/>
      <c r="L565" s="109"/>
      <c r="M565" s="109"/>
      <c r="N565" s="109"/>
    </row>
    <row r="566" spans="1:14">
      <c r="A566" s="109"/>
      <c r="B566" s="110"/>
      <c r="C566" s="110"/>
      <c r="D566" s="110"/>
      <c r="E566" s="109"/>
      <c r="F566" s="111"/>
      <c r="G566" s="109"/>
      <c r="H566" s="109"/>
      <c r="I566" s="109"/>
      <c r="J566" s="109"/>
      <c r="K566" s="109"/>
      <c r="L566" s="109"/>
      <c r="M566" s="109"/>
      <c r="N566" s="109"/>
    </row>
    <row r="567" spans="1:14">
      <c r="A567" s="109"/>
      <c r="B567" s="110"/>
      <c r="C567" s="110"/>
      <c r="D567" s="110"/>
      <c r="E567" s="109"/>
      <c r="F567" s="111"/>
      <c r="G567" s="109"/>
      <c r="H567" s="109"/>
      <c r="I567" s="109"/>
      <c r="J567" s="109"/>
      <c r="K567" s="109"/>
      <c r="L567" s="109"/>
      <c r="M567" s="109"/>
      <c r="N567" s="109"/>
    </row>
    <row r="568" spans="1:14">
      <c r="A568" s="109"/>
      <c r="B568" s="110"/>
      <c r="C568" s="110"/>
      <c r="D568" s="110"/>
      <c r="E568" s="109"/>
      <c r="F568" s="111"/>
      <c r="G568" s="109"/>
      <c r="H568" s="109"/>
      <c r="I568" s="109"/>
      <c r="J568" s="109"/>
      <c r="K568" s="109"/>
      <c r="L568" s="109"/>
      <c r="M568" s="109"/>
      <c r="N568" s="109"/>
    </row>
    <row r="569" spans="1:14">
      <c r="A569" s="109"/>
      <c r="B569" s="110"/>
      <c r="C569" s="110"/>
      <c r="D569" s="110"/>
      <c r="E569" s="109"/>
      <c r="F569" s="111"/>
      <c r="G569" s="109"/>
      <c r="H569" s="109"/>
      <c r="I569" s="109"/>
      <c r="J569" s="109"/>
      <c r="K569" s="109"/>
      <c r="L569" s="109"/>
      <c r="M569" s="109"/>
      <c r="N569" s="109"/>
    </row>
    <row r="570" spans="1:14">
      <c r="A570" s="109"/>
      <c r="B570" s="110"/>
      <c r="C570" s="110"/>
      <c r="D570" s="110"/>
      <c r="E570" s="109"/>
      <c r="F570" s="111"/>
      <c r="G570" s="109"/>
      <c r="H570" s="109"/>
      <c r="I570" s="109"/>
      <c r="J570" s="109"/>
      <c r="K570" s="109"/>
      <c r="L570" s="109"/>
      <c r="M570" s="109"/>
      <c r="N570" s="109"/>
    </row>
    <row r="571" spans="1:14">
      <c r="A571" s="109"/>
      <c r="B571" s="110"/>
      <c r="C571" s="110"/>
      <c r="D571" s="110"/>
      <c r="E571" s="109"/>
      <c r="F571" s="111"/>
      <c r="G571" s="109"/>
      <c r="H571" s="109"/>
      <c r="I571" s="109"/>
      <c r="J571" s="109"/>
      <c r="K571" s="109"/>
      <c r="L571" s="109"/>
      <c r="M571" s="109"/>
      <c r="N571" s="109"/>
    </row>
    <row r="572" spans="1:14">
      <c r="A572" s="109"/>
      <c r="B572" s="110"/>
      <c r="C572" s="110"/>
      <c r="D572" s="110"/>
      <c r="E572" s="109"/>
      <c r="F572" s="111"/>
      <c r="G572" s="109"/>
      <c r="H572" s="109"/>
      <c r="I572" s="109"/>
      <c r="J572" s="109"/>
      <c r="K572" s="109"/>
      <c r="L572" s="109"/>
      <c r="M572" s="109"/>
      <c r="N572" s="109"/>
    </row>
    <row r="573" spans="1:14">
      <c r="A573" s="109"/>
      <c r="B573" s="110"/>
      <c r="C573" s="110"/>
      <c r="D573" s="110"/>
      <c r="E573" s="109"/>
      <c r="F573" s="111"/>
      <c r="G573" s="109"/>
      <c r="H573" s="109"/>
      <c r="I573" s="109"/>
      <c r="J573" s="109"/>
      <c r="K573" s="109"/>
      <c r="L573" s="109"/>
      <c r="M573" s="109"/>
      <c r="N573" s="109"/>
    </row>
    <row r="574" spans="1:14">
      <c r="A574" s="109"/>
      <c r="B574" s="110"/>
      <c r="C574" s="110"/>
      <c r="D574" s="110"/>
      <c r="E574" s="109"/>
      <c r="F574" s="111"/>
      <c r="G574" s="109"/>
      <c r="H574" s="109"/>
      <c r="I574" s="109"/>
      <c r="J574" s="109"/>
      <c r="K574" s="109"/>
      <c r="L574" s="109"/>
      <c r="M574" s="109"/>
      <c r="N574" s="109"/>
    </row>
    <row r="575" spans="1:14">
      <c r="A575" s="109"/>
      <c r="B575" s="110"/>
      <c r="C575" s="110"/>
      <c r="D575" s="110"/>
      <c r="E575" s="109"/>
      <c r="F575" s="111"/>
      <c r="G575" s="109"/>
      <c r="H575" s="109"/>
      <c r="I575" s="109"/>
      <c r="J575" s="109"/>
      <c r="K575" s="109"/>
      <c r="L575" s="109"/>
      <c r="M575" s="109"/>
      <c r="N575" s="109"/>
    </row>
    <row r="576" spans="1:14">
      <c r="A576" s="109"/>
      <c r="B576" s="110"/>
      <c r="C576" s="110"/>
      <c r="D576" s="110"/>
      <c r="E576" s="109"/>
      <c r="F576" s="111"/>
      <c r="G576" s="109"/>
      <c r="H576" s="109"/>
      <c r="I576" s="109"/>
      <c r="J576" s="109"/>
      <c r="K576" s="109"/>
      <c r="L576" s="109"/>
      <c r="M576" s="109"/>
      <c r="N576" s="109"/>
    </row>
    <row r="577" spans="1:14">
      <c r="A577" s="109"/>
      <c r="B577" s="110"/>
      <c r="C577" s="110"/>
      <c r="D577" s="110"/>
      <c r="E577" s="109"/>
      <c r="F577" s="111"/>
      <c r="G577" s="109"/>
      <c r="H577" s="109"/>
      <c r="I577" s="109"/>
      <c r="J577" s="109"/>
      <c r="K577" s="109"/>
      <c r="L577" s="109"/>
      <c r="M577" s="109"/>
      <c r="N577" s="109"/>
    </row>
    <row r="578" spans="1:14">
      <c r="A578" s="109"/>
      <c r="B578" s="110"/>
      <c r="C578" s="110"/>
      <c r="D578" s="110"/>
      <c r="E578" s="109"/>
      <c r="F578" s="111"/>
      <c r="G578" s="109"/>
      <c r="H578" s="109"/>
      <c r="I578" s="109"/>
      <c r="J578" s="109"/>
      <c r="K578" s="109"/>
      <c r="L578" s="109"/>
      <c r="M578" s="109"/>
      <c r="N578" s="109"/>
    </row>
    <row r="579" spans="1:14">
      <c r="A579" s="109"/>
      <c r="B579" s="110"/>
      <c r="C579" s="110"/>
      <c r="D579" s="110"/>
      <c r="E579" s="109"/>
      <c r="F579" s="111"/>
      <c r="G579" s="109"/>
      <c r="H579" s="109"/>
      <c r="I579" s="109"/>
      <c r="J579" s="109"/>
      <c r="K579" s="109"/>
      <c r="L579" s="109"/>
      <c r="M579" s="109"/>
      <c r="N579" s="109"/>
    </row>
    <row r="580" spans="1:14">
      <c r="A580" s="109"/>
      <c r="B580" s="110"/>
      <c r="C580" s="110"/>
      <c r="D580" s="110"/>
      <c r="E580" s="109"/>
      <c r="F580" s="111"/>
      <c r="G580" s="109"/>
      <c r="H580" s="109"/>
      <c r="I580" s="109"/>
      <c r="J580" s="109"/>
      <c r="K580" s="109"/>
      <c r="L580" s="109"/>
      <c r="M580" s="109"/>
      <c r="N580" s="109"/>
    </row>
    <row r="581" spans="1:14">
      <c r="A581" s="109"/>
      <c r="B581" s="110"/>
      <c r="C581" s="110"/>
      <c r="D581" s="110"/>
      <c r="E581" s="109"/>
      <c r="F581" s="111"/>
      <c r="G581" s="109"/>
      <c r="H581" s="109"/>
      <c r="I581" s="109"/>
      <c r="J581" s="109"/>
      <c r="K581" s="109"/>
      <c r="L581" s="109"/>
      <c r="M581" s="109"/>
      <c r="N581" s="109"/>
    </row>
    <row r="582" spans="1:14">
      <c r="A582" s="109"/>
      <c r="B582" s="110"/>
      <c r="C582" s="110"/>
      <c r="D582" s="110"/>
      <c r="E582" s="109"/>
      <c r="F582" s="111"/>
      <c r="G582" s="109"/>
      <c r="H582" s="109"/>
      <c r="I582" s="109"/>
      <c r="J582" s="109"/>
      <c r="K582" s="109"/>
      <c r="L582" s="109"/>
      <c r="M582" s="109"/>
      <c r="N582" s="109"/>
    </row>
    <row r="583" spans="1:14">
      <c r="A583" s="109"/>
      <c r="B583" s="110"/>
      <c r="C583" s="110"/>
      <c r="D583" s="110"/>
      <c r="E583" s="109"/>
      <c r="F583" s="111"/>
      <c r="G583" s="109"/>
      <c r="H583" s="109"/>
      <c r="I583" s="109"/>
      <c r="J583" s="109"/>
      <c r="K583" s="109"/>
      <c r="L583" s="109"/>
      <c r="M583" s="109"/>
      <c r="N583" s="109"/>
    </row>
    <row r="584" spans="1:14">
      <c r="A584" s="109"/>
      <c r="B584" s="110"/>
      <c r="C584" s="110"/>
      <c r="D584" s="110"/>
      <c r="E584" s="109"/>
      <c r="F584" s="111"/>
      <c r="G584" s="109"/>
      <c r="H584" s="109"/>
      <c r="I584" s="109"/>
      <c r="J584" s="109"/>
      <c r="K584" s="109"/>
      <c r="L584" s="109"/>
      <c r="M584" s="109"/>
      <c r="N584" s="109"/>
    </row>
    <row r="585" spans="1:14">
      <c r="A585" s="109"/>
      <c r="B585" s="110"/>
      <c r="C585" s="110"/>
      <c r="D585" s="110"/>
      <c r="E585" s="109"/>
      <c r="F585" s="111"/>
      <c r="G585" s="109"/>
      <c r="H585" s="109"/>
      <c r="I585" s="109"/>
      <c r="J585" s="109"/>
      <c r="K585" s="109"/>
      <c r="L585" s="109"/>
      <c r="M585" s="109"/>
      <c r="N585" s="109"/>
    </row>
    <row r="586" spans="1:14">
      <c r="A586" s="109"/>
      <c r="B586" s="110"/>
      <c r="C586" s="110"/>
      <c r="D586" s="110"/>
      <c r="E586" s="109"/>
      <c r="F586" s="111"/>
      <c r="G586" s="109"/>
      <c r="H586" s="109"/>
      <c r="I586" s="109"/>
      <c r="J586" s="109"/>
      <c r="K586" s="109"/>
      <c r="L586" s="109"/>
      <c r="M586" s="109"/>
      <c r="N586" s="109"/>
    </row>
    <row r="587" spans="1:14">
      <c r="A587" s="109"/>
      <c r="B587" s="110"/>
      <c r="C587" s="110"/>
      <c r="D587" s="110"/>
      <c r="E587" s="109"/>
      <c r="F587" s="111"/>
      <c r="G587" s="109"/>
      <c r="H587" s="109"/>
      <c r="I587" s="109"/>
      <c r="J587" s="109"/>
      <c r="K587" s="109"/>
      <c r="L587" s="109"/>
      <c r="M587" s="109"/>
      <c r="N587" s="109"/>
    </row>
    <row r="588" spans="1:14">
      <c r="A588" s="109"/>
      <c r="B588" s="110"/>
      <c r="C588" s="110"/>
      <c r="D588" s="110"/>
      <c r="E588" s="109"/>
      <c r="F588" s="111"/>
      <c r="G588" s="109"/>
      <c r="H588" s="109"/>
      <c r="I588" s="109"/>
      <c r="J588" s="109"/>
      <c r="K588" s="109"/>
      <c r="L588" s="109"/>
      <c r="M588" s="109"/>
      <c r="N588" s="109"/>
    </row>
    <row r="589" spans="1:14">
      <c r="A589" s="109"/>
      <c r="B589" s="110"/>
      <c r="C589" s="110"/>
      <c r="D589" s="110"/>
      <c r="E589" s="109"/>
      <c r="F589" s="111"/>
      <c r="G589" s="109"/>
      <c r="H589" s="109"/>
      <c r="I589" s="109"/>
      <c r="J589" s="109"/>
      <c r="K589" s="109"/>
      <c r="L589" s="109"/>
      <c r="M589" s="109"/>
      <c r="N589" s="109"/>
    </row>
    <row r="590" spans="1:14">
      <c r="A590" s="109"/>
      <c r="B590" s="110"/>
      <c r="C590" s="110"/>
      <c r="D590" s="110"/>
      <c r="E590" s="109"/>
      <c r="F590" s="111"/>
      <c r="G590" s="109"/>
      <c r="H590" s="109"/>
      <c r="I590" s="109"/>
      <c r="J590" s="109"/>
      <c r="K590" s="109"/>
      <c r="L590" s="109"/>
      <c r="M590" s="109"/>
      <c r="N590" s="109"/>
    </row>
    <row r="591" spans="1:14">
      <c r="A591" s="109"/>
      <c r="B591" s="110"/>
      <c r="C591" s="110"/>
      <c r="D591" s="110"/>
      <c r="E591" s="109"/>
      <c r="F591" s="111"/>
      <c r="G591" s="109"/>
      <c r="H591" s="109"/>
      <c r="I591" s="109"/>
      <c r="J591" s="109"/>
      <c r="K591" s="109"/>
      <c r="L591" s="109"/>
      <c r="M591" s="109"/>
      <c r="N591" s="109"/>
    </row>
    <row r="592" spans="1:14">
      <c r="A592" s="109"/>
      <c r="B592" s="110"/>
      <c r="C592" s="110"/>
      <c r="D592" s="110"/>
      <c r="E592" s="109"/>
      <c r="F592" s="111"/>
      <c r="G592" s="109"/>
      <c r="H592" s="109"/>
      <c r="I592" s="109"/>
      <c r="J592" s="109"/>
      <c r="K592" s="109"/>
      <c r="L592" s="109"/>
      <c r="M592" s="109"/>
      <c r="N592" s="109"/>
    </row>
    <row r="593" spans="1:14">
      <c r="A593" s="109"/>
      <c r="B593" s="110"/>
      <c r="C593" s="110"/>
      <c r="D593" s="110"/>
      <c r="E593" s="109"/>
      <c r="F593" s="111"/>
      <c r="G593" s="109"/>
      <c r="H593" s="109"/>
      <c r="I593" s="109"/>
      <c r="J593" s="109"/>
      <c r="K593" s="109"/>
      <c r="L593" s="109"/>
      <c r="M593" s="109"/>
      <c r="N593" s="109"/>
    </row>
    <row r="594" spans="1:14">
      <c r="A594" s="109"/>
      <c r="B594" s="110"/>
      <c r="C594" s="110"/>
      <c r="D594" s="110"/>
      <c r="E594" s="109"/>
      <c r="F594" s="111"/>
      <c r="G594" s="109"/>
      <c r="H594" s="109"/>
      <c r="I594" s="109"/>
      <c r="J594" s="109"/>
      <c r="K594" s="109"/>
      <c r="L594" s="109"/>
      <c r="M594" s="109"/>
      <c r="N594" s="109"/>
    </row>
    <row r="595" spans="1:14">
      <c r="A595" s="109"/>
      <c r="B595" s="110"/>
      <c r="C595" s="110"/>
      <c r="D595" s="110"/>
      <c r="E595" s="109"/>
      <c r="F595" s="111"/>
      <c r="G595" s="109"/>
      <c r="H595" s="109"/>
      <c r="I595" s="109"/>
      <c r="J595" s="109"/>
      <c r="K595" s="109"/>
      <c r="L595" s="109"/>
      <c r="M595" s="109"/>
      <c r="N595" s="109"/>
    </row>
    <row r="596" spans="1:14">
      <c r="A596" s="109"/>
      <c r="B596" s="110"/>
      <c r="C596" s="110"/>
      <c r="D596" s="110"/>
      <c r="E596" s="109"/>
      <c r="F596" s="111"/>
      <c r="G596" s="109"/>
      <c r="H596" s="109"/>
      <c r="I596" s="109"/>
      <c r="J596" s="109"/>
      <c r="K596" s="109"/>
      <c r="L596" s="109"/>
      <c r="M596" s="109"/>
      <c r="N596" s="109"/>
    </row>
    <row r="597" spans="1:14">
      <c r="A597" s="109"/>
      <c r="B597" s="110"/>
      <c r="C597" s="110"/>
      <c r="D597" s="110"/>
      <c r="E597" s="109"/>
      <c r="F597" s="111"/>
      <c r="G597" s="109"/>
      <c r="H597" s="109"/>
      <c r="I597" s="109"/>
      <c r="J597" s="109"/>
      <c r="K597" s="109"/>
      <c r="L597" s="109"/>
      <c r="M597" s="109"/>
      <c r="N597" s="109"/>
    </row>
    <row r="598" spans="1:14">
      <c r="A598" s="109"/>
      <c r="B598" s="110"/>
      <c r="C598" s="110"/>
      <c r="D598" s="110"/>
      <c r="E598" s="109"/>
      <c r="F598" s="111"/>
      <c r="G598" s="109"/>
      <c r="H598" s="109"/>
      <c r="I598" s="109"/>
      <c r="J598" s="109"/>
      <c r="K598" s="109"/>
      <c r="L598" s="109"/>
      <c r="M598" s="109"/>
      <c r="N598" s="109"/>
    </row>
    <row r="599" spans="1:14">
      <c r="A599" s="109"/>
      <c r="B599" s="110"/>
      <c r="C599" s="110"/>
      <c r="D599" s="110"/>
      <c r="E599" s="109"/>
      <c r="F599" s="111"/>
      <c r="G599" s="109"/>
      <c r="H599" s="109"/>
      <c r="I599" s="109"/>
      <c r="J599" s="109"/>
      <c r="K599" s="109"/>
      <c r="L599" s="109"/>
      <c r="M599" s="109"/>
      <c r="N599" s="109"/>
    </row>
    <row r="600" spans="1:14">
      <c r="A600" s="109"/>
      <c r="B600" s="110"/>
      <c r="C600" s="110"/>
      <c r="D600" s="110"/>
      <c r="E600" s="109"/>
      <c r="F600" s="111"/>
      <c r="G600" s="109"/>
      <c r="H600" s="109"/>
      <c r="I600" s="109"/>
      <c r="J600" s="109"/>
      <c r="K600" s="109"/>
      <c r="L600" s="109"/>
      <c r="M600" s="109"/>
      <c r="N600" s="109"/>
    </row>
    <row r="601" spans="1:14">
      <c r="A601" s="109"/>
      <c r="B601" s="110"/>
      <c r="C601" s="110"/>
      <c r="D601" s="110"/>
      <c r="E601" s="109"/>
      <c r="F601" s="111"/>
      <c r="G601" s="109"/>
      <c r="H601" s="109"/>
      <c r="I601" s="109"/>
      <c r="J601" s="109"/>
      <c r="K601" s="109"/>
      <c r="L601" s="109"/>
      <c r="M601" s="109"/>
      <c r="N601" s="109"/>
    </row>
    <row r="602" spans="1:14">
      <c r="A602" s="109"/>
      <c r="B602" s="110"/>
      <c r="C602" s="110"/>
      <c r="D602" s="110"/>
      <c r="E602" s="109"/>
      <c r="F602" s="111"/>
      <c r="G602" s="109"/>
      <c r="H602" s="109"/>
      <c r="I602" s="109"/>
      <c r="J602" s="109"/>
      <c r="K602" s="109"/>
      <c r="L602" s="109"/>
      <c r="M602" s="109"/>
      <c r="N602" s="109"/>
    </row>
    <row r="603" spans="1:14">
      <c r="A603" s="109"/>
      <c r="B603" s="110"/>
      <c r="C603" s="110"/>
      <c r="D603" s="110"/>
      <c r="E603" s="109"/>
      <c r="F603" s="111"/>
      <c r="G603" s="109"/>
      <c r="H603" s="109"/>
      <c r="I603" s="109"/>
      <c r="J603" s="109"/>
      <c r="K603" s="109"/>
      <c r="L603" s="109"/>
      <c r="M603" s="109"/>
      <c r="N603" s="109"/>
    </row>
    <row r="604" spans="1:14">
      <c r="A604" s="109"/>
      <c r="B604" s="110"/>
      <c r="C604" s="110"/>
      <c r="D604" s="110"/>
      <c r="E604" s="109"/>
      <c r="F604" s="111"/>
      <c r="G604" s="109"/>
      <c r="H604" s="109"/>
      <c r="I604" s="109"/>
      <c r="J604" s="109"/>
      <c r="K604" s="109"/>
      <c r="L604" s="109"/>
      <c r="M604" s="109"/>
      <c r="N604" s="109"/>
    </row>
    <row r="605" spans="1:14">
      <c r="A605" s="109"/>
      <c r="B605" s="110"/>
      <c r="C605" s="110"/>
      <c r="D605" s="110"/>
      <c r="E605" s="109"/>
      <c r="F605" s="111"/>
      <c r="G605" s="109"/>
      <c r="H605" s="109"/>
      <c r="I605" s="109"/>
      <c r="J605" s="109"/>
      <c r="K605" s="109"/>
      <c r="L605" s="109"/>
      <c r="M605" s="109"/>
      <c r="N605" s="109"/>
    </row>
    <row r="606" spans="1:14">
      <c r="A606" s="109"/>
      <c r="B606" s="110"/>
      <c r="C606" s="110"/>
      <c r="D606" s="110"/>
      <c r="E606" s="109"/>
      <c r="F606" s="111"/>
      <c r="G606" s="109"/>
      <c r="H606" s="109"/>
      <c r="I606" s="109"/>
      <c r="J606" s="109"/>
      <c r="K606" s="109"/>
      <c r="L606" s="109"/>
      <c r="M606" s="109"/>
      <c r="N606" s="109"/>
    </row>
    <row r="607" spans="1:14">
      <c r="A607" s="109"/>
      <c r="B607" s="110"/>
      <c r="C607" s="110"/>
      <c r="D607" s="110"/>
      <c r="E607" s="109"/>
      <c r="F607" s="111"/>
      <c r="G607" s="109"/>
      <c r="H607" s="109"/>
      <c r="I607" s="109"/>
      <c r="J607" s="109"/>
      <c r="K607" s="109"/>
      <c r="L607" s="109"/>
      <c r="M607" s="109"/>
      <c r="N607" s="109"/>
    </row>
    <row r="608" spans="1:14">
      <c r="A608" s="109"/>
      <c r="B608" s="110"/>
      <c r="C608" s="110"/>
      <c r="D608" s="110"/>
      <c r="E608" s="109"/>
      <c r="F608" s="111"/>
      <c r="G608" s="109"/>
      <c r="H608" s="109"/>
      <c r="I608" s="109"/>
      <c r="J608" s="109"/>
      <c r="K608" s="109"/>
      <c r="L608" s="109"/>
      <c r="M608" s="109"/>
      <c r="N608" s="109"/>
    </row>
    <row r="609" spans="1:14">
      <c r="A609" s="109"/>
      <c r="B609" s="110"/>
      <c r="C609" s="110"/>
      <c r="D609" s="110"/>
      <c r="E609" s="109"/>
      <c r="F609" s="111"/>
      <c r="G609" s="109"/>
      <c r="H609" s="109"/>
      <c r="I609" s="109"/>
      <c r="J609" s="109"/>
      <c r="K609" s="109"/>
      <c r="L609" s="109"/>
      <c r="M609" s="109"/>
      <c r="N609" s="109"/>
    </row>
    <row r="610" spans="1:14">
      <c r="A610" s="109"/>
      <c r="B610" s="110"/>
      <c r="C610" s="110"/>
      <c r="D610" s="110"/>
      <c r="E610" s="109"/>
      <c r="F610" s="111"/>
      <c r="G610" s="109"/>
      <c r="H610" s="109"/>
      <c r="I610" s="109"/>
      <c r="J610" s="109"/>
      <c r="K610" s="109"/>
      <c r="L610" s="109"/>
      <c r="M610" s="109"/>
      <c r="N610" s="109"/>
    </row>
    <row r="611" spans="1:14">
      <c r="A611" s="109"/>
      <c r="B611" s="110"/>
      <c r="C611" s="110"/>
      <c r="D611" s="110"/>
      <c r="E611" s="109"/>
      <c r="F611" s="111"/>
      <c r="G611" s="109"/>
      <c r="H611" s="109"/>
      <c r="I611" s="109"/>
      <c r="J611" s="109"/>
      <c r="K611" s="109"/>
      <c r="L611" s="109"/>
      <c r="M611" s="109"/>
      <c r="N611" s="109"/>
    </row>
    <row r="612" spans="1:14">
      <c r="A612" s="109"/>
      <c r="B612" s="110"/>
      <c r="C612" s="110"/>
      <c r="D612" s="110"/>
      <c r="E612" s="109"/>
      <c r="F612" s="111"/>
      <c r="G612" s="109"/>
      <c r="H612" s="109"/>
      <c r="I612" s="109"/>
      <c r="J612" s="109"/>
      <c r="K612" s="109"/>
      <c r="L612" s="109"/>
      <c r="M612" s="109"/>
      <c r="N612" s="109"/>
    </row>
    <row r="613" spans="1:14">
      <c r="A613" s="109"/>
      <c r="B613" s="110"/>
      <c r="C613" s="110"/>
      <c r="D613" s="110"/>
      <c r="E613" s="109"/>
      <c r="F613" s="111"/>
      <c r="G613" s="109"/>
      <c r="H613" s="109"/>
      <c r="I613" s="109"/>
      <c r="J613" s="109"/>
      <c r="K613" s="109"/>
      <c r="L613" s="109"/>
      <c r="M613" s="109"/>
      <c r="N613" s="109"/>
    </row>
    <row r="614" spans="1:14">
      <c r="A614" s="109"/>
      <c r="B614" s="110"/>
      <c r="C614" s="110"/>
      <c r="D614" s="110"/>
      <c r="E614" s="109"/>
      <c r="F614" s="111"/>
      <c r="G614" s="109"/>
      <c r="H614" s="109"/>
      <c r="I614" s="109"/>
      <c r="J614" s="109"/>
      <c r="K614" s="109"/>
      <c r="L614" s="109"/>
      <c r="M614" s="109"/>
      <c r="N614" s="109"/>
    </row>
    <row r="615" spans="1:14">
      <c r="A615" s="109"/>
      <c r="B615" s="110"/>
      <c r="C615" s="110"/>
      <c r="D615" s="110"/>
      <c r="E615" s="109"/>
      <c r="F615" s="111"/>
      <c r="G615" s="109"/>
      <c r="H615" s="109"/>
      <c r="I615" s="109"/>
      <c r="J615" s="109"/>
      <c r="K615" s="109"/>
      <c r="L615" s="109"/>
      <c r="M615" s="109"/>
      <c r="N615" s="109"/>
    </row>
    <row r="616" spans="1:14">
      <c r="A616" s="109"/>
      <c r="B616" s="110"/>
      <c r="C616" s="110"/>
      <c r="D616" s="110"/>
      <c r="E616" s="109"/>
      <c r="F616" s="111"/>
      <c r="G616" s="109"/>
      <c r="H616" s="109"/>
      <c r="I616" s="109"/>
      <c r="J616" s="109"/>
      <c r="K616" s="109"/>
      <c r="L616" s="109"/>
      <c r="M616" s="109"/>
      <c r="N616" s="109"/>
    </row>
    <row r="617" spans="1:14">
      <c r="A617" s="109"/>
      <c r="B617" s="110"/>
      <c r="C617" s="110"/>
      <c r="D617" s="110"/>
      <c r="E617" s="109"/>
      <c r="F617" s="111"/>
      <c r="G617" s="109"/>
      <c r="H617" s="109"/>
      <c r="I617" s="109"/>
      <c r="J617" s="109"/>
      <c r="K617" s="109"/>
      <c r="L617" s="109"/>
      <c r="M617" s="109"/>
      <c r="N617" s="109"/>
    </row>
    <row r="618" spans="1:14">
      <c r="A618" s="109"/>
      <c r="B618" s="110"/>
      <c r="C618" s="110"/>
      <c r="D618" s="110"/>
      <c r="E618" s="109"/>
      <c r="F618" s="111"/>
      <c r="G618" s="109"/>
      <c r="H618" s="109"/>
      <c r="I618" s="109"/>
      <c r="J618" s="109"/>
      <c r="K618" s="109"/>
      <c r="L618" s="109"/>
      <c r="M618" s="109"/>
      <c r="N618" s="109"/>
    </row>
    <row r="619" spans="1:14">
      <c r="A619" s="109"/>
      <c r="B619" s="110"/>
      <c r="C619" s="110"/>
      <c r="D619" s="110"/>
      <c r="E619" s="109"/>
      <c r="F619" s="111"/>
      <c r="G619" s="109"/>
      <c r="H619" s="109"/>
      <c r="I619" s="109"/>
      <c r="J619" s="109"/>
      <c r="K619" s="109"/>
      <c r="L619" s="109"/>
      <c r="M619" s="109"/>
      <c r="N619" s="109"/>
    </row>
    <row r="620" spans="1:14">
      <c r="A620" s="109"/>
      <c r="B620" s="110"/>
      <c r="C620" s="110"/>
      <c r="D620" s="110"/>
      <c r="E620" s="109"/>
      <c r="F620" s="111"/>
      <c r="G620" s="109"/>
      <c r="H620" s="109"/>
      <c r="I620" s="109"/>
      <c r="J620" s="109"/>
      <c r="K620" s="109"/>
      <c r="L620" s="109"/>
      <c r="M620" s="109"/>
      <c r="N620" s="109"/>
    </row>
    <row r="621" spans="1:14">
      <c r="A621" s="109"/>
      <c r="B621" s="110"/>
      <c r="C621" s="110"/>
      <c r="D621" s="110"/>
      <c r="E621" s="109"/>
      <c r="F621" s="111"/>
      <c r="G621" s="109"/>
      <c r="H621" s="109"/>
      <c r="I621" s="109"/>
      <c r="J621" s="109"/>
      <c r="K621" s="109"/>
      <c r="L621" s="109"/>
      <c r="M621" s="109"/>
      <c r="N621" s="109"/>
    </row>
    <row r="622" spans="1:14">
      <c r="A622" s="109"/>
      <c r="B622" s="110"/>
      <c r="C622" s="110"/>
      <c r="D622" s="110"/>
      <c r="E622" s="109"/>
      <c r="F622" s="111"/>
      <c r="G622" s="109"/>
      <c r="H622" s="109"/>
      <c r="I622" s="109"/>
      <c r="J622" s="109"/>
      <c r="K622" s="109"/>
      <c r="L622" s="109"/>
      <c r="M622" s="109"/>
      <c r="N622" s="109"/>
    </row>
    <row r="623" spans="1:14">
      <c r="A623" s="109"/>
      <c r="B623" s="110"/>
      <c r="C623" s="110"/>
      <c r="D623" s="110"/>
      <c r="E623" s="109"/>
      <c r="F623" s="111"/>
      <c r="G623" s="109"/>
      <c r="H623" s="109"/>
      <c r="I623" s="109"/>
      <c r="J623" s="109"/>
      <c r="K623" s="109"/>
      <c r="L623" s="109"/>
      <c r="M623" s="109"/>
      <c r="N623" s="109"/>
    </row>
    <row r="624" spans="1:14">
      <c r="A624" s="109"/>
      <c r="B624" s="110"/>
      <c r="C624" s="110"/>
      <c r="D624" s="110"/>
      <c r="E624" s="109"/>
      <c r="F624" s="111"/>
      <c r="G624" s="109"/>
      <c r="H624" s="109"/>
      <c r="I624" s="109"/>
      <c r="J624" s="109"/>
      <c r="K624" s="109"/>
      <c r="L624" s="109"/>
      <c r="M624" s="109"/>
      <c r="N624" s="109"/>
    </row>
    <row r="625" spans="1:14">
      <c r="A625" s="109"/>
      <c r="B625" s="110"/>
      <c r="C625" s="110"/>
      <c r="D625" s="110"/>
      <c r="E625" s="109"/>
      <c r="F625" s="111"/>
      <c r="G625" s="109"/>
      <c r="H625" s="109"/>
      <c r="I625" s="109"/>
      <c r="J625" s="109"/>
      <c r="K625" s="109"/>
      <c r="L625" s="109"/>
      <c r="M625" s="109"/>
      <c r="N625" s="109"/>
    </row>
    <row r="626" spans="1:14">
      <c r="A626" s="109"/>
      <c r="B626" s="110"/>
      <c r="C626" s="110"/>
      <c r="D626" s="110"/>
      <c r="E626" s="109"/>
      <c r="F626" s="111"/>
      <c r="G626" s="109"/>
      <c r="H626" s="109"/>
      <c r="I626" s="109"/>
      <c r="J626" s="109"/>
      <c r="K626" s="109"/>
      <c r="L626" s="109"/>
      <c r="M626" s="109"/>
      <c r="N626" s="109"/>
    </row>
    <row r="627" spans="1:14">
      <c r="A627" s="109"/>
      <c r="B627" s="110"/>
      <c r="C627" s="110"/>
      <c r="D627" s="110"/>
      <c r="E627" s="109"/>
      <c r="F627" s="111"/>
      <c r="G627" s="109"/>
      <c r="H627" s="109"/>
      <c r="I627" s="109"/>
      <c r="J627" s="109"/>
      <c r="K627" s="109"/>
      <c r="L627" s="109"/>
      <c r="M627" s="109"/>
      <c r="N627" s="109"/>
    </row>
    <row r="628" spans="1:14">
      <c r="A628" s="109"/>
      <c r="B628" s="110"/>
      <c r="C628" s="110"/>
      <c r="D628" s="110"/>
      <c r="E628" s="109"/>
      <c r="F628" s="111"/>
      <c r="G628" s="109"/>
      <c r="H628" s="109"/>
      <c r="I628" s="109"/>
      <c r="J628" s="109"/>
      <c r="K628" s="109"/>
      <c r="L628" s="109"/>
      <c r="M628" s="109"/>
      <c r="N628" s="109"/>
    </row>
    <row r="629" spans="1:14">
      <c r="A629" s="109"/>
      <c r="B629" s="110"/>
      <c r="C629" s="110"/>
      <c r="D629" s="110"/>
      <c r="E629" s="109"/>
      <c r="F629" s="111"/>
      <c r="G629" s="109"/>
      <c r="H629" s="109"/>
      <c r="I629" s="109"/>
      <c r="J629" s="109"/>
      <c r="K629" s="109"/>
      <c r="L629" s="109"/>
      <c r="M629" s="109"/>
      <c r="N629" s="109"/>
    </row>
    <row r="630" spans="1:14">
      <c r="A630" s="109"/>
      <c r="B630" s="110"/>
      <c r="C630" s="110"/>
      <c r="D630" s="110"/>
      <c r="E630" s="109"/>
      <c r="F630" s="111"/>
      <c r="G630" s="109"/>
      <c r="H630" s="109"/>
      <c r="I630" s="109"/>
      <c r="J630" s="109"/>
      <c r="K630" s="109"/>
      <c r="L630" s="109"/>
      <c r="M630" s="109"/>
      <c r="N630" s="109"/>
    </row>
    <row r="631" spans="1:14">
      <c r="A631" s="109"/>
      <c r="B631" s="110"/>
      <c r="C631" s="110"/>
      <c r="D631" s="110"/>
      <c r="E631" s="109"/>
      <c r="F631" s="111"/>
      <c r="G631" s="109"/>
      <c r="H631" s="109"/>
      <c r="I631" s="109"/>
      <c r="J631" s="109"/>
      <c r="K631" s="109"/>
      <c r="L631" s="109"/>
      <c r="M631" s="109"/>
      <c r="N631" s="109"/>
    </row>
    <row r="632" spans="1:14">
      <c r="A632" s="109"/>
      <c r="B632" s="110"/>
      <c r="C632" s="110"/>
      <c r="D632" s="110"/>
      <c r="E632" s="109"/>
      <c r="F632" s="111"/>
      <c r="G632" s="109"/>
      <c r="H632" s="109"/>
      <c r="I632" s="109"/>
      <c r="J632" s="109"/>
      <c r="K632" s="109"/>
      <c r="L632" s="109"/>
      <c r="M632" s="109"/>
      <c r="N632" s="109"/>
    </row>
    <row r="633" spans="1:14">
      <c r="A633" s="109"/>
      <c r="B633" s="110"/>
      <c r="C633" s="110"/>
      <c r="D633" s="110"/>
      <c r="E633" s="109"/>
      <c r="F633" s="111"/>
      <c r="G633" s="109"/>
      <c r="H633" s="109"/>
      <c r="I633" s="109"/>
      <c r="J633" s="109"/>
      <c r="K633" s="109"/>
      <c r="L633" s="109"/>
      <c r="M633" s="109"/>
      <c r="N633" s="109"/>
    </row>
    <row r="634" spans="1:14">
      <c r="A634" s="109"/>
      <c r="B634" s="110"/>
      <c r="C634" s="110"/>
      <c r="D634" s="110"/>
      <c r="E634" s="109"/>
      <c r="F634" s="111"/>
      <c r="G634" s="109"/>
      <c r="H634" s="109"/>
      <c r="I634" s="109"/>
      <c r="J634" s="109"/>
      <c r="K634" s="109"/>
      <c r="L634" s="109"/>
      <c r="M634" s="109"/>
      <c r="N634" s="109"/>
    </row>
    <row r="635" spans="1:14">
      <c r="A635" s="109"/>
      <c r="B635" s="110"/>
      <c r="C635" s="110"/>
      <c r="D635" s="110"/>
      <c r="E635" s="109"/>
      <c r="F635" s="111"/>
      <c r="G635" s="109"/>
      <c r="H635" s="109"/>
      <c r="I635" s="109"/>
      <c r="J635" s="109"/>
      <c r="K635" s="109"/>
      <c r="L635" s="109"/>
      <c r="M635" s="109"/>
      <c r="N635" s="109"/>
    </row>
    <row r="636" spans="1:14">
      <c r="A636" s="109"/>
      <c r="B636" s="110"/>
      <c r="C636" s="110"/>
      <c r="D636" s="110"/>
      <c r="E636" s="109"/>
      <c r="F636" s="111"/>
      <c r="G636" s="109"/>
      <c r="H636" s="109"/>
      <c r="I636" s="109"/>
      <c r="J636" s="109"/>
      <c r="K636" s="109"/>
      <c r="L636" s="109"/>
      <c r="M636" s="109"/>
      <c r="N636" s="109"/>
    </row>
    <row r="637" spans="1:14">
      <c r="A637" s="109"/>
      <c r="B637" s="110"/>
      <c r="C637" s="110"/>
      <c r="D637" s="110"/>
      <c r="E637" s="109"/>
      <c r="F637" s="111"/>
      <c r="G637" s="109"/>
      <c r="H637" s="109"/>
      <c r="I637" s="109"/>
      <c r="J637" s="109"/>
      <c r="K637" s="109"/>
      <c r="L637" s="109"/>
      <c r="M637" s="109"/>
      <c r="N637" s="109"/>
    </row>
    <row r="638" spans="1:14">
      <c r="A638" s="109"/>
      <c r="B638" s="110"/>
      <c r="C638" s="110"/>
      <c r="D638" s="110"/>
      <c r="E638" s="109"/>
      <c r="F638" s="111"/>
      <c r="G638" s="109"/>
      <c r="H638" s="109"/>
      <c r="I638" s="109"/>
      <c r="J638" s="109"/>
      <c r="K638" s="109"/>
      <c r="L638" s="109"/>
      <c r="M638" s="109"/>
      <c r="N638" s="109"/>
    </row>
    <row r="639" spans="1:14">
      <c r="A639" s="109"/>
      <c r="B639" s="110"/>
      <c r="C639" s="110"/>
      <c r="D639" s="110"/>
      <c r="E639" s="109"/>
      <c r="F639" s="111"/>
      <c r="G639" s="109"/>
      <c r="H639" s="109"/>
      <c r="I639" s="109"/>
      <c r="J639" s="109"/>
      <c r="K639" s="109"/>
      <c r="L639" s="109"/>
      <c r="M639" s="109"/>
      <c r="N639" s="109"/>
    </row>
    <row r="640" spans="1:14">
      <c r="A640" s="109"/>
      <c r="B640" s="110"/>
      <c r="C640" s="110"/>
      <c r="D640" s="110"/>
      <c r="E640" s="109"/>
      <c r="F640" s="111"/>
      <c r="G640" s="109"/>
      <c r="H640" s="109"/>
      <c r="I640" s="109"/>
      <c r="J640" s="109"/>
      <c r="K640" s="109"/>
      <c r="L640" s="109"/>
      <c r="M640" s="109"/>
      <c r="N640" s="109"/>
    </row>
    <row r="641" spans="1:14">
      <c r="A641" s="109"/>
      <c r="B641" s="110"/>
      <c r="C641" s="110"/>
      <c r="D641" s="110"/>
      <c r="E641" s="109"/>
      <c r="F641" s="111"/>
      <c r="G641" s="109"/>
      <c r="H641" s="109"/>
      <c r="I641" s="109"/>
      <c r="J641" s="109"/>
      <c r="K641" s="109"/>
      <c r="L641" s="109"/>
      <c r="M641" s="109"/>
      <c r="N641" s="109"/>
    </row>
    <row r="642" spans="1:14">
      <c r="A642" s="109"/>
      <c r="B642" s="110"/>
      <c r="C642" s="110"/>
      <c r="D642" s="110"/>
      <c r="E642" s="109"/>
      <c r="F642" s="111"/>
      <c r="G642" s="109"/>
      <c r="H642" s="109"/>
      <c r="I642" s="109"/>
      <c r="J642" s="109"/>
      <c r="K642" s="109"/>
      <c r="L642" s="109"/>
      <c r="M642" s="109"/>
      <c r="N642" s="109"/>
    </row>
    <row r="643" spans="1:14">
      <c r="A643" s="109"/>
      <c r="B643" s="110"/>
      <c r="C643" s="110"/>
      <c r="D643" s="110"/>
      <c r="E643" s="109"/>
      <c r="F643" s="111"/>
      <c r="G643" s="109"/>
      <c r="H643" s="109"/>
      <c r="I643" s="109"/>
      <c r="J643" s="109"/>
      <c r="K643" s="109"/>
      <c r="L643" s="109"/>
      <c r="M643" s="109"/>
      <c r="N643" s="109"/>
    </row>
    <row r="644" spans="1:14">
      <c r="A644" s="109"/>
      <c r="B644" s="110"/>
      <c r="C644" s="110"/>
      <c r="D644" s="110"/>
      <c r="E644" s="109"/>
      <c r="F644" s="111"/>
      <c r="G644" s="109"/>
      <c r="H644" s="109"/>
      <c r="I644" s="109"/>
      <c r="J644" s="109"/>
      <c r="K644" s="109"/>
      <c r="L644" s="109"/>
      <c r="M644" s="109"/>
      <c r="N644" s="109"/>
    </row>
    <row r="645" spans="1:14">
      <c r="A645" s="109"/>
      <c r="B645" s="110"/>
      <c r="C645" s="110"/>
      <c r="D645" s="110"/>
      <c r="E645" s="109"/>
      <c r="F645" s="111"/>
      <c r="G645" s="109"/>
      <c r="H645" s="109"/>
      <c r="I645" s="109"/>
      <c r="J645" s="109"/>
      <c r="K645" s="109"/>
      <c r="L645" s="109"/>
      <c r="M645" s="109"/>
      <c r="N645" s="109"/>
    </row>
    <row r="646" spans="1:14">
      <c r="A646" s="109"/>
      <c r="B646" s="110"/>
      <c r="C646" s="110"/>
      <c r="D646" s="110"/>
      <c r="E646" s="109"/>
      <c r="F646" s="111"/>
      <c r="G646" s="109"/>
      <c r="H646" s="109"/>
      <c r="I646" s="109"/>
      <c r="J646" s="109"/>
      <c r="K646" s="109"/>
      <c r="L646" s="109"/>
      <c r="M646" s="109"/>
      <c r="N646" s="109"/>
    </row>
    <row r="647" spans="1:14">
      <c r="A647" s="109"/>
      <c r="B647" s="110"/>
      <c r="C647" s="110"/>
      <c r="D647" s="110"/>
      <c r="E647" s="109"/>
      <c r="F647" s="111"/>
      <c r="G647" s="109"/>
      <c r="H647" s="109"/>
      <c r="I647" s="109"/>
      <c r="J647" s="109"/>
      <c r="K647" s="109"/>
      <c r="L647" s="109"/>
      <c r="M647" s="109"/>
      <c r="N647" s="109"/>
    </row>
    <row r="648" spans="1:14">
      <c r="A648" s="109"/>
      <c r="B648" s="110"/>
      <c r="C648" s="110"/>
      <c r="D648" s="110"/>
      <c r="E648" s="109"/>
      <c r="F648" s="111"/>
      <c r="G648" s="109"/>
      <c r="H648" s="109"/>
      <c r="I648" s="109"/>
      <c r="J648" s="109"/>
      <c r="K648" s="109"/>
      <c r="L648" s="109"/>
      <c r="M648" s="109"/>
      <c r="N648" s="109"/>
    </row>
    <row r="649" spans="1:14">
      <c r="A649" s="109"/>
      <c r="B649" s="110"/>
      <c r="C649" s="110"/>
      <c r="D649" s="110"/>
      <c r="E649" s="109"/>
      <c r="F649" s="111"/>
      <c r="G649" s="109"/>
      <c r="H649" s="109"/>
      <c r="I649" s="109"/>
      <c r="J649" s="109"/>
      <c r="K649" s="109"/>
      <c r="L649" s="109"/>
      <c r="M649" s="109"/>
      <c r="N649" s="109"/>
    </row>
    <row r="650" spans="1:14">
      <c r="A650" s="109"/>
      <c r="B650" s="110"/>
      <c r="C650" s="110"/>
      <c r="D650" s="110"/>
      <c r="E650" s="109"/>
      <c r="F650" s="111"/>
      <c r="G650" s="109"/>
      <c r="H650" s="109"/>
      <c r="I650" s="109"/>
      <c r="J650" s="109"/>
      <c r="K650" s="109"/>
      <c r="L650" s="109"/>
      <c r="M650" s="109"/>
      <c r="N650" s="109"/>
    </row>
    <row r="651" spans="1:14">
      <c r="A651" s="109"/>
      <c r="B651" s="110"/>
      <c r="C651" s="110"/>
      <c r="D651" s="110"/>
      <c r="E651" s="109"/>
      <c r="F651" s="111"/>
      <c r="G651" s="109"/>
      <c r="H651" s="109"/>
      <c r="I651" s="109"/>
      <c r="J651" s="109"/>
      <c r="K651" s="109"/>
      <c r="L651" s="109"/>
      <c r="M651" s="109"/>
      <c r="N651" s="109"/>
    </row>
    <row r="652" spans="1:14">
      <c r="A652" s="109"/>
      <c r="B652" s="110"/>
      <c r="C652" s="110"/>
      <c r="D652" s="110"/>
      <c r="E652" s="109"/>
      <c r="F652" s="111"/>
      <c r="G652" s="109"/>
      <c r="H652" s="109"/>
      <c r="I652" s="109"/>
      <c r="J652" s="109"/>
      <c r="K652" s="109"/>
      <c r="L652" s="109"/>
      <c r="M652" s="109"/>
      <c r="N652" s="109"/>
    </row>
    <row r="653" spans="1:14">
      <c r="A653" s="109"/>
      <c r="B653" s="110"/>
      <c r="C653" s="110"/>
      <c r="D653" s="110"/>
      <c r="E653" s="109"/>
      <c r="F653" s="111"/>
      <c r="G653" s="109"/>
      <c r="H653" s="109"/>
      <c r="I653" s="109"/>
      <c r="J653" s="109"/>
      <c r="K653" s="109"/>
      <c r="L653" s="109"/>
      <c r="M653" s="109"/>
      <c r="N653" s="109"/>
    </row>
    <row r="654" spans="1:14">
      <c r="A654" s="109"/>
      <c r="B654" s="110"/>
      <c r="C654" s="110"/>
      <c r="D654" s="110"/>
      <c r="E654" s="109"/>
      <c r="F654" s="111"/>
      <c r="G654" s="109"/>
      <c r="H654" s="109"/>
      <c r="I654" s="109"/>
      <c r="J654" s="109"/>
      <c r="K654" s="109"/>
      <c r="L654" s="109"/>
      <c r="M654" s="109"/>
      <c r="N654" s="109"/>
    </row>
    <row r="655" spans="1:14">
      <c r="A655" s="109"/>
      <c r="B655" s="110"/>
      <c r="C655" s="110"/>
      <c r="D655" s="110"/>
      <c r="E655" s="109"/>
      <c r="F655" s="111"/>
      <c r="G655" s="109"/>
      <c r="H655" s="109"/>
      <c r="I655" s="109"/>
      <c r="J655" s="109"/>
      <c r="K655" s="109"/>
      <c r="L655" s="109"/>
      <c r="M655" s="109"/>
      <c r="N655" s="109"/>
    </row>
    <row r="656" spans="1:14">
      <c r="A656" s="109"/>
      <c r="B656" s="110"/>
      <c r="C656" s="110"/>
      <c r="D656" s="110"/>
      <c r="E656" s="109"/>
      <c r="F656" s="111"/>
      <c r="G656" s="109"/>
      <c r="H656" s="109"/>
      <c r="I656" s="109"/>
      <c r="J656" s="109"/>
      <c r="K656" s="109"/>
      <c r="L656" s="109"/>
      <c r="M656" s="109"/>
      <c r="N656" s="109"/>
    </row>
    <row r="657" spans="1:14">
      <c r="A657" s="109"/>
      <c r="B657" s="110"/>
      <c r="C657" s="110"/>
      <c r="D657" s="110"/>
      <c r="E657" s="109"/>
      <c r="F657" s="111"/>
      <c r="G657" s="109"/>
      <c r="H657" s="109"/>
      <c r="I657" s="109"/>
      <c r="J657" s="109"/>
      <c r="K657" s="109"/>
      <c r="L657" s="109"/>
      <c r="M657" s="109"/>
      <c r="N657" s="109"/>
    </row>
    <row r="658" spans="1:14">
      <c r="A658" s="109"/>
      <c r="B658" s="110"/>
      <c r="C658" s="110"/>
      <c r="D658" s="110"/>
      <c r="E658" s="109"/>
      <c r="F658" s="111"/>
      <c r="G658" s="109"/>
      <c r="H658" s="109"/>
      <c r="I658" s="109"/>
      <c r="J658" s="109"/>
      <c r="K658" s="109"/>
      <c r="L658" s="109"/>
      <c r="M658" s="109"/>
      <c r="N658" s="109"/>
    </row>
    <row r="659" spans="1:14">
      <c r="A659" s="109"/>
      <c r="B659" s="110"/>
      <c r="C659" s="110"/>
      <c r="D659" s="110"/>
      <c r="E659" s="109"/>
      <c r="F659" s="111"/>
      <c r="G659" s="109"/>
      <c r="H659" s="109"/>
      <c r="I659" s="109"/>
      <c r="J659" s="109"/>
      <c r="K659" s="109"/>
      <c r="L659" s="109"/>
      <c r="M659" s="109"/>
      <c r="N659" s="109"/>
    </row>
    <row r="660" spans="1:14">
      <c r="A660" s="109"/>
      <c r="B660" s="110"/>
      <c r="C660" s="110"/>
      <c r="D660" s="110"/>
      <c r="E660" s="109"/>
      <c r="F660" s="111"/>
      <c r="G660" s="109"/>
      <c r="H660" s="109"/>
      <c r="I660" s="109"/>
      <c r="J660" s="109"/>
      <c r="K660" s="109"/>
      <c r="L660" s="109"/>
      <c r="M660" s="109"/>
      <c r="N660" s="109"/>
    </row>
    <row r="661" spans="1:14">
      <c r="A661" s="109"/>
      <c r="B661" s="110"/>
      <c r="C661" s="110"/>
      <c r="D661" s="110"/>
      <c r="E661" s="109"/>
      <c r="F661" s="111"/>
      <c r="G661" s="109"/>
      <c r="H661" s="109"/>
      <c r="I661" s="109"/>
      <c r="J661" s="109"/>
      <c r="K661" s="109"/>
      <c r="L661" s="109"/>
      <c r="M661" s="109"/>
      <c r="N661" s="109"/>
    </row>
    <row r="662" spans="1:14">
      <c r="A662" s="109"/>
      <c r="B662" s="110"/>
      <c r="C662" s="110"/>
      <c r="D662" s="110"/>
      <c r="E662" s="109"/>
      <c r="F662" s="111"/>
      <c r="G662" s="109"/>
      <c r="H662" s="109"/>
      <c r="I662" s="109"/>
      <c r="J662" s="109"/>
      <c r="K662" s="109"/>
      <c r="L662" s="109"/>
      <c r="M662" s="109"/>
      <c r="N662" s="109"/>
    </row>
    <row r="663" spans="1:14">
      <c r="A663" s="109"/>
      <c r="B663" s="110"/>
      <c r="C663" s="110"/>
      <c r="D663" s="110"/>
      <c r="E663" s="109"/>
      <c r="F663" s="111"/>
      <c r="G663" s="109"/>
      <c r="H663" s="109"/>
      <c r="I663" s="109"/>
      <c r="J663" s="109"/>
      <c r="K663" s="109"/>
      <c r="L663" s="109"/>
      <c r="M663" s="109"/>
      <c r="N663" s="109"/>
    </row>
    <row r="664" spans="1:14">
      <c r="A664" s="109"/>
      <c r="B664" s="110"/>
      <c r="C664" s="110"/>
      <c r="D664" s="110"/>
      <c r="E664" s="109"/>
      <c r="F664" s="111"/>
      <c r="G664" s="109"/>
      <c r="H664" s="109"/>
      <c r="I664" s="109"/>
      <c r="J664" s="109"/>
      <c r="K664" s="109"/>
      <c r="L664" s="109"/>
      <c r="M664" s="109"/>
      <c r="N664" s="109"/>
    </row>
    <row r="665" spans="1:14">
      <c r="A665" s="109"/>
      <c r="B665" s="110"/>
      <c r="C665" s="110"/>
      <c r="D665" s="110"/>
      <c r="E665" s="109"/>
      <c r="F665" s="111"/>
      <c r="G665" s="109"/>
      <c r="H665" s="109"/>
      <c r="I665" s="109"/>
      <c r="J665" s="109"/>
      <c r="K665" s="109"/>
      <c r="L665" s="109"/>
      <c r="M665" s="109"/>
      <c r="N665" s="109"/>
    </row>
    <row r="666" spans="1:14">
      <c r="A666" s="109"/>
      <c r="B666" s="110"/>
      <c r="C666" s="110"/>
      <c r="D666" s="110"/>
      <c r="E666" s="109"/>
      <c r="F666" s="111"/>
      <c r="G666" s="109"/>
      <c r="H666" s="109"/>
      <c r="I666" s="109"/>
      <c r="J666" s="109"/>
      <c r="K666" s="109"/>
      <c r="L666" s="109"/>
      <c r="M666" s="109"/>
      <c r="N666" s="109"/>
    </row>
    <row r="667" spans="1:14">
      <c r="A667" s="109"/>
      <c r="B667" s="110"/>
      <c r="C667" s="110"/>
      <c r="D667" s="110"/>
      <c r="E667" s="109"/>
      <c r="F667" s="111"/>
      <c r="G667" s="109"/>
      <c r="H667" s="109"/>
      <c r="I667" s="109"/>
      <c r="J667" s="109"/>
      <c r="K667" s="109"/>
      <c r="L667" s="109"/>
      <c r="M667" s="109"/>
      <c r="N667" s="109"/>
    </row>
    <row r="668" spans="1:14">
      <c r="A668" s="109"/>
      <c r="B668" s="110"/>
      <c r="C668" s="110"/>
      <c r="D668" s="110"/>
      <c r="E668" s="109"/>
      <c r="F668" s="111"/>
      <c r="G668" s="109"/>
      <c r="H668" s="109"/>
      <c r="I668" s="109"/>
      <c r="J668" s="109"/>
      <c r="K668" s="109"/>
      <c r="L668" s="109"/>
      <c r="M668" s="109"/>
      <c r="N668" s="109"/>
    </row>
    <row r="669" spans="1:14">
      <c r="A669" s="109"/>
      <c r="B669" s="110"/>
      <c r="C669" s="110"/>
      <c r="D669" s="110"/>
      <c r="E669" s="109"/>
      <c r="F669" s="111"/>
      <c r="G669" s="109"/>
      <c r="H669" s="109"/>
      <c r="I669" s="109"/>
      <c r="J669" s="109"/>
      <c r="K669" s="109"/>
      <c r="L669" s="109"/>
      <c r="M669" s="109"/>
      <c r="N669" s="109"/>
    </row>
    <row r="670" spans="1:14">
      <c r="A670" s="109"/>
      <c r="B670" s="110"/>
      <c r="C670" s="110"/>
      <c r="D670" s="110"/>
      <c r="E670" s="109"/>
      <c r="F670" s="111"/>
      <c r="G670" s="109"/>
      <c r="H670" s="109"/>
      <c r="I670" s="109"/>
      <c r="J670" s="109"/>
      <c r="K670" s="109"/>
      <c r="L670" s="109"/>
      <c r="M670" s="109"/>
      <c r="N670" s="109"/>
    </row>
    <row r="671" spans="1:14">
      <c r="A671" s="109"/>
      <c r="B671" s="110"/>
      <c r="C671" s="110"/>
      <c r="D671" s="110"/>
      <c r="E671" s="109"/>
      <c r="F671" s="111"/>
      <c r="G671" s="109"/>
      <c r="H671" s="109"/>
      <c r="I671" s="109"/>
      <c r="J671" s="109"/>
      <c r="K671" s="109"/>
      <c r="L671" s="109"/>
      <c r="M671" s="109"/>
      <c r="N671" s="109"/>
    </row>
    <row r="672" spans="1:14">
      <c r="A672" s="109"/>
      <c r="B672" s="110"/>
      <c r="C672" s="110"/>
      <c r="D672" s="110"/>
      <c r="E672" s="109"/>
      <c r="F672" s="111"/>
      <c r="G672" s="109"/>
      <c r="H672" s="109"/>
      <c r="I672" s="109"/>
      <c r="J672" s="109"/>
      <c r="K672" s="109"/>
      <c r="L672" s="109"/>
      <c r="M672" s="109"/>
      <c r="N672" s="109"/>
    </row>
    <row r="673" spans="1:14">
      <c r="A673" s="109"/>
      <c r="B673" s="110"/>
      <c r="C673" s="110"/>
      <c r="D673" s="110"/>
      <c r="E673" s="109"/>
      <c r="F673" s="111"/>
      <c r="G673" s="109"/>
      <c r="H673" s="109"/>
      <c r="I673" s="109"/>
      <c r="J673" s="109"/>
      <c r="K673" s="109"/>
      <c r="L673" s="109"/>
      <c r="M673" s="109"/>
      <c r="N673" s="109"/>
    </row>
    <row r="674" spans="1:14">
      <c r="A674" s="109"/>
      <c r="B674" s="110"/>
      <c r="C674" s="110"/>
      <c r="D674" s="110"/>
      <c r="E674" s="109"/>
      <c r="F674" s="111"/>
      <c r="G674" s="109"/>
      <c r="H674" s="109"/>
      <c r="I674" s="109"/>
      <c r="J674" s="109"/>
      <c r="K674" s="109"/>
      <c r="L674" s="109"/>
      <c r="M674" s="109"/>
      <c r="N674" s="109"/>
    </row>
    <row r="675" spans="1:14">
      <c r="A675" s="109"/>
      <c r="B675" s="110"/>
      <c r="C675" s="110"/>
      <c r="D675" s="110"/>
      <c r="E675" s="109"/>
      <c r="F675" s="111"/>
      <c r="G675" s="109"/>
      <c r="H675" s="109"/>
      <c r="I675" s="109"/>
      <c r="J675" s="109"/>
      <c r="K675" s="109"/>
      <c r="L675" s="109"/>
      <c r="M675" s="109"/>
      <c r="N675" s="109"/>
    </row>
    <row r="676" spans="1:14">
      <c r="A676" s="109"/>
      <c r="B676" s="110"/>
      <c r="C676" s="110"/>
      <c r="D676" s="110"/>
      <c r="E676" s="109"/>
      <c r="F676" s="111"/>
      <c r="G676" s="109"/>
      <c r="H676" s="109"/>
      <c r="I676" s="109"/>
      <c r="J676" s="109"/>
      <c r="K676" s="109"/>
      <c r="L676" s="109"/>
      <c r="M676" s="109"/>
      <c r="N676" s="109"/>
    </row>
    <row r="677" spans="1:14">
      <c r="A677" s="109"/>
      <c r="B677" s="110"/>
      <c r="C677" s="110"/>
      <c r="D677" s="110"/>
      <c r="E677" s="109"/>
      <c r="F677" s="111"/>
      <c r="G677" s="109"/>
      <c r="H677" s="109"/>
      <c r="I677" s="109"/>
      <c r="J677" s="109"/>
      <c r="K677" s="109"/>
      <c r="L677" s="109"/>
      <c r="M677" s="109"/>
      <c r="N677" s="109"/>
    </row>
    <row r="678" spans="1:14">
      <c r="A678" s="109"/>
      <c r="B678" s="110"/>
      <c r="C678" s="110"/>
      <c r="D678" s="110"/>
      <c r="E678" s="109"/>
      <c r="F678" s="111"/>
      <c r="G678" s="109"/>
      <c r="H678" s="109"/>
      <c r="I678" s="109"/>
      <c r="J678" s="109"/>
      <c r="K678" s="109"/>
      <c r="L678" s="109"/>
      <c r="M678" s="109"/>
      <c r="N678" s="109"/>
    </row>
    <row r="679" spans="1:14">
      <c r="A679" s="109"/>
      <c r="B679" s="110"/>
      <c r="C679" s="110"/>
      <c r="D679" s="110"/>
      <c r="E679" s="109"/>
      <c r="F679" s="111"/>
      <c r="G679" s="109"/>
      <c r="H679" s="109"/>
      <c r="I679" s="109"/>
      <c r="J679" s="109"/>
      <c r="K679" s="109"/>
      <c r="L679" s="109"/>
      <c r="M679" s="109"/>
      <c r="N679" s="109"/>
    </row>
    <row r="680" spans="1:14">
      <c r="A680" s="109"/>
      <c r="B680" s="110"/>
      <c r="C680" s="110"/>
      <c r="D680" s="110"/>
      <c r="E680" s="109"/>
      <c r="F680" s="111"/>
      <c r="G680" s="109"/>
      <c r="H680" s="109"/>
      <c r="I680" s="109"/>
      <c r="J680" s="109"/>
      <c r="K680" s="109"/>
      <c r="L680" s="109"/>
      <c r="M680" s="109"/>
      <c r="N680" s="109"/>
    </row>
    <row r="681" spans="1:14">
      <c r="A681" s="109"/>
      <c r="B681" s="110"/>
      <c r="C681" s="110"/>
      <c r="D681" s="110"/>
      <c r="E681" s="109"/>
      <c r="F681" s="111"/>
      <c r="G681" s="109"/>
      <c r="H681" s="109"/>
      <c r="I681" s="109"/>
      <c r="J681" s="109"/>
      <c r="K681" s="109"/>
      <c r="L681" s="109"/>
      <c r="M681" s="109"/>
      <c r="N681" s="109"/>
    </row>
    <row r="682" spans="1:14">
      <c r="A682" s="109"/>
      <c r="B682" s="110"/>
      <c r="C682" s="110"/>
      <c r="D682" s="110"/>
      <c r="E682" s="109"/>
      <c r="F682" s="111"/>
      <c r="G682" s="109"/>
      <c r="H682" s="109"/>
      <c r="I682" s="109"/>
      <c r="J682" s="109"/>
      <c r="K682" s="109"/>
      <c r="L682" s="109"/>
      <c r="M682" s="109"/>
      <c r="N682" s="109"/>
    </row>
    <row r="683" spans="1:14">
      <c r="A683" s="109"/>
      <c r="B683" s="110"/>
      <c r="C683" s="110"/>
      <c r="D683" s="110"/>
      <c r="E683" s="109"/>
      <c r="F683" s="111"/>
      <c r="G683" s="109"/>
      <c r="H683" s="109"/>
      <c r="I683" s="109"/>
      <c r="J683" s="109"/>
      <c r="K683" s="109"/>
      <c r="L683" s="109"/>
      <c r="M683" s="109"/>
      <c r="N683" s="109"/>
    </row>
    <row r="684" spans="1:14">
      <c r="A684" s="109"/>
      <c r="B684" s="110"/>
      <c r="C684" s="110"/>
      <c r="D684" s="110"/>
      <c r="E684" s="109"/>
      <c r="F684" s="111"/>
      <c r="G684" s="109"/>
      <c r="H684" s="109"/>
      <c r="I684" s="109"/>
      <c r="J684" s="109"/>
      <c r="K684" s="109"/>
      <c r="L684" s="109"/>
      <c r="M684" s="109"/>
      <c r="N684" s="109"/>
    </row>
    <row r="685" spans="1:14">
      <c r="A685" s="109"/>
      <c r="B685" s="110"/>
      <c r="C685" s="110"/>
      <c r="D685" s="110"/>
      <c r="E685" s="109"/>
      <c r="F685" s="111"/>
      <c r="G685" s="109"/>
      <c r="H685" s="109"/>
      <c r="I685" s="109"/>
      <c r="J685" s="109"/>
      <c r="K685" s="109"/>
      <c r="L685" s="109"/>
      <c r="M685" s="109"/>
      <c r="N685" s="109"/>
    </row>
    <row r="686" spans="1:14">
      <c r="A686" s="109"/>
      <c r="B686" s="110"/>
      <c r="C686" s="110"/>
      <c r="D686" s="110"/>
      <c r="E686" s="109"/>
      <c r="F686" s="111"/>
      <c r="G686" s="109"/>
      <c r="H686" s="109"/>
      <c r="I686" s="109"/>
      <c r="J686" s="109"/>
      <c r="K686" s="109"/>
      <c r="L686" s="109"/>
      <c r="M686" s="109"/>
      <c r="N686" s="109"/>
    </row>
    <row r="687" spans="1:14">
      <c r="A687" s="109"/>
      <c r="B687" s="110"/>
      <c r="C687" s="110"/>
      <c r="D687" s="110"/>
      <c r="E687" s="109"/>
      <c r="F687" s="111"/>
      <c r="G687" s="109"/>
      <c r="H687" s="109"/>
      <c r="I687" s="109"/>
      <c r="J687" s="109"/>
      <c r="K687" s="109"/>
      <c r="L687" s="109"/>
      <c r="M687" s="109"/>
      <c r="N687" s="109"/>
    </row>
    <row r="688" spans="1:14">
      <c r="A688" s="109"/>
      <c r="B688" s="110"/>
      <c r="C688" s="110"/>
      <c r="D688" s="110"/>
      <c r="E688" s="109"/>
      <c r="F688" s="111"/>
      <c r="G688" s="109"/>
      <c r="H688" s="109"/>
      <c r="I688" s="109"/>
      <c r="J688" s="109"/>
      <c r="K688" s="109"/>
      <c r="L688" s="109"/>
      <c r="M688" s="109"/>
      <c r="N688" s="109"/>
    </row>
    <row r="689" spans="1:14">
      <c r="A689" s="109"/>
      <c r="B689" s="110"/>
      <c r="C689" s="110"/>
      <c r="D689" s="110"/>
      <c r="E689" s="109"/>
      <c r="F689" s="111"/>
      <c r="G689" s="109"/>
      <c r="H689" s="109"/>
      <c r="I689" s="109"/>
      <c r="J689" s="109"/>
      <c r="K689" s="109"/>
      <c r="L689" s="109"/>
      <c r="M689" s="109"/>
      <c r="N689" s="109"/>
    </row>
    <row r="690" spans="1:14">
      <c r="A690" s="109"/>
      <c r="B690" s="110"/>
      <c r="C690" s="110"/>
      <c r="D690" s="110"/>
      <c r="E690" s="109"/>
      <c r="F690" s="111"/>
      <c r="G690" s="109"/>
      <c r="H690" s="109"/>
      <c r="I690" s="109"/>
      <c r="J690" s="109"/>
      <c r="K690" s="109"/>
      <c r="L690" s="109"/>
      <c r="M690" s="109"/>
      <c r="N690" s="109"/>
    </row>
    <row r="691" spans="1:14">
      <c r="A691" s="109"/>
      <c r="B691" s="110"/>
      <c r="C691" s="110"/>
      <c r="D691" s="110"/>
      <c r="E691" s="109"/>
      <c r="F691" s="111"/>
      <c r="G691" s="109"/>
      <c r="H691" s="109"/>
      <c r="I691" s="109"/>
      <c r="J691" s="109"/>
      <c r="K691" s="109"/>
      <c r="L691" s="109"/>
      <c r="M691" s="109"/>
      <c r="N691" s="109"/>
    </row>
    <row r="692" spans="1:14">
      <c r="A692" s="109"/>
      <c r="B692" s="110"/>
      <c r="C692" s="110"/>
      <c r="D692" s="110"/>
      <c r="E692" s="109"/>
      <c r="F692" s="111"/>
      <c r="G692" s="109"/>
      <c r="H692" s="109"/>
      <c r="I692" s="109"/>
      <c r="J692" s="109"/>
      <c r="K692" s="109"/>
      <c r="L692" s="109"/>
      <c r="M692" s="109"/>
      <c r="N692" s="109"/>
    </row>
    <row r="693" spans="1:14">
      <c r="A693" s="109"/>
      <c r="B693" s="110"/>
      <c r="C693" s="110"/>
      <c r="D693" s="110"/>
      <c r="E693" s="109"/>
      <c r="F693" s="111"/>
      <c r="G693" s="109"/>
      <c r="H693" s="109"/>
      <c r="I693" s="109"/>
      <c r="J693" s="109"/>
      <c r="K693" s="109"/>
      <c r="L693" s="109"/>
      <c r="M693" s="109"/>
      <c r="N693" s="109"/>
    </row>
    <row r="694" spans="1:14">
      <c r="A694" s="109"/>
      <c r="B694" s="110"/>
      <c r="C694" s="110"/>
      <c r="D694" s="110"/>
      <c r="E694" s="109"/>
      <c r="F694" s="111"/>
      <c r="G694" s="109"/>
      <c r="H694" s="109"/>
      <c r="I694" s="109"/>
      <c r="J694" s="109"/>
      <c r="K694" s="109"/>
      <c r="L694" s="109"/>
      <c r="M694" s="109"/>
      <c r="N694" s="109"/>
    </row>
    <row r="695" spans="1:14">
      <c r="A695" s="109"/>
      <c r="B695" s="110"/>
      <c r="C695" s="110"/>
      <c r="D695" s="110"/>
      <c r="E695" s="109"/>
      <c r="F695" s="111"/>
      <c r="G695" s="109"/>
      <c r="H695" s="109"/>
      <c r="I695" s="109"/>
      <c r="J695" s="109"/>
      <c r="K695" s="109"/>
      <c r="L695" s="109"/>
      <c r="M695" s="109"/>
      <c r="N695" s="109"/>
    </row>
    <row r="696" spans="1:14">
      <c r="A696" s="109"/>
      <c r="B696" s="110"/>
      <c r="C696" s="110"/>
      <c r="D696" s="110"/>
      <c r="E696" s="109"/>
      <c r="F696" s="111"/>
      <c r="G696" s="109"/>
      <c r="H696" s="109"/>
      <c r="I696" s="109"/>
      <c r="J696" s="109"/>
      <c r="K696" s="109"/>
      <c r="L696" s="109"/>
      <c r="M696" s="109"/>
      <c r="N696" s="109"/>
    </row>
    <row r="697" spans="1:14">
      <c r="A697" s="109"/>
      <c r="B697" s="110"/>
      <c r="C697" s="110"/>
      <c r="D697" s="110"/>
      <c r="E697" s="109"/>
      <c r="F697" s="111"/>
      <c r="G697" s="109"/>
      <c r="H697" s="109"/>
      <c r="I697" s="109"/>
      <c r="J697" s="109"/>
      <c r="K697" s="109"/>
      <c r="L697" s="109"/>
      <c r="M697" s="109"/>
      <c r="N697" s="109"/>
    </row>
    <row r="698" spans="1:14">
      <c r="A698" s="109"/>
      <c r="B698" s="110"/>
      <c r="C698" s="110"/>
      <c r="D698" s="110"/>
      <c r="E698" s="109"/>
      <c r="F698" s="111"/>
      <c r="G698" s="109"/>
      <c r="H698" s="109"/>
      <c r="I698" s="109"/>
      <c r="J698" s="109"/>
      <c r="K698" s="109"/>
      <c r="L698" s="109"/>
      <c r="M698" s="109"/>
      <c r="N698" s="109"/>
    </row>
    <row r="699" spans="1:14">
      <c r="A699" s="109"/>
      <c r="B699" s="110"/>
      <c r="C699" s="110"/>
      <c r="D699" s="110"/>
      <c r="E699" s="109"/>
      <c r="F699" s="111"/>
      <c r="G699" s="109"/>
      <c r="H699" s="109"/>
      <c r="I699" s="109"/>
      <c r="J699" s="109"/>
      <c r="K699" s="109"/>
      <c r="L699" s="109"/>
      <c r="M699" s="109"/>
      <c r="N699" s="109"/>
    </row>
    <row r="700" spans="1:14">
      <c r="A700" s="109"/>
      <c r="B700" s="110"/>
      <c r="C700" s="110"/>
      <c r="D700" s="110"/>
      <c r="E700" s="109"/>
      <c r="F700" s="111"/>
      <c r="G700" s="109"/>
      <c r="H700" s="109"/>
      <c r="I700" s="109"/>
      <c r="J700" s="109"/>
      <c r="K700" s="109"/>
      <c r="L700" s="109"/>
      <c r="M700" s="109"/>
      <c r="N700" s="109"/>
    </row>
    <row r="701" spans="1:14">
      <c r="A701" s="109"/>
      <c r="B701" s="110"/>
      <c r="C701" s="110"/>
      <c r="D701" s="110"/>
      <c r="E701" s="109"/>
      <c r="F701" s="111"/>
      <c r="G701" s="109"/>
      <c r="H701" s="109"/>
      <c r="I701" s="109"/>
      <c r="J701" s="109"/>
      <c r="K701" s="109"/>
      <c r="L701" s="109"/>
      <c r="M701" s="109"/>
      <c r="N701" s="109"/>
    </row>
    <row r="702" spans="1:14">
      <c r="A702" s="109"/>
      <c r="B702" s="110"/>
      <c r="C702" s="110"/>
      <c r="D702" s="110"/>
      <c r="E702" s="109"/>
      <c r="F702" s="111"/>
      <c r="G702" s="109"/>
      <c r="H702" s="109"/>
      <c r="I702" s="109"/>
      <c r="J702" s="109"/>
      <c r="K702" s="109"/>
      <c r="L702" s="109"/>
      <c r="M702" s="109"/>
      <c r="N702" s="109"/>
    </row>
    <row r="703" spans="1:14">
      <c r="A703" s="109"/>
      <c r="B703" s="110"/>
      <c r="C703" s="110"/>
      <c r="D703" s="110"/>
      <c r="E703" s="109"/>
      <c r="F703" s="111"/>
      <c r="G703" s="109"/>
      <c r="H703" s="109"/>
      <c r="I703" s="109"/>
      <c r="J703" s="109"/>
      <c r="K703" s="109"/>
      <c r="L703" s="109"/>
      <c r="M703" s="109"/>
      <c r="N703" s="109"/>
    </row>
    <row r="704" spans="1:14">
      <c r="A704" s="109"/>
      <c r="B704" s="110"/>
      <c r="C704" s="110"/>
      <c r="D704" s="110"/>
      <c r="E704" s="109"/>
      <c r="F704" s="111"/>
      <c r="G704" s="109"/>
      <c r="H704" s="109"/>
      <c r="I704" s="109"/>
      <c r="J704" s="109"/>
      <c r="K704" s="109"/>
      <c r="L704" s="109"/>
      <c r="M704" s="109"/>
      <c r="N704" s="109"/>
    </row>
    <row r="705" spans="1:14">
      <c r="A705" s="109"/>
      <c r="B705" s="110"/>
      <c r="C705" s="110"/>
      <c r="D705" s="110"/>
      <c r="E705" s="109"/>
      <c r="F705" s="111"/>
      <c r="G705" s="109"/>
      <c r="H705" s="109"/>
      <c r="I705" s="109"/>
      <c r="J705" s="109"/>
      <c r="K705" s="109"/>
      <c r="L705" s="109"/>
      <c r="M705" s="109"/>
      <c r="N705" s="109"/>
    </row>
    <row r="706" spans="1:14">
      <c r="A706" s="109"/>
      <c r="B706" s="110"/>
      <c r="C706" s="110"/>
      <c r="D706" s="110"/>
      <c r="E706" s="109"/>
      <c r="F706" s="111"/>
      <c r="G706" s="109"/>
      <c r="H706" s="109"/>
      <c r="I706" s="109"/>
      <c r="J706" s="109"/>
      <c r="K706" s="109"/>
      <c r="L706" s="109"/>
      <c r="M706" s="109"/>
      <c r="N706" s="109"/>
    </row>
    <row r="707" spans="1:14">
      <c r="A707" s="109"/>
      <c r="B707" s="110"/>
      <c r="C707" s="110"/>
      <c r="D707" s="110"/>
      <c r="E707" s="109"/>
      <c r="F707" s="111"/>
      <c r="G707" s="109"/>
      <c r="H707" s="109"/>
      <c r="I707" s="109"/>
      <c r="J707" s="109"/>
      <c r="K707" s="109"/>
      <c r="L707" s="109"/>
      <c r="M707" s="109"/>
      <c r="N707" s="109"/>
    </row>
    <row r="708" spans="1:14">
      <c r="A708" s="109"/>
      <c r="B708" s="110"/>
      <c r="C708" s="110"/>
      <c r="D708" s="110"/>
      <c r="E708" s="109"/>
      <c r="F708" s="111"/>
      <c r="G708" s="109"/>
      <c r="H708" s="109"/>
      <c r="I708" s="109"/>
      <c r="J708" s="109"/>
      <c r="K708" s="109"/>
      <c r="L708" s="109"/>
      <c r="M708" s="109"/>
      <c r="N708" s="109"/>
    </row>
    <row r="709" spans="1:14">
      <c r="A709" s="109"/>
      <c r="B709" s="110"/>
      <c r="C709" s="110"/>
      <c r="D709" s="110"/>
      <c r="E709" s="109"/>
      <c r="F709" s="111"/>
      <c r="G709" s="109"/>
      <c r="H709" s="109"/>
      <c r="I709" s="109"/>
      <c r="J709" s="109"/>
      <c r="K709" s="109"/>
      <c r="L709" s="109"/>
      <c r="M709" s="109"/>
      <c r="N709" s="109"/>
    </row>
    <row r="710" spans="1:14">
      <c r="A710" s="109"/>
      <c r="B710" s="110"/>
      <c r="C710" s="110"/>
      <c r="D710" s="110"/>
      <c r="E710" s="109"/>
      <c r="F710" s="111"/>
      <c r="G710" s="109"/>
      <c r="H710" s="109"/>
      <c r="I710" s="109"/>
      <c r="J710" s="109"/>
      <c r="K710" s="109"/>
      <c r="L710" s="109"/>
      <c r="M710" s="109"/>
      <c r="N710" s="109"/>
    </row>
    <row r="711" spans="1:14">
      <c r="A711" s="109"/>
      <c r="B711" s="110"/>
      <c r="C711" s="110"/>
      <c r="D711" s="110"/>
      <c r="E711" s="109"/>
      <c r="F711" s="111"/>
      <c r="G711" s="109"/>
      <c r="H711" s="109"/>
      <c r="I711" s="109"/>
      <c r="J711" s="109"/>
      <c r="K711" s="109"/>
      <c r="L711" s="109"/>
      <c r="M711" s="109"/>
      <c r="N711" s="109"/>
    </row>
    <row r="712" spans="1:14">
      <c r="A712" s="109"/>
      <c r="B712" s="110"/>
      <c r="C712" s="110"/>
      <c r="D712" s="110"/>
      <c r="E712" s="109"/>
      <c r="F712" s="111"/>
      <c r="G712" s="109"/>
      <c r="H712" s="109"/>
      <c r="I712" s="109"/>
      <c r="J712" s="109"/>
      <c r="K712" s="109"/>
      <c r="L712" s="109"/>
      <c r="M712" s="109"/>
      <c r="N712" s="109"/>
    </row>
    <row r="713" spans="1:14">
      <c r="A713" s="109"/>
      <c r="B713" s="110"/>
      <c r="C713" s="110"/>
      <c r="D713" s="110"/>
      <c r="E713" s="109"/>
      <c r="F713" s="111"/>
      <c r="G713" s="109"/>
      <c r="H713" s="109"/>
      <c r="I713" s="109"/>
      <c r="J713" s="109"/>
      <c r="K713" s="109"/>
      <c r="L713" s="109"/>
      <c r="M713" s="109"/>
      <c r="N713" s="109"/>
    </row>
    <row r="714" spans="1:14">
      <c r="A714" s="109"/>
      <c r="B714" s="110"/>
      <c r="C714" s="110"/>
      <c r="D714" s="110"/>
      <c r="E714" s="109"/>
      <c r="F714" s="111"/>
      <c r="G714" s="109"/>
      <c r="H714" s="109"/>
      <c r="I714" s="109"/>
      <c r="J714" s="109"/>
      <c r="K714" s="109"/>
      <c r="L714" s="109"/>
      <c r="M714" s="109"/>
      <c r="N714" s="109"/>
    </row>
    <row r="715" spans="1:14">
      <c r="A715" s="109"/>
      <c r="B715" s="110"/>
      <c r="C715" s="110"/>
      <c r="D715" s="110"/>
      <c r="E715" s="109"/>
      <c r="F715" s="111"/>
      <c r="G715" s="109"/>
      <c r="H715" s="109"/>
      <c r="I715" s="109"/>
      <c r="J715" s="109"/>
      <c r="K715" s="109"/>
      <c r="L715" s="109"/>
      <c r="M715" s="109"/>
      <c r="N715" s="109"/>
    </row>
    <row r="716" spans="1:14">
      <c r="A716" s="109"/>
      <c r="B716" s="110"/>
      <c r="C716" s="110"/>
      <c r="D716" s="110"/>
      <c r="E716" s="109"/>
      <c r="F716" s="111"/>
      <c r="G716" s="109"/>
      <c r="H716" s="109"/>
      <c r="I716" s="109"/>
      <c r="J716" s="109"/>
      <c r="K716" s="109"/>
      <c r="L716" s="109"/>
      <c r="M716" s="109"/>
      <c r="N716" s="109"/>
    </row>
    <row r="717" spans="1:14">
      <c r="A717" s="109"/>
      <c r="B717" s="110"/>
      <c r="C717" s="110"/>
      <c r="D717" s="110"/>
      <c r="E717" s="109"/>
      <c r="F717" s="111"/>
      <c r="G717" s="109"/>
      <c r="H717" s="109"/>
      <c r="I717" s="109"/>
      <c r="J717" s="109"/>
      <c r="K717" s="109"/>
      <c r="L717" s="109"/>
      <c r="M717" s="109"/>
      <c r="N717" s="109"/>
    </row>
    <row r="718" spans="1:14">
      <c r="A718" s="109"/>
      <c r="B718" s="110"/>
      <c r="C718" s="110"/>
      <c r="D718" s="110"/>
      <c r="E718" s="109"/>
      <c r="F718" s="111"/>
      <c r="G718" s="109"/>
      <c r="H718" s="109"/>
      <c r="I718" s="109"/>
      <c r="J718" s="109"/>
      <c r="K718" s="109"/>
      <c r="L718" s="109"/>
      <c r="M718" s="109"/>
      <c r="N718" s="109"/>
    </row>
    <row r="719" spans="1:14">
      <c r="A719" s="109"/>
      <c r="B719" s="110"/>
      <c r="C719" s="110"/>
      <c r="D719" s="110"/>
      <c r="E719" s="109"/>
      <c r="F719" s="111"/>
      <c r="G719" s="109"/>
      <c r="H719" s="109"/>
      <c r="I719" s="109"/>
      <c r="J719" s="109"/>
      <c r="K719" s="109"/>
      <c r="L719" s="109"/>
      <c r="M719" s="109"/>
      <c r="N719" s="109"/>
    </row>
    <row r="720" spans="1:14">
      <c r="A720" s="109"/>
      <c r="B720" s="110"/>
      <c r="C720" s="110"/>
      <c r="D720" s="110"/>
      <c r="E720" s="109"/>
      <c r="F720" s="111"/>
      <c r="G720" s="109"/>
      <c r="H720" s="109"/>
      <c r="I720" s="109"/>
      <c r="J720" s="109"/>
      <c r="K720" s="109"/>
      <c r="L720" s="109"/>
      <c r="M720" s="109"/>
      <c r="N720" s="109"/>
    </row>
    <row r="721" spans="1:14">
      <c r="A721" s="109"/>
      <c r="B721" s="110"/>
      <c r="C721" s="110"/>
      <c r="D721" s="110"/>
      <c r="E721" s="109"/>
      <c r="F721" s="111"/>
      <c r="G721" s="109"/>
      <c r="H721" s="109"/>
      <c r="I721" s="109"/>
      <c r="J721" s="109"/>
      <c r="K721" s="109"/>
      <c r="L721" s="109"/>
      <c r="M721" s="109"/>
      <c r="N721" s="109"/>
    </row>
    <row r="722" spans="1:14">
      <c r="A722" s="109"/>
      <c r="B722" s="110"/>
      <c r="C722" s="110"/>
      <c r="D722" s="110"/>
      <c r="E722" s="109"/>
      <c r="F722" s="111"/>
      <c r="G722" s="109"/>
      <c r="H722" s="109"/>
      <c r="I722" s="109"/>
      <c r="J722" s="109"/>
      <c r="K722" s="109"/>
      <c r="L722" s="109"/>
      <c r="M722" s="109"/>
      <c r="N722" s="109"/>
    </row>
    <row r="723" spans="1:14">
      <c r="A723" s="109"/>
      <c r="B723" s="110"/>
      <c r="C723" s="110"/>
      <c r="D723" s="110"/>
      <c r="E723" s="109"/>
      <c r="F723" s="111"/>
      <c r="G723" s="109"/>
      <c r="H723" s="109"/>
      <c r="I723" s="109"/>
      <c r="J723" s="109"/>
      <c r="K723" s="109"/>
      <c r="L723" s="109"/>
      <c r="M723" s="109"/>
      <c r="N723" s="109"/>
    </row>
    <row r="724" spans="1:14">
      <c r="A724" s="109"/>
      <c r="B724" s="110"/>
      <c r="C724" s="110"/>
      <c r="D724" s="110"/>
      <c r="E724" s="109"/>
      <c r="F724" s="111"/>
      <c r="G724" s="109"/>
      <c r="H724" s="109"/>
      <c r="I724" s="109"/>
      <c r="J724" s="109"/>
      <c r="K724" s="109"/>
      <c r="L724" s="109"/>
      <c r="M724" s="109"/>
      <c r="N724" s="109"/>
    </row>
    <row r="725" spans="1:14">
      <c r="A725" s="109"/>
      <c r="B725" s="110"/>
      <c r="C725" s="110"/>
      <c r="D725" s="110"/>
      <c r="E725" s="109"/>
      <c r="F725" s="111"/>
      <c r="G725" s="109"/>
      <c r="H725" s="109"/>
      <c r="I725" s="109"/>
      <c r="J725" s="109"/>
      <c r="K725" s="109"/>
      <c r="L725" s="109"/>
      <c r="M725" s="109"/>
      <c r="N725" s="109"/>
    </row>
    <row r="726" spans="1:14">
      <c r="A726" s="109"/>
      <c r="B726" s="110"/>
      <c r="C726" s="110"/>
      <c r="D726" s="110"/>
      <c r="E726" s="109"/>
      <c r="F726" s="111"/>
      <c r="G726" s="109"/>
      <c r="H726" s="109"/>
      <c r="I726" s="109"/>
      <c r="J726" s="109"/>
      <c r="K726" s="109"/>
      <c r="L726" s="109"/>
      <c r="M726" s="109"/>
      <c r="N726" s="109"/>
    </row>
    <row r="727" spans="1:14">
      <c r="A727" s="109"/>
      <c r="B727" s="110"/>
      <c r="C727" s="110"/>
      <c r="D727" s="110"/>
      <c r="E727" s="109"/>
      <c r="F727" s="111"/>
      <c r="G727" s="109"/>
      <c r="H727" s="109"/>
      <c r="I727" s="109"/>
      <c r="J727" s="109"/>
      <c r="K727" s="109"/>
      <c r="L727" s="109"/>
      <c r="M727" s="109"/>
      <c r="N727" s="109"/>
    </row>
    <row r="728" spans="1:14">
      <c r="A728" s="109"/>
      <c r="B728" s="110"/>
      <c r="C728" s="110"/>
      <c r="D728" s="110"/>
      <c r="E728" s="109"/>
      <c r="F728" s="111"/>
      <c r="G728" s="109"/>
      <c r="H728" s="109"/>
      <c r="I728" s="109"/>
      <c r="J728" s="109"/>
      <c r="K728" s="109"/>
      <c r="L728" s="109"/>
      <c r="M728" s="109"/>
      <c r="N728" s="109"/>
    </row>
    <row r="729" spans="1:14">
      <c r="A729" s="109"/>
      <c r="B729" s="110"/>
      <c r="C729" s="110"/>
      <c r="D729" s="110"/>
      <c r="E729" s="109"/>
      <c r="F729" s="111"/>
      <c r="G729" s="109"/>
      <c r="H729" s="109"/>
      <c r="I729" s="109"/>
      <c r="J729" s="109"/>
      <c r="K729" s="109"/>
      <c r="L729" s="109"/>
      <c r="M729" s="109"/>
      <c r="N729" s="109"/>
    </row>
    <row r="730" spans="1:14">
      <c r="A730" s="109"/>
      <c r="B730" s="110"/>
      <c r="C730" s="110"/>
      <c r="D730" s="110"/>
      <c r="E730" s="109"/>
      <c r="F730" s="111"/>
      <c r="G730" s="109"/>
      <c r="H730" s="109"/>
      <c r="I730" s="109"/>
      <c r="J730" s="109"/>
      <c r="K730" s="109"/>
      <c r="L730" s="109"/>
      <c r="M730" s="109"/>
      <c r="N730" s="109"/>
    </row>
    <row r="731" spans="1:14">
      <c r="A731" s="109"/>
      <c r="B731" s="110"/>
      <c r="C731" s="110"/>
      <c r="D731" s="110"/>
      <c r="E731" s="109"/>
      <c r="F731" s="111"/>
      <c r="G731" s="109"/>
      <c r="H731" s="109"/>
      <c r="I731" s="109"/>
      <c r="J731" s="109"/>
      <c r="K731" s="109"/>
      <c r="L731" s="109"/>
      <c r="M731" s="109"/>
      <c r="N731" s="109"/>
    </row>
    <row r="732" spans="1:14">
      <c r="A732" s="109"/>
      <c r="B732" s="110"/>
      <c r="C732" s="110"/>
      <c r="D732" s="110"/>
      <c r="E732" s="109"/>
      <c r="F732" s="111"/>
      <c r="G732" s="109"/>
      <c r="H732" s="109"/>
      <c r="I732" s="109"/>
      <c r="J732" s="109"/>
      <c r="K732" s="109"/>
      <c r="L732" s="109"/>
      <c r="M732" s="109"/>
      <c r="N732" s="109"/>
    </row>
    <row r="733" spans="1:14">
      <c r="A733" s="109"/>
      <c r="B733" s="110"/>
      <c r="C733" s="110"/>
      <c r="D733" s="110"/>
      <c r="E733" s="109"/>
      <c r="F733" s="111"/>
      <c r="G733" s="109"/>
      <c r="H733" s="109"/>
      <c r="I733" s="109"/>
      <c r="J733" s="109"/>
      <c r="K733" s="109"/>
      <c r="L733" s="109"/>
      <c r="M733" s="109"/>
      <c r="N733" s="109"/>
    </row>
    <row r="734" spans="1:14">
      <c r="A734" s="109"/>
      <c r="B734" s="110"/>
      <c r="C734" s="110"/>
      <c r="D734" s="110"/>
      <c r="E734" s="109"/>
      <c r="F734" s="111"/>
      <c r="G734" s="109"/>
      <c r="H734" s="109"/>
      <c r="I734" s="109"/>
      <c r="J734" s="109"/>
      <c r="K734" s="109"/>
      <c r="L734" s="109"/>
      <c r="M734" s="109"/>
      <c r="N734" s="109"/>
    </row>
    <row r="735" spans="1:14">
      <c r="A735" s="109"/>
      <c r="B735" s="110"/>
      <c r="C735" s="110"/>
      <c r="D735" s="110"/>
      <c r="E735" s="109"/>
      <c r="F735" s="111"/>
      <c r="G735" s="109"/>
      <c r="H735" s="109"/>
      <c r="I735" s="109"/>
      <c r="J735" s="109"/>
      <c r="K735" s="109"/>
      <c r="L735" s="109"/>
      <c r="M735" s="109"/>
      <c r="N735" s="109"/>
    </row>
    <row r="736" spans="1:14">
      <c r="A736" s="109"/>
      <c r="B736" s="110"/>
      <c r="C736" s="110"/>
      <c r="D736" s="110"/>
      <c r="E736" s="109"/>
      <c r="F736" s="111"/>
      <c r="G736" s="109"/>
      <c r="H736" s="109"/>
      <c r="I736" s="109"/>
      <c r="J736" s="109"/>
      <c r="K736" s="109"/>
      <c r="L736" s="109"/>
      <c r="M736" s="109"/>
      <c r="N736" s="109"/>
    </row>
    <row r="737" spans="1:14">
      <c r="A737" s="109"/>
      <c r="B737" s="110"/>
      <c r="C737" s="110"/>
      <c r="D737" s="110"/>
      <c r="E737" s="109"/>
      <c r="F737" s="111"/>
      <c r="G737" s="109"/>
      <c r="H737" s="109"/>
      <c r="I737" s="109"/>
      <c r="J737" s="109"/>
      <c r="K737" s="109"/>
      <c r="L737" s="109"/>
      <c r="M737" s="109"/>
      <c r="N737" s="109"/>
    </row>
    <row r="738" spans="1:14">
      <c r="A738" s="109"/>
      <c r="B738" s="110"/>
      <c r="C738" s="110"/>
      <c r="D738" s="110"/>
      <c r="E738" s="109"/>
      <c r="F738" s="111"/>
      <c r="G738" s="109"/>
      <c r="H738" s="109"/>
      <c r="I738" s="109"/>
      <c r="J738" s="109"/>
      <c r="K738" s="109"/>
      <c r="L738" s="109"/>
      <c r="M738" s="109"/>
      <c r="N738" s="109"/>
    </row>
    <row r="739" spans="1:14">
      <c r="A739" s="109"/>
      <c r="B739" s="110"/>
      <c r="C739" s="110"/>
      <c r="D739" s="110"/>
      <c r="E739" s="109"/>
      <c r="F739" s="111"/>
      <c r="G739" s="109"/>
      <c r="H739" s="109"/>
      <c r="I739" s="109"/>
      <c r="J739" s="109"/>
      <c r="K739" s="109"/>
      <c r="L739" s="109"/>
      <c r="M739" s="109"/>
      <c r="N739" s="109"/>
    </row>
    <row r="740" spans="1:14">
      <c r="A740" s="109"/>
      <c r="B740" s="110"/>
      <c r="C740" s="110"/>
      <c r="D740" s="110"/>
      <c r="E740" s="109"/>
      <c r="F740" s="111"/>
      <c r="G740" s="109"/>
      <c r="H740" s="109"/>
      <c r="I740" s="109"/>
      <c r="J740" s="109"/>
      <c r="K740" s="109"/>
      <c r="L740" s="109"/>
      <c r="M740" s="109"/>
      <c r="N740" s="109"/>
    </row>
    <row r="741" spans="1:14">
      <c r="A741" s="109"/>
      <c r="B741" s="110"/>
      <c r="C741" s="110"/>
      <c r="D741" s="110"/>
      <c r="E741" s="109"/>
      <c r="F741" s="111"/>
      <c r="G741" s="109"/>
      <c r="H741" s="109"/>
      <c r="I741" s="109"/>
      <c r="J741" s="109"/>
      <c r="K741" s="109"/>
      <c r="L741" s="109"/>
      <c r="M741" s="109"/>
      <c r="N741" s="109"/>
    </row>
    <row r="742" spans="1:14">
      <c r="A742" s="109"/>
      <c r="B742" s="110"/>
      <c r="C742" s="110"/>
      <c r="D742" s="110"/>
      <c r="E742" s="109"/>
      <c r="F742" s="111"/>
      <c r="G742" s="109"/>
      <c r="H742" s="109"/>
      <c r="I742" s="109"/>
      <c r="J742" s="109"/>
      <c r="K742" s="109"/>
      <c r="L742" s="109"/>
      <c r="M742" s="109"/>
      <c r="N742" s="109"/>
    </row>
    <row r="743" spans="1:14">
      <c r="A743" s="109"/>
      <c r="B743" s="110"/>
      <c r="C743" s="110"/>
      <c r="D743" s="110"/>
      <c r="E743" s="109"/>
      <c r="F743" s="111"/>
      <c r="G743" s="109"/>
      <c r="H743" s="109"/>
      <c r="I743" s="109"/>
      <c r="J743" s="109"/>
      <c r="K743" s="109"/>
      <c r="L743" s="109"/>
      <c r="M743" s="109"/>
      <c r="N743" s="109"/>
    </row>
    <row r="744" spans="1:14">
      <c r="A744" s="109"/>
      <c r="B744" s="110"/>
      <c r="C744" s="110"/>
      <c r="D744" s="110"/>
      <c r="E744" s="109"/>
      <c r="F744" s="111"/>
      <c r="G744" s="109"/>
      <c r="H744" s="109"/>
      <c r="I744" s="109"/>
      <c r="J744" s="109"/>
      <c r="K744" s="109"/>
      <c r="L744" s="109"/>
      <c r="M744" s="109"/>
      <c r="N744" s="109"/>
    </row>
    <row r="745" spans="1:14">
      <c r="A745" s="109"/>
      <c r="B745" s="110"/>
      <c r="C745" s="110"/>
      <c r="D745" s="110"/>
      <c r="E745" s="109"/>
      <c r="F745" s="111"/>
      <c r="G745" s="109"/>
      <c r="H745" s="109"/>
      <c r="I745" s="109"/>
      <c r="J745" s="109"/>
      <c r="K745" s="109"/>
      <c r="L745" s="109"/>
      <c r="M745" s="109"/>
      <c r="N745" s="109"/>
    </row>
    <row r="746" spans="1:14">
      <c r="A746" s="109"/>
      <c r="B746" s="110"/>
      <c r="C746" s="110"/>
      <c r="D746" s="110"/>
      <c r="E746" s="109"/>
      <c r="F746" s="111"/>
      <c r="G746" s="109"/>
      <c r="H746" s="109"/>
      <c r="I746" s="109"/>
      <c r="J746" s="109"/>
      <c r="K746" s="109"/>
      <c r="L746" s="109"/>
      <c r="M746" s="109"/>
      <c r="N746" s="109"/>
    </row>
    <row r="747" spans="1:14">
      <c r="A747" s="109"/>
      <c r="B747" s="110"/>
      <c r="C747" s="110"/>
      <c r="D747" s="110"/>
      <c r="E747" s="109"/>
      <c r="F747" s="111"/>
      <c r="G747" s="109"/>
      <c r="H747" s="109"/>
      <c r="I747" s="109"/>
      <c r="J747" s="109"/>
      <c r="K747" s="109"/>
      <c r="L747" s="109"/>
      <c r="M747" s="109"/>
      <c r="N747" s="109"/>
    </row>
    <row r="748" spans="1:14">
      <c r="A748" s="109"/>
      <c r="B748" s="110"/>
      <c r="C748" s="110"/>
      <c r="D748" s="110"/>
      <c r="E748" s="109"/>
      <c r="F748" s="111"/>
      <c r="G748" s="109"/>
      <c r="H748" s="109"/>
      <c r="I748" s="109"/>
      <c r="J748" s="109"/>
      <c r="K748" s="109"/>
      <c r="L748" s="109"/>
      <c r="M748" s="109"/>
      <c r="N748" s="109"/>
    </row>
    <row r="749" spans="1:14">
      <c r="A749" s="109"/>
      <c r="B749" s="110"/>
      <c r="C749" s="110"/>
      <c r="D749" s="110"/>
      <c r="E749" s="109"/>
      <c r="F749" s="111"/>
      <c r="G749" s="109"/>
      <c r="H749" s="109"/>
      <c r="I749" s="109"/>
      <c r="J749" s="109"/>
      <c r="K749" s="109"/>
      <c r="L749" s="109"/>
      <c r="M749" s="109"/>
      <c r="N749" s="109"/>
    </row>
    <row r="750" spans="1:14">
      <c r="A750" s="109"/>
      <c r="B750" s="110"/>
      <c r="C750" s="110"/>
      <c r="D750" s="110"/>
      <c r="E750" s="109"/>
      <c r="F750" s="111"/>
      <c r="G750" s="109"/>
      <c r="H750" s="109"/>
      <c r="I750" s="109"/>
      <c r="J750" s="109"/>
      <c r="K750" s="109"/>
      <c r="L750" s="109"/>
      <c r="M750" s="109"/>
      <c r="N750" s="109"/>
    </row>
    <row r="751" spans="1:14">
      <c r="A751" s="109"/>
      <c r="B751" s="110"/>
      <c r="C751" s="110"/>
      <c r="D751" s="110"/>
      <c r="E751" s="109"/>
      <c r="F751" s="111"/>
      <c r="G751" s="109"/>
      <c r="H751" s="109"/>
      <c r="I751" s="109"/>
      <c r="J751" s="109"/>
      <c r="K751" s="109"/>
      <c r="L751" s="109"/>
      <c r="M751" s="109"/>
      <c r="N751" s="109"/>
    </row>
    <row r="752" spans="1:14">
      <c r="A752" s="109"/>
      <c r="B752" s="110"/>
      <c r="C752" s="110"/>
      <c r="D752" s="110"/>
      <c r="E752" s="109"/>
      <c r="F752" s="111"/>
      <c r="G752" s="109"/>
      <c r="H752" s="109"/>
      <c r="I752" s="109"/>
      <c r="J752" s="109"/>
      <c r="K752" s="109"/>
      <c r="L752" s="109"/>
      <c r="M752" s="109"/>
      <c r="N752" s="109"/>
    </row>
    <row r="753" spans="1:14">
      <c r="A753" s="109"/>
      <c r="B753" s="110"/>
      <c r="C753" s="110"/>
      <c r="D753" s="110"/>
      <c r="E753" s="109"/>
      <c r="F753" s="111"/>
      <c r="G753" s="109"/>
      <c r="H753" s="109"/>
      <c r="I753" s="109"/>
      <c r="J753" s="109"/>
      <c r="K753" s="109"/>
      <c r="L753" s="109"/>
      <c r="M753" s="109"/>
      <c r="N753" s="109"/>
    </row>
    <row r="754" spans="1:14">
      <c r="A754" s="109"/>
      <c r="B754" s="110"/>
      <c r="C754" s="110"/>
      <c r="D754" s="110"/>
      <c r="E754" s="109"/>
      <c r="F754" s="111"/>
      <c r="G754" s="109"/>
      <c r="H754" s="109"/>
      <c r="I754" s="109"/>
      <c r="J754" s="109"/>
      <c r="K754" s="109"/>
      <c r="L754" s="109"/>
      <c r="M754" s="109"/>
      <c r="N754" s="109"/>
    </row>
    <row r="755" spans="1:14">
      <c r="A755" s="109"/>
      <c r="B755" s="110"/>
      <c r="C755" s="110"/>
      <c r="D755" s="110"/>
      <c r="E755" s="109"/>
      <c r="F755" s="111"/>
      <c r="G755" s="109"/>
      <c r="H755" s="109"/>
      <c r="I755" s="109"/>
      <c r="J755" s="109"/>
      <c r="K755" s="109"/>
      <c r="L755" s="109"/>
      <c r="M755" s="109"/>
      <c r="N755" s="109"/>
    </row>
    <row r="756" spans="1:14">
      <c r="A756" s="109"/>
      <c r="B756" s="110"/>
      <c r="C756" s="110"/>
      <c r="D756" s="110"/>
      <c r="E756" s="109"/>
      <c r="F756" s="111"/>
      <c r="G756" s="109"/>
      <c r="H756" s="109"/>
      <c r="I756" s="109"/>
      <c r="J756" s="109"/>
      <c r="K756" s="109"/>
      <c r="L756" s="109"/>
      <c r="M756" s="109"/>
      <c r="N756" s="109"/>
    </row>
    <row r="757" spans="1:14">
      <c r="A757" s="109"/>
      <c r="B757" s="110"/>
      <c r="C757" s="110"/>
      <c r="D757" s="110"/>
      <c r="E757" s="109"/>
      <c r="F757" s="111"/>
      <c r="G757" s="109"/>
      <c r="H757" s="109"/>
      <c r="I757" s="109"/>
      <c r="J757" s="109"/>
      <c r="K757" s="109"/>
      <c r="L757" s="109"/>
      <c r="M757" s="109"/>
      <c r="N757" s="109"/>
    </row>
    <row r="758" spans="1:14">
      <c r="A758" s="109"/>
      <c r="B758" s="110"/>
      <c r="C758" s="110"/>
      <c r="D758" s="110"/>
      <c r="E758" s="109"/>
      <c r="F758" s="111"/>
      <c r="G758" s="109"/>
      <c r="H758" s="109"/>
      <c r="I758" s="109"/>
      <c r="J758" s="109"/>
      <c r="K758" s="109"/>
      <c r="L758" s="109"/>
      <c r="M758" s="109"/>
      <c r="N758" s="109"/>
    </row>
    <row r="759" spans="1:14">
      <c r="A759" s="109"/>
      <c r="B759" s="110"/>
      <c r="C759" s="110"/>
      <c r="D759" s="110"/>
      <c r="E759" s="109"/>
      <c r="F759" s="111"/>
      <c r="G759" s="109"/>
      <c r="H759" s="109"/>
      <c r="I759" s="109"/>
      <c r="J759" s="109"/>
      <c r="K759" s="109"/>
      <c r="L759" s="109"/>
      <c r="M759" s="109"/>
      <c r="N759" s="109"/>
    </row>
    <row r="760" spans="1:14">
      <c r="A760" s="109"/>
      <c r="B760" s="110"/>
      <c r="C760" s="110"/>
      <c r="D760" s="110"/>
      <c r="E760" s="109"/>
      <c r="F760" s="111"/>
      <c r="G760" s="109"/>
      <c r="H760" s="109"/>
      <c r="I760" s="109"/>
      <c r="J760" s="109"/>
      <c r="K760" s="109"/>
      <c r="L760" s="109"/>
      <c r="M760" s="109"/>
      <c r="N760" s="109"/>
    </row>
    <row r="761" spans="1:14">
      <c r="A761" s="109"/>
      <c r="B761" s="110"/>
      <c r="C761" s="110"/>
      <c r="D761" s="110"/>
      <c r="E761" s="109"/>
      <c r="F761" s="111"/>
      <c r="G761" s="109"/>
      <c r="H761" s="109"/>
      <c r="I761" s="109"/>
      <c r="J761" s="109"/>
      <c r="K761" s="109"/>
      <c r="L761" s="109"/>
      <c r="M761" s="109"/>
      <c r="N761" s="109"/>
    </row>
    <row r="762" spans="1:14">
      <c r="A762" s="109"/>
      <c r="B762" s="110"/>
      <c r="C762" s="110"/>
      <c r="D762" s="110"/>
      <c r="E762" s="109"/>
      <c r="F762" s="111"/>
      <c r="G762" s="109"/>
      <c r="H762" s="109"/>
      <c r="I762" s="109"/>
      <c r="J762" s="109"/>
      <c r="K762" s="109"/>
      <c r="L762" s="109"/>
      <c r="M762" s="109"/>
      <c r="N762" s="109"/>
    </row>
    <row r="763" spans="1:14">
      <c r="A763" s="109"/>
      <c r="B763" s="110"/>
      <c r="C763" s="110"/>
      <c r="D763" s="110"/>
      <c r="E763" s="109"/>
      <c r="F763" s="111"/>
      <c r="G763" s="109"/>
      <c r="H763" s="109"/>
      <c r="I763" s="109"/>
      <c r="J763" s="109"/>
      <c r="K763" s="109"/>
      <c r="L763" s="109"/>
      <c r="M763" s="109"/>
      <c r="N763" s="109"/>
    </row>
    <row r="764" spans="1:14">
      <c r="A764" s="109"/>
      <c r="B764" s="110"/>
      <c r="C764" s="110"/>
      <c r="D764" s="110"/>
      <c r="E764" s="109"/>
      <c r="F764" s="111"/>
      <c r="G764" s="109"/>
      <c r="H764" s="109"/>
      <c r="I764" s="109"/>
      <c r="J764" s="109"/>
      <c r="K764" s="109"/>
      <c r="L764" s="109"/>
      <c r="M764" s="109"/>
      <c r="N764" s="109"/>
    </row>
    <row r="765" spans="1:14">
      <c r="A765" s="109"/>
      <c r="B765" s="110"/>
      <c r="C765" s="110"/>
      <c r="D765" s="110"/>
      <c r="E765" s="109"/>
      <c r="F765" s="111"/>
      <c r="G765" s="109"/>
      <c r="H765" s="109"/>
      <c r="I765" s="109"/>
      <c r="J765" s="109"/>
      <c r="K765" s="109"/>
      <c r="L765" s="109"/>
      <c r="M765" s="109"/>
      <c r="N765" s="109"/>
    </row>
    <row r="766" spans="1:14">
      <c r="A766" s="109"/>
      <c r="B766" s="110"/>
      <c r="C766" s="110"/>
      <c r="D766" s="110"/>
      <c r="E766" s="109"/>
      <c r="F766" s="111"/>
      <c r="G766" s="109"/>
      <c r="H766" s="109"/>
      <c r="I766" s="109"/>
      <c r="J766" s="109"/>
      <c r="K766" s="109"/>
      <c r="L766" s="109"/>
      <c r="M766" s="109"/>
      <c r="N766" s="109"/>
    </row>
    <row r="767" spans="1:14">
      <c r="A767" s="109"/>
      <c r="B767" s="110"/>
      <c r="C767" s="110"/>
      <c r="D767" s="110"/>
      <c r="E767" s="109"/>
      <c r="F767" s="111"/>
      <c r="G767" s="109"/>
      <c r="H767" s="109"/>
      <c r="I767" s="109"/>
      <c r="J767" s="109"/>
      <c r="K767" s="109"/>
      <c r="L767" s="109"/>
      <c r="M767" s="109"/>
      <c r="N767" s="109"/>
    </row>
    <row r="768" spans="1:14">
      <c r="A768" s="109"/>
      <c r="B768" s="110"/>
      <c r="C768" s="110"/>
      <c r="D768" s="110"/>
      <c r="E768" s="109"/>
      <c r="F768" s="111"/>
      <c r="G768" s="109"/>
      <c r="H768" s="109"/>
      <c r="I768" s="109"/>
      <c r="J768" s="109"/>
      <c r="K768" s="109"/>
      <c r="L768" s="109"/>
      <c r="M768" s="109"/>
      <c r="N768" s="109"/>
    </row>
    <row r="769" spans="1:14">
      <c r="A769" s="109"/>
      <c r="B769" s="110"/>
      <c r="C769" s="110"/>
      <c r="D769" s="110"/>
      <c r="E769" s="109"/>
      <c r="F769" s="111"/>
      <c r="G769" s="109"/>
      <c r="H769" s="109"/>
      <c r="I769" s="109"/>
      <c r="J769" s="109"/>
      <c r="K769" s="109"/>
      <c r="L769" s="109"/>
      <c r="M769" s="109"/>
      <c r="N769" s="109"/>
    </row>
    <row r="770" spans="1:14">
      <c r="A770" s="109"/>
      <c r="B770" s="110"/>
      <c r="C770" s="110"/>
      <c r="D770" s="110"/>
      <c r="E770" s="109"/>
      <c r="F770" s="111"/>
      <c r="G770" s="109"/>
      <c r="H770" s="109"/>
      <c r="I770" s="109"/>
      <c r="J770" s="109"/>
      <c r="K770" s="109"/>
      <c r="L770" s="109"/>
      <c r="M770" s="109"/>
      <c r="N770" s="109"/>
    </row>
    <row r="771" spans="1:14">
      <c r="A771" s="109"/>
      <c r="B771" s="110"/>
      <c r="C771" s="110"/>
      <c r="D771" s="110"/>
      <c r="E771" s="109"/>
      <c r="F771" s="111"/>
      <c r="G771" s="109"/>
      <c r="H771" s="109"/>
      <c r="I771" s="109"/>
      <c r="J771" s="109"/>
      <c r="K771" s="109"/>
      <c r="L771" s="109"/>
      <c r="M771" s="109"/>
      <c r="N771" s="109"/>
    </row>
    <row r="772" spans="1:14">
      <c r="A772" s="109"/>
      <c r="B772" s="110"/>
      <c r="C772" s="110"/>
      <c r="D772" s="110"/>
      <c r="E772" s="109"/>
      <c r="F772" s="111"/>
      <c r="G772" s="109"/>
      <c r="H772" s="109"/>
      <c r="I772" s="109"/>
      <c r="J772" s="109"/>
      <c r="K772" s="109"/>
      <c r="L772" s="109"/>
      <c r="M772" s="109"/>
      <c r="N772" s="109"/>
    </row>
    <row r="773" spans="1:14">
      <c r="A773" s="109"/>
      <c r="B773" s="110"/>
      <c r="C773" s="110"/>
      <c r="D773" s="110"/>
      <c r="E773" s="109"/>
      <c r="F773" s="111"/>
      <c r="G773" s="109"/>
      <c r="H773" s="109"/>
      <c r="I773" s="109"/>
      <c r="J773" s="109"/>
      <c r="K773" s="109"/>
      <c r="L773" s="109"/>
      <c r="M773" s="109"/>
      <c r="N773" s="109"/>
    </row>
    <row r="774" spans="1:14">
      <c r="A774" s="109"/>
      <c r="B774" s="110"/>
      <c r="C774" s="110"/>
      <c r="D774" s="110"/>
      <c r="E774" s="109"/>
      <c r="F774" s="111"/>
      <c r="G774" s="109"/>
      <c r="H774" s="109"/>
      <c r="I774" s="109"/>
      <c r="J774" s="109"/>
      <c r="K774" s="109"/>
      <c r="L774" s="109"/>
      <c r="M774" s="109"/>
      <c r="N774" s="109"/>
    </row>
    <row r="775" spans="1:14">
      <c r="A775" s="109"/>
      <c r="B775" s="110"/>
      <c r="C775" s="110"/>
      <c r="D775" s="110"/>
      <c r="E775" s="109"/>
      <c r="F775" s="111"/>
      <c r="G775" s="109"/>
      <c r="H775" s="109"/>
      <c r="I775" s="109"/>
      <c r="J775" s="109"/>
      <c r="K775" s="109"/>
      <c r="L775" s="109"/>
      <c r="M775" s="109"/>
      <c r="N775" s="109"/>
    </row>
    <row r="776" spans="1:14">
      <c r="A776" s="109"/>
      <c r="B776" s="110"/>
      <c r="C776" s="110"/>
      <c r="D776" s="110"/>
      <c r="E776" s="109"/>
      <c r="F776" s="111"/>
      <c r="G776" s="109"/>
      <c r="H776" s="109"/>
      <c r="I776" s="109"/>
      <c r="J776" s="109"/>
      <c r="K776" s="109"/>
      <c r="L776" s="109"/>
      <c r="M776" s="109"/>
      <c r="N776" s="109"/>
    </row>
    <row r="777" spans="1:14">
      <c r="A777" s="109"/>
      <c r="B777" s="110"/>
      <c r="C777" s="110"/>
      <c r="D777" s="110"/>
      <c r="E777" s="109"/>
      <c r="F777" s="111"/>
      <c r="G777" s="109"/>
      <c r="H777" s="109"/>
      <c r="I777" s="109"/>
      <c r="J777" s="109"/>
      <c r="K777" s="109"/>
      <c r="L777" s="109"/>
      <c r="M777" s="109"/>
      <c r="N777" s="109"/>
    </row>
    <row r="778" spans="1:14">
      <c r="A778" s="109"/>
      <c r="B778" s="110"/>
      <c r="C778" s="110"/>
      <c r="D778" s="110"/>
      <c r="E778" s="109"/>
      <c r="F778" s="111"/>
      <c r="G778" s="109"/>
      <c r="H778" s="109"/>
      <c r="I778" s="109"/>
      <c r="J778" s="109"/>
      <c r="K778" s="109"/>
      <c r="L778" s="109"/>
      <c r="M778" s="109"/>
      <c r="N778" s="109"/>
    </row>
    <row r="779" spans="1:14">
      <c r="A779" s="109"/>
      <c r="B779" s="110"/>
      <c r="C779" s="110"/>
      <c r="D779" s="110"/>
      <c r="E779" s="109"/>
      <c r="F779" s="111"/>
      <c r="G779" s="109"/>
      <c r="H779" s="109"/>
      <c r="I779" s="109"/>
      <c r="J779" s="109"/>
      <c r="K779" s="109"/>
      <c r="L779" s="109"/>
      <c r="M779" s="109"/>
      <c r="N779" s="109"/>
    </row>
    <row r="780" spans="1:14">
      <c r="A780" s="109"/>
      <c r="B780" s="110"/>
      <c r="C780" s="110"/>
      <c r="D780" s="110"/>
      <c r="E780" s="109"/>
      <c r="F780" s="111"/>
      <c r="G780" s="109"/>
      <c r="H780" s="109"/>
      <c r="I780" s="109"/>
      <c r="J780" s="109"/>
      <c r="K780" s="109"/>
      <c r="L780" s="109"/>
      <c r="M780" s="109"/>
      <c r="N780" s="109"/>
    </row>
    <row r="781" spans="1:14">
      <c r="A781" s="109"/>
      <c r="B781" s="110"/>
      <c r="C781" s="110"/>
      <c r="D781" s="110"/>
      <c r="E781" s="109"/>
      <c r="F781" s="111"/>
      <c r="G781" s="109"/>
      <c r="H781" s="109"/>
      <c r="I781" s="109"/>
      <c r="J781" s="109"/>
      <c r="K781" s="109"/>
      <c r="L781" s="109"/>
      <c r="M781" s="109"/>
      <c r="N781" s="109"/>
    </row>
    <row r="782" spans="1:14">
      <c r="A782" s="109"/>
      <c r="B782" s="110"/>
      <c r="C782" s="110"/>
      <c r="D782" s="110"/>
      <c r="E782" s="109"/>
      <c r="F782" s="111"/>
      <c r="G782" s="109"/>
      <c r="H782" s="109"/>
      <c r="I782" s="109"/>
      <c r="J782" s="109"/>
      <c r="K782" s="109"/>
      <c r="L782" s="109"/>
      <c r="M782" s="109"/>
      <c r="N782" s="109"/>
    </row>
    <row r="783" spans="1:14">
      <c r="A783" s="109"/>
      <c r="B783" s="110"/>
      <c r="C783" s="110"/>
      <c r="D783" s="110"/>
      <c r="E783" s="109"/>
      <c r="F783" s="111"/>
      <c r="G783" s="109"/>
      <c r="H783" s="109"/>
      <c r="I783" s="109"/>
      <c r="J783" s="109"/>
      <c r="K783" s="109"/>
      <c r="L783" s="109"/>
      <c r="M783" s="109"/>
      <c r="N783" s="109"/>
    </row>
    <row r="784" spans="1:14">
      <c r="A784" s="109"/>
      <c r="B784" s="110"/>
      <c r="C784" s="110"/>
      <c r="D784" s="110"/>
      <c r="E784" s="109"/>
      <c r="F784" s="111"/>
      <c r="G784" s="109"/>
      <c r="H784" s="109"/>
      <c r="I784" s="109"/>
      <c r="J784" s="109"/>
      <c r="K784" s="109"/>
      <c r="L784" s="109"/>
      <c r="M784" s="109"/>
      <c r="N784" s="109"/>
    </row>
    <row r="785" spans="1:14">
      <c r="A785" s="109"/>
      <c r="B785" s="110"/>
      <c r="C785" s="110"/>
      <c r="D785" s="110"/>
      <c r="E785" s="109"/>
      <c r="F785" s="111"/>
      <c r="G785" s="109"/>
      <c r="H785" s="109"/>
      <c r="I785" s="109"/>
      <c r="J785" s="109"/>
      <c r="K785" s="109"/>
      <c r="L785" s="109"/>
      <c r="M785" s="109"/>
      <c r="N785" s="109"/>
    </row>
    <row r="786" spans="1:14">
      <c r="A786" s="109"/>
      <c r="B786" s="110"/>
      <c r="C786" s="110"/>
      <c r="D786" s="110"/>
      <c r="E786" s="109"/>
      <c r="F786" s="111"/>
      <c r="G786" s="109"/>
      <c r="H786" s="109"/>
      <c r="I786" s="109"/>
      <c r="J786" s="109"/>
      <c r="K786" s="109"/>
      <c r="L786" s="109"/>
      <c r="M786" s="109"/>
      <c r="N786" s="109"/>
    </row>
    <row r="787" spans="1:14">
      <c r="A787" s="109"/>
      <c r="B787" s="110"/>
      <c r="C787" s="110"/>
      <c r="D787" s="110"/>
      <c r="E787" s="109"/>
      <c r="F787" s="111"/>
      <c r="G787" s="109"/>
      <c r="H787" s="109"/>
      <c r="I787" s="109"/>
      <c r="J787" s="109"/>
      <c r="K787" s="109"/>
      <c r="L787" s="109"/>
      <c r="M787" s="109"/>
      <c r="N787" s="109"/>
    </row>
    <row r="788" spans="1:14">
      <c r="A788" s="109"/>
      <c r="B788" s="110"/>
      <c r="C788" s="110"/>
      <c r="D788" s="110"/>
      <c r="E788" s="109"/>
      <c r="F788" s="111"/>
      <c r="G788" s="109"/>
      <c r="H788" s="109"/>
      <c r="I788" s="109"/>
      <c r="J788" s="109"/>
      <c r="K788" s="109"/>
      <c r="L788" s="109"/>
      <c r="M788" s="109"/>
      <c r="N788" s="109"/>
    </row>
    <row r="789" spans="1:14">
      <c r="A789" s="109"/>
      <c r="B789" s="110"/>
      <c r="C789" s="110"/>
      <c r="D789" s="110"/>
      <c r="E789" s="109"/>
      <c r="F789" s="111"/>
      <c r="G789" s="109"/>
      <c r="H789" s="109"/>
      <c r="I789" s="109"/>
      <c r="J789" s="109"/>
      <c r="K789" s="109"/>
      <c r="L789" s="109"/>
      <c r="M789" s="109"/>
      <c r="N789" s="109"/>
    </row>
    <row r="790" spans="1:14">
      <c r="A790" s="109"/>
      <c r="B790" s="110"/>
      <c r="C790" s="110"/>
      <c r="D790" s="110"/>
      <c r="E790" s="109"/>
      <c r="F790" s="111"/>
      <c r="G790" s="109"/>
      <c r="H790" s="109"/>
      <c r="I790" s="109"/>
      <c r="J790" s="109"/>
      <c r="K790" s="109"/>
      <c r="L790" s="109"/>
      <c r="M790" s="109"/>
      <c r="N790" s="109"/>
    </row>
    <row r="791" spans="1:14">
      <c r="A791" s="109"/>
      <c r="B791" s="110"/>
      <c r="C791" s="110"/>
      <c r="D791" s="110"/>
      <c r="E791" s="109"/>
      <c r="F791" s="111"/>
      <c r="G791" s="109"/>
      <c r="H791" s="109"/>
      <c r="I791" s="109"/>
      <c r="J791" s="109"/>
      <c r="K791" s="109"/>
      <c r="L791" s="109"/>
      <c r="M791" s="109"/>
      <c r="N791" s="109"/>
    </row>
    <row r="792" spans="1:14">
      <c r="A792" s="109"/>
      <c r="B792" s="110"/>
      <c r="C792" s="110"/>
      <c r="D792" s="110"/>
      <c r="E792" s="109"/>
      <c r="F792" s="111"/>
      <c r="G792" s="109"/>
      <c r="H792" s="109"/>
      <c r="I792" s="109"/>
      <c r="J792" s="109"/>
      <c r="K792" s="109"/>
      <c r="L792" s="109"/>
      <c r="M792" s="109"/>
      <c r="N792" s="109"/>
    </row>
    <row r="793" spans="1:14">
      <c r="A793" s="109"/>
      <c r="B793" s="110"/>
      <c r="C793" s="110"/>
      <c r="D793" s="110"/>
      <c r="E793" s="109"/>
      <c r="F793" s="111"/>
      <c r="G793" s="109"/>
      <c r="H793" s="109"/>
      <c r="I793" s="109"/>
      <c r="J793" s="109"/>
      <c r="K793" s="109"/>
      <c r="L793" s="109"/>
      <c r="M793" s="109"/>
      <c r="N793" s="109"/>
    </row>
    <row r="794" spans="1:14">
      <c r="A794" s="109"/>
      <c r="B794" s="110"/>
      <c r="C794" s="110"/>
      <c r="D794" s="110"/>
      <c r="E794" s="109"/>
      <c r="F794" s="111"/>
      <c r="G794" s="109"/>
      <c r="H794" s="109"/>
      <c r="I794" s="109"/>
      <c r="J794" s="109"/>
      <c r="K794" s="109"/>
      <c r="L794" s="109"/>
      <c r="M794" s="109"/>
      <c r="N794" s="109"/>
    </row>
    <row r="795" spans="1:14">
      <c r="A795" s="109"/>
      <c r="B795" s="110"/>
      <c r="C795" s="110"/>
      <c r="D795" s="110"/>
      <c r="E795" s="109"/>
      <c r="F795" s="111"/>
      <c r="G795" s="109"/>
      <c r="H795" s="109"/>
      <c r="I795" s="109"/>
      <c r="J795" s="109"/>
      <c r="K795" s="109"/>
      <c r="L795" s="109"/>
      <c r="M795" s="109"/>
      <c r="N795" s="109"/>
    </row>
    <row r="796" spans="1:14">
      <c r="A796" s="109"/>
      <c r="B796" s="110"/>
      <c r="C796" s="110"/>
      <c r="D796" s="110"/>
      <c r="E796" s="109"/>
      <c r="F796" s="111"/>
      <c r="G796" s="109"/>
      <c r="H796" s="109"/>
      <c r="I796" s="109"/>
      <c r="J796" s="109"/>
      <c r="K796" s="109"/>
      <c r="L796" s="109"/>
      <c r="M796" s="109"/>
      <c r="N796" s="109"/>
    </row>
    <row r="797" spans="1:14">
      <c r="A797" s="109"/>
      <c r="B797" s="110"/>
      <c r="C797" s="110"/>
      <c r="D797" s="110"/>
      <c r="E797" s="109"/>
      <c r="F797" s="111"/>
      <c r="G797" s="109"/>
      <c r="H797" s="109"/>
      <c r="I797" s="109"/>
      <c r="J797" s="109"/>
      <c r="K797" s="109"/>
      <c r="L797" s="109"/>
      <c r="M797" s="109"/>
      <c r="N797" s="109"/>
    </row>
    <row r="798" spans="1:14">
      <c r="A798" s="109"/>
      <c r="B798" s="110"/>
      <c r="C798" s="110"/>
      <c r="D798" s="110"/>
      <c r="E798" s="109"/>
      <c r="F798" s="111"/>
      <c r="G798" s="109"/>
      <c r="H798" s="109"/>
      <c r="I798" s="109"/>
      <c r="J798" s="109"/>
      <c r="K798" s="109"/>
      <c r="L798" s="109"/>
      <c r="M798" s="109"/>
      <c r="N798" s="109"/>
    </row>
    <row r="799" spans="1:14">
      <c r="A799" s="109"/>
      <c r="B799" s="110"/>
      <c r="C799" s="110"/>
      <c r="D799" s="110"/>
      <c r="E799" s="109"/>
      <c r="F799" s="111"/>
      <c r="G799" s="109"/>
      <c r="H799" s="109"/>
      <c r="I799" s="109"/>
      <c r="J799" s="109"/>
      <c r="K799" s="109"/>
      <c r="L799" s="109"/>
      <c r="M799" s="109"/>
      <c r="N799" s="109"/>
    </row>
    <row r="800" spans="1:14">
      <c r="A800" s="109"/>
      <c r="B800" s="110"/>
      <c r="C800" s="110"/>
      <c r="D800" s="110"/>
      <c r="E800" s="109"/>
      <c r="F800" s="111"/>
      <c r="G800" s="109"/>
      <c r="H800" s="109"/>
      <c r="I800" s="109"/>
      <c r="J800" s="109"/>
      <c r="K800" s="109"/>
      <c r="L800" s="109"/>
      <c r="M800" s="109"/>
      <c r="N800" s="109"/>
    </row>
    <row r="801" spans="1:14">
      <c r="A801" s="109"/>
      <c r="B801" s="110"/>
      <c r="C801" s="110"/>
      <c r="D801" s="110"/>
      <c r="E801" s="109"/>
      <c r="F801" s="111"/>
      <c r="G801" s="109"/>
      <c r="H801" s="109"/>
      <c r="I801" s="109"/>
      <c r="J801" s="109"/>
      <c r="K801" s="109"/>
      <c r="L801" s="109"/>
      <c r="M801" s="109"/>
      <c r="N801" s="109"/>
    </row>
    <row r="802" spans="1:14">
      <c r="A802" s="109"/>
      <c r="B802" s="110"/>
      <c r="C802" s="110"/>
      <c r="D802" s="110"/>
      <c r="E802" s="109"/>
      <c r="F802" s="111"/>
      <c r="G802" s="109"/>
      <c r="H802" s="109"/>
      <c r="I802" s="109"/>
      <c r="J802" s="109"/>
      <c r="K802" s="109"/>
      <c r="L802" s="109"/>
      <c r="M802" s="109"/>
      <c r="N802" s="109"/>
    </row>
    <row r="803" spans="1:14">
      <c r="A803" s="109"/>
      <c r="B803" s="110"/>
      <c r="C803" s="110"/>
      <c r="D803" s="110"/>
      <c r="E803" s="109"/>
      <c r="F803" s="111"/>
      <c r="G803" s="109"/>
      <c r="H803" s="109"/>
      <c r="I803" s="109"/>
      <c r="J803" s="109"/>
      <c r="K803" s="109"/>
      <c r="L803" s="109"/>
      <c r="M803" s="109"/>
      <c r="N803" s="109"/>
    </row>
    <row r="804" spans="1:14">
      <c r="A804" s="109"/>
      <c r="B804" s="110"/>
      <c r="C804" s="110"/>
      <c r="D804" s="110"/>
      <c r="E804" s="109"/>
      <c r="F804" s="111"/>
      <c r="G804" s="109"/>
      <c r="H804" s="109"/>
      <c r="I804" s="109"/>
      <c r="J804" s="109"/>
      <c r="K804" s="109"/>
      <c r="L804" s="109"/>
      <c r="M804" s="109"/>
      <c r="N804" s="109"/>
    </row>
    <row r="805" spans="1:14">
      <c r="A805" s="109"/>
      <c r="B805" s="110"/>
      <c r="C805" s="110"/>
      <c r="D805" s="110"/>
      <c r="E805" s="109"/>
      <c r="F805" s="111"/>
      <c r="G805" s="109"/>
      <c r="H805" s="109"/>
      <c r="I805" s="109"/>
      <c r="J805" s="109"/>
      <c r="K805" s="109"/>
      <c r="L805" s="109"/>
      <c r="M805" s="109"/>
      <c r="N805" s="109"/>
    </row>
    <row r="806" spans="1:14">
      <c r="A806" s="109"/>
      <c r="B806" s="110"/>
      <c r="C806" s="110"/>
      <c r="D806" s="110"/>
      <c r="E806" s="109"/>
      <c r="F806" s="111"/>
      <c r="G806" s="109"/>
      <c r="H806" s="109"/>
      <c r="I806" s="109"/>
      <c r="J806" s="109"/>
      <c r="K806" s="109"/>
      <c r="L806" s="109"/>
      <c r="M806" s="109"/>
      <c r="N806" s="109"/>
    </row>
    <row r="807" spans="1:14">
      <c r="A807" s="109"/>
      <c r="B807" s="110"/>
      <c r="C807" s="110"/>
      <c r="D807" s="110"/>
      <c r="E807" s="109"/>
      <c r="F807" s="111"/>
      <c r="G807" s="109"/>
      <c r="H807" s="109"/>
      <c r="I807" s="109"/>
      <c r="J807" s="109"/>
      <c r="K807" s="109"/>
      <c r="L807" s="109"/>
      <c r="M807" s="109"/>
      <c r="N807" s="109"/>
    </row>
    <row r="808" spans="1:14">
      <c r="A808" s="109"/>
      <c r="B808" s="110"/>
      <c r="C808" s="110"/>
      <c r="D808" s="110"/>
      <c r="E808" s="109"/>
      <c r="F808" s="111"/>
      <c r="G808" s="109"/>
      <c r="H808" s="109"/>
      <c r="I808" s="109"/>
      <c r="J808" s="109"/>
      <c r="K808" s="109"/>
      <c r="L808" s="109"/>
      <c r="M808" s="109"/>
      <c r="N808" s="109"/>
    </row>
    <row r="809" spans="1:14">
      <c r="A809" s="109"/>
      <c r="B809" s="110"/>
      <c r="C809" s="110"/>
      <c r="D809" s="110"/>
      <c r="E809" s="109"/>
      <c r="F809" s="111"/>
      <c r="G809" s="109"/>
      <c r="H809" s="109"/>
      <c r="I809" s="109"/>
      <c r="J809" s="109"/>
      <c r="K809" s="109"/>
      <c r="L809" s="109"/>
      <c r="M809" s="109"/>
      <c r="N809" s="109"/>
    </row>
    <row r="810" spans="1:14">
      <c r="A810" s="109"/>
      <c r="B810" s="110"/>
      <c r="C810" s="110"/>
      <c r="D810" s="110"/>
      <c r="E810" s="109"/>
      <c r="F810" s="111"/>
      <c r="G810" s="109"/>
      <c r="H810" s="109"/>
      <c r="I810" s="109"/>
      <c r="J810" s="109"/>
      <c r="K810" s="109"/>
      <c r="L810" s="109"/>
      <c r="M810" s="109"/>
      <c r="N810" s="109"/>
    </row>
    <row r="811" spans="1:14">
      <c r="A811" s="109"/>
      <c r="B811" s="110"/>
      <c r="C811" s="110"/>
      <c r="D811" s="110"/>
      <c r="E811" s="109"/>
      <c r="F811" s="111"/>
      <c r="G811" s="109"/>
      <c r="H811" s="109"/>
      <c r="I811" s="109"/>
      <c r="J811" s="109"/>
      <c r="K811" s="109"/>
      <c r="L811" s="109"/>
      <c r="M811" s="109"/>
      <c r="N811" s="109"/>
    </row>
    <row r="812" spans="1:14">
      <c r="A812" s="109"/>
      <c r="B812" s="110"/>
      <c r="C812" s="110"/>
      <c r="D812" s="110"/>
      <c r="E812" s="109"/>
      <c r="F812" s="111"/>
      <c r="G812" s="109"/>
      <c r="H812" s="109"/>
      <c r="I812" s="109"/>
      <c r="J812" s="109"/>
      <c r="K812" s="109"/>
      <c r="L812" s="109"/>
      <c r="M812" s="109"/>
      <c r="N812" s="109"/>
    </row>
    <row r="813" spans="1:14">
      <c r="A813" s="109"/>
      <c r="B813" s="110"/>
      <c r="C813" s="110"/>
      <c r="D813" s="110"/>
      <c r="E813" s="109"/>
      <c r="F813" s="111"/>
      <c r="G813" s="109"/>
      <c r="H813" s="109"/>
      <c r="I813" s="109"/>
      <c r="J813" s="109"/>
      <c r="K813" s="109"/>
      <c r="L813" s="109"/>
      <c r="M813" s="109"/>
      <c r="N813" s="109"/>
    </row>
    <row r="814" spans="1:14">
      <c r="A814" s="109"/>
      <c r="B814" s="110"/>
      <c r="C814" s="110"/>
      <c r="D814" s="110"/>
      <c r="E814" s="109"/>
      <c r="F814" s="111"/>
      <c r="G814" s="109"/>
      <c r="H814" s="109"/>
      <c r="I814" s="109"/>
      <c r="J814" s="109"/>
      <c r="K814" s="109"/>
      <c r="L814" s="109"/>
      <c r="M814" s="109"/>
      <c r="N814" s="109"/>
    </row>
    <row r="815" spans="1:14">
      <c r="A815" s="109"/>
      <c r="B815" s="110"/>
      <c r="C815" s="110"/>
      <c r="D815" s="110"/>
      <c r="E815" s="109"/>
      <c r="F815" s="111"/>
      <c r="G815" s="109"/>
      <c r="H815" s="109"/>
      <c r="I815" s="109"/>
      <c r="J815" s="109"/>
      <c r="K815" s="109"/>
      <c r="L815" s="109"/>
      <c r="M815" s="109"/>
      <c r="N815" s="109"/>
    </row>
    <row r="816" spans="1:14">
      <c r="A816" s="109"/>
      <c r="B816" s="110"/>
      <c r="C816" s="110"/>
      <c r="D816" s="110"/>
      <c r="E816" s="109"/>
      <c r="F816" s="111"/>
      <c r="G816" s="109"/>
      <c r="H816" s="109"/>
      <c r="I816" s="109"/>
      <c r="J816" s="109"/>
      <c r="K816" s="109"/>
      <c r="L816" s="109"/>
      <c r="M816" s="109"/>
      <c r="N816" s="109"/>
    </row>
    <row r="817" spans="1:14">
      <c r="A817" s="109"/>
      <c r="B817" s="110"/>
      <c r="C817" s="110"/>
      <c r="D817" s="110"/>
      <c r="E817" s="109"/>
      <c r="F817" s="111"/>
      <c r="G817" s="109"/>
      <c r="H817" s="109"/>
      <c r="I817" s="109"/>
      <c r="J817" s="109"/>
      <c r="K817" s="109"/>
      <c r="L817" s="109"/>
      <c r="M817" s="109"/>
      <c r="N817" s="109"/>
    </row>
    <row r="818" spans="1:14">
      <c r="A818" s="109"/>
      <c r="B818" s="110"/>
      <c r="C818" s="110"/>
      <c r="D818" s="110"/>
      <c r="E818" s="109"/>
      <c r="F818" s="111"/>
      <c r="G818" s="109"/>
      <c r="H818" s="109"/>
      <c r="I818" s="109"/>
      <c r="J818" s="109"/>
      <c r="K818" s="109"/>
      <c r="L818" s="109"/>
      <c r="M818" s="109"/>
      <c r="N818" s="109"/>
    </row>
    <row r="819" spans="1:14">
      <c r="A819" s="109"/>
      <c r="B819" s="110"/>
      <c r="C819" s="110"/>
      <c r="D819" s="110"/>
      <c r="E819" s="109"/>
      <c r="F819" s="111"/>
      <c r="G819" s="109"/>
      <c r="H819" s="109"/>
      <c r="I819" s="109"/>
      <c r="J819" s="109"/>
      <c r="K819" s="109"/>
      <c r="L819" s="109"/>
      <c r="M819" s="109"/>
      <c r="N819" s="109"/>
    </row>
    <row r="820" spans="1:14">
      <c r="A820" s="109"/>
      <c r="B820" s="110"/>
      <c r="C820" s="110"/>
      <c r="D820" s="110"/>
      <c r="E820" s="109"/>
      <c r="F820" s="111"/>
      <c r="G820" s="109"/>
      <c r="H820" s="109"/>
      <c r="I820" s="109"/>
      <c r="J820" s="109"/>
      <c r="K820" s="109"/>
      <c r="L820" s="109"/>
      <c r="M820" s="109"/>
      <c r="N820" s="109"/>
    </row>
    <row r="821" spans="1:14">
      <c r="A821" s="109"/>
      <c r="B821" s="110"/>
      <c r="C821" s="110"/>
      <c r="D821" s="110"/>
      <c r="E821" s="109"/>
      <c r="F821" s="111"/>
      <c r="G821" s="109"/>
      <c r="H821" s="109"/>
      <c r="I821" s="109"/>
      <c r="J821" s="109"/>
      <c r="K821" s="109"/>
      <c r="L821" s="109"/>
      <c r="M821" s="109"/>
      <c r="N821" s="109"/>
    </row>
    <row r="822" spans="1:14">
      <c r="A822" s="109"/>
      <c r="B822" s="110"/>
      <c r="C822" s="110"/>
      <c r="D822" s="110"/>
      <c r="E822" s="109"/>
      <c r="F822" s="111"/>
      <c r="G822" s="109"/>
      <c r="H822" s="109"/>
      <c r="I822" s="109"/>
      <c r="J822" s="109"/>
      <c r="K822" s="109"/>
      <c r="L822" s="109"/>
      <c r="M822" s="109"/>
      <c r="N822" s="109"/>
    </row>
    <row r="823" spans="1:14">
      <c r="A823" s="109"/>
      <c r="B823" s="110"/>
      <c r="C823" s="110"/>
      <c r="D823" s="110"/>
      <c r="E823" s="109"/>
      <c r="F823" s="111"/>
      <c r="G823" s="109"/>
      <c r="H823" s="109"/>
      <c r="I823" s="109"/>
      <c r="J823" s="109"/>
      <c r="K823" s="109"/>
      <c r="L823" s="109"/>
      <c r="M823" s="109"/>
      <c r="N823" s="109"/>
    </row>
    <row r="824" spans="1:14">
      <c r="A824" s="109"/>
      <c r="B824" s="110"/>
      <c r="C824" s="110"/>
      <c r="D824" s="110"/>
      <c r="E824" s="109"/>
      <c r="F824" s="111"/>
      <c r="G824" s="109"/>
      <c r="H824" s="109"/>
      <c r="I824" s="109"/>
      <c r="J824" s="109"/>
      <c r="K824" s="109"/>
      <c r="L824" s="109"/>
      <c r="M824" s="109"/>
      <c r="N824" s="109"/>
    </row>
    <row r="825" spans="1:14">
      <c r="A825" s="109"/>
      <c r="B825" s="110"/>
      <c r="C825" s="110"/>
      <c r="D825" s="110"/>
      <c r="E825" s="109"/>
      <c r="F825" s="111"/>
      <c r="G825" s="109"/>
      <c r="H825" s="109"/>
      <c r="I825" s="109"/>
      <c r="J825" s="109"/>
      <c r="K825" s="109"/>
      <c r="L825" s="109"/>
      <c r="M825" s="109"/>
      <c r="N825" s="109"/>
    </row>
    <row r="826" spans="1:14">
      <c r="A826" s="109"/>
      <c r="B826" s="110"/>
      <c r="C826" s="110"/>
      <c r="D826" s="110"/>
      <c r="E826" s="109"/>
      <c r="F826" s="111"/>
      <c r="G826" s="109"/>
      <c r="H826" s="109"/>
      <c r="I826" s="109"/>
      <c r="J826" s="109"/>
      <c r="K826" s="109"/>
      <c r="L826" s="109"/>
      <c r="M826" s="109"/>
      <c r="N826" s="109"/>
    </row>
    <row r="827" spans="1:14">
      <c r="A827" s="109"/>
      <c r="B827" s="110"/>
      <c r="C827" s="110"/>
      <c r="D827" s="110"/>
      <c r="E827" s="109"/>
      <c r="F827" s="111"/>
      <c r="G827" s="109"/>
      <c r="H827" s="109"/>
      <c r="I827" s="109"/>
      <c r="J827" s="109"/>
      <c r="K827" s="109"/>
      <c r="L827" s="109"/>
      <c r="M827" s="109"/>
      <c r="N827" s="109"/>
    </row>
    <row r="828" spans="1:14">
      <c r="A828" s="109"/>
      <c r="B828" s="110"/>
      <c r="C828" s="110"/>
      <c r="D828" s="110"/>
      <c r="E828" s="109"/>
      <c r="F828" s="111"/>
      <c r="G828" s="109"/>
      <c r="H828" s="109"/>
      <c r="I828" s="109"/>
      <c r="J828" s="109"/>
      <c r="K828" s="109"/>
      <c r="L828" s="109"/>
      <c r="M828" s="109"/>
      <c r="N828" s="109"/>
    </row>
    <row r="829" spans="1:14">
      <c r="A829" s="109"/>
      <c r="B829" s="110"/>
      <c r="C829" s="110"/>
      <c r="D829" s="110"/>
      <c r="E829" s="109"/>
      <c r="F829" s="111"/>
      <c r="G829" s="109"/>
      <c r="H829" s="109"/>
      <c r="I829" s="109"/>
      <c r="J829" s="109"/>
      <c r="K829" s="109"/>
      <c r="L829" s="109"/>
      <c r="M829" s="109"/>
      <c r="N829" s="109"/>
    </row>
    <row r="830" spans="1:14">
      <c r="A830" s="109"/>
      <c r="B830" s="110"/>
      <c r="C830" s="110"/>
      <c r="D830" s="110"/>
      <c r="E830" s="109"/>
      <c r="F830" s="111"/>
      <c r="G830" s="109"/>
      <c r="H830" s="109"/>
      <c r="I830" s="109"/>
      <c r="J830" s="109"/>
      <c r="K830" s="109"/>
      <c r="L830" s="109"/>
      <c r="M830" s="109"/>
      <c r="N830" s="109"/>
    </row>
    <row r="831" spans="1:14">
      <c r="A831" s="109"/>
      <c r="B831" s="110"/>
      <c r="C831" s="110"/>
      <c r="D831" s="110"/>
      <c r="E831" s="109"/>
      <c r="F831" s="111"/>
      <c r="G831" s="109"/>
      <c r="H831" s="109"/>
      <c r="I831" s="109"/>
      <c r="J831" s="109"/>
      <c r="K831" s="109"/>
      <c r="L831" s="109"/>
      <c r="M831" s="109"/>
      <c r="N831" s="109"/>
    </row>
    <row r="832" spans="1:14">
      <c r="A832" s="109"/>
      <c r="B832" s="110"/>
      <c r="C832" s="110"/>
      <c r="D832" s="110"/>
      <c r="E832" s="109"/>
      <c r="F832" s="111"/>
      <c r="G832" s="109"/>
      <c r="H832" s="109"/>
      <c r="I832" s="109"/>
      <c r="J832" s="109"/>
      <c r="K832" s="109"/>
      <c r="L832" s="109"/>
      <c r="M832" s="109"/>
      <c r="N832" s="109"/>
    </row>
    <row r="833" spans="1:14">
      <c r="A833" s="109"/>
      <c r="B833" s="110"/>
      <c r="C833" s="110"/>
      <c r="D833" s="110"/>
      <c r="E833" s="109"/>
      <c r="F833" s="111"/>
      <c r="G833" s="109"/>
      <c r="H833" s="109"/>
      <c r="I833" s="109"/>
      <c r="J833" s="109"/>
      <c r="K833" s="109"/>
      <c r="L833" s="109"/>
      <c r="M833" s="109"/>
      <c r="N833" s="109"/>
    </row>
    <row r="834" spans="1:14">
      <c r="A834" s="109"/>
      <c r="B834" s="110"/>
      <c r="C834" s="110"/>
      <c r="D834" s="110"/>
      <c r="E834" s="109"/>
      <c r="F834" s="111"/>
      <c r="G834" s="109"/>
      <c r="H834" s="109"/>
      <c r="I834" s="109"/>
      <c r="J834" s="109"/>
      <c r="K834" s="109"/>
      <c r="L834" s="109"/>
      <c r="M834" s="109"/>
      <c r="N834" s="109"/>
    </row>
    <row r="835" spans="1:14">
      <c r="A835" s="109"/>
      <c r="B835" s="110"/>
      <c r="C835" s="110"/>
      <c r="D835" s="110"/>
      <c r="E835" s="109"/>
      <c r="F835" s="111"/>
      <c r="G835" s="109"/>
      <c r="H835" s="109"/>
      <c r="I835" s="109"/>
      <c r="J835" s="109"/>
      <c r="K835" s="109"/>
      <c r="L835" s="109"/>
      <c r="M835" s="109"/>
      <c r="N835" s="109"/>
    </row>
    <row r="836" spans="1:14">
      <c r="A836" s="109"/>
      <c r="B836" s="110"/>
      <c r="C836" s="110"/>
      <c r="D836" s="110"/>
      <c r="E836" s="109"/>
      <c r="F836" s="111"/>
      <c r="G836" s="109"/>
      <c r="H836" s="109"/>
      <c r="I836" s="109"/>
      <c r="J836" s="109"/>
      <c r="K836" s="109"/>
      <c r="L836" s="109"/>
      <c r="M836" s="109"/>
      <c r="N836" s="109"/>
    </row>
    <row r="837" spans="1:14">
      <c r="A837" s="109"/>
      <c r="B837" s="110"/>
      <c r="C837" s="110"/>
      <c r="D837" s="110"/>
      <c r="E837" s="109"/>
      <c r="F837" s="111"/>
      <c r="G837" s="109"/>
      <c r="H837" s="109"/>
      <c r="I837" s="109"/>
      <c r="J837" s="109"/>
      <c r="K837" s="109"/>
      <c r="L837" s="109"/>
      <c r="M837" s="109"/>
      <c r="N837" s="109"/>
    </row>
    <row r="838" spans="1:14">
      <c r="A838" s="109"/>
      <c r="B838" s="110"/>
      <c r="C838" s="110"/>
      <c r="D838" s="110"/>
      <c r="E838" s="109"/>
      <c r="F838" s="111"/>
      <c r="G838" s="109"/>
      <c r="H838" s="109"/>
      <c r="I838" s="109"/>
      <c r="J838" s="109"/>
      <c r="K838" s="109"/>
      <c r="L838" s="109"/>
      <c r="M838" s="109"/>
      <c r="N838" s="109"/>
    </row>
    <row r="839" spans="1:14">
      <c r="A839" s="109"/>
      <c r="B839" s="110"/>
      <c r="C839" s="110"/>
      <c r="D839" s="110"/>
      <c r="E839" s="109"/>
      <c r="F839" s="111"/>
      <c r="G839" s="109"/>
      <c r="H839" s="109"/>
      <c r="I839" s="109"/>
      <c r="J839" s="109"/>
      <c r="K839" s="109"/>
      <c r="L839" s="109"/>
      <c r="M839" s="109"/>
      <c r="N839" s="109"/>
    </row>
    <row r="840" spans="1:14">
      <c r="A840" s="109"/>
      <c r="B840" s="110"/>
      <c r="C840" s="110"/>
      <c r="D840" s="110"/>
      <c r="E840" s="109"/>
      <c r="F840" s="111"/>
      <c r="G840" s="109"/>
      <c r="H840" s="109"/>
      <c r="I840" s="109"/>
      <c r="J840" s="109"/>
      <c r="K840" s="109"/>
      <c r="L840" s="109"/>
      <c r="M840" s="109"/>
      <c r="N840" s="109"/>
    </row>
    <row r="841" spans="1:14">
      <c r="A841" s="109"/>
      <c r="B841" s="110"/>
      <c r="C841" s="110"/>
      <c r="D841" s="110"/>
      <c r="E841" s="109"/>
      <c r="F841" s="111"/>
      <c r="G841" s="109"/>
      <c r="H841" s="109"/>
      <c r="I841" s="109"/>
      <c r="J841" s="109"/>
      <c r="K841" s="109"/>
      <c r="L841" s="109"/>
      <c r="M841" s="109"/>
      <c r="N841" s="109"/>
    </row>
    <row r="842" spans="1:14">
      <c r="A842" s="109"/>
      <c r="B842" s="110"/>
      <c r="C842" s="110"/>
      <c r="D842" s="110"/>
      <c r="E842" s="109"/>
      <c r="F842" s="111"/>
      <c r="G842" s="109"/>
      <c r="H842" s="109"/>
      <c r="I842" s="109"/>
      <c r="J842" s="109"/>
      <c r="K842" s="109"/>
      <c r="L842" s="109"/>
      <c r="M842" s="109"/>
      <c r="N842" s="109"/>
    </row>
    <row r="843" spans="1:14">
      <c r="A843" s="109"/>
      <c r="B843" s="110"/>
      <c r="C843" s="110"/>
      <c r="D843" s="110"/>
      <c r="E843" s="109"/>
      <c r="F843" s="111"/>
      <c r="G843" s="109"/>
      <c r="H843" s="109"/>
      <c r="I843" s="109"/>
      <c r="J843" s="109"/>
      <c r="K843" s="109"/>
      <c r="L843" s="109"/>
      <c r="M843" s="109"/>
      <c r="N843" s="109"/>
    </row>
    <row r="844" spans="1:14">
      <c r="A844" s="109"/>
      <c r="B844" s="110"/>
      <c r="C844" s="110"/>
      <c r="D844" s="110"/>
      <c r="E844" s="109"/>
      <c r="F844" s="111"/>
      <c r="G844" s="109"/>
      <c r="H844" s="109"/>
      <c r="I844" s="109"/>
      <c r="J844" s="109"/>
      <c r="K844" s="109"/>
      <c r="L844" s="109"/>
      <c r="M844" s="109"/>
      <c r="N844" s="109"/>
    </row>
    <row r="845" spans="1:14">
      <c r="A845" s="109"/>
      <c r="B845" s="110"/>
      <c r="C845" s="110"/>
      <c r="D845" s="110"/>
      <c r="E845" s="109"/>
      <c r="F845" s="111"/>
      <c r="G845" s="109"/>
      <c r="H845" s="109"/>
      <c r="I845" s="109"/>
      <c r="J845" s="109"/>
      <c r="K845" s="109"/>
      <c r="L845" s="109"/>
      <c r="M845" s="109"/>
      <c r="N845" s="109"/>
    </row>
    <row r="846" spans="1:14">
      <c r="A846" s="109"/>
      <c r="B846" s="110"/>
      <c r="C846" s="110"/>
      <c r="D846" s="110"/>
      <c r="E846" s="109"/>
      <c r="F846" s="111"/>
      <c r="G846" s="109"/>
      <c r="H846" s="109"/>
      <c r="I846" s="109"/>
      <c r="J846" s="109"/>
      <c r="K846" s="109"/>
      <c r="L846" s="109"/>
      <c r="M846" s="109"/>
      <c r="N846" s="109"/>
    </row>
    <row r="847" spans="1:14">
      <c r="A847" s="109"/>
      <c r="B847" s="110"/>
      <c r="C847" s="110"/>
      <c r="D847" s="110"/>
      <c r="E847" s="109"/>
      <c r="F847" s="111"/>
      <c r="G847" s="109"/>
      <c r="H847" s="109"/>
      <c r="I847" s="109"/>
      <c r="J847" s="109"/>
      <c r="K847" s="109"/>
      <c r="L847" s="109"/>
      <c r="M847" s="109"/>
      <c r="N847" s="109"/>
    </row>
    <row r="848" spans="1:14">
      <c r="A848" s="109"/>
      <c r="B848" s="110"/>
      <c r="C848" s="110"/>
      <c r="D848" s="110"/>
      <c r="E848" s="109"/>
      <c r="F848" s="111"/>
      <c r="G848" s="109"/>
      <c r="H848" s="109"/>
      <c r="I848" s="109"/>
      <c r="J848" s="109"/>
      <c r="K848" s="109"/>
      <c r="L848" s="109"/>
      <c r="M848" s="109"/>
      <c r="N848" s="109"/>
    </row>
    <row r="849" spans="1:14">
      <c r="A849" s="109"/>
      <c r="B849" s="110"/>
      <c r="C849" s="110"/>
      <c r="D849" s="110"/>
      <c r="E849" s="109"/>
      <c r="F849" s="111"/>
      <c r="G849" s="109"/>
      <c r="H849" s="109"/>
      <c r="I849" s="109"/>
      <c r="J849" s="109"/>
      <c r="K849" s="109"/>
      <c r="L849" s="109"/>
      <c r="M849" s="109"/>
      <c r="N849" s="109"/>
    </row>
    <row r="850" spans="1:14">
      <c r="A850" s="109"/>
      <c r="B850" s="110"/>
      <c r="C850" s="110"/>
      <c r="D850" s="110"/>
      <c r="E850" s="109"/>
      <c r="F850" s="111"/>
      <c r="G850" s="109"/>
      <c r="H850" s="109"/>
      <c r="I850" s="109"/>
      <c r="J850" s="109"/>
      <c r="K850" s="109"/>
      <c r="L850" s="109"/>
      <c r="M850" s="109"/>
      <c r="N850" s="109"/>
    </row>
    <row r="851" spans="1:14">
      <c r="A851" s="109"/>
      <c r="B851" s="110"/>
      <c r="C851" s="110"/>
      <c r="D851" s="110"/>
      <c r="E851" s="109"/>
      <c r="F851" s="111"/>
      <c r="G851" s="109"/>
      <c r="H851" s="109"/>
      <c r="I851" s="109"/>
      <c r="J851" s="109"/>
      <c r="K851" s="109"/>
      <c r="L851" s="109"/>
      <c r="M851" s="109"/>
      <c r="N851" s="109"/>
    </row>
    <row r="852" spans="1:14">
      <c r="A852" s="109"/>
      <c r="B852" s="110"/>
      <c r="C852" s="110"/>
      <c r="D852" s="110"/>
      <c r="E852" s="109"/>
      <c r="F852" s="111"/>
      <c r="G852" s="109"/>
      <c r="H852" s="109"/>
      <c r="I852" s="109"/>
      <c r="J852" s="109"/>
      <c r="K852" s="109"/>
      <c r="L852" s="109"/>
      <c r="M852" s="109"/>
      <c r="N852" s="109"/>
    </row>
    <row r="853" spans="1:14">
      <c r="A853" s="109"/>
      <c r="B853" s="110"/>
      <c r="C853" s="110"/>
      <c r="D853" s="110"/>
      <c r="E853" s="109"/>
      <c r="F853" s="111"/>
      <c r="G853" s="109"/>
      <c r="H853" s="109"/>
      <c r="I853" s="109"/>
      <c r="J853" s="109"/>
      <c r="K853" s="109"/>
      <c r="L853" s="109"/>
      <c r="M853" s="109"/>
      <c r="N853" s="109"/>
    </row>
    <row r="854" spans="1:14">
      <c r="A854" s="109"/>
      <c r="B854" s="110"/>
      <c r="C854" s="110"/>
      <c r="D854" s="110"/>
      <c r="E854" s="109"/>
      <c r="F854" s="111"/>
      <c r="G854" s="109"/>
      <c r="H854" s="109"/>
      <c r="I854" s="109"/>
      <c r="J854" s="109"/>
      <c r="K854" s="109"/>
      <c r="L854" s="109"/>
      <c r="M854" s="109"/>
      <c r="N854" s="109"/>
    </row>
    <row r="855" spans="1:14">
      <c r="A855" s="109"/>
      <c r="B855" s="110"/>
      <c r="C855" s="110"/>
      <c r="D855" s="110"/>
      <c r="E855" s="109"/>
      <c r="F855" s="111"/>
      <c r="G855" s="109"/>
      <c r="H855" s="109"/>
      <c r="I855" s="109"/>
      <c r="J855" s="109"/>
      <c r="K855" s="109"/>
      <c r="L855" s="109"/>
      <c r="M855" s="109"/>
      <c r="N855" s="109"/>
    </row>
    <row r="856" spans="1:14">
      <c r="A856" s="109"/>
      <c r="B856" s="110"/>
      <c r="C856" s="110"/>
      <c r="D856" s="110"/>
      <c r="E856" s="109"/>
      <c r="F856" s="111"/>
      <c r="G856" s="109"/>
      <c r="H856" s="109"/>
      <c r="I856" s="109"/>
      <c r="J856" s="109"/>
      <c r="K856" s="109"/>
      <c r="L856" s="109"/>
      <c r="M856" s="109"/>
      <c r="N856" s="109"/>
    </row>
    <row r="857" spans="1:14">
      <c r="A857" s="109"/>
      <c r="B857" s="110"/>
      <c r="C857" s="110"/>
      <c r="D857" s="110"/>
      <c r="E857" s="109"/>
      <c r="F857" s="111"/>
      <c r="G857" s="109"/>
      <c r="H857" s="109"/>
      <c r="I857" s="109"/>
      <c r="J857" s="109"/>
      <c r="K857" s="109"/>
      <c r="L857" s="109"/>
      <c r="M857" s="109"/>
      <c r="N857" s="109"/>
    </row>
    <row r="858" spans="1:14">
      <c r="A858" s="109"/>
      <c r="B858" s="110"/>
      <c r="C858" s="110"/>
      <c r="D858" s="110"/>
      <c r="E858" s="109"/>
      <c r="F858" s="111"/>
      <c r="G858" s="109"/>
      <c r="H858" s="109"/>
      <c r="I858" s="109"/>
      <c r="J858" s="109"/>
      <c r="K858" s="109"/>
      <c r="L858" s="109"/>
      <c r="M858" s="109"/>
      <c r="N858" s="109"/>
    </row>
    <row r="859" spans="1:14">
      <c r="A859" s="109"/>
      <c r="B859" s="110"/>
      <c r="C859" s="110"/>
      <c r="D859" s="110"/>
      <c r="E859" s="109"/>
      <c r="F859" s="111"/>
      <c r="G859" s="109"/>
      <c r="H859" s="109"/>
      <c r="I859" s="109"/>
      <c r="J859" s="109"/>
      <c r="K859" s="109"/>
      <c r="L859" s="109"/>
      <c r="M859" s="109"/>
      <c r="N859" s="109"/>
    </row>
    <row r="860" spans="1:14">
      <c r="A860" s="109"/>
      <c r="B860" s="110"/>
      <c r="C860" s="110"/>
      <c r="D860" s="110"/>
      <c r="E860" s="109"/>
      <c r="F860" s="111"/>
      <c r="G860" s="109"/>
      <c r="H860" s="109"/>
      <c r="I860" s="109"/>
      <c r="J860" s="109"/>
      <c r="K860" s="109"/>
      <c r="L860" s="109"/>
      <c r="M860" s="109"/>
      <c r="N860" s="109"/>
    </row>
    <row r="861" spans="1:14">
      <c r="A861" s="109"/>
      <c r="B861" s="110"/>
      <c r="C861" s="110"/>
      <c r="D861" s="110"/>
      <c r="E861" s="109"/>
      <c r="F861" s="111"/>
      <c r="G861" s="109"/>
      <c r="H861" s="109"/>
      <c r="I861" s="109"/>
      <c r="J861" s="109"/>
      <c r="K861" s="109"/>
      <c r="L861" s="109"/>
      <c r="M861" s="109"/>
      <c r="N861" s="109"/>
    </row>
    <row r="862" spans="1:14">
      <c r="A862" s="109"/>
      <c r="B862" s="110"/>
      <c r="C862" s="110"/>
      <c r="D862" s="110"/>
      <c r="E862" s="109"/>
      <c r="F862" s="111"/>
      <c r="G862" s="109"/>
      <c r="H862" s="109"/>
      <c r="I862" s="109"/>
      <c r="J862" s="109"/>
      <c r="K862" s="109"/>
      <c r="L862" s="109"/>
      <c r="M862" s="109"/>
      <c r="N862" s="109"/>
    </row>
    <row r="863" spans="1:14">
      <c r="A863" s="109"/>
      <c r="B863" s="110"/>
      <c r="C863" s="110"/>
      <c r="D863" s="110"/>
      <c r="E863" s="109"/>
      <c r="F863" s="111"/>
      <c r="G863" s="109"/>
      <c r="H863" s="109"/>
      <c r="I863" s="109"/>
      <c r="J863" s="109"/>
      <c r="K863" s="109"/>
      <c r="L863" s="109"/>
      <c r="M863" s="109"/>
      <c r="N863" s="109"/>
    </row>
    <row r="864" spans="1:14">
      <c r="A864" s="109"/>
      <c r="B864" s="110"/>
      <c r="C864" s="110"/>
      <c r="D864" s="110"/>
      <c r="E864" s="109"/>
      <c r="F864" s="111"/>
      <c r="G864" s="109"/>
      <c r="H864" s="109"/>
      <c r="I864" s="109"/>
      <c r="J864" s="109"/>
      <c r="K864" s="109"/>
      <c r="L864" s="109"/>
      <c r="M864" s="109"/>
      <c r="N864" s="109"/>
    </row>
    <row r="865" spans="1:14">
      <c r="A865" s="109"/>
      <c r="B865" s="110"/>
      <c r="C865" s="110"/>
      <c r="D865" s="110"/>
      <c r="E865" s="109"/>
      <c r="F865" s="111"/>
      <c r="G865" s="109"/>
      <c r="H865" s="109"/>
      <c r="I865" s="109"/>
      <c r="J865" s="109"/>
      <c r="K865" s="109"/>
      <c r="L865" s="109"/>
      <c r="M865" s="109"/>
      <c r="N865" s="109"/>
    </row>
    <row r="866" spans="1:14">
      <c r="A866" s="109"/>
      <c r="B866" s="110"/>
      <c r="C866" s="110"/>
      <c r="D866" s="110"/>
      <c r="E866" s="109"/>
      <c r="F866" s="111"/>
      <c r="G866" s="109"/>
      <c r="H866" s="109"/>
      <c r="I866" s="109"/>
      <c r="J866" s="109"/>
      <c r="K866" s="109"/>
      <c r="L866" s="109"/>
      <c r="M866" s="109"/>
      <c r="N866" s="109"/>
    </row>
    <row r="867" spans="1:14">
      <c r="A867" s="109"/>
      <c r="B867" s="110"/>
      <c r="C867" s="110"/>
      <c r="D867" s="110"/>
      <c r="E867" s="109"/>
      <c r="F867" s="111"/>
      <c r="G867" s="109"/>
      <c r="H867" s="109"/>
      <c r="I867" s="109"/>
      <c r="J867" s="109"/>
      <c r="K867" s="109"/>
      <c r="L867" s="109"/>
      <c r="M867" s="109"/>
      <c r="N867" s="109"/>
    </row>
    <row r="868" spans="1:14">
      <c r="A868" s="109"/>
      <c r="B868" s="110"/>
      <c r="C868" s="110"/>
      <c r="D868" s="110"/>
      <c r="E868" s="109"/>
      <c r="F868" s="111"/>
      <c r="G868" s="109"/>
      <c r="H868" s="109"/>
      <c r="I868" s="109"/>
      <c r="J868" s="109"/>
      <c r="K868" s="109"/>
      <c r="L868" s="109"/>
      <c r="M868" s="109"/>
      <c r="N868" s="109"/>
    </row>
    <row r="869" spans="1:14">
      <c r="A869" s="109"/>
      <c r="B869" s="110"/>
      <c r="C869" s="110"/>
      <c r="D869" s="110"/>
      <c r="E869" s="109"/>
      <c r="F869" s="111"/>
      <c r="G869" s="109"/>
      <c r="H869" s="109"/>
      <c r="I869" s="109"/>
      <c r="J869" s="109"/>
      <c r="K869" s="109"/>
      <c r="L869" s="109"/>
      <c r="M869" s="109"/>
      <c r="N869" s="109"/>
    </row>
    <row r="870" spans="1:14">
      <c r="A870" s="109"/>
      <c r="B870" s="110"/>
      <c r="C870" s="110"/>
      <c r="D870" s="110"/>
      <c r="E870" s="109"/>
      <c r="F870" s="111"/>
      <c r="G870" s="109"/>
      <c r="H870" s="109"/>
      <c r="I870" s="109"/>
      <c r="J870" s="109"/>
      <c r="K870" s="109"/>
      <c r="L870" s="109"/>
      <c r="M870" s="109"/>
      <c r="N870" s="109"/>
    </row>
    <row r="871" spans="1:14">
      <c r="A871" s="109"/>
      <c r="B871" s="110"/>
      <c r="C871" s="110"/>
      <c r="D871" s="110"/>
      <c r="E871" s="109"/>
      <c r="F871" s="111"/>
      <c r="G871" s="109"/>
      <c r="H871" s="109"/>
      <c r="I871" s="109"/>
      <c r="J871" s="109"/>
      <c r="K871" s="109"/>
      <c r="L871" s="109"/>
      <c r="M871" s="109"/>
      <c r="N871" s="109"/>
    </row>
    <row r="872" spans="1:14">
      <c r="A872" s="109"/>
      <c r="B872" s="110"/>
      <c r="C872" s="110"/>
      <c r="D872" s="110"/>
      <c r="E872" s="109"/>
      <c r="F872" s="111"/>
      <c r="G872" s="109"/>
      <c r="H872" s="109"/>
      <c r="I872" s="109"/>
      <c r="J872" s="109"/>
      <c r="K872" s="109"/>
      <c r="L872" s="109"/>
      <c r="M872" s="109"/>
      <c r="N872" s="109"/>
    </row>
    <row r="873" spans="1:14">
      <c r="A873" s="109"/>
      <c r="B873" s="110"/>
      <c r="C873" s="110"/>
      <c r="D873" s="110"/>
      <c r="E873" s="109"/>
      <c r="F873" s="111"/>
      <c r="G873" s="109"/>
      <c r="H873" s="109"/>
      <c r="I873" s="109"/>
      <c r="J873" s="109"/>
      <c r="K873" s="109"/>
      <c r="L873" s="109"/>
      <c r="M873" s="109"/>
      <c r="N873" s="109"/>
    </row>
    <row r="874" spans="1:14">
      <c r="A874" s="109"/>
      <c r="B874" s="110"/>
      <c r="C874" s="110"/>
      <c r="D874" s="110"/>
      <c r="E874" s="109"/>
      <c r="F874" s="111"/>
      <c r="G874" s="109"/>
      <c r="H874" s="109"/>
      <c r="I874" s="109"/>
      <c r="J874" s="109"/>
      <c r="K874" s="109"/>
      <c r="L874" s="109"/>
      <c r="M874" s="109"/>
      <c r="N874" s="109"/>
    </row>
    <row r="875" spans="1:14">
      <c r="A875" s="109"/>
      <c r="B875" s="110"/>
      <c r="C875" s="110"/>
      <c r="D875" s="110"/>
      <c r="E875" s="109"/>
      <c r="F875" s="111"/>
      <c r="G875" s="109"/>
      <c r="H875" s="109"/>
      <c r="I875" s="109"/>
      <c r="J875" s="109"/>
      <c r="K875" s="109"/>
      <c r="L875" s="109"/>
      <c r="M875" s="109"/>
      <c r="N875" s="109"/>
    </row>
    <row r="876" spans="1:14">
      <c r="A876" s="109"/>
      <c r="B876" s="110"/>
      <c r="C876" s="110"/>
      <c r="D876" s="110"/>
      <c r="E876" s="109"/>
      <c r="F876" s="111"/>
      <c r="G876" s="109"/>
      <c r="H876" s="109"/>
      <c r="I876" s="109"/>
      <c r="J876" s="109"/>
      <c r="K876" s="109"/>
      <c r="L876" s="109"/>
      <c r="M876" s="109"/>
      <c r="N876" s="109"/>
    </row>
    <row r="877" spans="1:14">
      <c r="A877" s="109"/>
      <c r="B877" s="110"/>
      <c r="C877" s="110"/>
      <c r="D877" s="110"/>
      <c r="E877" s="109"/>
      <c r="F877" s="111"/>
      <c r="G877" s="109"/>
      <c r="H877" s="109"/>
      <c r="I877" s="109"/>
      <c r="J877" s="109"/>
      <c r="K877" s="109"/>
      <c r="L877" s="109"/>
      <c r="M877" s="109"/>
      <c r="N877" s="109"/>
    </row>
    <row r="878" spans="1:14">
      <c r="A878" s="109"/>
      <c r="B878" s="110"/>
      <c r="C878" s="110"/>
      <c r="D878" s="110"/>
      <c r="E878" s="109"/>
      <c r="F878" s="111"/>
      <c r="G878" s="109"/>
      <c r="H878" s="109"/>
      <c r="I878" s="109"/>
      <c r="J878" s="109"/>
      <c r="K878" s="109"/>
      <c r="L878" s="109"/>
      <c r="M878" s="109"/>
      <c r="N878" s="109"/>
    </row>
    <row r="879" spans="1:14">
      <c r="A879" s="109"/>
      <c r="B879" s="110"/>
      <c r="C879" s="110"/>
      <c r="D879" s="110"/>
      <c r="E879" s="109"/>
      <c r="F879" s="111"/>
      <c r="G879" s="109"/>
      <c r="H879" s="109"/>
      <c r="I879" s="109"/>
      <c r="J879" s="109"/>
      <c r="K879" s="109"/>
      <c r="L879" s="109"/>
      <c r="M879" s="109"/>
      <c r="N879" s="109"/>
    </row>
    <row r="880" spans="1:14">
      <c r="A880" s="109"/>
      <c r="B880" s="110"/>
      <c r="C880" s="110"/>
      <c r="D880" s="110"/>
      <c r="E880" s="109"/>
      <c r="F880" s="111"/>
      <c r="G880" s="109"/>
      <c r="H880" s="109"/>
      <c r="I880" s="109"/>
      <c r="J880" s="109"/>
      <c r="K880" s="109"/>
      <c r="L880" s="109"/>
      <c r="M880" s="109"/>
      <c r="N880" s="109"/>
    </row>
    <row r="881" spans="1:14">
      <c r="A881" s="109"/>
      <c r="B881" s="110"/>
      <c r="C881" s="110"/>
      <c r="D881" s="110"/>
      <c r="E881" s="109"/>
      <c r="F881" s="111"/>
      <c r="G881" s="109"/>
      <c r="H881" s="109"/>
      <c r="I881" s="109"/>
      <c r="J881" s="109"/>
      <c r="K881" s="109"/>
      <c r="L881" s="109"/>
      <c r="M881" s="109"/>
      <c r="N881" s="109"/>
    </row>
    <row r="882" spans="1:14">
      <c r="A882" s="109"/>
      <c r="B882" s="110"/>
      <c r="C882" s="110"/>
      <c r="D882" s="110"/>
      <c r="E882" s="109"/>
      <c r="F882" s="111"/>
      <c r="G882" s="109"/>
      <c r="H882" s="109"/>
      <c r="I882" s="109"/>
      <c r="J882" s="109"/>
      <c r="K882" s="109"/>
      <c r="L882" s="109"/>
      <c r="M882" s="109"/>
      <c r="N882" s="109"/>
    </row>
    <row r="883" spans="1:14">
      <c r="A883" s="109"/>
      <c r="B883" s="110"/>
      <c r="C883" s="110"/>
      <c r="D883" s="110"/>
      <c r="E883" s="109"/>
      <c r="F883" s="111"/>
      <c r="G883" s="109"/>
      <c r="H883" s="109"/>
      <c r="I883" s="109"/>
      <c r="J883" s="109"/>
      <c r="K883" s="109"/>
      <c r="L883" s="109"/>
      <c r="M883" s="109"/>
      <c r="N883" s="109"/>
    </row>
    <row r="884" spans="1:14">
      <c r="A884" s="109"/>
      <c r="B884" s="110"/>
      <c r="C884" s="110"/>
      <c r="D884" s="110"/>
      <c r="E884" s="109"/>
      <c r="F884" s="111"/>
      <c r="G884" s="109"/>
      <c r="H884" s="109"/>
      <c r="I884" s="109"/>
      <c r="J884" s="109"/>
      <c r="K884" s="109"/>
      <c r="L884" s="109"/>
      <c r="M884" s="109"/>
      <c r="N884" s="109"/>
    </row>
    <row r="885" spans="1:14">
      <c r="A885" s="109"/>
      <c r="B885" s="110"/>
      <c r="C885" s="110"/>
      <c r="D885" s="110"/>
      <c r="E885" s="109"/>
      <c r="F885" s="111"/>
      <c r="G885" s="109"/>
      <c r="H885" s="109"/>
      <c r="I885" s="109"/>
      <c r="J885" s="109"/>
      <c r="K885" s="109"/>
      <c r="L885" s="109"/>
      <c r="M885" s="109"/>
      <c r="N885" s="109"/>
    </row>
    <row r="886" spans="1:14">
      <c r="A886" s="109"/>
      <c r="B886" s="110"/>
      <c r="C886" s="110"/>
      <c r="D886" s="110"/>
      <c r="E886" s="109"/>
      <c r="F886" s="111"/>
      <c r="G886" s="109"/>
      <c r="H886" s="109"/>
      <c r="I886" s="109"/>
      <c r="J886" s="109"/>
      <c r="K886" s="109"/>
      <c r="L886" s="109"/>
      <c r="M886" s="109"/>
      <c r="N886" s="109"/>
    </row>
    <row r="887" spans="1:14">
      <c r="A887" s="109"/>
      <c r="B887" s="110"/>
      <c r="C887" s="110"/>
      <c r="D887" s="110"/>
      <c r="E887" s="109"/>
      <c r="F887" s="111"/>
      <c r="G887" s="109"/>
      <c r="H887" s="109"/>
      <c r="I887" s="109"/>
      <c r="J887" s="109"/>
      <c r="K887" s="109"/>
      <c r="L887" s="109"/>
      <c r="M887" s="109"/>
      <c r="N887" s="109"/>
    </row>
    <row r="888" spans="1:14">
      <c r="A888" s="109"/>
      <c r="B888" s="110"/>
      <c r="C888" s="110"/>
      <c r="D888" s="110"/>
      <c r="E888" s="109"/>
      <c r="F888" s="111"/>
      <c r="G888" s="109"/>
      <c r="H888" s="109"/>
      <c r="I888" s="109"/>
      <c r="J888" s="109"/>
      <c r="K888" s="109"/>
      <c r="L888" s="109"/>
      <c r="M888" s="109"/>
      <c r="N888" s="109"/>
    </row>
    <row r="889" spans="1:14">
      <c r="A889" s="109"/>
      <c r="B889" s="110"/>
      <c r="C889" s="110"/>
      <c r="D889" s="110"/>
      <c r="E889" s="109"/>
      <c r="F889" s="111"/>
      <c r="G889" s="109"/>
      <c r="H889" s="109"/>
      <c r="I889" s="109"/>
      <c r="J889" s="109"/>
      <c r="K889" s="109"/>
      <c r="L889" s="109"/>
      <c r="M889" s="109"/>
      <c r="N889" s="109"/>
    </row>
    <row r="890" spans="1:14">
      <c r="A890" s="109"/>
      <c r="B890" s="110"/>
      <c r="C890" s="110"/>
      <c r="D890" s="110"/>
      <c r="E890" s="109"/>
      <c r="F890" s="111"/>
      <c r="G890" s="109"/>
      <c r="H890" s="109"/>
      <c r="I890" s="109"/>
      <c r="J890" s="109"/>
      <c r="K890" s="109"/>
      <c r="L890" s="109"/>
      <c r="M890" s="109"/>
      <c r="N890" s="109"/>
    </row>
    <row r="891" spans="1:14">
      <c r="A891" s="109"/>
      <c r="B891" s="110"/>
      <c r="C891" s="110"/>
      <c r="D891" s="110"/>
      <c r="E891" s="109"/>
      <c r="F891" s="111"/>
      <c r="G891" s="109"/>
      <c r="H891" s="109"/>
      <c r="I891" s="109"/>
      <c r="J891" s="109"/>
      <c r="K891" s="109"/>
      <c r="L891" s="109"/>
      <c r="M891" s="109"/>
      <c r="N891" s="109"/>
    </row>
    <row r="892" spans="1:14">
      <c r="A892" s="109"/>
      <c r="B892" s="110"/>
      <c r="C892" s="110"/>
      <c r="D892" s="110"/>
      <c r="E892" s="109"/>
      <c r="F892" s="111"/>
      <c r="G892" s="109"/>
      <c r="H892" s="109"/>
      <c r="I892" s="109"/>
      <c r="J892" s="109"/>
      <c r="K892" s="109"/>
      <c r="L892" s="109"/>
      <c r="M892" s="109"/>
      <c r="N892" s="109"/>
    </row>
    <row r="893" spans="1:14">
      <c r="A893" s="109"/>
      <c r="B893" s="110"/>
      <c r="C893" s="110"/>
      <c r="D893" s="110"/>
      <c r="E893" s="109"/>
      <c r="F893" s="111"/>
      <c r="G893" s="109"/>
      <c r="H893" s="109"/>
      <c r="I893" s="109"/>
      <c r="J893" s="109"/>
      <c r="K893" s="109"/>
      <c r="L893" s="109"/>
      <c r="M893" s="109"/>
      <c r="N893" s="109"/>
    </row>
    <row r="894" spans="1:14">
      <c r="A894" s="109"/>
      <c r="B894" s="110"/>
      <c r="C894" s="110"/>
      <c r="D894" s="110"/>
      <c r="E894" s="109"/>
      <c r="F894" s="111"/>
      <c r="G894" s="109"/>
      <c r="H894" s="109"/>
      <c r="I894" s="109"/>
      <c r="J894" s="109"/>
      <c r="K894" s="109"/>
      <c r="L894" s="109"/>
      <c r="M894" s="109"/>
      <c r="N894" s="109"/>
    </row>
    <row r="895" spans="1:14">
      <c r="A895" s="109"/>
      <c r="B895" s="110"/>
      <c r="C895" s="110"/>
      <c r="D895" s="110"/>
      <c r="E895" s="109"/>
      <c r="F895" s="111"/>
      <c r="G895" s="109"/>
      <c r="H895" s="109"/>
      <c r="I895" s="109"/>
      <c r="J895" s="109"/>
      <c r="K895" s="109"/>
      <c r="L895" s="109"/>
      <c r="M895" s="109"/>
      <c r="N895" s="109"/>
    </row>
    <row r="896" spans="1:14">
      <c r="A896" s="109"/>
      <c r="B896" s="110"/>
      <c r="C896" s="110"/>
      <c r="D896" s="110"/>
      <c r="E896" s="109"/>
      <c r="F896" s="111"/>
      <c r="G896" s="109"/>
      <c r="H896" s="109"/>
      <c r="I896" s="109"/>
      <c r="J896" s="109"/>
      <c r="K896" s="109"/>
      <c r="L896" s="109"/>
      <c r="M896" s="109"/>
      <c r="N896" s="109"/>
    </row>
    <row r="897" spans="1:14">
      <c r="A897" s="109"/>
      <c r="B897" s="110"/>
      <c r="C897" s="110"/>
      <c r="D897" s="110"/>
      <c r="E897" s="109"/>
      <c r="F897" s="111"/>
      <c r="G897" s="109"/>
      <c r="H897" s="109"/>
      <c r="I897" s="109"/>
      <c r="J897" s="109"/>
      <c r="K897" s="109"/>
      <c r="L897" s="109"/>
      <c r="M897" s="109"/>
      <c r="N897" s="109"/>
    </row>
    <row r="898" spans="1:14">
      <c r="A898" s="109"/>
      <c r="B898" s="110"/>
      <c r="C898" s="110"/>
      <c r="D898" s="110"/>
      <c r="E898" s="109"/>
      <c r="F898" s="111"/>
      <c r="G898" s="109"/>
      <c r="H898" s="109"/>
      <c r="I898" s="109"/>
      <c r="J898" s="109"/>
      <c r="K898" s="109"/>
      <c r="L898" s="109"/>
      <c r="M898" s="109"/>
      <c r="N898" s="109"/>
    </row>
    <row r="899" spans="1:14">
      <c r="A899" s="109"/>
      <c r="B899" s="110"/>
      <c r="C899" s="110"/>
      <c r="D899" s="110"/>
      <c r="E899" s="109"/>
      <c r="F899" s="111"/>
      <c r="G899" s="109"/>
      <c r="H899" s="109"/>
      <c r="I899" s="109"/>
      <c r="J899" s="109"/>
      <c r="K899" s="109"/>
      <c r="L899" s="109"/>
      <c r="M899" s="109"/>
      <c r="N899" s="109"/>
    </row>
    <row r="900" spans="1:14">
      <c r="A900" s="109"/>
      <c r="B900" s="110"/>
      <c r="C900" s="110"/>
      <c r="D900" s="110"/>
      <c r="E900" s="109"/>
      <c r="F900" s="111"/>
      <c r="G900" s="109"/>
      <c r="H900" s="109"/>
      <c r="I900" s="109"/>
      <c r="J900" s="109"/>
      <c r="K900" s="109"/>
      <c r="L900" s="109"/>
      <c r="M900" s="109"/>
      <c r="N900" s="109"/>
    </row>
    <row r="901" spans="1:14">
      <c r="A901" s="109"/>
      <c r="B901" s="110"/>
      <c r="C901" s="110"/>
      <c r="D901" s="110"/>
      <c r="E901" s="109"/>
      <c r="F901" s="111"/>
      <c r="G901" s="109"/>
      <c r="H901" s="109"/>
      <c r="I901" s="109"/>
      <c r="J901" s="109"/>
      <c r="K901" s="109"/>
      <c r="L901" s="109"/>
      <c r="M901" s="109"/>
      <c r="N901" s="109"/>
    </row>
    <row r="902" spans="1:14">
      <c r="A902" s="109"/>
      <c r="B902" s="110"/>
      <c r="C902" s="110"/>
      <c r="D902" s="110"/>
      <c r="E902" s="109"/>
      <c r="F902" s="111"/>
      <c r="G902" s="109"/>
      <c r="H902" s="109"/>
      <c r="I902" s="109"/>
      <c r="J902" s="109"/>
      <c r="K902" s="109"/>
      <c r="L902" s="109"/>
      <c r="M902" s="109"/>
      <c r="N902" s="109"/>
    </row>
    <row r="903" spans="1:14">
      <c r="A903" s="109"/>
      <c r="B903" s="110"/>
      <c r="C903" s="110"/>
      <c r="D903" s="110"/>
      <c r="E903" s="109"/>
      <c r="F903" s="111"/>
      <c r="G903" s="109"/>
      <c r="H903" s="109"/>
      <c r="I903" s="109"/>
      <c r="J903" s="109"/>
      <c r="K903" s="109"/>
      <c r="L903" s="109"/>
      <c r="M903" s="109"/>
      <c r="N903" s="109"/>
    </row>
    <row r="904" spans="1:14">
      <c r="A904" s="109"/>
      <c r="B904" s="110"/>
      <c r="C904" s="110"/>
      <c r="D904" s="110"/>
      <c r="E904" s="109"/>
      <c r="F904" s="111"/>
      <c r="G904" s="109"/>
      <c r="H904" s="109"/>
      <c r="I904" s="109"/>
      <c r="J904" s="109"/>
      <c r="K904" s="109"/>
      <c r="L904" s="109"/>
      <c r="M904" s="109"/>
      <c r="N904" s="109"/>
    </row>
    <row r="905" spans="1:14">
      <c r="A905" s="109"/>
      <c r="B905" s="110"/>
      <c r="C905" s="110"/>
      <c r="D905" s="110"/>
      <c r="E905" s="109"/>
      <c r="F905" s="111"/>
      <c r="G905" s="109"/>
      <c r="H905" s="109"/>
      <c r="I905" s="109"/>
      <c r="J905" s="109"/>
      <c r="K905" s="109"/>
      <c r="L905" s="109"/>
      <c r="M905" s="109"/>
      <c r="N905" s="109"/>
    </row>
    <row r="906" spans="1:14">
      <c r="A906" s="109"/>
      <c r="B906" s="110"/>
      <c r="C906" s="110"/>
      <c r="D906" s="110"/>
      <c r="E906" s="109"/>
      <c r="F906" s="111"/>
      <c r="G906" s="109"/>
      <c r="H906" s="109"/>
      <c r="I906" s="109"/>
      <c r="J906" s="109"/>
      <c r="K906" s="109"/>
      <c r="L906" s="109"/>
      <c r="M906" s="109"/>
      <c r="N906" s="109"/>
    </row>
    <row r="907" spans="1:14">
      <c r="A907" s="109"/>
      <c r="B907" s="110"/>
      <c r="C907" s="110"/>
      <c r="D907" s="110"/>
      <c r="E907" s="109"/>
      <c r="F907" s="111"/>
      <c r="G907" s="109"/>
      <c r="H907" s="109"/>
      <c r="I907" s="109"/>
      <c r="J907" s="109"/>
      <c r="K907" s="109"/>
      <c r="L907" s="109"/>
      <c r="M907" s="109"/>
      <c r="N907" s="109"/>
    </row>
    <row r="908" spans="1:14">
      <c r="A908" s="109"/>
      <c r="B908" s="110"/>
      <c r="C908" s="110"/>
      <c r="D908" s="110"/>
      <c r="E908" s="109"/>
      <c r="F908" s="111"/>
      <c r="G908" s="109"/>
      <c r="H908" s="109"/>
      <c r="I908" s="109"/>
      <c r="J908" s="109"/>
      <c r="K908" s="109"/>
      <c r="L908" s="109"/>
      <c r="M908" s="109"/>
      <c r="N908" s="109"/>
    </row>
    <row r="909" spans="1:14">
      <c r="A909" s="109"/>
      <c r="B909" s="110"/>
      <c r="C909" s="110"/>
      <c r="D909" s="110"/>
      <c r="E909" s="109"/>
      <c r="F909" s="111"/>
      <c r="G909" s="109"/>
      <c r="H909" s="109"/>
      <c r="I909" s="109"/>
      <c r="J909" s="109"/>
      <c r="K909" s="109"/>
      <c r="L909" s="109"/>
      <c r="M909" s="109"/>
      <c r="N909" s="109"/>
    </row>
    <row r="910" spans="1:14">
      <c r="A910" s="109"/>
      <c r="B910" s="110"/>
      <c r="C910" s="110"/>
      <c r="D910" s="110"/>
      <c r="E910" s="109"/>
      <c r="F910" s="111"/>
      <c r="G910" s="109"/>
      <c r="H910" s="109"/>
      <c r="I910" s="109"/>
      <c r="J910" s="109"/>
      <c r="K910" s="109"/>
      <c r="L910" s="109"/>
      <c r="M910" s="109"/>
      <c r="N910" s="109"/>
    </row>
    <row r="911" spans="1:14">
      <c r="A911" s="109"/>
      <c r="B911" s="110"/>
      <c r="C911" s="110"/>
      <c r="D911" s="110"/>
      <c r="E911" s="109"/>
      <c r="F911" s="111"/>
      <c r="G911" s="109"/>
      <c r="H911" s="109"/>
      <c r="I911" s="109"/>
      <c r="J911" s="109"/>
      <c r="K911" s="109"/>
      <c r="L911" s="109"/>
      <c r="M911" s="109"/>
      <c r="N911" s="109"/>
    </row>
    <row r="912" spans="1:14">
      <c r="A912" s="109"/>
      <c r="B912" s="110"/>
      <c r="C912" s="110"/>
      <c r="D912" s="110"/>
      <c r="E912" s="109"/>
      <c r="F912" s="111"/>
      <c r="G912" s="109"/>
      <c r="H912" s="109"/>
      <c r="I912" s="109"/>
      <c r="J912" s="109"/>
      <c r="K912" s="109"/>
      <c r="L912" s="109"/>
      <c r="M912" s="109"/>
      <c r="N912" s="109"/>
    </row>
    <row r="913" spans="1:14">
      <c r="A913" s="109"/>
      <c r="B913" s="110"/>
      <c r="C913" s="110"/>
      <c r="D913" s="110"/>
      <c r="E913" s="109"/>
      <c r="F913" s="111"/>
      <c r="G913" s="109"/>
      <c r="H913" s="109"/>
      <c r="I913" s="109"/>
      <c r="J913" s="109"/>
      <c r="K913" s="109"/>
      <c r="L913" s="109"/>
      <c r="M913" s="109"/>
      <c r="N913" s="109"/>
    </row>
    <row r="914" spans="1:14">
      <c r="A914" s="109"/>
      <c r="B914" s="110"/>
      <c r="C914" s="110"/>
      <c r="D914" s="110"/>
      <c r="E914" s="109"/>
      <c r="F914" s="111"/>
      <c r="G914" s="109"/>
      <c r="H914" s="109"/>
      <c r="I914" s="109"/>
      <c r="J914" s="109"/>
      <c r="K914" s="109"/>
      <c r="L914" s="109"/>
      <c r="M914" s="109"/>
      <c r="N914" s="109"/>
    </row>
    <row r="915" spans="1:14">
      <c r="A915" s="109"/>
      <c r="B915" s="110"/>
      <c r="C915" s="110"/>
      <c r="D915" s="110"/>
      <c r="E915" s="109"/>
      <c r="F915" s="111"/>
      <c r="G915" s="109"/>
      <c r="H915" s="109"/>
      <c r="I915" s="109"/>
      <c r="J915" s="109"/>
      <c r="K915" s="109"/>
      <c r="L915" s="109"/>
      <c r="M915" s="109"/>
      <c r="N915" s="109"/>
    </row>
    <row r="916" spans="1:14">
      <c r="A916" s="109"/>
      <c r="B916" s="110"/>
      <c r="C916" s="110"/>
      <c r="D916" s="110"/>
      <c r="E916" s="109"/>
      <c r="F916" s="111"/>
      <c r="G916" s="109"/>
      <c r="H916" s="109"/>
      <c r="I916" s="109"/>
      <c r="J916" s="109"/>
      <c r="K916" s="109"/>
      <c r="L916" s="109"/>
      <c r="M916" s="109"/>
      <c r="N916" s="109"/>
    </row>
    <row r="917" spans="1:14">
      <c r="A917" s="109"/>
      <c r="B917" s="110"/>
      <c r="C917" s="110"/>
      <c r="D917" s="110"/>
      <c r="E917" s="109"/>
      <c r="F917" s="111"/>
      <c r="G917" s="109"/>
      <c r="H917" s="109"/>
      <c r="I917" s="109"/>
      <c r="J917" s="109"/>
      <c r="K917" s="109"/>
      <c r="L917" s="109"/>
      <c r="M917" s="109"/>
      <c r="N917" s="109"/>
    </row>
    <row r="918" spans="1:14">
      <c r="A918" s="109"/>
      <c r="B918" s="110"/>
      <c r="C918" s="110"/>
      <c r="D918" s="110"/>
      <c r="E918" s="109"/>
      <c r="F918" s="111"/>
      <c r="G918" s="109"/>
      <c r="H918" s="109"/>
      <c r="I918" s="109"/>
      <c r="J918" s="109"/>
      <c r="K918" s="109"/>
      <c r="L918" s="109"/>
      <c r="M918" s="109"/>
      <c r="N918" s="109"/>
    </row>
    <row r="919" spans="1:14">
      <c r="A919" s="109"/>
      <c r="B919" s="110"/>
      <c r="C919" s="110"/>
      <c r="D919" s="110"/>
      <c r="E919" s="109"/>
      <c r="F919" s="111"/>
      <c r="G919" s="109"/>
      <c r="H919" s="109"/>
      <c r="I919" s="109"/>
      <c r="J919" s="109"/>
      <c r="K919" s="109"/>
      <c r="L919" s="109"/>
      <c r="M919" s="109"/>
      <c r="N919" s="109"/>
    </row>
    <row r="920" spans="1:14">
      <c r="A920" s="109"/>
      <c r="B920" s="110"/>
      <c r="C920" s="110"/>
      <c r="D920" s="110"/>
      <c r="E920" s="109"/>
      <c r="F920" s="111"/>
      <c r="G920" s="109"/>
      <c r="H920" s="109"/>
      <c r="I920" s="109"/>
      <c r="J920" s="109"/>
      <c r="K920" s="109"/>
      <c r="L920" s="109"/>
      <c r="M920" s="109"/>
      <c r="N920" s="109"/>
    </row>
    <row r="921" spans="1:14">
      <c r="A921" s="109"/>
      <c r="B921" s="110"/>
      <c r="C921" s="110"/>
      <c r="D921" s="110"/>
      <c r="E921" s="109"/>
      <c r="F921" s="111"/>
      <c r="G921" s="109"/>
      <c r="H921" s="109"/>
      <c r="I921" s="109"/>
      <c r="J921" s="109"/>
      <c r="K921" s="109"/>
      <c r="L921" s="109"/>
      <c r="M921" s="109"/>
      <c r="N921" s="109"/>
    </row>
    <row r="922" spans="1:14">
      <c r="A922" s="109"/>
      <c r="B922" s="110"/>
      <c r="C922" s="110"/>
      <c r="D922" s="110"/>
      <c r="E922" s="109"/>
      <c r="F922" s="111"/>
      <c r="G922" s="109"/>
      <c r="H922" s="109"/>
      <c r="I922" s="109"/>
      <c r="J922" s="109"/>
      <c r="K922" s="109"/>
      <c r="L922" s="109"/>
      <c r="M922" s="109"/>
      <c r="N922" s="109"/>
    </row>
    <row r="923" spans="1:14">
      <c r="A923" s="109"/>
      <c r="B923" s="110"/>
      <c r="C923" s="110"/>
      <c r="D923" s="110"/>
      <c r="E923" s="109"/>
      <c r="F923" s="111"/>
      <c r="G923" s="109"/>
      <c r="H923" s="109"/>
      <c r="I923" s="109"/>
      <c r="J923" s="109"/>
      <c r="K923" s="109"/>
      <c r="L923" s="109"/>
      <c r="M923" s="109"/>
      <c r="N923" s="109"/>
    </row>
    <row r="924" spans="1:14">
      <c r="A924" s="109"/>
      <c r="B924" s="110"/>
      <c r="C924" s="110"/>
      <c r="D924" s="110"/>
      <c r="E924" s="109"/>
      <c r="F924" s="111"/>
      <c r="G924" s="109"/>
      <c r="H924" s="109"/>
      <c r="I924" s="109"/>
      <c r="J924" s="109"/>
      <c r="K924" s="109"/>
      <c r="L924" s="109"/>
      <c r="M924" s="109"/>
      <c r="N924" s="109"/>
    </row>
    <row r="925" spans="1:14">
      <c r="A925" s="109"/>
      <c r="B925" s="110"/>
      <c r="C925" s="110"/>
      <c r="D925" s="110"/>
      <c r="E925" s="109"/>
      <c r="F925" s="111"/>
      <c r="G925" s="109"/>
      <c r="H925" s="109"/>
      <c r="I925" s="109"/>
      <c r="J925" s="109"/>
      <c r="K925" s="109"/>
      <c r="L925" s="109"/>
      <c r="M925" s="109"/>
      <c r="N925" s="109"/>
    </row>
    <row r="926" spans="1:14">
      <c r="A926" s="109"/>
      <c r="B926" s="110"/>
      <c r="C926" s="110"/>
      <c r="D926" s="110"/>
      <c r="E926" s="109"/>
      <c r="F926" s="111"/>
      <c r="G926" s="109"/>
      <c r="H926" s="109"/>
      <c r="I926" s="109"/>
      <c r="J926" s="109"/>
      <c r="K926" s="109"/>
      <c r="L926" s="109"/>
      <c r="M926" s="109"/>
      <c r="N926" s="109"/>
    </row>
    <row r="927" spans="1:14">
      <c r="A927" s="109"/>
      <c r="B927" s="110"/>
      <c r="C927" s="110"/>
      <c r="D927" s="110"/>
      <c r="E927" s="109"/>
      <c r="F927" s="111"/>
      <c r="G927" s="109"/>
      <c r="H927" s="109"/>
      <c r="I927" s="109"/>
      <c r="J927" s="109"/>
      <c r="K927" s="109"/>
      <c r="L927" s="109"/>
      <c r="M927" s="109"/>
      <c r="N927" s="109"/>
    </row>
    <row r="928" spans="1:14">
      <c r="A928" s="109"/>
      <c r="B928" s="110"/>
      <c r="C928" s="110"/>
      <c r="D928" s="110"/>
      <c r="E928" s="109"/>
      <c r="F928" s="111"/>
      <c r="G928" s="109"/>
      <c r="H928" s="109"/>
      <c r="I928" s="109"/>
      <c r="J928" s="109"/>
      <c r="K928" s="109"/>
      <c r="L928" s="109"/>
      <c r="M928" s="109"/>
      <c r="N928" s="109"/>
    </row>
    <row r="929" spans="1:14">
      <c r="A929" s="109"/>
      <c r="B929" s="110"/>
      <c r="C929" s="110"/>
      <c r="D929" s="110"/>
      <c r="E929" s="109"/>
      <c r="F929" s="111"/>
      <c r="G929" s="109"/>
      <c r="H929" s="109"/>
      <c r="I929" s="109"/>
      <c r="J929" s="109"/>
      <c r="K929" s="109"/>
      <c r="L929" s="109"/>
      <c r="M929" s="109"/>
      <c r="N929" s="109"/>
    </row>
    <row r="930" spans="1:14">
      <c r="A930" s="109"/>
      <c r="B930" s="110"/>
      <c r="C930" s="110"/>
      <c r="D930" s="110"/>
      <c r="E930" s="109"/>
      <c r="F930" s="111"/>
      <c r="G930" s="109"/>
      <c r="H930" s="109"/>
      <c r="I930" s="109"/>
      <c r="J930" s="109"/>
      <c r="K930" s="109"/>
      <c r="L930" s="109"/>
      <c r="M930" s="109"/>
      <c r="N930" s="109"/>
    </row>
    <row r="931" spans="1:14">
      <c r="A931" s="109"/>
      <c r="B931" s="110"/>
      <c r="C931" s="110"/>
      <c r="D931" s="110"/>
      <c r="E931" s="109"/>
      <c r="F931" s="111"/>
      <c r="G931" s="109"/>
      <c r="H931" s="109"/>
      <c r="I931" s="109"/>
      <c r="J931" s="109"/>
      <c r="K931" s="109"/>
      <c r="L931" s="109"/>
      <c r="M931" s="109"/>
      <c r="N931" s="109"/>
    </row>
    <row r="932" spans="1:14">
      <c r="A932" s="109"/>
      <c r="B932" s="110"/>
      <c r="C932" s="110"/>
      <c r="D932" s="110"/>
      <c r="E932" s="109"/>
      <c r="F932" s="111"/>
      <c r="G932" s="109"/>
      <c r="H932" s="109"/>
      <c r="I932" s="109"/>
      <c r="J932" s="109"/>
      <c r="K932" s="109"/>
      <c r="L932" s="109"/>
      <c r="M932" s="109"/>
      <c r="N932" s="109"/>
    </row>
    <row r="933" spans="1:14">
      <c r="A933" s="109"/>
      <c r="B933" s="110"/>
      <c r="C933" s="110"/>
      <c r="D933" s="110"/>
      <c r="E933" s="109"/>
      <c r="F933" s="111"/>
      <c r="G933" s="109"/>
      <c r="H933" s="109"/>
      <c r="I933" s="109"/>
      <c r="J933" s="109"/>
      <c r="K933" s="109"/>
      <c r="L933" s="109"/>
      <c r="M933" s="109"/>
      <c r="N933" s="109"/>
    </row>
    <row r="934" spans="1:14">
      <c r="A934" s="109"/>
      <c r="B934" s="110"/>
      <c r="C934" s="110"/>
      <c r="D934" s="110"/>
      <c r="E934" s="109"/>
      <c r="F934" s="111"/>
      <c r="G934" s="109"/>
      <c r="H934" s="109"/>
      <c r="I934" s="109"/>
      <c r="J934" s="109"/>
      <c r="K934" s="109"/>
      <c r="L934" s="109"/>
      <c r="M934" s="109"/>
      <c r="N934" s="109"/>
    </row>
    <row r="935" spans="1:14">
      <c r="A935" s="109"/>
      <c r="B935" s="110"/>
      <c r="C935" s="110"/>
      <c r="D935" s="110"/>
      <c r="E935" s="109"/>
      <c r="F935" s="111"/>
      <c r="G935" s="109"/>
      <c r="H935" s="109"/>
      <c r="I935" s="109"/>
      <c r="J935" s="109"/>
      <c r="K935" s="109"/>
      <c r="L935" s="109"/>
      <c r="M935" s="109"/>
      <c r="N935" s="109"/>
    </row>
    <row r="936" spans="1:14">
      <c r="A936" s="109"/>
      <c r="B936" s="110"/>
      <c r="C936" s="110"/>
      <c r="D936" s="110"/>
      <c r="E936" s="109"/>
      <c r="F936" s="111"/>
      <c r="G936" s="109"/>
      <c r="H936" s="109"/>
      <c r="I936" s="109"/>
      <c r="J936" s="109"/>
      <c r="K936" s="109"/>
      <c r="L936" s="109"/>
      <c r="M936" s="109"/>
      <c r="N936" s="109"/>
    </row>
    <row r="937" spans="1:14">
      <c r="A937" s="109"/>
      <c r="B937" s="110"/>
      <c r="C937" s="110"/>
      <c r="D937" s="110"/>
      <c r="E937" s="109"/>
      <c r="F937" s="111"/>
      <c r="G937" s="109"/>
      <c r="H937" s="109"/>
      <c r="I937" s="109"/>
      <c r="J937" s="109"/>
      <c r="K937" s="109"/>
      <c r="L937" s="109"/>
      <c r="M937" s="109"/>
      <c r="N937" s="109"/>
    </row>
    <row r="938" spans="1:14">
      <c r="A938" s="109"/>
      <c r="B938" s="110"/>
      <c r="C938" s="110"/>
      <c r="D938" s="110"/>
      <c r="E938" s="109"/>
      <c r="F938" s="111"/>
      <c r="G938" s="109"/>
      <c r="H938" s="109"/>
      <c r="I938" s="109"/>
      <c r="J938" s="109"/>
      <c r="K938" s="109"/>
      <c r="L938" s="109"/>
      <c r="M938" s="109"/>
      <c r="N938" s="109"/>
    </row>
    <row r="939" spans="1:14">
      <c r="A939" s="109"/>
      <c r="B939" s="110"/>
      <c r="C939" s="110"/>
      <c r="D939" s="110"/>
      <c r="E939" s="109"/>
      <c r="F939" s="111"/>
      <c r="G939" s="109"/>
      <c r="H939" s="109"/>
      <c r="I939" s="109"/>
      <c r="J939" s="109"/>
      <c r="K939" s="109"/>
      <c r="L939" s="109"/>
      <c r="M939" s="109"/>
      <c r="N939" s="109"/>
    </row>
    <row r="940" spans="1:14">
      <c r="A940" s="109"/>
      <c r="B940" s="110"/>
      <c r="C940" s="110"/>
      <c r="D940" s="110"/>
      <c r="E940" s="109"/>
      <c r="F940" s="111"/>
      <c r="G940" s="109"/>
      <c r="H940" s="109"/>
      <c r="I940" s="109"/>
      <c r="J940" s="109"/>
      <c r="K940" s="109"/>
      <c r="L940" s="109"/>
      <c r="M940" s="109"/>
      <c r="N940" s="109"/>
    </row>
    <row r="941" spans="1:14">
      <c r="A941" s="109"/>
      <c r="B941" s="110"/>
      <c r="C941" s="110"/>
      <c r="D941" s="110"/>
      <c r="E941" s="109"/>
      <c r="F941" s="111"/>
      <c r="G941" s="109"/>
      <c r="H941" s="109"/>
      <c r="I941" s="109"/>
      <c r="J941" s="109"/>
      <c r="K941" s="109"/>
      <c r="L941" s="109"/>
      <c r="M941" s="109"/>
      <c r="N941" s="109"/>
    </row>
    <row r="942" spans="1:14">
      <c r="A942" s="109"/>
      <c r="B942" s="110"/>
      <c r="C942" s="110"/>
      <c r="D942" s="110"/>
      <c r="E942" s="109"/>
      <c r="F942" s="111"/>
      <c r="G942" s="109"/>
      <c r="H942" s="109"/>
      <c r="I942" s="109"/>
      <c r="J942" s="109"/>
      <c r="K942" s="109"/>
      <c r="L942" s="109"/>
      <c r="M942" s="109"/>
      <c r="N942" s="109"/>
    </row>
    <row r="943" spans="1:14">
      <c r="A943" s="109"/>
      <c r="B943" s="110"/>
      <c r="C943" s="110"/>
      <c r="D943" s="110"/>
      <c r="E943" s="109"/>
      <c r="F943" s="111"/>
      <c r="G943" s="109"/>
      <c r="H943" s="109"/>
      <c r="I943" s="109"/>
      <c r="J943" s="109"/>
      <c r="K943" s="109"/>
      <c r="L943" s="109"/>
      <c r="M943" s="109"/>
      <c r="N943" s="109"/>
    </row>
    <row r="944" spans="1:14">
      <c r="A944" s="109"/>
      <c r="B944" s="110"/>
      <c r="C944" s="110"/>
      <c r="D944" s="110"/>
      <c r="E944" s="109"/>
      <c r="F944" s="111"/>
      <c r="G944" s="109"/>
      <c r="H944" s="109"/>
      <c r="I944" s="109"/>
      <c r="J944" s="109"/>
      <c r="K944" s="109"/>
      <c r="L944" s="109"/>
      <c r="M944" s="109"/>
      <c r="N944" s="109"/>
    </row>
    <row r="945" spans="1:14">
      <c r="A945" s="109"/>
      <c r="B945" s="110"/>
      <c r="C945" s="110"/>
      <c r="D945" s="110"/>
      <c r="E945" s="109"/>
      <c r="F945" s="111"/>
      <c r="G945" s="109"/>
      <c r="H945" s="109"/>
      <c r="I945" s="109"/>
      <c r="J945" s="109"/>
      <c r="K945" s="109"/>
      <c r="L945" s="109"/>
      <c r="M945" s="109"/>
      <c r="N945" s="109"/>
    </row>
    <row r="946" spans="1:14">
      <c r="A946" s="109"/>
      <c r="B946" s="110"/>
      <c r="C946" s="110"/>
      <c r="D946" s="110"/>
      <c r="E946" s="109"/>
      <c r="F946" s="111"/>
      <c r="G946" s="109"/>
      <c r="H946" s="109"/>
      <c r="I946" s="109"/>
      <c r="J946" s="109"/>
      <c r="K946" s="109"/>
      <c r="L946" s="109"/>
      <c r="M946" s="109"/>
      <c r="N946" s="109"/>
    </row>
    <row r="947" spans="1:14">
      <c r="A947" s="109"/>
      <c r="B947" s="110"/>
      <c r="C947" s="110"/>
      <c r="D947" s="110"/>
      <c r="E947" s="109"/>
      <c r="F947" s="111"/>
      <c r="G947" s="109"/>
      <c r="H947" s="109"/>
      <c r="I947" s="109"/>
      <c r="J947" s="109"/>
      <c r="K947" s="109"/>
      <c r="L947" s="109"/>
      <c r="M947" s="109"/>
      <c r="N947" s="109"/>
    </row>
    <row r="948" spans="1:14">
      <c r="A948" s="109"/>
      <c r="B948" s="110"/>
      <c r="C948" s="110"/>
      <c r="D948" s="110"/>
      <c r="E948" s="109"/>
      <c r="F948" s="111"/>
      <c r="G948" s="109"/>
      <c r="H948" s="109"/>
      <c r="I948" s="109"/>
      <c r="J948" s="109"/>
      <c r="K948" s="109"/>
      <c r="L948" s="109"/>
      <c r="M948" s="109"/>
      <c r="N948" s="109"/>
    </row>
    <row r="949" spans="1:14">
      <c r="A949" s="109"/>
      <c r="B949" s="110"/>
      <c r="C949" s="110"/>
      <c r="D949" s="110"/>
      <c r="E949" s="109"/>
      <c r="F949" s="111"/>
      <c r="G949" s="109"/>
      <c r="H949" s="109"/>
      <c r="I949" s="109"/>
      <c r="J949" s="109"/>
      <c r="K949" s="109"/>
      <c r="L949" s="109"/>
      <c r="M949" s="109"/>
      <c r="N949" s="109"/>
    </row>
    <row r="950" spans="1:14">
      <c r="A950" s="109"/>
      <c r="B950" s="110"/>
      <c r="C950" s="110"/>
      <c r="D950" s="110"/>
      <c r="E950" s="109"/>
      <c r="F950" s="111"/>
      <c r="G950" s="109"/>
      <c r="H950" s="109"/>
      <c r="I950" s="109"/>
      <c r="J950" s="109"/>
      <c r="K950" s="109"/>
      <c r="L950" s="109"/>
      <c r="M950" s="109"/>
      <c r="N950" s="109"/>
    </row>
    <row r="951" spans="1:14">
      <c r="A951" s="109"/>
      <c r="B951" s="110"/>
      <c r="C951" s="110"/>
      <c r="D951" s="110"/>
      <c r="E951" s="109"/>
      <c r="F951" s="111"/>
      <c r="G951" s="109"/>
      <c r="H951" s="109"/>
      <c r="I951" s="109"/>
      <c r="J951" s="109"/>
      <c r="K951" s="109"/>
      <c r="L951" s="109"/>
      <c r="M951" s="109"/>
      <c r="N951" s="109"/>
    </row>
    <row r="952" spans="1:14">
      <c r="A952" s="109"/>
      <c r="B952" s="110"/>
      <c r="C952" s="110"/>
      <c r="D952" s="110"/>
      <c r="E952" s="109"/>
      <c r="F952" s="111"/>
      <c r="G952" s="109"/>
      <c r="H952" s="109"/>
      <c r="I952" s="109"/>
      <c r="J952" s="109"/>
      <c r="K952" s="109"/>
      <c r="L952" s="109"/>
      <c r="M952" s="109"/>
      <c r="N952" s="109"/>
    </row>
    <row r="953" spans="1:14">
      <c r="A953" s="109"/>
      <c r="B953" s="110"/>
      <c r="C953" s="110"/>
      <c r="D953" s="110"/>
      <c r="E953" s="109"/>
      <c r="F953" s="111"/>
      <c r="G953" s="109"/>
      <c r="H953" s="109"/>
      <c r="I953" s="109"/>
      <c r="J953" s="109"/>
      <c r="K953" s="109"/>
      <c r="L953" s="109"/>
      <c r="M953" s="109"/>
      <c r="N953" s="109"/>
    </row>
    <row r="954" spans="1:14">
      <c r="A954" s="109"/>
      <c r="B954" s="110"/>
      <c r="C954" s="110"/>
      <c r="D954" s="110"/>
      <c r="E954" s="109"/>
      <c r="F954" s="111"/>
      <c r="G954" s="109"/>
      <c r="H954" s="109"/>
      <c r="I954" s="109"/>
      <c r="J954" s="109"/>
      <c r="K954" s="109"/>
      <c r="L954" s="109"/>
      <c r="M954" s="109"/>
      <c r="N954" s="109"/>
    </row>
    <row r="955" spans="1:14">
      <c r="A955" s="109"/>
      <c r="B955" s="110"/>
      <c r="C955" s="110"/>
      <c r="D955" s="110"/>
      <c r="E955" s="109"/>
      <c r="F955" s="111"/>
      <c r="G955" s="109"/>
      <c r="H955" s="109"/>
      <c r="I955" s="109"/>
      <c r="J955" s="109"/>
      <c r="K955" s="109"/>
      <c r="L955" s="109"/>
      <c r="M955" s="109"/>
      <c r="N955" s="109"/>
    </row>
    <row r="956" spans="1:14">
      <c r="A956" s="109"/>
      <c r="B956" s="110"/>
      <c r="C956" s="110"/>
      <c r="D956" s="110"/>
      <c r="E956" s="109"/>
      <c r="F956" s="111"/>
      <c r="G956" s="109"/>
      <c r="H956" s="109"/>
      <c r="I956" s="109"/>
      <c r="J956" s="109"/>
      <c r="K956" s="109"/>
      <c r="L956" s="109"/>
      <c r="M956" s="109"/>
      <c r="N956" s="109"/>
    </row>
    <row r="957" spans="1:14">
      <c r="A957" s="109"/>
      <c r="B957" s="110"/>
      <c r="C957" s="110"/>
      <c r="D957" s="110"/>
      <c r="E957" s="109"/>
      <c r="F957" s="111"/>
      <c r="G957" s="109"/>
      <c r="H957" s="109"/>
      <c r="I957" s="109"/>
      <c r="J957" s="109"/>
      <c r="K957" s="109"/>
      <c r="L957" s="109"/>
      <c r="M957" s="109"/>
      <c r="N957" s="109"/>
    </row>
    <row r="958" spans="1:14">
      <c r="A958" s="109"/>
      <c r="B958" s="110"/>
      <c r="C958" s="110"/>
      <c r="D958" s="110"/>
      <c r="E958" s="109"/>
      <c r="F958" s="111"/>
      <c r="G958" s="109"/>
      <c r="H958" s="109"/>
      <c r="I958" s="109"/>
      <c r="J958" s="109"/>
      <c r="K958" s="109"/>
      <c r="L958" s="109"/>
      <c r="M958" s="109"/>
      <c r="N958" s="109"/>
    </row>
    <row r="959" spans="1:14">
      <c r="A959" s="109"/>
      <c r="B959" s="110"/>
      <c r="C959" s="110"/>
      <c r="D959" s="110"/>
      <c r="E959" s="109"/>
      <c r="F959" s="111"/>
      <c r="G959" s="109"/>
      <c r="H959" s="109"/>
      <c r="I959" s="109"/>
      <c r="J959" s="109"/>
      <c r="K959" s="109"/>
      <c r="L959" s="109"/>
      <c r="M959" s="109"/>
      <c r="N959" s="109"/>
    </row>
    <row r="960" spans="1:14">
      <c r="A960" s="109"/>
      <c r="B960" s="110"/>
      <c r="C960" s="110"/>
      <c r="D960" s="110"/>
      <c r="E960" s="109"/>
      <c r="F960" s="111"/>
      <c r="G960" s="109"/>
      <c r="H960" s="109"/>
      <c r="I960" s="109"/>
      <c r="J960" s="109"/>
      <c r="K960" s="109"/>
      <c r="L960" s="109"/>
      <c r="M960" s="109"/>
      <c r="N960" s="109"/>
    </row>
    <row r="961" spans="1:14">
      <c r="A961" s="109"/>
      <c r="B961" s="110"/>
      <c r="C961" s="110"/>
      <c r="D961" s="110"/>
      <c r="E961" s="109"/>
      <c r="F961" s="111"/>
      <c r="G961" s="109"/>
      <c r="H961" s="109"/>
      <c r="I961" s="109"/>
      <c r="J961" s="109"/>
      <c r="K961" s="109"/>
      <c r="L961" s="109"/>
      <c r="M961" s="109"/>
      <c r="N961" s="109"/>
    </row>
    <row r="962" spans="1:14">
      <c r="A962" s="109"/>
      <c r="B962" s="110"/>
      <c r="C962" s="110"/>
      <c r="D962" s="110"/>
      <c r="E962" s="109"/>
      <c r="F962" s="111"/>
      <c r="G962" s="109"/>
      <c r="H962" s="109"/>
      <c r="I962" s="109"/>
      <c r="J962" s="109"/>
      <c r="K962" s="109"/>
      <c r="L962" s="109"/>
      <c r="M962" s="109"/>
      <c r="N962" s="109"/>
    </row>
    <row r="963" spans="1:14">
      <c r="A963" s="109"/>
      <c r="B963" s="110"/>
      <c r="C963" s="110"/>
      <c r="D963" s="110"/>
      <c r="E963" s="109"/>
      <c r="F963" s="111"/>
      <c r="G963" s="109"/>
      <c r="H963" s="109"/>
      <c r="I963" s="109"/>
      <c r="J963" s="109"/>
      <c r="K963" s="109"/>
      <c r="L963" s="109"/>
      <c r="M963" s="109"/>
      <c r="N963" s="109"/>
    </row>
    <row r="964" spans="1:14">
      <c r="A964" s="109"/>
      <c r="B964" s="110"/>
      <c r="C964" s="110"/>
      <c r="D964" s="110"/>
      <c r="E964" s="109"/>
      <c r="F964" s="111"/>
      <c r="G964" s="109"/>
      <c r="H964" s="109"/>
      <c r="I964" s="109"/>
      <c r="J964" s="109"/>
      <c r="K964" s="109"/>
      <c r="L964" s="109"/>
      <c r="M964" s="109"/>
      <c r="N964" s="109"/>
    </row>
    <row r="965" spans="1:14">
      <c r="A965" s="109"/>
      <c r="B965" s="110"/>
      <c r="C965" s="110"/>
      <c r="D965" s="110"/>
      <c r="E965" s="109"/>
      <c r="F965" s="111"/>
      <c r="G965" s="109"/>
      <c r="H965" s="109"/>
      <c r="I965" s="109"/>
      <c r="J965" s="109"/>
      <c r="K965" s="109"/>
      <c r="L965" s="109"/>
      <c r="M965" s="109"/>
      <c r="N965" s="109"/>
    </row>
    <row r="966" spans="1:14">
      <c r="A966" s="109"/>
      <c r="B966" s="110"/>
      <c r="C966" s="110"/>
      <c r="D966" s="110"/>
      <c r="E966" s="109"/>
      <c r="F966" s="111"/>
      <c r="G966" s="109"/>
      <c r="H966" s="109"/>
      <c r="I966" s="109"/>
      <c r="J966" s="109"/>
      <c r="K966" s="109"/>
      <c r="L966" s="109"/>
      <c r="M966" s="109"/>
      <c r="N966" s="109"/>
    </row>
    <row r="967" spans="1:14">
      <c r="A967" s="109"/>
      <c r="B967" s="110"/>
      <c r="C967" s="110"/>
      <c r="D967" s="110"/>
      <c r="E967" s="109"/>
      <c r="F967" s="111"/>
      <c r="G967" s="109"/>
      <c r="H967" s="109"/>
      <c r="I967" s="109"/>
      <c r="J967" s="109"/>
      <c r="K967" s="109"/>
      <c r="L967" s="109"/>
      <c r="M967" s="109"/>
      <c r="N967" s="109"/>
    </row>
    <row r="968" spans="1:14">
      <c r="A968" s="109"/>
      <c r="B968" s="110"/>
      <c r="C968" s="110"/>
      <c r="D968" s="110"/>
      <c r="E968" s="109"/>
      <c r="F968" s="111"/>
      <c r="G968" s="109"/>
      <c r="H968" s="109"/>
      <c r="I968" s="109"/>
      <c r="J968" s="109"/>
      <c r="K968" s="109"/>
      <c r="L968" s="109"/>
      <c r="M968" s="109"/>
      <c r="N968" s="109"/>
    </row>
    <row r="969" spans="1:14">
      <c r="A969" s="109"/>
      <c r="B969" s="110"/>
      <c r="C969" s="110"/>
      <c r="D969" s="110"/>
      <c r="E969" s="109"/>
      <c r="F969" s="111"/>
      <c r="G969" s="109"/>
      <c r="H969" s="109"/>
      <c r="I969" s="109"/>
      <c r="J969" s="109"/>
      <c r="K969" s="109"/>
      <c r="L969" s="109"/>
      <c r="M969" s="109"/>
      <c r="N969" s="109"/>
    </row>
    <row r="970" spans="1:14">
      <c r="A970" s="109"/>
      <c r="B970" s="110"/>
      <c r="C970" s="110"/>
      <c r="D970" s="110"/>
      <c r="E970" s="109"/>
      <c r="F970" s="111"/>
      <c r="G970" s="109"/>
      <c r="H970" s="109"/>
      <c r="I970" s="109"/>
      <c r="J970" s="109"/>
      <c r="K970" s="109"/>
      <c r="L970" s="109"/>
      <c r="M970" s="109"/>
      <c r="N970" s="109"/>
    </row>
    <row r="971" spans="1:14">
      <c r="A971" s="109"/>
      <c r="B971" s="110"/>
      <c r="C971" s="110"/>
      <c r="D971" s="110"/>
      <c r="E971" s="109"/>
      <c r="F971" s="111"/>
      <c r="G971" s="109"/>
      <c r="H971" s="109"/>
      <c r="I971" s="109"/>
      <c r="J971" s="109"/>
      <c r="K971" s="109"/>
      <c r="L971" s="109"/>
      <c r="M971" s="109"/>
      <c r="N971" s="109"/>
    </row>
    <row r="972" spans="1:14">
      <c r="A972" s="109"/>
      <c r="B972" s="110"/>
      <c r="C972" s="110"/>
      <c r="D972" s="110"/>
      <c r="E972" s="109"/>
      <c r="F972" s="111"/>
      <c r="G972" s="109"/>
      <c r="H972" s="109"/>
      <c r="I972" s="109"/>
      <c r="J972" s="109"/>
      <c r="K972" s="109"/>
      <c r="L972" s="109"/>
      <c r="M972" s="109"/>
      <c r="N972" s="109"/>
    </row>
    <row r="973" spans="1:14">
      <c r="A973" s="109"/>
      <c r="B973" s="110"/>
      <c r="C973" s="110"/>
      <c r="D973" s="110"/>
      <c r="E973" s="109"/>
      <c r="F973" s="111"/>
      <c r="G973" s="109"/>
      <c r="H973" s="109"/>
      <c r="I973" s="109"/>
      <c r="J973" s="109"/>
      <c r="K973" s="109"/>
      <c r="L973" s="109"/>
      <c r="M973" s="109"/>
      <c r="N973" s="109"/>
    </row>
    <row r="974" spans="1:14">
      <c r="A974" s="109"/>
      <c r="B974" s="110"/>
      <c r="C974" s="110"/>
      <c r="D974" s="110"/>
      <c r="E974" s="109"/>
      <c r="F974" s="111"/>
      <c r="G974" s="109"/>
      <c r="H974" s="109"/>
      <c r="I974" s="109"/>
      <c r="J974" s="109"/>
      <c r="K974" s="109"/>
      <c r="L974" s="109"/>
      <c r="M974" s="109"/>
      <c r="N974" s="109"/>
    </row>
    <row r="975" spans="1:14">
      <c r="A975" s="109"/>
      <c r="B975" s="110"/>
      <c r="C975" s="110"/>
      <c r="D975" s="110"/>
      <c r="E975" s="109"/>
      <c r="F975" s="111"/>
      <c r="G975" s="109"/>
      <c r="H975" s="109"/>
      <c r="I975" s="109"/>
      <c r="J975" s="109"/>
      <c r="K975" s="109"/>
      <c r="L975" s="109"/>
      <c r="M975" s="109"/>
      <c r="N975" s="109"/>
    </row>
    <row r="976" spans="1:14">
      <c r="A976" s="109"/>
      <c r="B976" s="110"/>
      <c r="C976" s="110"/>
      <c r="D976" s="110"/>
      <c r="E976" s="109"/>
      <c r="F976" s="111"/>
      <c r="G976" s="109"/>
      <c r="H976" s="109"/>
      <c r="I976" s="109"/>
      <c r="J976" s="109"/>
      <c r="K976" s="109"/>
      <c r="L976" s="109"/>
      <c r="M976" s="109"/>
      <c r="N976" s="109"/>
    </row>
    <row r="977" spans="1:14">
      <c r="A977" s="109"/>
      <c r="B977" s="110"/>
      <c r="C977" s="110"/>
      <c r="D977" s="110"/>
      <c r="E977" s="109"/>
      <c r="F977" s="111"/>
      <c r="G977" s="109"/>
      <c r="H977" s="109"/>
      <c r="I977" s="109"/>
      <c r="J977" s="109"/>
      <c r="K977" s="109"/>
      <c r="L977" s="109"/>
      <c r="M977" s="109"/>
      <c r="N977" s="109"/>
    </row>
    <row r="978" spans="1:14">
      <c r="A978" s="109"/>
      <c r="B978" s="110"/>
      <c r="C978" s="110"/>
      <c r="D978" s="110"/>
      <c r="E978" s="109"/>
      <c r="F978" s="111"/>
      <c r="G978" s="109"/>
      <c r="H978" s="109"/>
      <c r="I978" s="109"/>
      <c r="J978" s="109"/>
      <c r="K978" s="109"/>
      <c r="L978" s="109"/>
      <c r="M978" s="109"/>
      <c r="N978" s="109"/>
    </row>
    <row r="979" spans="1:14">
      <c r="A979" s="109"/>
      <c r="B979" s="110"/>
      <c r="C979" s="110"/>
      <c r="D979" s="110"/>
      <c r="E979" s="109"/>
      <c r="F979" s="111"/>
      <c r="G979" s="109"/>
      <c r="H979" s="109"/>
      <c r="I979" s="109"/>
      <c r="J979" s="109"/>
      <c r="K979" s="109"/>
      <c r="L979" s="109"/>
      <c r="M979" s="109"/>
      <c r="N979" s="109"/>
    </row>
    <row r="980" spans="1:14">
      <c r="A980" s="109"/>
      <c r="B980" s="110"/>
      <c r="C980" s="110"/>
      <c r="D980" s="110"/>
      <c r="E980" s="109"/>
      <c r="F980" s="111"/>
      <c r="G980" s="109"/>
      <c r="H980" s="109"/>
      <c r="I980" s="109"/>
      <c r="J980" s="109"/>
      <c r="K980" s="109"/>
      <c r="L980" s="109"/>
      <c r="M980" s="109"/>
      <c r="N980" s="109"/>
    </row>
    <row r="981" spans="1:14">
      <c r="A981" s="109"/>
      <c r="B981" s="110"/>
      <c r="C981" s="110"/>
      <c r="D981" s="110"/>
      <c r="E981" s="109"/>
      <c r="F981" s="111"/>
      <c r="G981" s="109"/>
      <c r="H981" s="109"/>
      <c r="I981" s="109"/>
      <c r="J981" s="109"/>
      <c r="K981" s="109"/>
      <c r="L981" s="109"/>
      <c r="M981" s="109"/>
      <c r="N981" s="109"/>
    </row>
    <row r="982" spans="1:14">
      <c r="A982" s="109"/>
      <c r="B982" s="110"/>
      <c r="C982" s="110"/>
      <c r="D982" s="110"/>
      <c r="E982" s="109"/>
      <c r="F982" s="111"/>
      <c r="G982" s="109"/>
      <c r="H982" s="109"/>
      <c r="I982" s="109"/>
      <c r="J982" s="109"/>
      <c r="K982" s="109"/>
      <c r="L982" s="109"/>
      <c r="M982" s="109"/>
      <c r="N982" s="109"/>
    </row>
    <row r="983" spans="1:14">
      <c r="A983" s="109"/>
      <c r="B983" s="110"/>
      <c r="C983" s="110"/>
      <c r="D983" s="110"/>
      <c r="E983" s="109"/>
      <c r="F983" s="111"/>
      <c r="G983" s="109"/>
      <c r="H983" s="109"/>
      <c r="I983" s="109"/>
      <c r="J983" s="109"/>
      <c r="K983" s="109"/>
      <c r="L983" s="109"/>
      <c r="M983" s="109"/>
      <c r="N983" s="109"/>
    </row>
    <row r="984" spans="1:14">
      <c r="A984" s="109"/>
      <c r="B984" s="110"/>
      <c r="C984" s="110"/>
      <c r="D984" s="110"/>
      <c r="E984" s="109"/>
      <c r="F984" s="111"/>
      <c r="G984" s="109"/>
      <c r="H984" s="109"/>
      <c r="I984" s="109"/>
      <c r="J984" s="109"/>
      <c r="K984" s="109"/>
      <c r="L984" s="109"/>
      <c r="M984" s="109"/>
      <c r="N984" s="109"/>
    </row>
    <row r="985" spans="1:14">
      <c r="A985" s="109"/>
      <c r="B985" s="110"/>
      <c r="C985" s="110"/>
      <c r="D985" s="110"/>
      <c r="E985" s="109"/>
      <c r="F985" s="111"/>
      <c r="G985" s="109"/>
      <c r="H985" s="109"/>
      <c r="I985" s="109"/>
      <c r="J985" s="109"/>
      <c r="K985" s="109"/>
      <c r="L985" s="109"/>
      <c r="M985" s="109"/>
      <c r="N985" s="109"/>
    </row>
    <row r="986" spans="1:14">
      <c r="A986" s="109"/>
      <c r="B986" s="110"/>
      <c r="C986" s="110"/>
      <c r="D986" s="110"/>
      <c r="E986" s="109"/>
      <c r="F986" s="111"/>
      <c r="G986" s="109"/>
      <c r="H986" s="109"/>
      <c r="I986" s="109"/>
      <c r="J986" s="109"/>
      <c r="K986" s="109"/>
      <c r="L986" s="109"/>
      <c r="M986" s="109"/>
      <c r="N986" s="109"/>
    </row>
    <row r="987" spans="1:14">
      <c r="A987" s="109"/>
      <c r="B987" s="110"/>
      <c r="C987" s="110"/>
      <c r="D987" s="110"/>
      <c r="E987" s="109"/>
      <c r="F987" s="111"/>
      <c r="G987" s="109"/>
      <c r="H987" s="109"/>
      <c r="I987" s="109"/>
      <c r="J987" s="109"/>
      <c r="K987" s="109"/>
      <c r="L987" s="109"/>
      <c r="M987" s="109"/>
      <c r="N987" s="109"/>
    </row>
    <row r="988" spans="1:14">
      <c r="A988" s="109"/>
      <c r="B988" s="110"/>
      <c r="C988" s="110"/>
      <c r="D988" s="110"/>
      <c r="E988" s="109"/>
      <c r="F988" s="111"/>
      <c r="G988" s="109"/>
      <c r="H988" s="109"/>
      <c r="I988" s="109"/>
      <c r="J988" s="109"/>
      <c r="K988" s="109"/>
      <c r="L988" s="109"/>
      <c r="M988" s="109"/>
      <c r="N988" s="109"/>
    </row>
    <row r="989" spans="1:14">
      <c r="A989" s="109"/>
      <c r="B989" s="110"/>
      <c r="C989" s="110"/>
      <c r="D989" s="110"/>
      <c r="E989" s="109"/>
      <c r="F989" s="111"/>
      <c r="G989" s="109"/>
      <c r="H989" s="109"/>
      <c r="I989" s="109"/>
      <c r="J989" s="109"/>
      <c r="K989" s="109"/>
      <c r="L989" s="109"/>
      <c r="M989" s="109"/>
      <c r="N989" s="109"/>
    </row>
    <row r="990" spans="1:14">
      <c r="A990" s="109"/>
      <c r="B990" s="110"/>
      <c r="C990" s="110"/>
      <c r="D990" s="110"/>
      <c r="E990" s="109"/>
      <c r="F990" s="111"/>
      <c r="G990" s="109"/>
      <c r="H990" s="109"/>
      <c r="I990" s="109"/>
      <c r="J990" s="109"/>
      <c r="K990" s="109"/>
      <c r="L990" s="109"/>
      <c r="M990" s="109"/>
      <c r="N990" s="109"/>
    </row>
    <row r="991" spans="1:14">
      <c r="A991" s="109"/>
      <c r="B991" s="110"/>
      <c r="C991" s="110"/>
      <c r="D991" s="110"/>
      <c r="E991" s="109"/>
      <c r="F991" s="111"/>
      <c r="G991" s="109"/>
      <c r="H991" s="109"/>
      <c r="I991" s="109"/>
      <c r="J991" s="109"/>
      <c r="K991" s="109"/>
      <c r="L991" s="109"/>
      <c r="M991" s="109"/>
      <c r="N991" s="109"/>
    </row>
    <row r="992" spans="1:14">
      <c r="A992" s="109"/>
      <c r="B992" s="110"/>
      <c r="C992" s="110"/>
      <c r="D992" s="110"/>
      <c r="E992" s="109"/>
      <c r="F992" s="111"/>
      <c r="G992" s="109"/>
      <c r="H992" s="109"/>
      <c r="I992" s="109"/>
      <c r="J992" s="109"/>
      <c r="K992" s="109"/>
      <c r="L992" s="109"/>
      <c r="M992" s="109"/>
      <c r="N992" s="109"/>
    </row>
    <row r="993" spans="1:14">
      <c r="A993" s="109"/>
      <c r="B993" s="110"/>
      <c r="C993" s="110"/>
      <c r="D993" s="110"/>
      <c r="E993" s="109"/>
      <c r="F993" s="111"/>
      <c r="G993" s="109"/>
      <c r="H993" s="109"/>
      <c r="I993" s="109"/>
      <c r="J993" s="109"/>
      <c r="K993" s="109"/>
      <c r="L993" s="109"/>
      <c r="M993" s="109"/>
      <c r="N993" s="109"/>
    </row>
    <row r="994" spans="1:14">
      <c r="A994" s="109"/>
      <c r="B994" s="110"/>
      <c r="C994" s="110"/>
      <c r="D994" s="110"/>
      <c r="E994" s="109"/>
      <c r="F994" s="111"/>
      <c r="G994" s="109"/>
      <c r="H994" s="109"/>
      <c r="I994" s="109"/>
      <c r="J994" s="109"/>
      <c r="K994" s="109"/>
      <c r="L994" s="109"/>
      <c r="M994" s="109"/>
      <c r="N994" s="109"/>
    </row>
    <row r="995" spans="1:14">
      <c r="A995" s="109"/>
      <c r="B995" s="110"/>
      <c r="C995" s="110"/>
      <c r="D995" s="110"/>
      <c r="E995" s="109"/>
      <c r="F995" s="111"/>
      <c r="G995" s="109"/>
      <c r="H995" s="109"/>
      <c r="I995" s="109"/>
      <c r="J995" s="109"/>
      <c r="K995" s="109"/>
      <c r="L995" s="109"/>
      <c r="M995" s="109"/>
      <c r="N995" s="109"/>
    </row>
    <row r="996" spans="1:14">
      <c r="A996" s="109"/>
      <c r="B996" s="110"/>
      <c r="C996" s="110"/>
      <c r="D996" s="110"/>
      <c r="E996" s="109"/>
      <c r="F996" s="111"/>
      <c r="G996" s="109"/>
      <c r="H996" s="109"/>
      <c r="I996" s="109"/>
      <c r="J996" s="109"/>
      <c r="K996" s="109"/>
      <c r="L996" s="109"/>
      <c r="M996" s="109"/>
      <c r="N996" s="109"/>
    </row>
    <row r="997" spans="1:14">
      <c r="A997" s="109"/>
      <c r="B997" s="110"/>
      <c r="C997" s="110"/>
      <c r="D997" s="110"/>
      <c r="E997" s="109"/>
      <c r="F997" s="111"/>
      <c r="G997" s="109"/>
      <c r="H997" s="109"/>
      <c r="I997" s="109"/>
      <c r="J997" s="109"/>
      <c r="K997" s="109"/>
      <c r="L997" s="109"/>
      <c r="M997" s="109"/>
      <c r="N997" s="109"/>
    </row>
    <row r="998" spans="1:14">
      <c r="A998" s="109"/>
      <c r="B998" s="110"/>
      <c r="C998" s="110"/>
      <c r="D998" s="110"/>
      <c r="E998" s="109"/>
      <c r="F998" s="111"/>
      <c r="G998" s="109"/>
      <c r="H998" s="109"/>
      <c r="I998" s="109"/>
      <c r="J998" s="109"/>
      <c r="K998" s="109"/>
      <c r="L998" s="109"/>
      <c r="M998" s="109"/>
      <c r="N998" s="109"/>
    </row>
    <row r="999" spans="1:14">
      <c r="A999" s="109"/>
      <c r="B999" s="110"/>
      <c r="C999" s="110"/>
      <c r="D999" s="110"/>
      <c r="E999" s="109"/>
      <c r="F999" s="111"/>
      <c r="G999" s="109"/>
      <c r="H999" s="109"/>
      <c r="I999" s="109"/>
      <c r="J999" s="109"/>
      <c r="K999" s="109"/>
      <c r="L999" s="109"/>
      <c r="M999" s="109"/>
      <c r="N999" s="109"/>
    </row>
    <row r="1000" spans="1:14">
      <c r="A1000" s="109"/>
      <c r="B1000" s="110"/>
      <c r="C1000" s="110"/>
      <c r="D1000" s="110"/>
      <c r="E1000" s="109"/>
      <c r="F1000" s="111"/>
      <c r="G1000" s="109"/>
      <c r="H1000" s="109"/>
      <c r="I1000" s="109"/>
      <c r="J1000" s="109"/>
      <c r="K1000" s="109"/>
      <c r="L1000" s="109"/>
      <c r="M1000" s="109"/>
      <c r="N1000" s="109"/>
    </row>
    <row r="1001" spans="1:14">
      <c r="A1001" s="109"/>
      <c r="B1001" s="110"/>
      <c r="C1001" s="110"/>
      <c r="D1001" s="110"/>
      <c r="E1001" s="109"/>
      <c r="F1001" s="111"/>
      <c r="G1001" s="109"/>
      <c r="H1001" s="109"/>
      <c r="I1001" s="109"/>
      <c r="J1001" s="109"/>
      <c r="K1001" s="109"/>
      <c r="L1001" s="109"/>
      <c r="M1001" s="109"/>
      <c r="N1001" s="109"/>
    </row>
    <row r="1002" spans="1:14">
      <c r="A1002" s="109"/>
      <c r="B1002" s="110"/>
      <c r="C1002" s="110"/>
      <c r="D1002" s="110"/>
      <c r="E1002" s="109"/>
      <c r="F1002" s="111"/>
      <c r="G1002" s="109"/>
      <c r="H1002" s="109"/>
      <c r="I1002" s="109"/>
      <c r="J1002" s="109"/>
      <c r="K1002" s="109"/>
      <c r="L1002" s="109"/>
      <c r="M1002" s="109"/>
      <c r="N1002" s="109"/>
    </row>
    <row r="1003" spans="1:14">
      <c r="A1003" s="109"/>
      <c r="B1003" s="110"/>
      <c r="C1003" s="110"/>
      <c r="D1003" s="110"/>
      <c r="E1003" s="109"/>
      <c r="F1003" s="111"/>
      <c r="G1003" s="109"/>
      <c r="H1003" s="109"/>
      <c r="I1003" s="109"/>
      <c r="J1003" s="109"/>
      <c r="K1003" s="109"/>
      <c r="L1003" s="109"/>
      <c r="M1003" s="109"/>
      <c r="N1003" s="109"/>
    </row>
    <row r="1004" spans="1:14">
      <c r="A1004" s="109"/>
      <c r="B1004" s="110"/>
      <c r="C1004" s="110"/>
      <c r="D1004" s="110"/>
      <c r="E1004" s="109"/>
      <c r="F1004" s="111"/>
      <c r="G1004" s="109"/>
      <c r="H1004" s="109"/>
      <c r="I1004" s="109"/>
      <c r="J1004" s="109"/>
      <c r="K1004" s="109"/>
      <c r="L1004" s="109"/>
      <c r="M1004" s="109"/>
      <c r="N1004" s="109"/>
    </row>
    <row r="1005" spans="1:14">
      <c r="A1005" s="109"/>
      <c r="B1005" s="110"/>
      <c r="C1005" s="110"/>
      <c r="D1005" s="110"/>
      <c r="E1005" s="109"/>
      <c r="F1005" s="111"/>
      <c r="G1005" s="109"/>
      <c r="H1005" s="109"/>
      <c r="I1005" s="109"/>
      <c r="J1005" s="109"/>
      <c r="K1005" s="109"/>
      <c r="L1005" s="109"/>
      <c r="M1005" s="109"/>
      <c r="N1005" s="109"/>
    </row>
    <row r="1006" spans="1:14">
      <c r="A1006" s="109"/>
      <c r="B1006" s="110"/>
      <c r="C1006" s="110"/>
      <c r="D1006" s="110"/>
      <c r="E1006" s="109"/>
      <c r="F1006" s="111"/>
      <c r="G1006" s="109"/>
      <c r="H1006" s="109"/>
      <c r="I1006" s="109"/>
      <c r="J1006" s="109"/>
      <c r="K1006" s="109"/>
      <c r="L1006" s="109"/>
      <c r="M1006" s="109"/>
      <c r="N1006" s="109"/>
    </row>
    <row r="1007" spans="1:14">
      <c r="A1007" s="109"/>
      <c r="B1007" s="110"/>
      <c r="C1007" s="110"/>
      <c r="D1007" s="110"/>
      <c r="E1007" s="109"/>
      <c r="F1007" s="111"/>
      <c r="G1007" s="109"/>
      <c r="H1007" s="109"/>
      <c r="I1007" s="109"/>
      <c r="J1007" s="109"/>
      <c r="K1007" s="109"/>
      <c r="L1007" s="109"/>
      <c r="M1007" s="109"/>
      <c r="N1007" s="109"/>
    </row>
    <row r="1008" spans="1:14">
      <c r="A1008" s="109"/>
      <c r="B1008" s="110"/>
      <c r="C1008" s="110"/>
      <c r="D1008" s="110"/>
      <c r="E1008" s="109"/>
      <c r="F1008" s="111"/>
      <c r="G1008" s="109"/>
      <c r="H1008" s="109"/>
      <c r="I1008" s="109"/>
      <c r="J1008" s="109"/>
      <c r="K1008" s="109"/>
      <c r="L1008" s="109"/>
      <c r="M1008" s="109"/>
      <c r="N1008" s="109"/>
    </row>
    <row r="1009" spans="1:14">
      <c r="A1009" s="109"/>
      <c r="B1009" s="110"/>
      <c r="C1009" s="110"/>
      <c r="D1009" s="110"/>
      <c r="E1009" s="109"/>
      <c r="F1009" s="111"/>
      <c r="G1009" s="109"/>
      <c r="H1009" s="109"/>
      <c r="I1009" s="109"/>
      <c r="J1009" s="109"/>
      <c r="K1009" s="109"/>
      <c r="L1009" s="109"/>
      <c r="M1009" s="109"/>
      <c r="N1009" s="109"/>
    </row>
    <row r="1010" spans="1:14">
      <c r="A1010" s="109"/>
      <c r="B1010" s="110"/>
      <c r="C1010" s="110"/>
      <c r="D1010" s="110"/>
      <c r="E1010" s="109"/>
      <c r="F1010" s="111"/>
      <c r="G1010" s="109"/>
      <c r="H1010" s="109"/>
      <c r="I1010" s="109"/>
      <c r="J1010" s="109"/>
      <c r="K1010" s="109"/>
      <c r="L1010" s="109"/>
      <c r="M1010" s="109"/>
      <c r="N1010" s="109"/>
    </row>
    <row r="1011" spans="1:14">
      <c r="A1011" s="109"/>
      <c r="B1011" s="110"/>
      <c r="C1011" s="110"/>
      <c r="D1011" s="110"/>
      <c r="E1011" s="109"/>
      <c r="F1011" s="111"/>
      <c r="G1011" s="109"/>
      <c r="H1011" s="109"/>
      <c r="I1011" s="109"/>
      <c r="J1011" s="109"/>
      <c r="K1011" s="109"/>
      <c r="L1011" s="109"/>
      <c r="M1011" s="109"/>
      <c r="N1011" s="109"/>
    </row>
    <row r="1012" spans="1:14">
      <c r="A1012" s="109"/>
      <c r="B1012" s="110"/>
      <c r="C1012" s="110"/>
      <c r="D1012" s="110"/>
      <c r="E1012" s="109"/>
      <c r="F1012" s="111"/>
      <c r="G1012" s="109"/>
      <c r="H1012" s="109"/>
      <c r="I1012" s="109"/>
      <c r="J1012" s="109"/>
      <c r="K1012" s="109"/>
      <c r="L1012" s="109"/>
      <c r="M1012" s="109"/>
      <c r="N1012" s="109"/>
    </row>
    <row r="1013" spans="1:14">
      <c r="A1013" s="109"/>
      <c r="B1013" s="110"/>
      <c r="C1013" s="110"/>
      <c r="D1013" s="110"/>
      <c r="E1013" s="109"/>
      <c r="F1013" s="111"/>
      <c r="G1013" s="109"/>
      <c r="H1013" s="109"/>
      <c r="I1013" s="109"/>
      <c r="J1013" s="109"/>
      <c r="K1013" s="109"/>
      <c r="L1013" s="109"/>
      <c r="M1013" s="109"/>
      <c r="N1013" s="109"/>
    </row>
    <row r="1014" spans="1:14">
      <c r="A1014" s="109"/>
      <c r="B1014" s="110"/>
      <c r="C1014" s="110"/>
      <c r="D1014" s="110"/>
      <c r="E1014" s="109"/>
      <c r="F1014" s="111"/>
      <c r="G1014" s="109"/>
      <c r="H1014" s="109"/>
      <c r="I1014" s="109"/>
      <c r="J1014" s="109"/>
      <c r="K1014" s="109"/>
      <c r="L1014" s="109"/>
      <c r="M1014" s="109"/>
      <c r="N1014" s="109"/>
    </row>
    <row r="1015" spans="1:14">
      <c r="A1015" s="109"/>
      <c r="B1015" s="110"/>
      <c r="C1015" s="110"/>
      <c r="D1015" s="110"/>
      <c r="E1015" s="109"/>
      <c r="F1015" s="111"/>
      <c r="G1015" s="109"/>
      <c r="H1015" s="109"/>
      <c r="I1015" s="109"/>
      <c r="J1015" s="109"/>
      <c r="K1015" s="109"/>
      <c r="L1015" s="109"/>
      <c r="M1015" s="109"/>
      <c r="N1015" s="109"/>
    </row>
    <row r="1016" spans="1:14">
      <c r="A1016" s="109"/>
      <c r="B1016" s="110"/>
      <c r="C1016" s="110"/>
      <c r="D1016" s="110"/>
      <c r="E1016" s="109"/>
      <c r="F1016" s="111"/>
      <c r="G1016" s="109"/>
      <c r="H1016" s="109"/>
      <c r="I1016" s="109"/>
      <c r="J1016" s="109"/>
      <c r="K1016" s="109"/>
      <c r="L1016" s="109"/>
      <c r="M1016" s="109"/>
      <c r="N1016" s="109"/>
    </row>
    <row r="1017" spans="1:14">
      <c r="A1017" s="109"/>
      <c r="B1017" s="110"/>
      <c r="C1017" s="110"/>
      <c r="D1017" s="110"/>
      <c r="E1017" s="109"/>
      <c r="F1017" s="111"/>
      <c r="G1017" s="109"/>
      <c r="H1017" s="109"/>
      <c r="I1017" s="109"/>
      <c r="J1017" s="109"/>
      <c r="K1017" s="109"/>
      <c r="L1017" s="109"/>
      <c r="M1017" s="109"/>
      <c r="N1017" s="109"/>
    </row>
    <row r="1018" spans="1:14">
      <c r="A1018" s="109"/>
      <c r="B1018" s="110"/>
      <c r="C1018" s="110"/>
      <c r="D1018" s="110"/>
      <c r="E1018" s="109"/>
      <c r="F1018" s="111"/>
      <c r="G1018" s="109"/>
      <c r="H1018" s="109"/>
      <c r="I1018" s="109"/>
      <c r="J1018" s="109"/>
      <c r="K1018" s="109"/>
      <c r="L1018" s="109"/>
      <c r="M1018" s="109"/>
      <c r="N1018" s="109"/>
    </row>
    <row r="1019" spans="1:14">
      <c r="A1019" s="109"/>
      <c r="B1019" s="110"/>
      <c r="C1019" s="110"/>
      <c r="D1019" s="110"/>
      <c r="E1019" s="109"/>
      <c r="F1019" s="111"/>
      <c r="G1019" s="109"/>
      <c r="H1019" s="109"/>
      <c r="I1019" s="109"/>
      <c r="J1019" s="109"/>
      <c r="K1019" s="109"/>
      <c r="L1019" s="109"/>
      <c r="M1019" s="109"/>
      <c r="N1019" s="109"/>
    </row>
  </sheetData>
  <mergeCells count="1">
    <mergeCell ref="C3:D3"/>
  </mergeCells>
  <dataValidations count="1">
    <dataValidation type="list" allowBlank="1" sqref="C6">
      <formula1>$C$8:$C$501</formula1>
    </dataValidation>
  </dataValidations>
  <hyperlinks>
    <hyperlink ref="F11" r:id="rId1"/>
    <hyperlink ref="F14" r:id="rId2"/>
    <hyperlink ref="F15" r:id="rId3"/>
    <hyperlink ref="F18" r:id="rId4"/>
    <hyperlink ref="F19" r:id="rId5"/>
    <hyperlink ref="F21" r:id="rId6" location="/id/co-01"/>
    <hyperlink ref="F23" r:id="rId7"/>
    <hyperlink ref="F24" r:id="rId8"/>
    <hyperlink ref="F25" r:id="rId9"/>
    <hyperlink ref="F26" r:id="rId10"/>
    <hyperlink ref="F31" r:id="rId11"/>
    <hyperlink ref="F33" r:id="rId12"/>
    <hyperlink ref="F34" r:id="rId13"/>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66"/>
    <outlinePr summaryBelow="0" summaryRight="0"/>
  </sheetPr>
  <dimension ref="A1:BU760"/>
  <sheetViews>
    <sheetView showGridLines="0" workbookViewId="0">
      <selection activeCell="W501" sqref="W501"/>
    </sheetView>
  </sheetViews>
  <sheetFormatPr defaultColWidth="14.42578125" defaultRowHeight="15" customHeight="1"/>
  <cols>
    <col min="1" max="1" width="3" customWidth="1"/>
    <col min="2" max="3" width="3.42578125" customWidth="1"/>
    <col min="4" max="4" width="3.7109375" customWidth="1"/>
    <col min="5" max="5" width="41.140625" customWidth="1"/>
    <col min="6" max="6" width="11.85546875" customWidth="1"/>
    <col min="7" max="14" width="13.7109375" customWidth="1"/>
    <col min="15" max="15" width="10.5703125" customWidth="1"/>
    <col min="16" max="17" width="11.5703125" customWidth="1"/>
    <col min="18" max="18" width="2.28515625" customWidth="1"/>
    <col min="19" max="19" width="8.7109375" customWidth="1"/>
    <col min="20" max="21" width="6.5703125" customWidth="1"/>
    <col min="22" max="22" width="21.85546875" customWidth="1"/>
    <col min="23" max="23" width="8.140625" customWidth="1"/>
    <col min="24" max="24" width="13.140625" customWidth="1"/>
    <col min="25" max="26" width="8.42578125" bestFit="1" customWidth="1"/>
    <col min="27" max="27" width="8.28515625" bestFit="1" customWidth="1"/>
    <col min="28" max="28" width="8.140625" bestFit="1" customWidth="1"/>
    <col min="29" max="29" width="8.28515625" bestFit="1" customWidth="1"/>
    <col min="30" max="30" width="8.42578125" bestFit="1" customWidth="1"/>
    <col min="31" max="31" width="8.140625" bestFit="1" customWidth="1"/>
    <col min="32" max="32" width="8.42578125" bestFit="1" customWidth="1"/>
    <col min="33" max="35" width="8.5703125" bestFit="1" customWidth="1"/>
    <col min="36" max="36" width="8.28515625" bestFit="1" customWidth="1"/>
    <col min="37" max="40" width="8.42578125" bestFit="1" customWidth="1"/>
    <col min="41" max="43" width="8.28515625" bestFit="1" customWidth="1"/>
    <col min="44" max="44" width="8.5703125" bestFit="1" customWidth="1"/>
    <col min="45" max="45" width="8.42578125" bestFit="1" customWidth="1"/>
    <col min="46" max="46" width="8.28515625" bestFit="1" customWidth="1"/>
    <col min="47" max="47" width="8.140625" bestFit="1" customWidth="1"/>
    <col min="48" max="48" width="7.7109375" bestFit="1" customWidth="1"/>
    <col min="49" max="51" width="7.5703125" bestFit="1" customWidth="1"/>
    <col min="52" max="53" width="7.42578125" bestFit="1" customWidth="1"/>
    <col min="54" max="63" width="7.140625" bestFit="1" customWidth="1"/>
    <col min="64" max="73" width="6.5703125" customWidth="1"/>
  </cols>
  <sheetData>
    <row r="1" spans="1:73">
      <c r="A1" s="6"/>
      <c r="B1" s="108"/>
      <c r="C1" s="1"/>
      <c r="D1" s="1"/>
      <c r="E1" s="1"/>
      <c r="F1" s="1"/>
      <c r="G1" s="3"/>
      <c r="H1" s="3"/>
      <c r="I1" s="3"/>
      <c r="J1" s="3"/>
      <c r="K1" s="3"/>
      <c r="L1" s="3"/>
      <c r="M1" s="3"/>
      <c r="N1" s="3"/>
      <c r="O1" s="1"/>
      <c r="P1" s="1"/>
      <c r="Q1" s="1"/>
      <c r="R1" s="162"/>
      <c r="S1" s="1"/>
      <c r="T1" s="103"/>
      <c r="U1" s="103"/>
      <c r="V1" s="103"/>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9"/>
      <c r="BM1" s="99"/>
      <c r="BN1" s="99"/>
      <c r="BO1" s="99"/>
      <c r="BP1" s="99"/>
      <c r="BQ1" s="99"/>
      <c r="BR1" s="99"/>
      <c r="BS1" s="99"/>
      <c r="BT1" s="99"/>
      <c r="BU1" s="99"/>
    </row>
    <row r="2" spans="1:73" ht="17.25" customHeight="1">
      <c r="A2" s="6"/>
      <c r="B2" s="108"/>
      <c r="C2" s="1"/>
      <c r="D2" s="163" t="s">
        <v>721</v>
      </c>
      <c r="E2" s="163"/>
      <c r="F2" s="164"/>
      <c r="G2" s="165"/>
      <c r="H2" s="165"/>
      <c r="I2" s="165"/>
      <c r="J2" s="165"/>
      <c r="K2" s="165"/>
      <c r="L2" s="165"/>
      <c r="M2" s="165"/>
      <c r="N2" s="165"/>
      <c r="O2" s="76"/>
      <c r="P2" s="76"/>
      <c r="Q2" s="1"/>
      <c r="R2" s="162"/>
      <c r="S2" s="1"/>
      <c r="T2" s="103"/>
      <c r="U2" s="103"/>
      <c r="V2" s="103"/>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9"/>
      <c r="BM2" s="99"/>
      <c r="BN2" s="99"/>
      <c r="BO2" s="99"/>
      <c r="BP2" s="99"/>
      <c r="BQ2" s="99"/>
      <c r="BR2" s="99"/>
      <c r="BS2" s="99"/>
      <c r="BT2" s="99"/>
      <c r="BU2" s="99"/>
    </row>
    <row r="3" spans="1:73">
      <c r="A3" s="6"/>
      <c r="B3" s="108"/>
      <c r="C3" s="1"/>
      <c r="D3" s="1"/>
      <c r="E3" s="1"/>
      <c r="F3" s="12"/>
      <c r="G3" s="3"/>
      <c r="H3" s="3"/>
      <c r="I3" s="3"/>
      <c r="J3" s="3"/>
      <c r="K3" s="3"/>
      <c r="L3" s="3"/>
      <c r="M3" s="3"/>
      <c r="N3" s="3"/>
      <c r="O3" s="1"/>
      <c r="P3" s="1"/>
      <c r="Q3" s="1"/>
      <c r="R3" s="162"/>
      <c r="S3" s="1"/>
      <c r="T3" s="103"/>
      <c r="U3" s="103"/>
      <c r="V3" s="103"/>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9"/>
      <c r="BM3" s="99"/>
      <c r="BN3" s="99"/>
      <c r="BO3" s="99"/>
      <c r="BP3" s="99"/>
      <c r="BQ3" s="99"/>
      <c r="BR3" s="99"/>
      <c r="BS3" s="99"/>
      <c r="BT3" s="99"/>
      <c r="BU3" s="99"/>
    </row>
    <row r="4" spans="1:73">
      <c r="A4" s="6"/>
      <c r="B4" s="108"/>
      <c r="C4" s="1"/>
      <c r="D4" s="1"/>
      <c r="E4" s="135" t="s">
        <v>709</v>
      </c>
      <c r="F4" s="166" t="s">
        <v>654</v>
      </c>
      <c r="G4" s="3"/>
      <c r="H4" s="3"/>
      <c r="I4" s="3"/>
      <c r="J4" s="3"/>
      <c r="K4" s="3"/>
      <c r="L4" s="3"/>
      <c r="M4" s="3"/>
      <c r="N4" s="3"/>
      <c r="O4" s="1"/>
      <c r="P4" s="1"/>
      <c r="Q4" s="1"/>
      <c r="R4" s="162"/>
      <c r="S4" s="1"/>
      <c r="T4" s="103"/>
      <c r="U4" s="103"/>
      <c r="V4" s="103"/>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9"/>
      <c r="BM4" s="99"/>
      <c r="BN4" s="99"/>
      <c r="BO4" s="99"/>
      <c r="BP4" s="99"/>
      <c r="BQ4" s="99"/>
      <c r="BR4" s="99"/>
      <c r="BS4" s="99"/>
      <c r="BT4" s="99"/>
      <c r="BU4" s="99"/>
    </row>
    <row r="5" spans="1:73">
      <c r="A5" s="6"/>
      <c r="B5" s="108"/>
      <c r="C5" s="1"/>
      <c r="D5" s="1"/>
      <c r="E5" s="137" t="s">
        <v>710</v>
      </c>
      <c r="F5" s="167" t="s">
        <v>648</v>
      </c>
      <c r="G5" s="3"/>
      <c r="H5" s="3"/>
      <c r="I5" s="3"/>
      <c r="J5" s="3"/>
      <c r="K5" s="3"/>
      <c r="L5" s="3"/>
      <c r="M5" s="3"/>
      <c r="N5" s="3"/>
      <c r="O5" s="1"/>
      <c r="P5" s="1"/>
      <c r="Q5" s="1"/>
      <c r="R5" s="162"/>
      <c r="S5" s="1"/>
      <c r="T5" s="103"/>
      <c r="U5" s="103"/>
      <c r="V5" s="103"/>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9"/>
      <c r="BM5" s="99"/>
      <c r="BN5" s="99"/>
      <c r="BO5" s="99"/>
      <c r="BP5" s="99"/>
      <c r="BQ5" s="99"/>
      <c r="BR5" s="99"/>
      <c r="BS5" s="99"/>
      <c r="BT5" s="99"/>
      <c r="BU5" s="99"/>
    </row>
    <row r="6" spans="1:73">
      <c r="A6" s="6"/>
      <c r="B6" s="108"/>
      <c r="C6" s="1"/>
      <c r="D6" s="1"/>
      <c r="E6" s="139" t="s">
        <v>711</v>
      </c>
      <c r="F6" s="168" t="s">
        <v>606</v>
      </c>
      <c r="G6" s="3"/>
      <c r="H6" s="3"/>
      <c r="I6" s="3"/>
      <c r="J6" s="3"/>
      <c r="K6" s="3"/>
      <c r="L6" s="3"/>
      <c r="M6" s="3"/>
      <c r="N6" s="3"/>
      <c r="O6" s="1"/>
      <c r="P6" s="1"/>
      <c r="Q6" s="1"/>
      <c r="R6" s="162"/>
      <c r="S6" s="1"/>
      <c r="T6" s="103"/>
      <c r="U6" s="103"/>
      <c r="V6" s="103"/>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9"/>
      <c r="BM6" s="99"/>
      <c r="BN6" s="99"/>
      <c r="BO6" s="99"/>
      <c r="BP6" s="99"/>
      <c r="BQ6" s="99"/>
      <c r="BR6" s="99"/>
      <c r="BS6" s="99"/>
      <c r="BT6" s="99"/>
      <c r="BU6" s="99"/>
    </row>
    <row r="7" spans="1:73">
      <c r="A7" s="6"/>
      <c r="B7" s="108"/>
      <c r="C7" s="1"/>
      <c r="D7" s="1"/>
      <c r="E7" s="1"/>
      <c r="F7" s="12"/>
      <c r="G7" s="3"/>
      <c r="H7" s="3"/>
      <c r="I7" s="3"/>
      <c r="J7" s="3"/>
      <c r="K7" s="3"/>
      <c r="L7" s="3"/>
      <c r="M7" s="3"/>
      <c r="N7" s="3"/>
      <c r="O7" s="1"/>
      <c r="P7" s="1"/>
      <c r="Q7" s="1"/>
      <c r="R7" s="162"/>
      <c r="S7" s="1"/>
      <c r="T7" s="103"/>
      <c r="U7" s="103"/>
      <c r="V7" s="103"/>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c r="AY7" s="98"/>
      <c r="AZ7" s="98"/>
      <c r="BA7" s="98"/>
      <c r="BB7" s="98"/>
      <c r="BC7" s="98"/>
      <c r="BD7" s="98"/>
      <c r="BE7" s="98"/>
      <c r="BF7" s="98"/>
      <c r="BG7" s="98"/>
      <c r="BH7" s="98"/>
      <c r="BI7" s="98"/>
      <c r="BJ7" s="98"/>
      <c r="BK7" s="98"/>
      <c r="BL7" s="99"/>
      <c r="BM7" s="99"/>
      <c r="BN7" s="99"/>
      <c r="BO7" s="99"/>
      <c r="BP7" s="99"/>
      <c r="BQ7" s="99"/>
      <c r="BR7" s="99"/>
      <c r="BS7" s="99"/>
      <c r="BT7" s="99"/>
      <c r="BU7" s="99"/>
    </row>
    <row r="8" spans="1:73">
      <c r="A8" s="6"/>
      <c r="B8" s="108"/>
      <c r="C8" s="1"/>
      <c r="D8" s="169" t="str">
        <f ca="1">"Overview of the calculations in time for "&amp;'2.2 Input_General_Information'!H20</f>
        <v>Overview of the calculations in time for 2018</v>
      </c>
      <c r="E8" s="33"/>
      <c r="F8" s="170"/>
      <c r="G8" s="68"/>
      <c r="H8" s="68"/>
      <c r="I8" s="68"/>
      <c r="J8" s="68"/>
      <c r="K8" s="68"/>
      <c r="L8" s="68"/>
      <c r="M8" s="68"/>
      <c r="N8" s="68"/>
      <c r="O8" s="171"/>
      <c r="P8" s="171"/>
      <c r="Q8" s="1"/>
      <c r="R8" s="162"/>
      <c r="S8" s="1"/>
      <c r="T8" s="103"/>
      <c r="U8" s="103"/>
      <c r="V8" s="103"/>
      <c r="W8" s="134">
        <v>1</v>
      </c>
      <c r="X8" s="134">
        <v>2</v>
      </c>
      <c r="Y8" s="134">
        <v>3</v>
      </c>
      <c r="Z8" s="134">
        <v>4</v>
      </c>
      <c r="AA8" s="134">
        <v>5</v>
      </c>
      <c r="AB8" s="134">
        <v>6</v>
      </c>
      <c r="AC8" s="134">
        <v>7</v>
      </c>
      <c r="AD8" s="134">
        <v>8</v>
      </c>
      <c r="AE8" s="134">
        <v>9</v>
      </c>
      <c r="AF8" s="134">
        <v>10</v>
      </c>
      <c r="AG8" s="134">
        <v>11</v>
      </c>
      <c r="AH8" s="134">
        <v>12</v>
      </c>
      <c r="AI8" s="134">
        <v>13</v>
      </c>
      <c r="AJ8" s="134">
        <v>14</v>
      </c>
      <c r="AK8" s="134">
        <v>15</v>
      </c>
      <c r="AL8" s="134">
        <v>16</v>
      </c>
      <c r="AM8" s="134">
        <v>17</v>
      </c>
      <c r="AN8" s="134">
        <v>18</v>
      </c>
      <c r="AO8" s="134">
        <v>19</v>
      </c>
      <c r="AP8" s="134">
        <v>20</v>
      </c>
      <c r="AQ8" s="134">
        <v>21</v>
      </c>
      <c r="AR8" s="134">
        <v>22</v>
      </c>
      <c r="AS8" s="134">
        <v>23</v>
      </c>
      <c r="AT8" s="134">
        <v>24</v>
      </c>
      <c r="AU8" s="134">
        <v>25</v>
      </c>
      <c r="AV8" s="134">
        <v>26</v>
      </c>
      <c r="AW8" s="134">
        <v>27</v>
      </c>
      <c r="AX8" s="134">
        <v>28</v>
      </c>
      <c r="AY8" s="134">
        <v>29</v>
      </c>
      <c r="AZ8" s="134">
        <v>30</v>
      </c>
      <c r="BA8" s="134">
        <v>31</v>
      </c>
      <c r="BB8" s="134">
        <v>32</v>
      </c>
      <c r="BC8" s="134">
        <v>33</v>
      </c>
      <c r="BD8" s="134">
        <v>34</v>
      </c>
      <c r="BE8" s="134">
        <v>35</v>
      </c>
      <c r="BF8" s="134">
        <v>36</v>
      </c>
      <c r="BG8" s="134">
        <v>37</v>
      </c>
      <c r="BH8" s="134">
        <v>38</v>
      </c>
      <c r="BI8" s="134">
        <v>39</v>
      </c>
      <c r="BJ8" s="134">
        <v>40</v>
      </c>
      <c r="BK8" s="134">
        <v>41</v>
      </c>
      <c r="BL8" s="172"/>
      <c r="BM8" s="172"/>
      <c r="BN8" s="172"/>
      <c r="BO8" s="172"/>
      <c r="BP8" s="172"/>
      <c r="BQ8" s="172"/>
      <c r="BR8" s="172"/>
      <c r="BS8" s="172"/>
      <c r="BT8" s="172"/>
      <c r="BU8" s="172"/>
    </row>
    <row r="9" spans="1:73">
      <c r="A9" s="6"/>
      <c r="B9" s="108"/>
      <c r="C9" s="1"/>
      <c r="D9" s="37"/>
      <c r="E9" s="1"/>
      <c r="F9" s="12"/>
      <c r="G9" s="3"/>
      <c r="H9" s="3"/>
      <c r="I9" s="3"/>
      <c r="J9" s="3"/>
      <c r="K9" s="3"/>
      <c r="L9" s="3"/>
      <c r="M9" s="3"/>
      <c r="N9" s="3"/>
      <c r="O9" s="1"/>
      <c r="P9" s="1"/>
      <c r="Q9" s="1"/>
      <c r="R9" s="162"/>
      <c r="S9" s="1"/>
      <c r="T9" s="103"/>
      <c r="U9" s="103"/>
      <c r="V9" s="103"/>
      <c r="W9" s="98">
        <f>Growth!B20</f>
        <v>2018</v>
      </c>
      <c r="X9" s="98">
        <f t="shared" ref="X9:BK9" si="0">W9+1</f>
        <v>2019</v>
      </c>
      <c r="Y9" s="98">
        <f t="shared" si="0"/>
        <v>2020</v>
      </c>
      <c r="Z9" s="98">
        <f t="shared" si="0"/>
        <v>2021</v>
      </c>
      <c r="AA9" s="98">
        <f t="shared" si="0"/>
        <v>2022</v>
      </c>
      <c r="AB9" s="98">
        <f t="shared" si="0"/>
        <v>2023</v>
      </c>
      <c r="AC9" s="98">
        <f t="shared" si="0"/>
        <v>2024</v>
      </c>
      <c r="AD9" s="98">
        <f t="shared" si="0"/>
        <v>2025</v>
      </c>
      <c r="AE9" s="98">
        <f t="shared" si="0"/>
        <v>2026</v>
      </c>
      <c r="AF9" s="98">
        <f t="shared" si="0"/>
        <v>2027</v>
      </c>
      <c r="AG9" s="98">
        <f t="shared" si="0"/>
        <v>2028</v>
      </c>
      <c r="AH9" s="98">
        <f t="shared" si="0"/>
        <v>2029</v>
      </c>
      <c r="AI9" s="98">
        <f t="shared" si="0"/>
        <v>2030</v>
      </c>
      <c r="AJ9" s="98">
        <f t="shared" si="0"/>
        <v>2031</v>
      </c>
      <c r="AK9" s="98">
        <f t="shared" si="0"/>
        <v>2032</v>
      </c>
      <c r="AL9" s="98">
        <f t="shared" si="0"/>
        <v>2033</v>
      </c>
      <c r="AM9" s="98">
        <f t="shared" si="0"/>
        <v>2034</v>
      </c>
      <c r="AN9" s="98">
        <f t="shared" si="0"/>
        <v>2035</v>
      </c>
      <c r="AO9" s="98">
        <f t="shared" si="0"/>
        <v>2036</v>
      </c>
      <c r="AP9" s="98">
        <f t="shared" si="0"/>
        <v>2037</v>
      </c>
      <c r="AQ9" s="98">
        <f t="shared" si="0"/>
        <v>2038</v>
      </c>
      <c r="AR9" s="98">
        <f t="shared" si="0"/>
        <v>2039</v>
      </c>
      <c r="AS9" s="98">
        <f t="shared" si="0"/>
        <v>2040</v>
      </c>
      <c r="AT9" s="98">
        <f t="shared" si="0"/>
        <v>2041</v>
      </c>
      <c r="AU9" s="98">
        <f t="shared" si="0"/>
        <v>2042</v>
      </c>
      <c r="AV9" s="98">
        <f t="shared" si="0"/>
        <v>2043</v>
      </c>
      <c r="AW9" s="98">
        <f t="shared" si="0"/>
        <v>2044</v>
      </c>
      <c r="AX9" s="98">
        <f t="shared" si="0"/>
        <v>2045</v>
      </c>
      <c r="AY9" s="98">
        <f t="shared" si="0"/>
        <v>2046</v>
      </c>
      <c r="AZ9" s="98">
        <f t="shared" si="0"/>
        <v>2047</v>
      </c>
      <c r="BA9" s="98">
        <f t="shared" si="0"/>
        <v>2048</v>
      </c>
      <c r="BB9" s="98">
        <f t="shared" si="0"/>
        <v>2049</v>
      </c>
      <c r="BC9" s="98">
        <f t="shared" si="0"/>
        <v>2050</v>
      </c>
      <c r="BD9" s="98">
        <f t="shared" si="0"/>
        <v>2051</v>
      </c>
      <c r="BE9" s="98">
        <f t="shared" si="0"/>
        <v>2052</v>
      </c>
      <c r="BF9" s="98">
        <f t="shared" si="0"/>
        <v>2053</v>
      </c>
      <c r="BG9" s="98">
        <f t="shared" si="0"/>
        <v>2054</v>
      </c>
      <c r="BH9" s="98">
        <f t="shared" si="0"/>
        <v>2055</v>
      </c>
      <c r="BI9" s="98">
        <f t="shared" si="0"/>
        <v>2056</v>
      </c>
      <c r="BJ9" s="98">
        <f t="shared" si="0"/>
        <v>2057</v>
      </c>
      <c r="BK9" s="98">
        <f t="shared" si="0"/>
        <v>2058</v>
      </c>
      <c r="BL9" s="99"/>
      <c r="BM9" s="99"/>
      <c r="BN9" s="99"/>
      <c r="BO9" s="99"/>
      <c r="BP9" s="99"/>
      <c r="BQ9" s="99"/>
      <c r="BR9" s="99"/>
      <c r="BS9" s="99"/>
      <c r="BT9" s="99"/>
      <c r="BU9" s="99"/>
    </row>
    <row r="10" spans="1:73">
      <c r="A10" s="6"/>
      <c r="B10" s="97" t="s">
        <v>606</v>
      </c>
      <c r="C10" s="1"/>
      <c r="D10" s="173" t="s">
        <v>723</v>
      </c>
      <c r="E10" s="174"/>
      <c r="F10" s="175"/>
      <c r="G10" s="176" t="str">
        <f>'2.3 Input_Main_Questionnaire'!$H$24</f>
        <v>PhD researcher</v>
      </c>
      <c r="H10" s="176" t="str">
        <f>'2.3 Input_Main_Questionnaire'!$I$24</f>
        <v>Lecturer assistant/Research assistant (Academic)</v>
      </c>
      <c r="I10" s="176" t="str">
        <f>'2.3 Input_Main_Questionnaire'!$J$24</f>
        <v>Lecturer/Researcher (Academic)</v>
      </c>
      <c r="J10" s="176" t="str">
        <f>'2.3 Input_Main_Questionnaire'!$K$24</f>
        <v>Other</v>
      </c>
      <c r="K10" s="176" t="str">
        <f>'2.3 Input_Main_Questionnaire'!$L$24</f>
        <v>Profile 5</v>
      </c>
      <c r="L10" s="176" t="str">
        <f>'2.3 Input_Main_Questionnaire'!$M$24</f>
        <v>Profile 6</v>
      </c>
      <c r="M10" s="176" t="str">
        <f>'2.3 Input_Main_Questionnaire'!$N$24</f>
        <v>Profile 7</v>
      </c>
      <c r="N10" s="176" t="str">
        <f>'2.3 Input_Main_Questionnaire'!$O$24</f>
        <v>Profile 8</v>
      </c>
      <c r="O10" s="79"/>
      <c r="P10" s="79"/>
      <c r="Q10" s="1"/>
      <c r="R10" s="162"/>
      <c r="S10" s="1"/>
      <c r="T10" s="103"/>
      <c r="U10" s="103"/>
      <c r="V10" s="103"/>
      <c r="W10" s="134"/>
      <c r="X10" s="98"/>
      <c r="Y10" s="98"/>
      <c r="Z10" s="98"/>
      <c r="AA10" s="98"/>
      <c r="AB10" s="98"/>
      <c r="AC10" s="98"/>
      <c r="AD10" s="98"/>
      <c r="AE10" s="98"/>
      <c r="AF10" s="98"/>
      <c r="AG10" s="98"/>
      <c r="AH10" s="98"/>
      <c r="AI10" s="98"/>
      <c r="AJ10" s="98"/>
      <c r="AK10" s="98"/>
      <c r="AL10" s="98"/>
      <c r="AM10" s="98"/>
      <c r="AN10" s="98"/>
      <c r="AO10" s="98"/>
      <c r="AP10" s="98"/>
      <c r="AQ10" s="98"/>
      <c r="AR10" s="98"/>
      <c r="AS10" s="98"/>
      <c r="AT10" s="98"/>
      <c r="AU10" s="98"/>
      <c r="AV10" s="98"/>
      <c r="AW10" s="98"/>
      <c r="AX10" s="98"/>
      <c r="AY10" s="98"/>
      <c r="AZ10" s="98"/>
      <c r="BA10" s="98"/>
      <c r="BB10" s="98"/>
      <c r="BC10" s="98"/>
      <c r="BD10" s="98"/>
      <c r="BE10" s="98"/>
      <c r="BF10" s="98"/>
      <c r="BG10" s="98"/>
      <c r="BH10" s="98"/>
      <c r="BI10" s="98"/>
      <c r="BJ10" s="98"/>
      <c r="BK10" s="98"/>
      <c r="BL10" s="99"/>
      <c r="BM10" s="99"/>
      <c r="BN10" s="99"/>
      <c r="BO10" s="99"/>
      <c r="BP10" s="99"/>
      <c r="BQ10" s="99"/>
      <c r="BR10" s="99"/>
      <c r="BS10" s="99"/>
      <c r="BT10" s="99"/>
      <c r="BU10" s="99"/>
    </row>
    <row r="11" spans="1:73" ht="5.25" customHeight="1">
      <c r="A11" s="6"/>
      <c r="B11" s="108"/>
      <c r="C11" s="1"/>
      <c r="D11" s="25"/>
      <c r="E11" s="12"/>
      <c r="F11" s="1"/>
      <c r="G11" s="3"/>
      <c r="H11" s="3"/>
      <c r="I11" s="3"/>
      <c r="J11" s="3"/>
      <c r="K11" s="3"/>
      <c r="L11" s="3"/>
      <c r="M11" s="3"/>
      <c r="N11" s="3"/>
      <c r="O11" s="1"/>
      <c r="P11" s="1"/>
      <c r="Q11" s="1"/>
      <c r="R11" s="162"/>
      <c r="S11" s="1"/>
      <c r="T11" s="103"/>
      <c r="U11" s="103"/>
      <c r="V11" s="103"/>
      <c r="W11" s="98"/>
      <c r="X11" s="98"/>
      <c r="Y11" s="98"/>
      <c r="Z11" s="98"/>
      <c r="AA11" s="98"/>
      <c r="AB11" s="98"/>
      <c r="AC11" s="98"/>
      <c r="AD11" s="98"/>
      <c r="AE11" s="98"/>
      <c r="AF11" s="98"/>
      <c r="AG11" s="98"/>
      <c r="AH11" s="98"/>
      <c r="AI11" s="98"/>
      <c r="AJ11" s="98"/>
      <c r="AK11" s="98"/>
      <c r="AL11" s="98"/>
      <c r="AM11" s="98"/>
      <c r="AN11" s="98"/>
      <c r="AO11" s="98"/>
      <c r="AP11" s="98"/>
      <c r="AQ11" s="98"/>
      <c r="AR11" s="98"/>
      <c r="AS11" s="98"/>
      <c r="AT11" s="98"/>
      <c r="AU11" s="98"/>
      <c r="AV11" s="98"/>
      <c r="AW11" s="98"/>
      <c r="AX11" s="98"/>
      <c r="AY11" s="98"/>
      <c r="AZ11" s="98"/>
      <c r="BA11" s="98"/>
      <c r="BB11" s="98"/>
      <c r="BC11" s="98"/>
      <c r="BD11" s="98"/>
      <c r="BE11" s="98"/>
      <c r="BF11" s="98"/>
      <c r="BG11" s="98"/>
      <c r="BH11" s="98"/>
      <c r="BI11" s="98"/>
      <c r="BJ11" s="98"/>
      <c r="BK11" s="98"/>
      <c r="BL11" s="99"/>
      <c r="BM11" s="99"/>
      <c r="BN11" s="99"/>
      <c r="BO11" s="99"/>
      <c r="BP11" s="99"/>
      <c r="BQ11" s="99"/>
      <c r="BR11" s="99"/>
      <c r="BS11" s="99"/>
      <c r="BT11" s="99"/>
      <c r="BU11" s="99"/>
    </row>
    <row r="12" spans="1:73">
      <c r="A12" s="6"/>
      <c r="B12" s="108"/>
      <c r="C12" s="1"/>
      <c r="D12" s="177">
        <v>3</v>
      </c>
      <c r="E12" s="178" t="s">
        <v>724</v>
      </c>
      <c r="F12" s="179">
        <f t="shared" ref="F12:N12" si="1">F298</f>
        <v>0</v>
      </c>
      <c r="G12" s="180">
        <f t="shared" si="1"/>
        <v>8.4710176666666651E-2</v>
      </c>
      <c r="H12" s="180">
        <f t="shared" si="1"/>
        <v>7.9894865000000009E-2</v>
      </c>
      <c r="I12" s="180">
        <f t="shared" si="1"/>
        <v>6.9723747500000002E-2</v>
      </c>
      <c r="J12" s="180">
        <f t="shared" si="1"/>
        <v>9.5864010833333319E-2</v>
      </c>
      <c r="K12" s="180">
        <f t="shared" si="1"/>
        <v>8.2548200000000002E-2</v>
      </c>
      <c r="L12" s="180">
        <f t="shared" si="1"/>
        <v>8.2548200000000002E-2</v>
      </c>
      <c r="M12" s="180">
        <f t="shared" si="1"/>
        <v>8.2548200000000002E-2</v>
      </c>
      <c r="N12" s="181">
        <f t="shared" si="1"/>
        <v>8.2548200000000002E-2</v>
      </c>
      <c r="O12" s="1"/>
      <c r="P12" s="1"/>
      <c r="Q12" s="1"/>
      <c r="R12" s="162"/>
      <c r="S12" s="1"/>
      <c r="T12" s="103"/>
      <c r="U12" s="103"/>
      <c r="V12" s="103"/>
      <c r="W12" s="98"/>
      <c r="X12" s="98"/>
      <c r="Y12" s="98"/>
      <c r="Z12" s="98"/>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9"/>
      <c r="BM12" s="99"/>
      <c r="BN12" s="99"/>
      <c r="BO12" s="99"/>
      <c r="BP12" s="99"/>
      <c r="BQ12" s="99"/>
      <c r="BR12" s="99"/>
      <c r="BS12" s="99"/>
      <c r="BT12" s="99"/>
      <c r="BU12" s="99"/>
    </row>
    <row r="13" spans="1:73">
      <c r="A13" s="6"/>
      <c r="B13" s="108"/>
      <c r="C13" s="1"/>
      <c r="D13" s="182">
        <v>5</v>
      </c>
      <c r="E13" s="12" t="s">
        <v>725</v>
      </c>
      <c r="F13" s="12"/>
      <c r="G13" s="183">
        <f t="shared" ref="G13:N13" si="2">G547</f>
        <v>3.9443029629629638E-2</v>
      </c>
      <c r="H13" s="183">
        <f t="shared" si="2"/>
        <v>5.251296296296297E-2</v>
      </c>
      <c r="I13" s="183">
        <f t="shared" si="2"/>
        <v>4.7160807407407412E-2</v>
      </c>
      <c r="J13" s="183">
        <f t="shared" si="2"/>
        <v>4.9832592592592602E-2</v>
      </c>
      <c r="K13" s="183">
        <f t="shared" si="2"/>
        <v>4.7237348148148152E-2</v>
      </c>
      <c r="L13" s="183">
        <f t="shared" si="2"/>
        <v>4.7237348148148152E-2</v>
      </c>
      <c r="M13" s="183">
        <f t="shared" si="2"/>
        <v>4.7237348148148152E-2</v>
      </c>
      <c r="N13" s="184">
        <f t="shared" si="2"/>
        <v>4.7237348148148152E-2</v>
      </c>
      <c r="O13" s="1"/>
      <c r="P13" s="1"/>
      <c r="Q13" s="1"/>
      <c r="R13" s="162"/>
      <c r="S13" s="101"/>
      <c r="T13" s="103"/>
      <c r="U13" s="103"/>
      <c r="V13" s="103"/>
      <c r="W13" s="186"/>
      <c r="X13" s="186"/>
      <c r="Y13" s="186"/>
      <c r="Z13" s="186"/>
      <c r="AA13" s="186"/>
      <c r="AB13" s="186"/>
      <c r="AC13" s="186"/>
      <c r="AD13" s="186"/>
      <c r="AE13" s="186"/>
      <c r="AF13" s="186"/>
      <c r="AG13" s="186"/>
      <c r="AH13" s="186"/>
      <c r="AI13" s="186"/>
      <c r="AJ13" s="186"/>
      <c r="AK13" s="186"/>
      <c r="AL13" s="186"/>
      <c r="AM13" s="186"/>
      <c r="AN13" s="186"/>
      <c r="AO13" s="186"/>
      <c r="AP13" s="186"/>
      <c r="AQ13" s="186"/>
      <c r="AR13" s="186"/>
      <c r="AS13" s="186"/>
      <c r="AT13" s="186"/>
      <c r="AU13" s="186"/>
      <c r="AV13" s="186"/>
      <c r="AW13" s="186"/>
      <c r="AX13" s="186"/>
      <c r="AY13" s="186"/>
      <c r="AZ13" s="186"/>
      <c r="BA13" s="186"/>
      <c r="BB13" s="186"/>
      <c r="BC13" s="186"/>
      <c r="BD13" s="186"/>
      <c r="BE13" s="186"/>
      <c r="BF13" s="186"/>
      <c r="BG13" s="186"/>
      <c r="BH13" s="186"/>
      <c r="BI13" s="186"/>
      <c r="BJ13" s="186"/>
      <c r="BK13" s="186"/>
      <c r="BL13" s="187"/>
      <c r="BM13" s="187"/>
      <c r="BN13" s="187"/>
      <c r="BO13" s="187"/>
      <c r="BP13" s="187"/>
      <c r="BQ13" s="187"/>
      <c r="BR13" s="187"/>
      <c r="BS13" s="187"/>
      <c r="BT13" s="187"/>
      <c r="BU13" s="187"/>
    </row>
    <row r="14" spans="1:73">
      <c r="A14" s="6"/>
      <c r="B14" s="108"/>
      <c r="C14" s="1"/>
      <c r="D14" s="182">
        <v>8</v>
      </c>
      <c r="E14" s="12" t="s">
        <v>728</v>
      </c>
      <c r="F14" s="12"/>
      <c r="G14" s="189">
        <f t="shared" ref="G14:N14" si="3">IF(G651&gt;0,G651,0)</f>
        <v>4.9950000000000001E-2</v>
      </c>
      <c r="H14" s="189">
        <f t="shared" si="3"/>
        <v>3.8574999999999998E-2</v>
      </c>
      <c r="I14" s="189">
        <f t="shared" si="3"/>
        <v>4.7699999999999999E-2</v>
      </c>
      <c r="J14" s="189">
        <f t="shared" si="3"/>
        <v>4.0825E-2</v>
      </c>
      <c r="K14" s="189">
        <f t="shared" si="3"/>
        <v>4.4262499999999996E-2</v>
      </c>
      <c r="L14" s="189">
        <f t="shared" si="3"/>
        <v>4.4262499999999996E-2</v>
      </c>
      <c r="M14" s="189">
        <f t="shared" si="3"/>
        <v>4.4262499999999996E-2</v>
      </c>
      <c r="N14" s="190">
        <f t="shared" si="3"/>
        <v>4.4262499999999996E-2</v>
      </c>
      <c r="O14" s="1"/>
      <c r="P14" s="1"/>
      <c r="Q14" s="1"/>
      <c r="R14" s="162"/>
      <c r="S14" s="101"/>
      <c r="T14" s="103"/>
      <c r="U14" s="103"/>
      <c r="V14" s="103"/>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6"/>
      <c r="BH14" s="186"/>
      <c r="BI14" s="186"/>
      <c r="BJ14" s="186"/>
      <c r="BK14" s="186"/>
      <c r="BL14" s="187"/>
      <c r="BM14" s="187"/>
      <c r="BN14" s="187"/>
      <c r="BO14" s="187"/>
      <c r="BP14" s="187"/>
      <c r="BQ14" s="187"/>
      <c r="BR14" s="187"/>
      <c r="BS14" s="187"/>
      <c r="BT14" s="187"/>
      <c r="BU14" s="187"/>
    </row>
    <row r="15" spans="1:73">
      <c r="A15" s="6"/>
      <c r="B15" s="108"/>
      <c r="C15" s="1"/>
      <c r="D15" s="182">
        <v>9</v>
      </c>
      <c r="E15" s="12" t="s">
        <v>729</v>
      </c>
      <c r="F15" s="12"/>
      <c r="G15" s="189">
        <f t="shared" ref="G15:N15" si="4">G682</f>
        <v>5.9866316969629629E-2</v>
      </c>
      <c r="H15" s="189">
        <f t="shared" si="4"/>
        <v>4.884868462962963E-2</v>
      </c>
      <c r="I15" s="189">
        <f t="shared" si="4"/>
        <v>9.2623759260740748E-2</v>
      </c>
      <c r="J15" s="189">
        <f t="shared" si="4"/>
        <v>3.2256997925925929E-2</v>
      </c>
      <c r="K15" s="189">
        <f t="shared" si="4"/>
        <v>5.8451037421481493E-2</v>
      </c>
      <c r="L15" s="189">
        <f t="shared" si="4"/>
        <v>5.8451037421481493E-2</v>
      </c>
      <c r="M15" s="189">
        <f t="shared" si="4"/>
        <v>5.8451037421481493E-2</v>
      </c>
      <c r="N15" s="190">
        <f t="shared" si="4"/>
        <v>5.8451037421481493E-2</v>
      </c>
      <c r="O15" s="36"/>
      <c r="P15" s="36"/>
      <c r="Q15" s="36"/>
      <c r="R15" s="162"/>
      <c r="S15" s="101"/>
      <c r="T15" s="103"/>
      <c r="U15" s="103"/>
      <c r="V15" s="103"/>
      <c r="W15" s="186"/>
      <c r="X15" s="186"/>
      <c r="Y15" s="186"/>
      <c r="Z15" s="186"/>
      <c r="AA15" s="186"/>
      <c r="AB15" s="186"/>
      <c r="AC15" s="186"/>
      <c r="AD15" s="186"/>
      <c r="AE15" s="186"/>
      <c r="AF15" s="186"/>
      <c r="AG15" s="186"/>
      <c r="AH15" s="186"/>
      <c r="AI15" s="186"/>
      <c r="AJ15" s="186"/>
      <c r="AK15" s="186"/>
      <c r="AL15" s="186"/>
      <c r="AM15" s="186"/>
      <c r="AN15" s="186"/>
      <c r="AO15" s="186"/>
      <c r="AP15" s="186"/>
      <c r="AQ15" s="186"/>
      <c r="AR15" s="186"/>
      <c r="AS15" s="186"/>
      <c r="AT15" s="186"/>
      <c r="AU15" s="186"/>
      <c r="AV15" s="186"/>
      <c r="AW15" s="186"/>
      <c r="AX15" s="186"/>
      <c r="AY15" s="186"/>
      <c r="AZ15" s="186"/>
      <c r="BA15" s="186"/>
      <c r="BB15" s="186"/>
      <c r="BC15" s="186"/>
      <c r="BD15" s="186"/>
      <c r="BE15" s="186"/>
      <c r="BF15" s="186"/>
      <c r="BG15" s="186"/>
      <c r="BH15" s="186"/>
      <c r="BI15" s="186"/>
      <c r="BJ15" s="186"/>
      <c r="BK15" s="186"/>
      <c r="BL15" s="187"/>
      <c r="BM15" s="187"/>
      <c r="BN15" s="187"/>
      <c r="BO15" s="187"/>
      <c r="BP15" s="187"/>
      <c r="BQ15" s="187"/>
      <c r="BR15" s="187"/>
      <c r="BS15" s="187"/>
      <c r="BT15" s="187"/>
      <c r="BU15" s="187"/>
    </row>
    <row r="16" spans="1:73" ht="5.25" customHeight="1">
      <c r="A16" s="6"/>
      <c r="B16" s="108"/>
      <c r="C16" s="10"/>
      <c r="D16" s="191"/>
      <c r="E16" s="10"/>
      <c r="F16" s="37"/>
      <c r="G16" s="108"/>
      <c r="H16" s="108"/>
      <c r="I16" s="108"/>
      <c r="J16" s="108"/>
      <c r="K16" s="108"/>
      <c r="L16" s="108"/>
      <c r="M16" s="108"/>
      <c r="N16" s="192"/>
      <c r="O16" s="36"/>
      <c r="P16" s="29"/>
      <c r="Q16" s="83"/>
      <c r="R16" s="193"/>
      <c r="S16" s="101"/>
      <c r="T16" s="103"/>
      <c r="U16" s="103"/>
      <c r="V16" s="103"/>
      <c r="W16" s="186"/>
      <c r="X16" s="186"/>
      <c r="Y16" s="186"/>
      <c r="Z16" s="186"/>
      <c r="AA16" s="186"/>
      <c r="AB16" s="186"/>
      <c r="AC16" s="186"/>
      <c r="AD16" s="186"/>
      <c r="AE16" s="186"/>
      <c r="AF16" s="186"/>
      <c r="AG16" s="186"/>
      <c r="AH16" s="186"/>
      <c r="AI16" s="186"/>
      <c r="AJ16" s="186"/>
      <c r="AK16" s="186"/>
      <c r="AL16" s="186"/>
      <c r="AM16" s="186"/>
      <c r="AN16" s="186"/>
      <c r="AO16" s="186"/>
      <c r="AP16" s="186"/>
      <c r="AQ16" s="186"/>
      <c r="AR16" s="186"/>
      <c r="AS16" s="186"/>
      <c r="AT16" s="186"/>
      <c r="AU16" s="186"/>
      <c r="AV16" s="186"/>
      <c r="AW16" s="186"/>
      <c r="AX16" s="186"/>
      <c r="AY16" s="186"/>
      <c r="AZ16" s="186"/>
      <c r="BA16" s="186"/>
      <c r="BB16" s="186"/>
      <c r="BC16" s="186"/>
      <c r="BD16" s="186"/>
      <c r="BE16" s="186"/>
      <c r="BF16" s="186"/>
      <c r="BG16" s="186"/>
      <c r="BH16" s="186"/>
      <c r="BI16" s="186"/>
      <c r="BJ16" s="186"/>
      <c r="BK16" s="186"/>
      <c r="BL16" s="187"/>
      <c r="BM16" s="187"/>
      <c r="BN16" s="187"/>
      <c r="BO16" s="187"/>
      <c r="BP16" s="187"/>
      <c r="BQ16" s="187"/>
      <c r="BR16" s="187"/>
      <c r="BS16" s="187"/>
      <c r="BT16" s="187"/>
      <c r="BU16" s="187"/>
    </row>
    <row r="17" spans="1:73">
      <c r="A17" s="6"/>
      <c r="B17" s="108"/>
      <c r="C17" s="10"/>
      <c r="D17" s="194" t="s">
        <v>731</v>
      </c>
      <c r="E17" s="195"/>
      <c r="F17" s="196"/>
      <c r="G17" s="197">
        <f t="shared" ref="G17:N17" si="5">SUM(G12:G15)</f>
        <v>0.2339695232659259</v>
      </c>
      <c r="H17" s="197">
        <f t="shared" si="5"/>
        <v>0.21983151259259259</v>
      </c>
      <c r="I17" s="197">
        <f t="shared" si="5"/>
        <v>0.25720831416814816</v>
      </c>
      <c r="J17" s="197">
        <f t="shared" si="5"/>
        <v>0.21877860135185184</v>
      </c>
      <c r="K17" s="197">
        <f t="shared" si="5"/>
        <v>0.23249908556962967</v>
      </c>
      <c r="L17" s="197">
        <f t="shared" si="5"/>
        <v>0.23249908556962967</v>
      </c>
      <c r="M17" s="197">
        <f t="shared" si="5"/>
        <v>0.23249908556962967</v>
      </c>
      <c r="N17" s="198">
        <f t="shared" si="5"/>
        <v>0.23249908556962967</v>
      </c>
      <c r="O17" s="1178"/>
      <c r="P17" s="1174"/>
      <c r="Q17" s="83"/>
      <c r="R17" s="193"/>
      <c r="S17" s="101"/>
      <c r="T17" s="103"/>
      <c r="U17" s="103"/>
      <c r="V17" s="103"/>
      <c r="W17" s="186"/>
      <c r="X17" s="186"/>
      <c r="Y17" s="186"/>
      <c r="Z17" s="186"/>
      <c r="AA17" s="186"/>
      <c r="AB17" s="186"/>
      <c r="AC17" s="186"/>
      <c r="AD17" s="186"/>
      <c r="AE17" s="186"/>
      <c r="AF17" s="186"/>
      <c r="AG17" s="186"/>
      <c r="AH17" s="186"/>
      <c r="AI17" s="186"/>
      <c r="AJ17" s="186"/>
      <c r="AK17" s="186"/>
      <c r="AL17" s="186"/>
      <c r="AM17" s="186"/>
      <c r="AN17" s="186"/>
      <c r="AO17" s="186"/>
      <c r="AP17" s="186"/>
      <c r="AQ17" s="186"/>
      <c r="AR17" s="186"/>
      <c r="AS17" s="186"/>
      <c r="AT17" s="186"/>
      <c r="AU17" s="186"/>
      <c r="AV17" s="186"/>
      <c r="AW17" s="186"/>
      <c r="AX17" s="186"/>
      <c r="AY17" s="186"/>
      <c r="AZ17" s="186"/>
      <c r="BA17" s="186"/>
      <c r="BB17" s="186"/>
      <c r="BC17" s="186"/>
      <c r="BD17" s="186"/>
      <c r="BE17" s="186"/>
      <c r="BF17" s="186"/>
      <c r="BG17" s="186"/>
      <c r="BH17" s="186"/>
      <c r="BI17" s="186"/>
      <c r="BJ17" s="186"/>
      <c r="BK17" s="186"/>
      <c r="BL17" s="187"/>
      <c r="BM17" s="187"/>
      <c r="BN17" s="187"/>
      <c r="BO17" s="187"/>
      <c r="BP17" s="187"/>
      <c r="BQ17" s="187"/>
      <c r="BR17" s="187"/>
      <c r="BS17" s="187"/>
      <c r="BT17" s="187"/>
      <c r="BU17" s="187"/>
    </row>
    <row r="18" spans="1:73">
      <c r="A18" s="6"/>
      <c r="B18" s="108"/>
      <c r="C18" s="10"/>
      <c r="D18" s="147" t="s">
        <v>733</v>
      </c>
      <c r="E18" s="200"/>
      <c r="F18" s="147"/>
      <c r="G18" s="201">
        <f ca="1">G17*'2.2 Input_General_Information'!H94*'2.2 Input_General_Information'!H92*'2.2 Input_General_Information'!H93</f>
        <v>80985.678795178013</v>
      </c>
      <c r="H18" s="201">
        <f ca="1">H17*'2.2 Input_General_Information'!I94*'2.2 Input_General_Information'!I92*'2.2 Input_General_Information'!I93</f>
        <v>12662.013331945696</v>
      </c>
      <c r="I18" s="201">
        <f ca="1">I17*'2.2 Input_General_Information'!J94*'2.2 Input_General_Information'!J92*'2.2 Input_General_Information'!J93</f>
        <v>31035.991333515867</v>
      </c>
      <c r="J18" s="201">
        <f ca="1">J17*'2.2 Input_General_Information'!K94*'2.2 Input_General_Information'!K92*'2.2 Input_General_Information'!K93</f>
        <v>15446.899044698781</v>
      </c>
      <c r="K18" s="201">
        <f ca="1">K17*'2.2 Input_General_Information'!L94*'2.2 Input_General_Information'!L92*'2.2 Input_General_Information'!L93</f>
        <v>0</v>
      </c>
      <c r="L18" s="201">
        <f ca="1">L17*'2.2 Input_General_Information'!M94*'2.2 Input_General_Information'!M92*'2.2 Input_General_Information'!M93</f>
        <v>0</v>
      </c>
      <c r="M18" s="201">
        <f ca="1">M17*'2.2 Input_General_Information'!N94*'2.2 Input_General_Information'!N92*'2.2 Input_General_Information'!N93</f>
        <v>0</v>
      </c>
      <c r="N18" s="201">
        <f ca="1">N17*'2.2 Input_General_Information'!O94*'2.2 Input_General_Information'!O92*'2.2 Input_General_Information'!O93</f>
        <v>0</v>
      </c>
      <c r="Q18" s="83"/>
      <c r="R18" s="193"/>
      <c r="S18" s="101"/>
      <c r="T18" s="103"/>
      <c r="U18" s="103"/>
      <c r="V18" s="103"/>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86"/>
      <c r="AS18" s="186"/>
      <c r="AT18" s="186"/>
      <c r="AU18" s="186"/>
      <c r="AV18" s="186"/>
      <c r="AW18" s="186"/>
      <c r="AX18" s="186"/>
      <c r="AY18" s="186"/>
      <c r="AZ18" s="186"/>
      <c r="BA18" s="186"/>
      <c r="BB18" s="186"/>
      <c r="BC18" s="186"/>
      <c r="BD18" s="186"/>
      <c r="BE18" s="186"/>
      <c r="BF18" s="186"/>
      <c r="BG18" s="186"/>
      <c r="BH18" s="186"/>
      <c r="BI18" s="186"/>
      <c r="BJ18" s="186"/>
      <c r="BK18" s="186"/>
      <c r="BL18" s="187"/>
      <c r="BM18" s="187"/>
      <c r="BN18" s="187"/>
      <c r="BO18" s="187"/>
      <c r="BP18" s="187"/>
      <c r="BQ18" s="187"/>
      <c r="BR18" s="187"/>
      <c r="BS18" s="187"/>
      <c r="BT18" s="187"/>
      <c r="BU18" s="187"/>
    </row>
    <row r="19" spans="1:73">
      <c r="A19" s="6"/>
      <c r="B19" s="108"/>
      <c r="C19" s="10"/>
      <c r="D19" s="30"/>
      <c r="E19" s="23"/>
      <c r="F19" s="30"/>
      <c r="G19" s="124"/>
      <c r="H19" s="124"/>
      <c r="I19" s="124"/>
      <c r="J19" s="124"/>
      <c r="K19" s="124"/>
      <c r="L19" s="124"/>
      <c r="M19" s="205"/>
      <c r="N19" s="124"/>
      <c r="O19" s="26"/>
      <c r="P19" s="206"/>
      <c r="Q19" s="83"/>
      <c r="R19" s="193"/>
      <c r="S19" s="101"/>
      <c r="T19" s="103"/>
      <c r="U19" s="103"/>
      <c r="V19" s="103"/>
      <c r="W19" s="186"/>
      <c r="X19" s="186"/>
      <c r="Y19" s="186"/>
      <c r="Z19" s="186"/>
      <c r="AA19" s="186"/>
      <c r="AB19" s="186"/>
      <c r="AC19" s="186"/>
      <c r="AD19" s="186"/>
      <c r="AE19" s="186"/>
      <c r="AF19" s="186"/>
      <c r="AG19" s="186"/>
      <c r="AH19" s="186"/>
      <c r="AI19" s="186"/>
      <c r="AJ19" s="186"/>
      <c r="AK19" s="186"/>
      <c r="AL19" s="186"/>
      <c r="AM19" s="186"/>
      <c r="AN19" s="186"/>
      <c r="AO19" s="186"/>
      <c r="AP19" s="186"/>
      <c r="AQ19" s="186"/>
      <c r="AR19" s="186"/>
      <c r="AS19" s="186"/>
      <c r="AT19" s="186"/>
      <c r="AU19" s="186"/>
      <c r="AV19" s="186"/>
      <c r="AW19" s="186"/>
      <c r="AX19" s="186"/>
      <c r="AY19" s="186"/>
      <c r="AZ19" s="186"/>
      <c r="BA19" s="186"/>
      <c r="BB19" s="186"/>
      <c r="BC19" s="186"/>
      <c r="BD19" s="186"/>
      <c r="BE19" s="186"/>
      <c r="BF19" s="186"/>
      <c r="BG19" s="186"/>
      <c r="BH19" s="186"/>
      <c r="BI19" s="186"/>
      <c r="BJ19" s="186"/>
      <c r="BK19" s="186"/>
      <c r="BL19" s="187"/>
      <c r="BM19" s="187"/>
      <c r="BN19" s="187"/>
      <c r="BO19" s="187"/>
      <c r="BP19" s="187"/>
      <c r="BQ19" s="187"/>
      <c r="BR19" s="187"/>
      <c r="BS19" s="187"/>
      <c r="BT19" s="187"/>
      <c r="BU19" s="187"/>
    </row>
    <row r="20" spans="1:73">
      <c r="A20" s="6"/>
      <c r="B20" s="108"/>
      <c r="C20" s="10"/>
      <c r="D20" s="30"/>
      <c r="E20" s="23"/>
      <c r="F20" s="207" t="s">
        <v>735</v>
      </c>
      <c r="G20" s="208">
        <f ca="1">SUM(G18:N18)</f>
        <v>140130.58250533836</v>
      </c>
      <c r="H20" s="124"/>
      <c r="I20" s="124"/>
      <c r="J20" s="124"/>
      <c r="K20" s="124"/>
      <c r="L20" s="124"/>
      <c r="M20" s="205"/>
      <c r="N20" s="124"/>
      <c r="O20" s="26"/>
      <c r="P20" s="206"/>
      <c r="Q20" s="83"/>
      <c r="R20" s="193"/>
      <c r="S20" s="101"/>
      <c r="T20" s="103"/>
      <c r="U20" s="103"/>
      <c r="V20" s="103"/>
      <c r="W20" s="186"/>
      <c r="X20" s="186"/>
      <c r="Y20" s="186"/>
      <c r="Z20" s="186"/>
      <c r="AA20" s="186"/>
      <c r="AB20" s="186"/>
      <c r="AC20" s="186"/>
      <c r="AD20" s="186"/>
      <c r="AE20" s="186"/>
      <c r="AF20" s="186"/>
      <c r="AG20" s="186"/>
      <c r="AH20" s="186"/>
      <c r="AI20" s="186"/>
      <c r="AJ20" s="186"/>
      <c r="AK20" s="186"/>
      <c r="AL20" s="186"/>
      <c r="AM20" s="186"/>
      <c r="AN20" s="186"/>
      <c r="AO20" s="186"/>
      <c r="AP20" s="186"/>
      <c r="AQ20" s="186"/>
      <c r="AR20" s="186"/>
      <c r="AS20" s="186"/>
      <c r="AT20" s="186"/>
      <c r="AU20" s="186"/>
      <c r="AV20" s="186"/>
      <c r="AW20" s="186"/>
      <c r="AX20" s="186"/>
      <c r="AY20" s="186"/>
      <c r="AZ20" s="186"/>
      <c r="BA20" s="186"/>
      <c r="BB20" s="186"/>
      <c r="BC20" s="186"/>
      <c r="BD20" s="186"/>
      <c r="BE20" s="186"/>
      <c r="BF20" s="186"/>
      <c r="BG20" s="186"/>
      <c r="BH20" s="186"/>
      <c r="BI20" s="186"/>
      <c r="BJ20" s="186"/>
      <c r="BK20" s="186"/>
      <c r="BL20" s="187"/>
      <c r="BM20" s="187"/>
      <c r="BN20" s="187"/>
      <c r="BO20" s="187"/>
      <c r="BP20" s="187"/>
      <c r="BQ20" s="187"/>
      <c r="BR20" s="187"/>
      <c r="BS20" s="187"/>
      <c r="BT20" s="187"/>
      <c r="BU20" s="187"/>
    </row>
    <row r="21" spans="1:73">
      <c r="A21" s="6"/>
      <c r="B21" s="97" t="s">
        <v>606</v>
      </c>
      <c r="C21" s="1"/>
      <c r="D21" s="173" t="s">
        <v>736</v>
      </c>
      <c r="E21" s="173"/>
      <c r="F21" s="173"/>
      <c r="G21" s="173"/>
      <c r="H21" s="173"/>
      <c r="I21" s="173"/>
      <c r="J21" s="173"/>
      <c r="K21" s="173"/>
      <c r="L21" s="173"/>
      <c r="M21" s="173"/>
      <c r="N21" s="173"/>
      <c r="O21" s="36"/>
      <c r="P21" s="36"/>
      <c r="Q21" s="36"/>
      <c r="R21" s="162"/>
      <c r="S21" s="1"/>
      <c r="T21" s="103"/>
      <c r="U21" s="103"/>
      <c r="V21" s="103"/>
      <c r="W21" s="81"/>
      <c r="X21" s="81"/>
      <c r="Y21" s="81"/>
      <c r="Z21" s="81"/>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6"/>
      <c r="BM21" s="6"/>
      <c r="BN21" s="6"/>
      <c r="BO21" s="6"/>
      <c r="BP21" s="6"/>
      <c r="BQ21" s="6"/>
      <c r="BR21" s="6"/>
      <c r="BS21" s="6"/>
      <c r="BT21" s="6"/>
      <c r="BU21" s="6"/>
    </row>
    <row r="22" spans="1:73" ht="5.25" customHeight="1">
      <c r="A22" s="6"/>
      <c r="B22" s="97"/>
      <c r="C22" s="1"/>
      <c r="E22" s="4"/>
      <c r="F22" s="203"/>
      <c r="G22" s="79"/>
      <c r="H22" s="79"/>
      <c r="I22" s="79"/>
      <c r="J22" s="79"/>
      <c r="K22" s="79"/>
      <c r="L22" s="79"/>
      <c r="M22" s="79"/>
      <c r="N22" s="79"/>
      <c r="O22" s="36"/>
      <c r="P22" s="36"/>
      <c r="Q22" s="36"/>
      <c r="R22" s="162"/>
      <c r="S22" s="1"/>
      <c r="T22" s="103"/>
      <c r="U22" s="103"/>
      <c r="V22" s="103"/>
      <c r="W22" s="98"/>
      <c r="X22" s="98"/>
      <c r="Y22" s="98"/>
      <c r="Z22" s="98"/>
      <c r="AA22" s="98"/>
      <c r="AB22" s="98"/>
      <c r="AC22" s="98"/>
      <c r="AD22" s="98"/>
      <c r="AE22" s="98"/>
      <c r="AF22" s="98"/>
      <c r="AG22" s="98"/>
      <c r="AH22" s="98"/>
      <c r="AI22" s="98"/>
      <c r="AJ22" s="98"/>
      <c r="AK22" s="98"/>
      <c r="AL22" s="98"/>
      <c r="AM22" s="98"/>
      <c r="AN22" s="98"/>
      <c r="AO22" s="98"/>
      <c r="AP22" s="98"/>
      <c r="AQ22" s="98"/>
      <c r="AR22" s="98"/>
      <c r="AS22" s="98"/>
      <c r="AT22" s="98"/>
      <c r="AU22" s="98"/>
      <c r="AV22" s="98"/>
      <c r="AW22" s="98"/>
      <c r="AX22" s="98"/>
      <c r="AY22" s="98"/>
      <c r="AZ22" s="98"/>
      <c r="BA22" s="98"/>
      <c r="BB22" s="98"/>
      <c r="BC22" s="98"/>
      <c r="BD22" s="98"/>
      <c r="BE22" s="98"/>
      <c r="BF22" s="98"/>
      <c r="BG22" s="98"/>
      <c r="BH22" s="98"/>
      <c r="BI22" s="98"/>
      <c r="BJ22" s="98"/>
      <c r="BK22" s="98"/>
      <c r="BL22" s="99"/>
      <c r="BM22" s="99"/>
      <c r="BN22" s="99"/>
      <c r="BO22" s="99"/>
      <c r="BP22" s="99"/>
      <c r="BQ22" s="99"/>
      <c r="BR22" s="99"/>
      <c r="BS22" s="99"/>
      <c r="BT22" s="99"/>
      <c r="BU22" s="99"/>
    </row>
    <row r="23" spans="1:73">
      <c r="A23" s="6"/>
      <c r="B23" s="97"/>
      <c r="C23" s="1"/>
      <c r="D23" s="209"/>
      <c r="E23" s="17" t="str">
        <f>D21</f>
        <v>Other likely benefits</v>
      </c>
      <c r="F23" s="210">
        <f>'2.3 Input_Main_Questionnaire'!H407</f>
        <v>0</v>
      </c>
      <c r="G23" s="79"/>
      <c r="H23" s="79"/>
      <c r="I23" s="79"/>
      <c r="J23" s="79"/>
      <c r="K23" s="79"/>
      <c r="L23" s="79"/>
      <c r="M23" s="79"/>
      <c r="N23" s="79"/>
      <c r="O23" s="36"/>
      <c r="P23" s="36"/>
      <c r="Q23" s="36"/>
      <c r="R23" s="162"/>
      <c r="S23" s="1"/>
      <c r="T23" s="103"/>
      <c r="U23" s="103"/>
      <c r="V23" s="103"/>
      <c r="W23" s="98"/>
      <c r="X23" s="98"/>
      <c r="Y23" s="98"/>
      <c r="Z23" s="98"/>
      <c r="AA23" s="98"/>
      <c r="AB23" s="98"/>
      <c r="AC23" s="98"/>
      <c r="AD23" s="98"/>
      <c r="AE23" s="98"/>
      <c r="AF23" s="98"/>
      <c r="AG23" s="98"/>
      <c r="AH23" s="98"/>
      <c r="AI23" s="98"/>
      <c r="AJ23" s="98"/>
      <c r="AK23" s="98"/>
      <c r="AL23" s="98"/>
      <c r="AM23" s="98"/>
      <c r="AN23" s="98"/>
      <c r="AO23" s="98"/>
      <c r="AP23" s="98"/>
      <c r="AQ23" s="98"/>
      <c r="AR23" s="98"/>
      <c r="AS23" s="98"/>
      <c r="AT23" s="98"/>
      <c r="AU23" s="98"/>
      <c r="AV23" s="98"/>
      <c r="AW23" s="98"/>
      <c r="AX23" s="98"/>
      <c r="AY23" s="98"/>
      <c r="AZ23" s="98"/>
      <c r="BA23" s="98"/>
      <c r="BB23" s="98"/>
      <c r="BC23" s="98"/>
      <c r="BD23" s="98"/>
      <c r="BE23" s="98"/>
      <c r="BF23" s="98"/>
      <c r="BG23" s="98"/>
      <c r="BH23" s="98"/>
      <c r="BI23" s="98"/>
      <c r="BJ23" s="98"/>
      <c r="BK23" s="98"/>
      <c r="BL23" s="99"/>
      <c r="BM23" s="99"/>
      <c r="BN23" s="99"/>
      <c r="BO23" s="99"/>
      <c r="BP23" s="99"/>
      <c r="BQ23" s="99"/>
      <c r="BR23" s="99"/>
      <c r="BS23" s="99"/>
      <c r="BT23" s="99"/>
      <c r="BU23" s="99"/>
    </row>
    <row r="24" spans="1:73">
      <c r="A24" s="6"/>
      <c r="B24" s="97"/>
      <c r="C24" s="1"/>
      <c r="D24" s="25"/>
      <c r="E24" s="4"/>
      <c r="F24" s="25"/>
      <c r="G24" s="79"/>
      <c r="H24" s="79"/>
      <c r="I24" s="79"/>
      <c r="J24" s="79"/>
      <c r="K24" s="79"/>
      <c r="L24" s="79"/>
      <c r="M24" s="79"/>
      <c r="N24" s="79"/>
      <c r="O24" s="36"/>
      <c r="P24" s="36"/>
      <c r="Q24" s="36"/>
      <c r="R24" s="162"/>
      <c r="S24" s="1"/>
      <c r="T24" s="103"/>
      <c r="U24" s="103"/>
      <c r="V24" s="103"/>
      <c r="W24" s="98"/>
      <c r="X24" s="98"/>
      <c r="Y24" s="98"/>
      <c r="Z24" s="98"/>
      <c r="AA24" s="98"/>
      <c r="AB24" s="98"/>
      <c r="AC24" s="98"/>
      <c r="AD24" s="98"/>
      <c r="AE24" s="98"/>
      <c r="AF24" s="98"/>
      <c r="AG24" s="98"/>
      <c r="AH24" s="98"/>
      <c r="AI24" s="98"/>
      <c r="AJ24" s="98"/>
      <c r="AK24" s="98"/>
      <c r="AL24" s="98"/>
      <c r="AM24" s="98"/>
      <c r="AN24" s="98"/>
      <c r="AO24" s="98"/>
      <c r="AP24" s="98"/>
      <c r="AQ24" s="98"/>
      <c r="AR24" s="98"/>
      <c r="AS24" s="98"/>
      <c r="AT24" s="98"/>
      <c r="AU24" s="98"/>
      <c r="AV24" s="98"/>
      <c r="AW24" s="98"/>
      <c r="AX24" s="98"/>
      <c r="AY24" s="98"/>
      <c r="AZ24" s="98"/>
      <c r="BA24" s="98"/>
      <c r="BB24" s="98"/>
      <c r="BC24" s="98"/>
      <c r="BD24" s="98"/>
      <c r="BE24" s="98"/>
      <c r="BF24" s="98"/>
      <c r="BG24" s="98"/>
      <c r="BH24" s="98"/>
      <c r="BI24" s="98"/>
      <c r="BJ24" s="98"/>
      <c r="BK24" s="98"/>
      <c r="BL24" s="99"/>
      <c r="BM24" s="99"/>
      <c r="BN24" s="99"/>
      <c r="BO24" s="99"/>
      <c r="BP24" s="99"/>
      <c r="BQ24" s="99"/>
      <c r="BR24" s="99"/>
      <c r="BS24" s="99"/>
      <c r="BT24" s="99"/>
      <c r="BU24" s="99"/>
    </row>
    <row r="25" spans="1:73">
      <c r="A25" s="6"/>
      <c r="B25" s="97"/>
      <c r="C25" s="1"/>
      <c r="D25" s="147" t="s">
        <v>737</v>
      </c>
      <c r="E25" s="200"/>
      <c r="F25" s="147"/>
      <c r="G25" s="201">
        <f>F23</f>
        <v>0</v>
      </c>
      <c r="H25" s="79"/>
      <c r="I25" s="79"/>
      <c r="J25" s="79"/>
      <c r="K25" s="79"/>
      <c r="L25" s="79"/>
      <c r="M25" s="79"/>
      <c r="N25" s="79"/>
      <c r="O25" s="36"/>
      <c r="P25" s="36"/>
      <c r="Q25" s="36"/>
      <c r="R25" s="162"/>
      <c r="S25" s="1"/>
      <c r="T25" s="103"/>
      <c r="U25" s="103"/>
      <c r="V25" s="103"/>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c r="BH25" s="98"/>
      <c r="BI25" s="98"/>
      <c r="BJ25" s="98"/>
      <c r="BK25" s="98"/>
      <c r="BL25" s="99"/>
      <c r="BM25" s="99"/>
      <c r="BN25" s="99"/>
      <c r="BO25" s="99"/>
      <c r="BP25" s="99"/>
      <c r="BQ25" s="99"/>
      <c r="BR25" s="99"/>
      <c r="BS25" s="99"/>
      <c r="BT25" s="99"/>
      <c r="BU25" s="99"/>
    </row>
    <row r="26" spans="1:73">
      <c r="A26" s="6"/>
      <c r="B26" s="97"/>
      <c r="C26" s="1"/>
      <c r="D26" s="25"/>
      <c r="E26" s="4"/>
      <c r="F26" s="25"/>
      <c r="G26" s="79"/>
      <c r="H26" s="79"/>
      <c r="I26" s="79"/>
      <c r="J26" s="79"/>
      <c r="K26" s="79"/>
      <c r="L26" s="79"/>
      <c r="M26" s="79"/>
      <c r="N26" s="79"/>
      <c r="O26" s="36"/>
      <c r="P26" s="36"/>
      <c r="Q26" s="36"/>
      <c r="R26" s="162"/>
      <c r="S26" s="1"/>
      <c r="T26" s="103"/>
      <c r="U26" s="103"/>
      <c r="V26" s="103"/>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c r="BH26" s="98"/>
      <c r="BI26" s="98"/>
      <c r="BJ26" s="98"/>
      <c r="BK26" s="98"/>
      <c r="BL26" s="99"/>
      <c r="BM26" s="99"/>
      <c r="BN26" s="99"/>
      <c r="BO26" s="99"/>
      <c r="BP26" s="99"/>
      <c r="BQ26" s="99"/>
      <c r="BR26" s="99"/>
      <c r="BS26" s="99"/>
      <c r="BT26" s="99"/>
      <c r="BU26" s="99"/>
    </row>
    <row r="27" spans="1:73">
      <c r="A27" s="6"/>
      <c r="B27" s="97" t="s">
        <v>654</v>
      </c>
      <c r="C27" s="1"/>
      <c r="D27" s="173" t="s">
        <v>738</v>
      </c>
      <c r="E27" s="174"/>
      <c r="F27" s="173"/>
      <c r="G27" s="176" t="str">
        <f>'2.3 Input_Main_Questionnaire'!$H$24</f>
        <v>PhD researcher</v>
      </c>
      <c r="H27" s="176" t="str">
        <f>'2.3 Input_Main_Questionnaire'!$I$24</f>
        <v>Lecturer assistant/Research assistant (Academic)</v>
      </c>
      <c r="I27" s="176" t="str">
        <f>'2.3 Input_Main_Questionnaire'!$J$24</f>
        <v>Lecturer/Researcher (Academic)</v>
      </c>
      <c r="J27" s="176" t="str">
        <f>'2.3 Input_Main_Questionnaire'!$K$24</f>
        <v>Other</v>
      </c>
      <c r="K27" s="176" t="str">
        <f>'2.3 Input_Main_Questionnaire'!$L$24</f>
        <v>Profile 5</v>
      </c>
      <c r="L27" s="176" t="str">
        <f>'2.3 Input_Main_Questionnaire'!$M$24</f>
        <v>Profile 6</v>
      </c>
      <c r="M27" s="176" t="str">
        <f>'2.3 Input_Main_Questionnaire'!$N$24</f>
        <v>Profile 7</v>
      </c>
      <c r="N27" s="176" t="str">
        <f>'2.3 Input_Main_Questionnaire'!$O$24</f>
        <v>Profile 8</v>
      </c>
      <c r="O27" s="36"/>
      <c r="P27" s="36"/>
      <c r="Q27" s="36"/>
      <c r="R27" s="162"/>
      <c r="S27" s="1"/>
      <c r="T27" s="103"/>
      <c r="U27" s="103"/>
      <c r="V27" s="103"/>
      <c r="W27" s="98"/>
      <c r="X27" s="98"/>
      <c r="Y27" s="98"/>
      <c r="Z27" s="98"/>
      <c r="AA27" s="98"/>
      <c r="AB27" s="98"/>
      <c r="AC27" s="98"/>
      <c r="AD27" s="98"/>
      <c r="AE27" s="98"/>
      <c r="AF27" s="98"/>
      <c r="AG27" s="98"/>
      <c r="AH27" s="98"/>
      <c r="AI27" s="98"/>
      <c r="AJ27" s="98"/>
      <c r="AK27" s="98"/>
      <c r="AL27" s="98"/>
      <c r="AM27" s="98"/>
      <c r="AN27" s="98"/>
      <c r="AO27" s="98"/>
      <c r="AP27" s="98"/>
      <c r="AQ27" s="98"/>
      <c r="AR27" s="98"/>
      <c r="AS27" s="98"/>
      <c r="AT27" s="98"/>
      <c r="AU27" s="98"/>
      <c r="AV27" s="98"/>
      <c r="AW27" s="98"/>
      <c r="AX27" s="98"/>
      <c r="AY27" s="98"/>
      <c r="AZ27" s="98"/>
      <c r="BA27" s="98"/>
      <c r="BB27" s="98"/>
      <c r="BC27" s="98"/>
      <c r="BD27" s="98"/>
      <c r="BE27" s="98"/>
      <c r="BF27" s="98"/>
      <c r="BG27" s="98"/>
      <c r="BH27" s="98"/>
      <c r="BI27" s="98"/>
      <c r="BJ27" s="98"/>
      <c r="BK27" s="98"/>
      <c r="BL27" s="99"/>
      <c r="BM27" s="99"/>
      <c r="BN27" s="99"/>
      <c r="BO27" s="99"/>
      <c r="BP27" s="99"/>
      <c r="BQ27" s="99"/>
      <c r="BR27" s="99"/>
      <c r="BS27" s="99"/>
      <c r="BT27" s="99"/>
      <c r="BU27" s="99"/>
    </row>
    <row r="28" spans="1:73" ht="5.25" customHeight="1">
      <c r="A28" s="6"/>
      <c r="B28" s="108"/>
      <c r="C28" s="1"/>
      <c r="D28" s="25"/>
      <c r="E28" s="58"/>
      <c r="F28" s="211"/>
      <c r="G28" s="3"/>
      <c r="H28" s="3"/>
      <c r="I28" s="3"/>
      <c r="J28" s="3"/>
      <c r="K28" s="3"/>
      <c r="L28" s="3"/>
      <c r="M28" s="3"/>
      <c r="N28" s="3"/>
      <c r="O28" s="36"/>
      <c r="P28" s="29"/>
      <c r="Q28" s="36"/>
      <c r="R28" s="162"/>
      <c r="S28" s="1"/>
      <c r="T28" s="103"/>
      <c r="U28" s="103"/>
      <c r="V28" s="103"/>
      <c r="W28" s="98"/>
      <c r="X28" s="98"/>
      <c r="Y28" s="98"/>
      <c r="Z28" s="98"/>
      <c r="AA28" s="98"/>
      <c r="AB28" s="98"/>
      <c r="AC28" s="98"/>
      <c r="AD28" s="98"/>
      <c r="AE28" s="98"/>
      <c r="AF28" s="98"/>
      <c r="AG28" s="98"/>
      <c r="AH28" s="98"/>
      <c r="AI28" s="98"/>
      <c r="AJ28" s="98"/>
      <c r="AK28" s="98"/>
      <c r="AL28" s="98"/>
      <c r="AM28" s="98"/>
      <c r="AN28" s="98"/>
      <c r="AO28" s="98"/>
      <c r="AP28" s="98"/>
      <c r="AQ28" s="98"/>
      <c r="AR28" s="98"/>
      <c r="AS28" s="98"/>
      <c r="AT28" s="98"/>
      <c r="AU28" s="98"/>
      <c r="AV28" s="98"/>
      <c r="AW28" s="98"/>
      <c r="AX28" s="98"/>
      <c r="AY28" s="98"/>
      <c r="AZ28" s="98"/>
      <c r="BA28" s="98"/>
      <c r="BB28" s="98"/>
      <c r="BC28" s="98"/>
      <c r="BD28" s="98"/>
      <c r="BE28" s="98"/>
      <c r="BF28" s="98"/>
      <c r="BG28" s="98"/>
      <c r="BH28" s="98"/>
      <c r="BI28" s="98"/>
      <c r="BJ28" s="98"/>
      <c r="BK28" s="98"/>
      <c r="BL28" s="99"/>
      <c r="BM28" s="99"/>
      <c r="BN28" s="99"/>
      <c r="BO28" s="99"/>
      <c r="BP28" s="99"/>
      <c r="BQ28" s="99"/>
      <c r="BR28" s="99"/>
      <c r="BS28" s="99"/>
      <c r="BT28" s="99"/>
      <c r="BU28" s="99"/>
    </row>
    <row r="29" spans="1:73">
      <c r="A29" s="6"/>
      <c r="B29" s="108"/>
      <c r="C29" s="1"/>
      <c r="D29" s="182">
        <v>4</v>
      </c>
      <c r="E29" s="58" t="str">
        <f>D423</f>
        <v>Additional cost in time to move towards global standardised PIDs</v>
      </c>
      <c r="F29" s="63"/>
      <c r="G29" s="183">
        <f t="shared" ref="G29:N29" si="6">G423</f>
        <v>-3.0200000000000002E-4</v>
      </c>
      <c r="H29" s="183">
        <f t="shared" si="6"/>
        <v>-4.46E-4</v>
      </c>
      <c r="I29" s="183">
        <f t="shared" si="6"/>
        <v>-3.59E-4</v>
      </c>
      <c r="J29" s="183">
        <f t="shared" si="6"/>
        <v>-4.7800000000000002E-4</v>
      </c>
      <c r="K29" s="183">
        <f t="shared" si="6"/>
        <v>-3.9625000000000001E-4</v>
      </c>
      <c r="L29" s="183">
        <f t="shared" si="6"/>
        <v>-3.9625000000000001E-4</v>
      </c>
      <c r="M29" s="183">
        <f t="shared" si="6"/>
        <v>-3.9625000000000001E-4</v>
      </c>
      <c r="N29" s="184">
        <f t="shared" si="6"/>
        <v>-3.9625000000000001E-4</v>
      </c>
      <c r="O29" s="36"/>
      <c r="P29" s="6"/>
      <c r="Q29" s="36"/>
      <c r="R29" s="162"/>
      <c r="S29" s="1"/>
      <c r="T29" s="103"/>
      <c r="U29" s="103"/>
      <c r="V29" s="103"/>
      <c r="W29" s="98"/>
      <c r="X29" s="98"/>
      <c r="Y29" s="98"/>
      <c r="Z29" s="98"/>
      <c r="AA29" s="98"/>
      <c r="AB29" s="98"/>
      <c r="AC29" s="98"/>
      <c r="AD29" s="98"/>
      <c r="AE29" s="98"/>
      <c r="AF29" s="98"/>
      <c r="AG29" s="98"/>
      <c r="AH29" s="98"/>
      <c r="AI29" s="98"/>
      <c r="AJ29" s="98"/>
      <c r="AK29" s="98"/>
      <c r="AL29" s="98"/>
      <c r="AM29" s="98"/>
      <c r="AN29" s="98"/>
      <c r="AO29" s="98"/>
      <c r="AP29" s="98"/>
      <c r="AQ29" s="98"/>
      <c r="AR29" s="98"/>
      <c r="AS29" s="98"/>
      <c r="AT29" s="98"/>
      <c r="AU29" s="98"/>
      <c r="AV29" s="98"/>
      <c r="AW29" s="98"/>
      <c r="AX29" s="98"/>
      <c r="AY29" s="98"/>
      <c r="AZ29" s="98"/>
      <c r="BA29" s="98"/>
      <c r="BB29" s="98"/>
      <c r="BC29" s="98"/>
      <c r="BD29" s="98"/>
      <c r="BE29" s="98"/>
      <c r="BF29" s="98"/>
      <c r="BG29" s="98"/>
      <c r="BH29" s="98"/>
      <c r="BI29" s="98"/>
      <c r="BJ29" s="98"/>
      <c r="BK29" s="98"/>
      <c r="BL29" s="99"/>
      <c r="BM29" s="99"/>
      <c r="BN29" s="99"/>
      <c r="BO29" s="99"/>
      <c r="BP29" s="99"/>
      <c r="BQ29" s="99"/>
      <c r="BR29" s="99"/>
      <c r="BS29" s="99"/>
      <c r="BT29" s="99"/>
      <c r="BU29" s="99"/>
    </row>
    <row r="30" spans="1:73">
      <c r="A30" s="6"/>
      <c r="B30" s="108"/>
      <c r="C30" s="1"/>
      <c r="D30" s="182" t="s">
        <v>739</v>
      </c>
      <c r="E30" s="4"/>
      <c r="F30" s="212"/>
      <c r="G30" s="213">
        <f t="shared" ref="G30:N30" si="7">SUM(G29)</f>
        <v>-3.0200000000000002E-4</v>
      </c>
      <c r="H30" s="213">
        <f t="shared" si="7"/>
        <v>-4.46E-4</v>
      </c>
      <c r="I30" s="213">
        <f t="shared" si="7"/>
        <v>-3.59E-4</v>
      </c>
      <c r="J30" s="213">
        <f t="shared" si="7"/>
        <v>-4.7800000000000002E-4</v>
      </c>
      <c r="K30" s="213">
        <f t="shared" si="7"/>
        <v>-3.9625000000000001E-4</v>
      </c>
      <c r="L30" s="213">
        <f t="shared" si="7"/>
        <v>-3.9625000000000001E-4</v>
      </c>
      <c r="M30" s="213">
        <f t="shared" si="7"/>
        <v>-3.9625000000000001E-4</v>
      </c>
      <c r="N30" s="214">
        <f t="shared" si="7"/>
        <v>-3.9625000000000001E-4</v>
      </c>
      <c r="O30" s="199"/>
      <c r="P30" s="199"/>
      <c r="Q30" s="36"/>
      <c r="R30" s="162"/>
      <c r="S30" s="1"/>
      <c r="T30" s="103"/>
      <c r="U30" s="103"/>
      <c r="V30" s="103"/>
      <c r="W30" s="98"/>
      <c r="X30" s="98"/>
      <c r="Y30" s="98"/>
      <c r="Z30" s="98"/>
      <c r="AA30" s="98"/>
      <c r="AB30" s="98"/>
      <c r="AC30" s="98"/>
      <c r="AD30" s="98"/>
      <c r="AE30" s="98"/>
      <c r="AF30" s="98"/>
      <c r="AG30" s="98"/>
      <c r="AH30" s="98"/>
      <c r="AI30" s="98"/>
      <c r="AJ30" s="98"/>
      <c r="AK30" s="98"/>
      <c r="AL30" s="98"/>
      <c r="AM30" s="98"/>
      <c r="AN30" s="98"/>
      <c r="AO30" s="98"/>
      <c r="AP30" s="98"/>
      <c r="AQ30" s="98"/>
      <c r="AR30" s="98"/>
      <c r="AS30" s="98"/>
      <c r="AT30" s="98"/>
      <c r="AU30" s="98"/>
      <c r="AV30" s="98"/>
      <c r="AW30" s="98"/>
      <c r="AX30" s="98"/>
      <c r="AY30" s="98"/>
      <c r="AZ30" s="98"/>
      <c r="BA30" s="98"/>
      <c r="BB30" s="98"/>
      <c r="BC30" s="98"/>
      <c r="BD30" s="98"/>
      <c r="BE30" s="98"/>
      <c r="BF30" s="98"/>
      <c r="BG30" s="98"/>
      <c r="BH30" s="98"/>
      <c r="BI30" s="98"/>
      <c r="BJ30" s="98"/>
      <c r="BK30" s="98"/>
      <c r="BL30" s="99"/>
      <c r="BM30" s="99"/>
      <c r="BN30" s="99"/>
      <c r="BO30" s="99"/>
      <c r="BP30" s="99"/>
      <c r="BQ30" s="99"/>
      <c r="BR30" s="99"/>
      <c r="BS30" s="99"/>
      <c r="BT30" s="99"/>
      <c r="BU30" s="99"/>
    </row>
    <row r="31" spans="1:73">
      <c r="A31" s="6"/>
      <c r="B31" s="108"/>
      <c r="C31" s="1"/>
      <c r="D31" s="182"/>
      <c r="E31" s="12"/>
      <c r="F31" s="211"/>
      <c r="G31" s="183"/>
      <c r="H31" s="183"/>
      <c r="I31" s="183"/>
      <c r="J31" s="183"/>
      <c r="K31" s="183"/>
      <c r="L31" s="183"/>
      <c r="M31" s="183"/>
      <c r="N31" s="184"/>
      <c r="O31" s="199"/>
      <c r="P31" s="199"/>
      <c r="Q31" s="36"/>
      <c r="R31" s="162"/>
      <c r="S31" s="1"/>
      <c r="T31" s="103"/>
      <c r="U31" s="103"/>
      <c r="V31" s="103"/>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9"/>
      <c r="BM31" s="99"/>
      <c r="BN31" s="99"/>
      <c r="BO31" s="99"/>
      <c r="BP31" s="99"/>
      <c r="BQ31" s="99"/>
      <c r="BR31" s="99"/>
      <c r="BS31" s="99"/>
      <c r="BT31" s="99"/>
      <c r="BU31" s="99"/>
    </row>
    <row r="32" spans="1:73">
      <c r="A32" s="6"/>
      <c r="B32" s="108"/>
      <c r="C32" s="1"/>
      <c r="D32" s="182" t="s">
        <v>19</v>
      </c>
      <c r="E32" s="12" t="s">
        <v>740</v>
      </c>
      <c r="F32" s="211"/>
      <c r="G32" s="215">
        <f t="shared" ref="G32:N32" ca="1" si="8">G742</f>
        <v>-230.92269586182644</v>
      </c>
      <c r="H32" s="215">
        <f t="shared" ca="1" si="8"/>
        <v>-197.93373931013699</v>
      </c>
      <c r="I32" s="215">
        <f t="shared" ca="1" si="8"/>
        <v>-769.7423195394216</v>
      </c>
      <c r="J32" s="215">
        <f t="shared" ca="1" si="8"/>
        <v>0</v>
      </c>
      <c r="K32" s="215">
        <f t="shared" ca="1" si="8"/>
        <v>0</v>
      </c>
      <c r="L32" s="215">
        <f t="shared" ca="1" si="8"/>
        <v>0</v>
      </c>
      <c r="M32" s="215">
        <f t="shared" ca="1" si="8"/>
        <v>0</v>
      </c>
      <c r="N32" s="216">
        <f t="shared" ca="1" si="8"/>
        <v>0</v>
      </c>
      <c r="O32" s="199"/>
      <c r="P32" s="199"/>
      <c r="Q32" s="36"/>
      <c r="R32" s="162"/>
      <c r="S32" s="1"/>
      <c r="T32" s="103"/>
      <c r="U32" s="103"/>
      <c r="V32" s="103"/>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9"/>
      <c r="BM32" s="99"/>
      <c r="BN32" s="99"/>
      <c r="BO32" s="99"/>
      <c r="BP32" s="99"/>
      <c r="BQ32" s="99"/>
      <c r="BR32" s="99"/>
      <c r="BS32" s="99"/>
      <c r="BT32" s="99"/>
      <c r="BU32" s="99"/>
    </row>
    <row r="33" spans="1:73">
      <c r="A33" s="6"/>
      <c r="B33" s="108"/>
      <c r="C33" s="1"/>
      <c r="D33" s="217" t="s">
        <v>741</v>
      </c>
      <c r="E33" s="218"/>
      <c r="F33" s="219"/>
      <c r="G33" s="220">
        <f t="shared" ref="G33:N33" ca="1" si="9">G32</f>
        <v>-230.92269586182644</v>
      </c>
      <c r="H33" s="220">
        <f t="shared" ca="1" si="9"/>
        <v>-197.93373931013699</v>
      </c>
      <c r="I33" s="220">
        <f t="shared" ca="1" si="9"/>
        <v>-769.7423195394216</v>
      </c>
      <c r="J33" s="220">
        <f t="shared" ca="1" si="9"/>
        <v>0</v>
      </c>
      <c r="K33" s="220">
        <f t="shared" ca="1" si="9"/>
        <v>0</v>
      </c>
      <c r="L33" s="220">
        <f t="shared" ca="1" si="9"/>
        <v>0</v>
      </c>
      <c r="M33" s="220">
        <f t="shared" ca="1" si="9"/>
        <v>0</v>
      </c>
      <c r="N33" s="221">
        <f t="shared" ca="1" si="9"/>
        <v>0</v>
      </c>
      <c r="O33" s="199"/>
      <c r="P33" s="199"/>
      <c r="Q33" s="36"/>
      <c r="R33" s="162"/>
      <c r="S33" s="1"/>
      <c r="T33" s="103"/>
      <c r="U33" s="103"/>
      <c r="V33" s="103"/>
      <c r="W33" s="98"/>
      <c r="X33" s="98"/>
      <c r="Y33" s="98"/>
      <c r="Z33" s="98"/>
      <c r="AA33" s="98"/>
      <c r="AB33" s="98"/>
      <c r="AC33" s="98"/>
      <c r="AD33" s="98"/>
      <c r="AE33" s="98"/>
      <c r="AF33" s="9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9"/>
      <c r="BM33" s="99"/>
      <c r="BN33" s="99"/>
      <c r="BO33" s="99"/>
      <c r="BP33" s="99"/>
      <c r="BQ33" s="99"/>
      <c r="BR33" s="99"/>
      <c r="BS33" s="99"/>
      <c r="BT33" s="99"/>
      <c r="BU33" s="99"/>
    </row>
    <row r="34" spans="1:73" ht="5.25" customHeight="1">
      <c r="A34" s="6"/>
      <c r="B34" s="108"/>
      <c r="C34" s="1"/>
      <c r="D34" s="25"/>
      <c r="E34" s="37"/>
      <c r="F34" s="211"/>
      <c r="G34" s="183"/>
      <c r="H34" s="183"/>
      <c r="I34" s="183"/>
      <c r="J34" s="183"/>
      <c r="K34" s="183"/>
      <c r="L34" s="183"/>
      <c r="M34" s="183"/>
      <c r="N34" s="183"/>
      <c r="O34" s="199"/>
      <c r="P34" s="199"/>
      <c r="Q34" s="36"/>
      <c r="R34" s="162"/>
      <c r="S34" s="1"/>
      <c r="T34" s="103"/>
      <c r="U34" s="103"/>
      <c r="V34" s="103"/>
      <c r="W34" s="98"/>
      <c r="X34" s="98"/>
      <c r="Y34" s="98"/>
      <c r="Z34" s="98"/>
      <c r="AA34" s="98"/>
      <c r="AB34" s="98"/>
      <c r="AC34" s="98"/>
      <c r="AD34" s="98"/>
      <c r="AE34" s="98"/>
      <c r="AF34" s="98"/>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9"/>
      <c r="BM34" s="99"/>
      <c r="BN34" s="99"/>
      <c r="BO34" s="99"/>
      <c r="BP34" s="99"/>
      <c r="BQ34" s="99"/>
      <c r="BR34" s="99"/>
      <c r="BS34" s="99"/>
      <c r="BT34" s="99"/>
      <c r="BU34" s="99"/>
    </row>
    <row r="35" spans="1:73">
      <c r="A35" s="6"/>
      <c r="B35" s="108"/>
      <c r="C35" s="1"/>
      <c r="D35" s="222" t="s">
        <v>536</v>
      </c>
      <c r="E35" s="223"/>
      <c r="F35" s="224"/>
      <c r="G35" s="201">
        <f ca="1">(G30*'2.2 Input_General_Information'!H94*'2.2 Input_General_Information'!H92*'2.2 Input_General_Information'!H93)+G33</f>
        <v>-335.45628918947352</v>
      </c>
      <c r="H35" s="201">
        <f ca="1">(H30*'2.2 Input_General_Information'!I94*'2.2 Input_General_Information'!I92*'2.2 Input_General_Information'!I93)+H33</f>
        <v>-223.62276760024241</v>
      </c>
      <c r="I35" s="201">
        <f ca="1">(I30*'2.2 Input_General_Information'!J94*'2.2 Input_General_Information'!J92*'2.2 Input_General_Information'!J93)+I33</f>
        <v>-813.06098489737053</v>
      </c>
      <c r="J35" s="201">
        <f ca="1">(J30*'2.2 Input_General_Information'!K94*'2.2 Input_General_Information'!K92*'2.2 Input_General_Information'!K93)+J33</f>
        <v>-33.749268428182681</v>
      </c>
      <c r="K35" s="201">
        <f ca="1">(K30*'2.2 Input_General_Information'!L94*'2.2 Input_General_Information'!L92*'2.2 Input_General_Information'!L93)+K33</f>
        <v>0</v>
      </c>
      <c r="L35" s="201">
        <f ca="1">(L30*'2.2 Input_General_Information'!M94*'2.2 Input_General_Information'!M92*'2.2 Input_General_Information'!M93)+L33</f>
        <v>0</v>
      </c>
      <c r="M35" s="201">
        <f ca="1">(M30*'2.2 Input_General_Information'!N94*'2.2 Input_General_Information'!N92*'2.2 Input_General_Information'!N93)+M33</f>
        <v>0</v>
      </c>
      <c r="N35" s="201">
        <f ca="1">(N30*'2.2 Input_General_Information'!O94*'2.2 Input_General_Information'!O92*'2.2 Input_General_Information'!O93)+N33</f>
        <v>0</v>
      </c>
      <c r="Q35" s="36"/>
      <c r="R35" s="162"/>
      <c r="S35" s="1"/>
      <c r="T35" s="101"/>
      <c r="U35" s="101"/>
      <c r="V35" s="101"/>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9"/>
      <c r="BM35" s="99"/>
      <c r="BN35" s="99"/>
      <c r="BO35" s="99"/>
      <c r="BP35" s="99"/>
      <c r="BQ35" s="99"/>
      <c r="BR35" s="99"/>
      <c r="BS35" s="99"/>
      <c r="BT35" s="99"/>
      <c r="BU35" s="99"/>
    </row>
    <row r="36" spans="1:73">
      <c r="A36" s="6"/>
      <c r="B36" s="108"/>
      <c r="C36" s="1"/>
      <c r="D36" s="225"/>
      <c r="E36" s="1"/>
      <c r="F36" s="211"/>
      <c r="G36" s="3"/>
      <c r="H36" s="3"/>
      <c r="I36" s="3"/>
      <c r="J36" s="3"/>
      <c r="K36" s="3"/>
      <c r="L36" s="3"/>
      <c r="M36" s="3"/>
      <c r="N36" s="3"/>
      <c r="O36" s="36"/>
      <c r="P36" s="36"/>
      <c r="Q36" s="36"/>
      <c r="R36" s="162"/>
      <c r="S36" s="1"/>
      <c r="T36" s="103"/>
      <c r="U36" s="103"/>
      <c r="V36" s="103"/>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c r="BH36" s="98"/>
      <c r="BI36" s="98"/>
      <c r="BJ36" s="98"/>
      <c r="BK36" s="98"/>
      <c r="BL36" s="99"/>
      <c r="BM36" s="99"/>
      <c r="BN36" s="99"/>
      <c r="BO36" s="99"/>
      <c r="BP36" s="99"/>
      <c r="BQ36" s="99"/>
      <c r="BR36" s="99"/>
      <c r="BS36" s="99"/>
      <c r="BT36" s="99"/>
      <c r="BU36" s="99"/>
    </row>
    <row r="37" spans="1:73">
      <c r="A37" s="6"/>
      <c r="B37" s="108"/>
      <c r="C37" s="1"/>
      <c r="D37" s="30"/>
      <c r="E37" s="23"/>
      <c r="F37" s="207" t="s">
        <v>735</v>
      </c>
      <c r="G37" s="208">
        <f ca="1">SUM(G35:N35)</f>
        <v>-1405.8893101152692</v>
      </c>
      <c r="H37" s="3"/>
      <c r="I37" s="3"/>
      <c r="J37" s="3"/>
      <c r="K37" s="3"/>
      <c r="L37" s="3"/>
      <c r="M37" s="3"/>
      <c r="N37" s="3"/>
      <c r="O37" s="36"/>
      <c r="P37" s="36"/>
      <c r="Q37" s="36"/>
      <c r="R37" s="162"/>
      <c r="S37" s="1"/>
      <c r="T37" s="103"/>
      <c r="U37" s="103"/>
      <c r="V37" s="103"/>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9"/>
      <c r="BM37" s="99"/>
      <c r="BN37" s="99"/>
      <c r="BO37" s="99"/>
      <c r="BP37" s="99"/>
      <c r="BQ37" s="99"/>
      <c r="BR37" s="99"/>
      <c r="BS37" s="99"/>
      <c r="BT37" s="99"/>
      <c r="BU37" s="99"/>
    </row>
    <row r="38" spans="1:73">
      <c r="A38" s="6"/>
      <c r="B38" s="108"/>
      <c r="C38" s="1"/>
      <c r="D38" s="30"/>
      <c r="E38" s="23"/>
      <c r="F38" s="30"/>
      <c r="G38" s="124"/>
      <c r="H38" s="3"/>
      <c r="I38" s="3"/>
      <c r="J38" s="3"/>
      <c r="K38" s="3"/>
      <c r="L38" s="3"/>
      <c r="M38" s="3"/>
      <c r="N38" s="3"/>
      <c r="O38" s="36"/>
      <c r="P38" s="36"/>
      <c r="Q38" s="36"/>
      <c r="R38" s="162"/>
      <c r="S38" s="1"/>
      <c r="T38" s="103"/>
      <c r="U38" s="103"/>
      <c r="V38" s="103"/>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c r="BH38" s="98"/>
      <c r="BI38" s="98"/>
      <c r="BJ38" s="98"/>
      <c r="BK38" s="98"/>
      <c r="BL38" s="99"/>
      <c r="BM38" s="99"/>
      <c r="BN38" s="99"/>
      <c r="BO38" s="99"/>
      <c r="BP38" s="99"/>
      <c r="BQ38" s="99"/>
      <c r="BR38" s="99"/>
      <c r="BS38" s="99"/>
      <c r="BT38" s="99"/>
      <c r="BU38" s="99"/>
    </row>
    <row r="39" spans="1:73">
      <c r="A39" s="6"/>
      <c r="B39" s="108"/>
      <c r="C39" s="1"/>
      <c r="D39" s="173" t="s">
        <v>742</v>
      </c>
      <c r="E39" s="173"/>
      <c r="F39" s="173"/>
      <c r="G39" s="173"/>
      <c r="H39" s="173"/>
      <c r="I39" s="173"/>
      <c r="J39" s="173"/>
      <c r="K39" s="173"/>
      <c r="L39" s="173"/>
      <c r="M39" s="173"/>
      <c r="N39" s="173"/>
      <c r="O39" s="36"/>
      <c r="P39" s="36"/>
      <c r="Q39" s="36"/>
      <c r="R39" s="162"/>
      <c r="S39" s="1"/>
      <c r="T39" s="103"/>
      <c r="U39" s="103"/>
      <c r="V39" s="6"/>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6"/>
      <c r="BM39" s="6"/>
      <c r="BN39" s="6"/>
      <c r="BO39" s="6"/>
      <c r="BP39" s="6"/>
      <c r="BQ39" s="6"/>
      <c r="BR39" s="6"/>
      <c r="BS39" s="6"/>
      <c r="BT39" s="6"/>
      <c r="BU39" s="6"/>
    </row>
    <row r="40" spans="1:73" ht="5.25" customHeight="1">
      <c r="A40" s="6"/>
      <c r="B40" s="108"/>
      <c r="C40" s="1"/>
      <c r="D40" s="30"/>
      <c r="E40" s="23"/>
      <c r="F40" s="30"/>
      <c r="G40" s="124"/>
      <c r="H40" s="3"/>
      <c r="I40" s="3"/>
      <c r="J40" s="3"/>
      <c r="K40" s="3"/>
      <c r="L40" s="3"/>
      <c r="M40" s="3"/>
      <c r="N40" s="3"/>
      <c r="O40" s="36"/>
      <c r="P40" s="36"/>
      <c r="Q40" s="36"/>
      <c r="R40" s="162"/>
      <c r="S40" s="1"/>
      <c r="T40" s="103"/>
      <c r="U40" s="103"/>
      <c r="V40" s="6"/>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6"/>
      <c r="BM40" s="6"/>
      <c r="BN40" s="6"/>
      <c r="BO40" s="6"/>
      <c r="BP40" s="6"/>
      <c r="BQ40" s="6"/>
      <c r="BR40" s="6"/>
      <c r="BS40" s="6"/>
      <c r="BT40" s="6"/>
      <c r="BU40" s="6"/>
    </row>
    <row r="41" spans="1:73">
      <c r="A41" s="6"/>
      <c r="B41" s="108"/>
      <c r="C41" s="1"/>
      <c r="D41" s="226"/>
      <c r="E41" s="227" t="str">
        <f>D347</f>
        <v>Cost faced due to non-open import/export formats</v>
      </c>
      <c r="F41" s="228"/>
      <c r="G41" s="229">
        <f>G347</f>
        <v>-5000</v>
      </c>
      <c r="H41" s="3"/>
      <c r="I41" s="3"/>
      <c r="J41" s="3"/>
      <c r="K41" s="3"/>
      <c r="L41" s="3"/>
      <c r="M41" s="3"/>
      <c r="N41" s="3"/>
      <c r="O41" s="36"/>
      <c r="P41" s="36"/>
      <c r="Q41" s="36"/>
      <c r="R41" s="162"/>
      <c r="S41" s="1"/>
      <c r="T41" s="103"/>
      <c r="U41" s="103"/>
      <c r="V41" s="103"/>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c r="BH41" s="98"/>
      <c r="BI41" s="98"/>
      <c r="BJ41" s="98"/>
      <c r="BK41" s="98"/>
      <c r="BL41" s="99"/>
      <c r="BM41" s="99"/>
      <c r="BN41" s="99"/>
      <c r="BO41" s="99"/>
      <c r="BP41" s="99"/>
      <c r="BQ41" s="99"/>
      <c r="BR41" s="99"/>
      <c r="BS41" s="99"/>
      <c r="BT41" s="99"/>
      <c r="BU41" s="99"/>
    </row>
    <row r="42" spans="1:73">
      <c r="A42" s="6"/>
      <c r="B42" s="108"/>
      <c r="C42" s="1"/>
      <c r="D42" s="230"/>
      <c r="E42" s="12" t="str">
        <f>D483</f>
        <v>Investment cost (Data Policies)</v>
      </c>
      <c r="F42" s="12"/>
      <c r="G42" s="231">
        <f ca="1">G483</f>
        <v>-27543.175422526154</v>
      </c>
      <c r="H42" s="3"/>
      <c r="I42" s="3"/>
      <c r="J42" s="3"/>
      <c r="K42" s="3"/>
      <c r="L42" s="3"/>
      <c r="M42" s="3"/>
      <c r="N42" s="3"/>
      <c r="O42" s="36"/>
      <c r="P42" s="36"/>
      <c r="Q42" s="36"/>
      <c r="R42" s="162"/>
      <c r="S42" s="1"/>
      <c r="T42" s="103"/>
      <c r="U42" s="103"/>
      <c r="V42" s="103"/>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c r="BH42" s="98"/>
      <c r="BI42" s="98"/>
      <c r="BJ42" s="98"/>
      <c r="BK42" s="98"/>
      <c r="BL42" s="99"/>
      <c r="BM42" s="99"/>
      <c r="BN42" s="99"/>
      <c r="BO42" s="99"/>
      <c r="BP42" s="99"/>
      <c r="BQ42" s="99"/>
      <c r="BR42" s="99"/>
      <c r="BS42" s="99"/>
      <c r="BT42" s="99"/>
      <c r="BU42" s="99"/>
    </row>
    <row r="43" spans="1:73">
      <c r="A43" s="6"/>
      <c r="B43" s="108"/>
      <c r="C43" s="1"/>
      <c r="D43" s="230"/>
      <c r="E43" s="232" t="str">
        <f>D723</f>
        <v>Project Management costs</v>
      </c>
      <c r="G43" s="233">
        <f ca="1">G723</f>
        <v>-26391.165241351599</v>
      </c>
      <c r="H43" s="3"/>
      <c r="I43" s="3"/>
      <c r="J43" s="3"/>
      <c r="K43" s="3"/>
      <c r="L43" s="3"/>
      <c r="M43" s="3"/>
      <c r="N43" s="3"/>
      <c r="O43" s="36"/>
      <c r="P43" s="36"/>
      <c r="Q43" s="36"/>
      <c r="R43" s="162"/>
      <c r="S43" s="1"/>
      <c r="T43" s="103"/>
      <c r="U43" s="103"/>
      <c r="V43" s="103"/>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c r="BH43" s="98"/>
      <c r="BI43" s="98"/>
      <c r="BJ43" s="98"/>
      <c r="BK43" s="98"/>
      <c r="BL43" s="99"/>
      <c r="BM43" s="99"/>
      <c r="BN43" s="99"/>
      <c r="BO43" s="99"/>
      <c r="BP43" s="99"/>
      <c r="BQ43" s="99"/>
      <c r="BR43" s="99"/>
      <c r="BS43" s="99"/>
      <c r="BT43" s="99"/>
      <c r="BU43" s="99"/>
    </row>
    <row r="44" spans="1:73">
      <c r="A44" s="6"/>
      <c r="B44" s="108"/>
      <c r="C44" s="1"/>
      <c r="D44" s="234"/>
      <c r="E44" s="235" t="s">
        <v>743</v>
      </c>
      <c r="F44" s="18"/>
      <c r="G44" s="236">
        <f>-'2.3 Input_Main_Questionnaire'!H408</f>
        <v>0</v>
      </c>
      <c r="H44" s="3"/>
      <c r="I44" s="3"/>
      <c r="J44" s="3"/>
      <c r="K44" s="3"/>
      <c r="L44" s="3"/>
      <c r="M44" s="3"/>
      <c r="N44" s="3"/>
      <c r="O44" s="36"/>
      <c r="P44" s="36"/>
      <c r="Q44" s="36"/>
      <c r="R44" s="162"/>
      <c r="S44" s="1"/>
      <c r="T44" s="103"/>
      <c r="U44" s="103"/>
      <c r="V44" s="103"/>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c r="BH44" s="98"/>
      <c r="BI44" s="98"/>
      <c r="BJ44" s="98"/>
      <c r="BK44" s="98"/>
      <c r="BL44" s="99"/>
      <c r="BM44" s="99"/>
      <c r="BN44" s="99"/>
      <c r="BO44" s="99"/>
      <c r="BP44" s="99"/>
      <c r="BQ44" s="99"/>
      <c r="BR44" s="99"/>
      <c r="BS44" s="99"/>
      <c r="BT44" s="99"/>
      <c r="BU44" s="99"/>
    </row>
    <row r="45" spans="1:73">
      <c r="A45" s="6"/>
      <c r="B45" s="108"/>
      <c r="C45" s="1"/>
      <c r="D45" s="25"/>
      <c r="H45" s="3"/>
      <c r="I45" s="3"/>
      <c r="J45" s="3"/>
      <c r="K45" s="3"/>
      <c r="L45" s="3"/>
      <c r="M45" s="3"/>
      <c r="N45" s="3"/>
      <c r="O45" s="36"/>
      <c r="P45" s="36"/>
      <c r="Q45" s="36"/>
      <c r="R45" s="162"/>
      <c r="S45" s="1"/>
      <c r="T45" s="103"/>
      <c r="U45" s="103"/>
      <c r="V45" s="103"/>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c r="BH45" s="98"/>
      <c r="BI45" s="98"/>
      <c r="BJ45" s="98"/>
      <c r="BK45" s="98"/>
      <c r="BL45" s="99"/>
      <c r="BM45" s="99"/>
      <c r="BN45" s="99"/>
      <c r="BO45" s="99"/>
      <c r="BP45" s="99"/>
      <c r="BQ45" s="99"/>
      <c r="BR45" s="99"/>
      <c r="BS45" s="99"/>
      <c r="BT45" s="99"/>
      <c r="BU45" s="99"/>
    </row>
    <row r="46" spans="1:73" ht="5.25" customHeight="1">
      <c r="A46" s="6"/>
      <c r="B46" s="108"/>
      <c r="C46" s="1"/>
      <c r="D46" s="25"/>
      <c r="E46" s="232"/>
      <c r="G46" s="211"/>
      <c r="H46" s="3"/>
      <c r="I46" s="3"/>
      <c r="J46" s="3"/>
      <c r="K46" s="3"/>
      <c r="L46" s="3"/>
      <c r="M46" s="3"/>
      <c r="N46" s="3"/>
      <c r="O46" s="36"/>
      <c r="P46" s="36"/>
      <c r="Q46" s="36"/>
      <c r="R46" s="162"/>
      <c r="S46" s="1"/>
      <c r="T46" s="103"/>
      <c r="U46" s="103"/>
      <c r="V46" s="103"/>
      <c r="W46" s="98"/>
      <c r="X46" s="98"/>
      <c r="Y46" s="98"/>
      <c r="Z46" s="98"/>
      <c r="AA46" s="98"/>
      <c r="AB46" s="98"/>
      <c r="AC46" s="98"/>
      <c r="AD46" s="98"/>
      <c r="AE46" s="98"/>
      <c r="AF46" s="98"/>
      <c r="AG46" s="98"/>
      <c r="AH46" s="98"/>
      <c r="AI46" s="98"/>
      <c r="AJ46" s="98"/>
      <c r="AK46" s="98"/>
      <c r="AL46" s="98"/>
      <c r="AM46" s="98"/>
      <c r="AN46" s="98"/>
      <c r="AO46" s="98"/>
      <c r="AP46" s="98"/>
      <c r="AQ46" s="98"/>
      <c r="AR46" s="98"/>
      <c r="AS46" s="98"/>
      <c r="AT46" s="98"/>
      <c r="AU46" s="98"/>
      <c r="AV46" s="98"/>
      <c r="AW46" s="98"/>
      <c r="AX46" s="98"/>
      <c r="AY46" s="98"/>
      <c r="AZ46" s="98"/>
      <c r="BA46" s="98"/>
      <c r="BB46" s="98"/>
      <c r="BC46" s="98"/>
      <c r="BD46" s="98"/>
      <c r="BE46" s="98"/>
      <c r="BF46" s="98"/>
      <c r="BG46" s="98"/>
      <c r="BH46" s="98"/>
      <c r="BI46" s="98"/>
      <c r="BJ46" s="98"/>
      <c r="BK46" s="98"/>
      <c r="BL46" s="99"/>
      <c r="BM46" s="99"/>
      <c r="BN46" s="99"/>
      <c r="BO46" s="99"/>
      <c r="BP46" s="99"/>
      <c r="BQ46" s="99"/>
      <c r="BR46" s="99"/>
      <c r="BS46" s="99"/>
      <c r="BT46" s="99"/>
      <c r="BU46" s="99"/>
    </row>
    <row r="47" spans="1:73">
      <c r="A47" s="6"/>
      <c r="B47" s="108"/>
      <c r="C47" s="1"/>
      <c r="D47" s="147" t="s">
        <v>744</v>
      </c>
      <c r="E47" s="200"/>
      <c r="F47" s="147"/>
      <c r="G47" s="201">
        <f ca="1">SUM(G41:G44)</f>
        <v>-58934.340663877752</v>
      </c>
      <c r="H47" s="3"/>
      <c r="I47" s="3"/>
      <c r="J47" s="3"/>
      <c r="K47" s="3"/>
      <c r="L47" s="3"/>
      <c r="M47" s="3"/>
      <c r="N47" s="3"/>
      <c r="O47" s="36"/>
      <c r="P47" s="36"/>
      <c r="Q47" s="36"/>
      <c r="R47" s="162"/>
      <c r="S47" s="1"/>
      <c r="T47" s="103"/>
      <c r="U47" s="103"/>
      <c r="V47" s="103"/>
      <c r="W47" s="98"/>
      <c r="X47" s="98"/>
      <c r="Y47" s="98"/>
      <c r="Z47" s="98"/>
      <c r="AA47" s="98"/>
      <c r="AB47" s="98"/>
      <c r="AC47" s="98"/>
      <c r="AD47" s="98"/>
      <c r="AE47" s="98"/>
      <c r="AF47" s="98"/>
      <c r="AG47" s="98"/>
      <c r="AH47" s="98"/>
      <c r="AI47" s="98"/>
      <c r="AJ47" s="98"/>
      <c r="AK47" s="98"/>
      <c r="AL47" s="98"/>
      <c r="AM47" s="98"/>
      <c r="AN47" s="98"/>
      <c r="AO47" s="98"/>
      <c r="AP47" s="98"/>
      <c r="AQ47" s="98"/>
      <c r="AR47" s="98"/>
      <c r="AS47" s="98"/>
      <c r="AT47" s="98"/>
      <c r="AU47" s="98"/>
      <c r="AV47" s="98"/>
      <c r="AW47" s="98"/>
      <c r="AX47" s="98"/>
      <c r="AY47" s="98"/>
      <c r="AZ47" s="98"/>
      <c r="BA47" s="98"/>
      <c r="BB47" s="98"/>
      <c r="BC47" s="98"/>
      <c r="BD47" s="98"/>
      <c r="BE47" s="98"/>
      <c r="BF47" s="98"/>
      <c r="BG47" s="98"/>
      <c r="BH47" s="98"/>
      <c r="BI47" s="98"/>
      <c r="BJ47" s="98"/>
      <c r="BK47" s="98"/>
      <c r="BL47" s="99"/>
      <c r="BM47" s="99"/>
      <c r="BN47" s="99"/>
      <c r="BO47" s="99"/>
      <c r="BP47" s="99"/>
      <c r="BQ47" s="99"/>
      <c r="BR47" s="99"/>
      <c r="BS47" s="99"/>
      <c r="BT47" s="99"/>
      <c r="BU47" s="99"/>
    </row>
    <row r="48" spans="1:73">
      <c r="A48" s="6"/>
      <c r="B48" s="108"/>
      <c r="C48" s="1"/>
      <c r="D48" s="1"/>
      <c r="E48" s="1"/>
      <c r="F48" s="12"/>
      <c r="G48" s="3"/>
      <c r="H48" s="3"/>
      <c r="I48" s="3"/>
      <c r="J48" s="3"/>
      <c r="K48" s="3"/>
      <c r="L48" s="3"/>
      <c r="M48" s="3"/>
      <c r="N48" s="3"/>
      <c r="O48" s="36"/>
      <c r="P48" s="36"/>
      <c r="Q48" s="36"/>
      <c r="R48" s="162"/>
      <c r="S48" s="1"/>
      <c r="T48" s="103"/>
      <c r="U48" s="103"/>
      <c r="V48" s="103"/>
      <c r="W48" s="98"/>
      <c r="X48" s="98"/>
      <c r="Y48" s="98"/>
      <c r="Z48" s="98"/>
      <c r="AA48" s="98"/>
      <c r="AB48" s="98"/>
      <c r="AC48" s="98"/>
      <c r="AD48" s="98"/>
      <c r="AE48" s="98"/>
      <c r="AF48" s="98"/>
      <c r="AG48" s="98"/>
      <c r="AH48" s="98"/>
      <c r="AI48" s="98"/>
      <c r="AJ48" s="98"/>
      <c r="AK48" s="98"/>
      <c r="AL48" s="98"/>
      <c r="AM48" s="98"/>
      <c r="AN48" s="98"/>
      <c r="AO48" s="98"/>
      <c r="AP48" s="98"/>
      <c r="AQ48" s="98"/>
      <c r="AR48" s="98"/>
      <c r="AS48" s="98"/>
      <c r="AT48" s="98"/>
      <c r="AU48" s="98"/>
      <c r="AV48" s="98"/>
      <c r="AW48" s="98"/>
      <c r="AX48" s="98"/>
      <c r="AY48" s="98"/>
      <c r="AZ48" s="98"/>
      <c r="BA48" s="98"/>
      <c r="BB48" s="98"/>
      <c r="BC48" s="98"/>
      <c r="BD48" s="98"/>
      <c r="BE48" s="98"/>
      <c r="BF48" s="98"/>
      <c r="BG48" s="98"/>
      <c r="BH48" s="98"/>
      <c r="BI48" s="98"/>
      <c r="BJ48" s="98"/>
      <c r="BK48" s="98"/>
      <c r="BL48" s="99"/>
      <c r="BM48" s="99"/>
      <c r="BN48" s="99"/>
      <c r="BO48" s="99"/>
      <c r="BP48" s="99"/>
      <c r="BQ48" s="99"/>
      <c r="BR48" s="99"/>
      <c r="BS48" s="99"/>
      <c r="BT48" s="99"/>
      <c r="BU48" s="99"/>
    </row>
    <row r="49" spans="1:73">
      <c r="A49" s="6"/>
      <c r="B49" s="108"/>
      <c r="C49" s="1"/>
      <c r="D49" s="1"/>
      <c r="E49" s="1"/>
      <c r="F49" s="207" t="s">
        <v>745</v>
      </c>
      <c r="G49" s="208">
        <f ca="1">G37+G47</f>
        <v>-60340.229973993024</v>
      </c>
      <c r="H49" s="3"/>
      <c r="I49" s="3"/>
      <c r="J49" s="3"/>
      <c r="K49" s="3"/>
      <c r="L49" s="3"/>
      <c r="M49" s="3"/>
      <c r="N49" s="3"/>
      <c r="O49" s="36"/>
      <c r="P49" s="36"/>
      <c r="Q49" s="36"/>
      <c r="R49" s="162"/>
      <c r="S49" s="1"/>
      <c r="T49" s="103"/>
      <c r="U49" s="103"/>
      <c r="V49" s="103"/>
      <c r="W49" s="98"/>
      <c r="X49" s="98"/>
      <c r="Y49" s="98"/>
      <c r="Z49" s="98"/>
      <c r="AA49" s="98"/>
      <c r="AB49" s="98"/>
      <c r="AC49" s="98"/>
      <c r="AD49" s="98"/>
      <c r="AE49" s="98"/>
      <c r="AF49" s="98"/>
      <c r="AG49" s="98"/>
      <c r="AH49" s="98"/>
      <c r="AI49" s="98"/>
      <c r="AJ49" s="98"/>
      <c r="AK49" s="98"/>
      <c r="AL49" s="98"/>
      <c r="AM49" s="98"/>
      <c r="AN49" s="98"/>
      <c r="AO49" s="98"/>
      <c r="AP49" s="98"/>
      <c r="AQ49" s="98"/>
      <c r="AR49" s="98"/>
      <c r="AS49" s="98"/>
      <c r="AT49" s="98"/>
      <c r="AU49" s="98"/>
      <c r="AV49" s="98"/>
      <c r="AW49" s="98"/>
      <c r="AX49" s="98"/>
      <c r="AY49" s="98"/>
      <c r="AZ49" s="98"/>
      <c r="BA49" s="98"/>
      <c r="BB49" s="98"/>
      <c r="BC49" s="98"/>
      <c r="BD49" s="98"/>
      <c r="BE49" s="98"/>
      <c r="BF49" s="98"/>
      <c r="BG49" s="98"/>
      <c r="BH49" s="98"/>
      <c r="BI49" s="98"/>
      <c r="BJ49" s="98"/>
      <c r="BK49" s="98"/>
      <c r="BL49" s="99"/>
      <c r="BM49" s="99"/>
      <c r="BN49" s="99"/>
      <c r="BO49" s="99"/>
      <c r="BP49" s="99"/>
      <c r="BQ49" s="99"/>
      <c r="BR49" s="99"/>
      <c r="BS49" s="99"/>
      <c r="BT49" s="99"/>
      <c r="BU49" s="99"/>
    </row>
    <row r="50" spans="1:73">
      <c r="A50" s="6"/>
      <c r="B50" s="108"/>
      <c r="C50" s="1"/>
      <c r="D50" s="237"/>
      <c r="E50" s="1"/>
      <c r="F50" s="211"/>
      <c r="G50" s="3"/>
      <c r="H50" s="3"/>
      <c r="I50" s="3"/>
      <c r="J50" s="3"/>
      <c r="K50" s="3"/>
      <c r="L50" s="3"/>
      <c r="M50" s="3"/>
      <c r="N50" s="3"/>
      <c r="O50" s="36"/>
      <c r="P50" s="36"/>
      <c r="Q50" s="36"/>
      <c r="R50" s="162"/>
      <c r="S50" s="1"/>
      <c r="T50" s="103"/>
      <c r="U50" s="103"/>
      <c r="V50" s="103"/>
      <c r="W50" s="98"/>
      <c r="X50" s="98"/>
      <c r="Y50" s="98"/>
      <c r="Z50" s="98"/>
      <c r="AA50" s="98"/>
      <c r="AB50" s="98"/>
      <c r="AC50" s="98"/>
      <c r="AD50" s="98"/>
      <c r="AE50" s="98"/>
      <c r="AF50" s="98"/>
      <c r="AG50" s="98"/>
      <c r="AH50" s="98"/>
      <c r="AI50" s="98"/>
      <c r="AJ50" s="98"/>
      <c r="AK50" s="98"/>
      <c r="AL50" s="98"/>
      <c r="AM50" s="98"/>
      <c r="AN50" s="98"/>
      <c r="AO50" s="98"/>
      <c r="AP50" s="98"/>
      <c r="AQ50" s="98"/>
      <c r="AR50" s="98"/>
      <c r="AS50" s="98"/>
      <c r="AT50" s="98"/>
      <c r="AU50" s="98"/>
      <c r="AV50" s="98"/>
      <c r="AW50" s="98"/>
      <c r="AX50" s="98"/>
      <c r="AY50" s="98"/>
      <c r="AZ50" s="98"/>
      <c r="BA50" s="98"/>
      <c r="BB50" s="98"/>
      <c r="BC50" s="98"/>
      <c r="BD50" s="98"/>
      <c r="BE50" s="98"/>
      <c r="BF50" s="98"/>
      <c r="BG50" s="98"/>
      <c r="BH50" s="98"/>
      <c r="BI50" s="98"/>
      <c r="BJ50" s="98"/>
      <c r="BK50" s="98"/>
      <c r="BL50" s="99"/>
      <c r="BM50" s="99"/>
      <c r="BN50" s="99"/>
      <c r="BO50" s="99"/>
      <c r="BP50" s="99"/>
      <c r="BQ50" s="99"/>
      <c r="BR50" s="99"/>
      <c r="BS50" s="99"/>
      <c r="BT50" s="99"/>
      <c r="BU50" s="99"/>
    </row>
    <row r="51" spans="1:73">
      <c r="A51" s="6"/>
      <c r="B51" s="97" t="s">
        <v>648</v>
      </c>
      <c r="C51" s="1"/>
      <c r="D51" s="173" t="s">
        <v>746</v>
      </c>
      <c r="E51" s="174"/>
      <c r="F51" s="173"/>
      <c r="G51" s="176" t="str">
        <f>'2.3 Input_Main_Questionnaire'!$H$24</f>
        <v>PhD researcher</v>
      </c>
      <c r="H51" s="176" t="str">
        <f>'2.3 Input_Main_Questionnaire'!$I$24</f>
        <v>Lecturer assistant/Research assistant (Academic)</v>
      </c>
      <c r="I51" s="176" t="str">
        <f>'2.3 Input_Main_Questionnaire'!$J$24</f>
        <v>Lecturer/Researcher (Academic)</v>
      </c>
      <c r="J51" s="176" t="str">
        <f>'2.3 Input_Main_Questionnaire'!$K$24</f>
        <v>Other</v>
      </c>
      <c r="K51" s="176" t="str">
        <f>'2.3 Input_Main_Questionnaire'!$L$24</f>
        <v>Profile 5</v>
      </c>
      <c r="L51" s="176" t="str">
        <f>'2.3 Input_Main_Questionnaire'!$M$24</f>
        <v>Profile 6</v>
      </c>
      <c r="M51" s="176" t="str">
        <f>'2.3 Input_Main_Questionnaire'!$N$24</f>
        <v>Profile 7</v>
      </c>
      <c r="N51" s="176" t="str">
        <f>'2.3 Input_Main_Questionnaire'!$O$24</f>
        <v>Profile 8</v>
      </c>
      <c r="O51" s="36"/>
      <c r="P51" s="36"/>
      <c r="Q51" s="36"/>
      <c r="R51" s="162"/>
      <c r="S51" s="1"/>
      <c r="T51" s="103"/>
      <c r="U51" s="103"/>
      <c r="V51" s="103"/>
      <c r="W51" s="98"/>
      <c r="X51" s="98"/>
      <c r="Y51" s="98"/>
      <c r="Z51" s="98"/>
      <c r="AA51" s="98"/>
      <c r="AB51" s="98"/>
      <c r="AC51" s="98"/>
      <c r="AD51" s="98"/>
      <c r="AE51" s="98"/>
      <c r="AF51" s="98"/>
      <c r="AG51" s="98"/>
      <c r="AH51" s="98"/>
      <c r="AI51" s="98"/>
      <c r="AJ51" s="98"/>
      <c r="AK51" s="98"/>
      <c r="AL51" s="98"/>
      <c r="AM51" s="98"/>
      <c r="AN51" s="98"/>
      <c r="AO51" s="98"/>
      <c r="AP51" s="98"/>
      <c r="AQ51" s="98"/>
      <c r="AR51" s="98"/>
      <c r="AS51" s="98"/>
      <c r="AT51" s="98"/>
      <c r="AU51" s="98"/>
      <c r="AV51" s="98"/>
      <c r="AW51" s="98"/>
      <c r="AX51" s="98"/>
      <c r="AY51" s="98"/>
      <c r="AZ51" s="98"/>
      <c r="BA51" s="98"/>
      <c r="BB51" s="98"/>
      <c r="BC51" s="98"/>
      <c r="BD51" s="98"/>
      <c r="BE51" s="98"/>
      <c r="BF51" s="98"/>
      <c r="BG51" s="98"/>
      <c r="BH51" s="98"/>
      <c r="BI51" s="98"/>
      <c r="BJ51" s="98"/>
      <c r="BK51" s="98"/>
      <c r="BL51" s="99"/>
      <c r="BM51" s="99"/>
      <c r="BN51" s="99"/>
      <c r="BO51" s="99"/>
      <c r="BP51" s="99"/>
      <c r="BQ51" s="99"/>
      <c r="BR51" s="99"/>
      <c r="BS51" s="99"/>
      <c r="BT51" s="99"/>
      <c r="BU51" s="99"/>
    </row>
    <row r="52" spans="1:73" ht="5.25" customHeight="1">
      <c r="A52" s="6"/>
      <c r="B52" s="108"/>
      <c r="C52" s="1"/>
      <c r="D52" s="25"/>
      <c r="E52" s="58"/>
      <c r="F52" s="211"/>
      <c r="G52" s="238"/>
      <c r="H52" s="238"/>
      <c r="I52" s="238"/>
      <c r="J52" s="238"/>
      <c r="K52" s="238"/>
      <c r="L52" s="238"/>
      <c r="M52" s="238"/>
      <c r="N52" s="238"/>
      <c r="O52" s="36"/>
      <c r="P52" s="36"/>
      <c r="Q52" s="36"/>
      <c r="R52" s="162"/>
      <c r="S52" s="1"/>
      <c r="T52" s="103"/>
      <c r="U52" s="103"/>
      <c r="V52" s="103"/>
      <c r="W52" s="98"/>
      <c r="X52" s="98"/>
      <c r="Y52" s="98"/>
      <c r="Z52" s="98"/>
      <c r="AA52" s="98"/>
      <c r="AB52" s="98"/>
      <c r="AC52" s="98"/>
      <c r="AD52" s="98"/>
      <c r="AE52" s="98"/>
      <c r="AF52" s="98"/>
      <c r="AG52" s="98"/>
      <c r="AH52" s="98"/>
      <c r="AI52" s="98"/>
      <c r="AJ52" s="98"/>
      <c r="AK52" s="98"/>
      <c r="AL52" s="98"/>
      <c r="AM52" s="98"/>
      <c r="AN52" s="98"/>
      <c r="AO52" s="98"/>
      <c r="AP52" s="98"/>
      <c r="AQ52" s="98"/>
      <c r="AR52" s="98"/>
      <c r="AS52" s="98"/>
      <c r="AT52" s="98"/>
      <c r="AU52" s="98"/>
      <c r="AV52" s="98"/>
      <c r="AW52" s="98"/>
      <c r="AX52" s="98"/>
      <c r="AY52" s="98"/>
      <c r="AZ52" s="98"/>
      <c r="BA52" s="98"/>
      <c r="BB52" s="98"/>
      <c r="BC52" s="98"/>
      <c r="BD52" s="98"/>
      <c r="BE52" s="98"/>
      <c r="BF52" s="98"/>
      <c r="BG52" s="98"/>
      <c r="BH52" s="98"/>
      <c r="BI52" s="98"/>
      <c r="BJ52" s="98"/>
      <c r="BK52" s="98"/>
      <c r="BL52" s="99"/>
      <c r="BM52" s="99"/>
      <c r="BN52" s="99"/>
      <c r="BO52" s="99"/>
      <c r="BP52" s="99"/>
      <c r="BQ52" s="99"/>
      <c r="BR52" s="99"/>
      <c r="BS52" s="99"/>
      <c r="BT52" s="99"/>
      <c r="BU52" s="99"/>
    </row>
    <row r="53" spans="1:73">
      <c r="A53" s="6"/>
      <c r="B53" s="108"/>
      <c r="C53" s="1"/>
      <c r="D53" s="177">
        <v>4</v>
      </c>
      <c r="E53" s="178" t="str">
        <f>D419</f>
        <v>Additional time required for complying with recognized metadata standards</v>
      </c>
      <c r="F53" s="239"/>
      <c r="G53" s="180">
        <f t="shared" ref="G53:N53" si="10">G419</f>
        <v>-4.0499789473684208E-3</v>
      </c>
      <c r="H53" s="180">
        <f t="shared" si="10"/>
        <v>-5.9810947368421049E-3</v>
      </c>
      <c r="I53" s="180">
        <f t="shared" si="10"/>
        <v>-4.8143789473684209E-3</v>
      </c>
      <c r="J53" s="180">
        <f t="shared" si="10"/>
        <v>-6.4102315789473681E-3</v>
      </c>
      <c r="K53" s="180">
        <f t="shared" si="10"/>
        <v>-5.3139210526315789E-3</v>
      </c>
      <c r="L53" s="180">
        <f t="shared" si="10"/>
        <v>-5.3139210526315789E-3</v>
      </c>
      <c r="M53" s="180">
        <f t="shared" si="10"/>
        <v>-5.3139210526315789E-3</v>
      </c>
      <c r="N53" s="181">
        <f t="shared" si="10"/>
        <v>-5.3139210526315789E-3</v>
      </c>
      <c r="O53" s="36"/>
      <c r="P53" s="36"/>
      <c r="Q53" s="36"/>
      <c r="R53" s="162"/>
      <c r="S53" s="1"/>
      <c r="T53" s="103"/>
      <c r="U53" s="103"/>
      <c r="V53" s="103"/>
      <c r="W53" s="98"/>
      <c r="X53" s="98"/>
      <c r="Y53" s="98"/>
      <c r="Z53" s="98"/>
      <c r="AA53" s="98"/>
      <c r="AB53" s="98"/>
      <c r="AC53" s="98"/>
      <c r="AD53" s="98"/>
      <c r="AE53" s="98"/>
      <c r="AF53" s="98"/>
      <c r="AG53" s="98"/>
      <c r="AH53" s="98"/>
      <c r="AI53" s="98"/>
      <c r="AJ53" s="98"/>
      <c r="AK53" s="98"/>
      <c r="AL53" s="98"/>
      <c r="AM53" s="98"/>
      <c r="AN53" s="98"/>
      <c r="AO53" s="98"/>
      <c r="AP53" s="98"/>
      <c r="AQ53" s="98"/>
      <c r="AR53" s="98"/>
      <c r="AS53" s="98"/>
      <c r="AT53" s="98"/>
      <c r="AU53" s="98"/>
      <c r="AV53" s="98"/>
      <c r="AW53" s="98"/>
      <c r="AX53" s="98"/>
      <c r="AY53" s="98"/>
      <c r="AZ53" s="98"/>
      <c r="BA53" s="98"/>
      <c r="BB53" s="98"/>
      <c r="BC53" s="98"/>
      <c r="BD53" s="98"/>
      <c r="BE53" s="98"/>
      <c r="BF53" s="98"/>
      <c r="BG53" s="98"/>
      <c r="BH53" s="98"/>
      <c r="BI53" s="98"/>
      <c r="BJ53" s="98"/>
      <c r="BK53" s="98"/>
      <c r="BL53" s="99"/>
      <c r="BM53" s="99"/>
      <c r="BN53" s="99"/>
      <c r="BO53" s="99"/>
      <c r="BP53" s="99"/>
      <c r="BQ53" s="99"/>
      <c r="BR53" s="99"/>
      <c r="BS53" s="99"/>
      <c r="BT53" s="99"/>
      <c r="BU53" s="99"/>
    </row>
    <row r="54" spans="1:73">
      <c r="A54" s="6"/>
      <c r="B54" s="108"/>
      <c r="C54" s="1"/>
      <c r="D54" s="182">
        <v>4</v>
      </c>
      <c r="E54" s="12" t="str">
        <f>D421</f>
        <v>Additional time required for assigning global standardised PIDs</v>
      </c>
      <c r="F54" s="211"/>
      <c r="G54" s="183">
        <f t="shared" ref="G54:N54" si="11">G421</f>
        <v>-5.9393333333333347E-3</v>
      </c>
      <c r="H54" s="183">
        <f t="shared" si="11"/>
        <v>-8.7713333333333358E-3</v>
      </c>
      <c r="I54" s="183">
        <f t="shared" si="11"/>
        <v>-7.0603333333333351E-3</v>
      </c>
      <c r="J54" s="183">
        <f t="shared" si="11"/>
        <v>-9.40066666666667E-3</v>
      </c>
      <c r="K54" s="183">
        <f t="shared" si="11"/>
        <v>-7.7929166666666685E-3</v>
      </c>
      <c r="L54" s="183">
        <f t="shared" si="11"/>
        <v>-7.7929166666666685E-3</v>
      </c>
      <c r="M54" s="183">
        <f t="shared" si="11"/>
        <v>-7.7929166666666685E-3</v>
      </c>
      <c r="N54" s="184">
        <f t="shared" si="11"/>
        <v>-7.7929166666666685E-3</v>
      </c>
      <c r="O54" s="36"/>
      <c r="P54" s="36"/>
      <c r="Q54" s="36"/>
      <c r="R54" s="162"/>
      <c r="S54" s="1"/>
      <c r="T54" s="103"/>
      <c r="U54" s="103"/>
      <c r="V54" s="103"/>
      <c r="W54" s="98"/>
      <c r="X54" s="98"/>
      <c r="Y54" s="98"/>
      <c r="Z54" s="98"/>
      <c r="AA54" s="98"/>
      <c r="AB54" s="98"/>
      <c r="AC54" s="98"/>
      <c r="AD54" s="98"/>
      <c r="AE54" s="98"/>
      <c r="AF54" s="98"/>
      <c r="AG54" s="98"/>
      <c r="AH54" s="98"/>
      <c r="AI54" s="98"/>
      <c r="AJ54" s="98"/>
      <c r="AK54" s="98"/>
      <c r="AL54" s="98"/>
      <c r="AM54" s="98"/>
      <c r="AN54" s="98"/>
      <c r="AO54" s="98"/>
      <c r="AP54" s="98"/>
      <c r="AQ54" s="98"/>
      <c r="AR54" s="98"/>
      <c r="AS54" s="98"/>
      <c r="AT54" s="98"/>
      <c r="AU54" s="98"/>
      <c r="AV54" s="98"/>
      <c r="AW54" s="98"/>
      <c r="AX54" s="98"/>
      <c r="AY54" s="98"/>
      <c r="AZ54" s="98"/>
      <c r="BA54" s="98"/>
      <c r="BB54" s="98"/>
      <c r="BC54" s="98"/>
      <c r="BD54" s="98"/>
      <c r="BE54" s="98"/>
      <c r="BF54" s="98"/>
      <c r="BG54" s="98"/>
      <c r="BH54" s="98"/>
      <c r="BI54" s="98"/>
      <c r="BJ54" s="98"/>
      <c r="BK54" s="98"/>
      <c r="BL54" s="99"/>
      <c r="BM54" s="99"/>
      <c r="BN54" s="99"/>
      <c r="BO54" s="99"/>
      <c r="BP54" s="99"/>
      <c r="BQ54" s="99"/>
      <c r="BR54" s="99"/>
      <c r="BS54" s="99"/>
      <c r="BT54" s="99"/>
      <c r="BU54" s="99"/>
    </row>
    <row r="55" spans="1:73">
      <c r="A55" s="6"/>
      <c r="B55" s="108"/>
      <c r="C55" s="1"/>
      <c r="D55" s="182">
        <v>4</v>
      </c>
      <c r="E55" s="12" t="str">
        <f>D448</f>
        <v>Additional cost in time to move towards reproducible methods and results</v>
      </c>
      <c r="F55" s="211"/>
      <c r="G55" s="183">
        <f>G448</f>
        <v>-1.5100000000000001E-4</v>
      </c>
      <c r="H55" s="183"/>
      <c r="I55" s="183"/>
      <c r="J55" s="183"/>
      <c r="K55" s="183"/>
      <c r="L55" s="183"/>
      <c r="M55" s="183"/>
      <c r="N55" s="184"/>
      <c r="O55" s="36"/>
      <c r="P55" s="36"/>
      <c r="Q55" s="36"/>
      <c r="R55" s="162"/>
      <c r="S55" s="1"/>
      <c r="T55" s="103"/>
      <c r="U55" s="103"/>
      <c r="V55" s="103"/>
      <c r="W55" s="98"/>
      <c r="X55" s="98"/>
      <c r="Y55" s="98"/>
      <c r="Z55" s="98"/>
      <c r="AA55" s="98"/>
      <c r="AB55" s="98"/>
      <c r="AC55" s="98"/>
      <c r="AD55" s="98"/>
      <c r="AE55" s="98"/>
      <c r="AF55" s="98"/>
      <c r="AG55" s="98"/>
      <c r="AH55" s="98"/>
      <c r="AI55" s="98"/>
      <c r="AJ55" s="98"/>
      <c r="AK55" s="98"/>
      <c r="AL55" s="98"/>
      <c r="AM55" s="98"/>
      <c r="AN55" s="98"/>
      <c r="AO55" s="98"/>
      <c r="AP55" s="98"/>
      <c r="AQ55" s="98"/>
      <c r="AR55" s="98"/>
      <c r="AS55" s="98"/>
      <c r="AT55" s="98"/>
      <c r="AU55" s="98"/>
      <c r="AV55" s="98"/>
      <c r="AW55" s="98"/>
      <c r="AX55" s="98"/>
      <c r="AY55" s="98"/>
      <c r="AZ55" s="98"/>
      <c r="BA55" s="98"/>
      <c r="BB55" s="98"/>
      <c r="BC55" s="98"/>
      <c r="BD55" s="98"/>
      <c r="BE55" s="98"/>
      <c r="BF55" s="98"/>
      <c r="BG55" s="98"/>
      <c r="BH55" s="98"/>
      <c r="BI55" s="98"/>
      <c r="BJ55" s="98"/>
      <c r="BK55" s="98"/>
      <c r="BL55" s="99"/>
      <c r="BM55" s="99"/>
      <c r="BN55" s="99"/>
      <c r="BO55" s="99"/>
      <c r="BP55" s="99"/>
      <c r="BQ55" s="99"/>
      <c r="BR55" s="99"/>
      <c r="BS55" s="99"/>
      <c r="BT55" s="99"/>
      <c r="BU55" s="99"/>
    </row>
    <row r="56" spans="1:73">
      <c r="A56" s="6"/>
      <c r="B56" s="108"/>
      <c r="C56" s="1"/>
      <c r="D56" s="182">
        <v>6</v>
      </c>
      <c r="E56" s="232" t="str">
        <f>D577</f>
        <v>Time spent documenting steps of the analysis process</v>
      </c>
      <c r="F56" s="211"/>
      <c r="G56" s="183">
        <f t="shared" ref="G56:N56" si="12">G577</f>
        <v>-8.2449999999999971E-3</v>
      </c>
      <c r="H56" s="183">
        <f t="shared" si="12"/>
        <v>-4.1499999999999992E-3</v>
      </c>
      <c r="I56" s="183">
        <f t="shared" si="12"/>
        <v>-3.0199999999999992E-3</v>
      </c>
      <c r="J56" s="183">
        <f t="shared" si="12"/>
        <v>-8.6599999999999976E-3</v>
      </c>
      <c r="K56" s="183">
        <f t="shared" si="12"/>
        <v>-6.0187499999999989E-3</v>
      </c>
      <c r="L56" s="183">
        <f t="shared" si="12"/>
        <v>-6.0187499999999989E-3</v>
      </c>
      <c r="M56" s="183">
        <f t="shared" si="12"/>
        <v>-6.0187499999999989E-3</v>
      </c>
      <c r="N56" s="184">
        <f t="shared" si="12"/>
        <v>-6.0187499999999989E-3</v>
      </c>
      <c r="O56" s="36"/>
      <c r="P56" s="36"/>
      <c r="Q56" s="36"/>
      <c r="R56" s="162"/>
      <c r="S56" s="1"/>
      <c r="T56" s="103"/>
      <c r="U56" s="103"/>
      <c r="V56" s="103"/>
      <c r="W56" s="98"/>
      <c r="X56" s="98"/>
      <c r="Y56" s="98"/>
      <c r="Z56" s="98"/>
      <c r="AA56" s="98"/>
      <c r="AB56" s="98"/>
      <c r="AC56" s="98"/>
      <c r="AD56" s="98"/>
      <c r="AE56" s="98"/>
      <c r="AF56" s="98"/>
      <c r="AG56" s="98"/>
      <c r="AH56" s="98"/>
      <c r="AI56" s="98"/>
      <c r="AJ56" s="98"/>
      <c r="AK56" s="98"/>
      <c r="AL56" s="98"/>
      <c r="AM56" s="98"/>
      <c r="AN56" s="98"/>
      <c r="AO56" s="98"/>
      <c r="AP56" s="98"/>
      <c r="AQ56" s="98"/>
      <c r="AR56" s="98"/>
      <c r="AS56" s="98"/>
      <c r="AT56" s="98"/>
      <c r="AU56" s="98"/>
      <c r="AV56" s="98"/>
      <c r="AW56" s="98"/>
      <c r="AX56" s="98"/>
      <c r="AY56" s="98"/>
      <c r="AZ56" s="98"/>
      <c r="BA56" s="98"/>
      <c r="BB56" s="98"/>
      <c r="BC56" s="98"/>
      <c r="BD56" s="98"/>
      <c r="BE56" s="98"/>
      <c r="BF56" s="98"/>
      <c r="BG56" s="98"/>
      <c r="BH56" s="98"/>
      <c r="BI56" s="98"/>
      <c r="BJ56" s="98"/>
      <c r="BK56" s="98"/>
      <c r="BL56" s="99"/>
      <c r="BM56" s="99"/>
      <c r="BN56" s="99"/>
      <c r="BO56" s="99"/>
      <c r="BP56" s="99"/>
      <c r="BQ56" s="99"/>
      <c r="BR56" s="99"/>
      <c r="BS56" s="99"/>
      <c r="BT56" s="99"/>
      <c r="BU56" s="99"/>
    </row>
    <row r="57" spans="1:73" ht="15.75" customHeight="1">
      <c r="A57" s="6"/>
      <c r="B57" s="108"/>
      <c r="C57" s="1"/>
      <c r="D57" s="182">
        <v>10</v>
      </c>
      <c r="E57" s="12" t="str">
        <f>D744</f>
        <v>Recurring training costs</v>
      </c>
      <c r="F57" s="240"/>
      <c r="G57" s="183">
        <f t="shared" ref="G57:N57" si="13">G744</f>
        <v>-5.0000000000000001E-3</v>
      </c>
      <c r="H57" s="183">
        <f t="shared" si="13"/>
        <v>-5.0000000000000001E-3</v>
      </c>
      <c r="I57" s="183">
        <f t="shared" si="13"/>
        <v>-0.01</v>
      </c>
      <c r="J57" s="183">
        <f t="shared" si="13"/>
        <v>0</v>
      </c>
      <c r="K57" s="183">
        <f t="shared" si="13"/>
        <v>0</v>
      </c>
      <c r="L57" s="183">
        <f t="shared" si="13"/>
        <v>0</v>
      </c>
      <c r="M57" s="183">
        <f t="shared" si="13"/>
        <v>0</v>
      </c>
      <c r="N57" s="184">
        <f t="shared" si="13"/>
        <v>0</v>
      </c>
      <c r="O57" s="36"/>
      <c r="P57" s="36"/>
      <c r="Q57" s="36"/>
      <c r="R57" s="162"/>
      <c r="S57" s="1"/>
      <c r="T57" s="103"/>
      <c r="U57" s="103"/>
      <c r="V57" s="103"/>
      <c r="W57" s="98"/>
      <c r="X57" s="98"/>
      <c r="Y57" s="98"/>
      <c r="Z57" s="98"/>
      <c r="AA57" s="98"/>
      <c r="AB57" s="98"/>
      <c r="AC57" s="98"/>
      <c r="AD57" s="98"/>
      <c r="AE57" s="98"/>
      <c r="AF57" s="98"/>
      <c r="AG57" s="98"/>
      <c r="AH57" s="98"/>
      <c r="AI57" s="98"/>
      <c r="AJ57" s="98"/>
      <c r="AK57" s="98"/>
      <c r="AL57" s="98"/>
      <c r="AM57" s="98"/>
      <c r="AN57" s="98"/>
      <c r="AO57" s="98"/>
      <c r="AP57" s="98"/>
      <c r="AQ57" s="98"/>
      <c r="AR57" s="98"/>
      <c r="AS57" s="98"/>
      <c r="AT57" s="98"/>
      <c r="AU57" s="98"/>
      <c r="AV57" s="98"/>
      <c r="AW57" s="98"/>
      <c r="AX57" s="98"/>
      <c r="AY57" s="98"/>
      <c r="AZ57" s="98"/>
      <c r="BA57" s="98"/>
      <c r="BB57" s="98"/>
      <c r="BC57" s="98"/>
      <c r="BD57" s="98"/>
      <c r="BE57" s="98"/>
      <c r="BF57" s="98"/>
      <c r="BG57" s="98"/>
      <c r="BH57" s="98"/>
      <c r="BI57" s="98"/>
      <c r="BJ57" s="98"/>
      <c r="BK57" s="98"/>
      <c r="BL57" s="99"/>
      <c r="BM57" s="99"/>
      <c r="BN57" s="99"/>
      <c r="BO57" s="99"/>
      <c r="BP57" s="99"/>
      <c r="BQ57" s="99"/>
      <c r="BR57" s="99"/>
      <c r="BS57" s="99"/>
      <c r="BT57" s="99"/>
      <c r="BU57" s="99"/>
    </row>
    <row r="58" spans="1:73">
      <c r="A58" s="6"/>
      <c r="B58" s="108"/>
      <c r="C58" s="1"/>
      <c r="D58" s="217" t="s">
        <v>747</v>
      </c>
      <c r="E58" s="241"/>
      <c r="F58" s="219"/>
      <c r="G58" s="242">
        <f t="shared" ref="G58:N58" si="14">SUM(G53:G57)</f>
        <v>-2.3385312280701755E-2</v>
      </c>
      <c r="H58" s="242">
        <f t="shared" si="14"/>
        <v>-2.3902428070175442E-2</v>
      </c>
      <c r="I58" s="242">
        <f t="shared" si="14"/>
        <v>-2.4894712280701753E-2</v>
      </c>
      <c r="J58" s="242">
        <f t="shared" si="14"/>
        <v>-2.4470898245614037E-2</v>
      </c>
      <c r="K58" s="242">
        <f t="shared" si="14"/>
        <v>-1.9125587719298245E-2</v>
      </c>
      <c r="L58" s="242">
        <f t="shared" si="14"/>
        <v>-1.9125587719298245E-2</v>
      </c>
      <c r="M58" s="242">
        <f t="shared" si="14"/>
        <v>-1.9125587719298245E-2</v>
      </c>
      <c r="N58" s="243">
        <f t="shared" si="14"/>
        <v>-1.9125587719298245E-2</v>
      </c>
      <c r="O58" s="1178"/>
      <c r="P58" s="1174"/>
      <c r="Q58" s="36"/>
      <c r="R58" s="162"/>
      <c r="S58" s="1"/>
      <c r="T58" s="103"/>
      <c r="U58" s="103"/>
      <c r="V58" s="103"/>
      <c r="W58" s="98"/>
      <c r="X58" s="98"/>
      <c r="Y58" s="98"/>
      <c r="Z58" s="98"/>
      <c r="AA58" s="98"/>
      <c r="AB58" s="98"/>
      <c r="AC58" s="98"/>
      <c r="AD58" s="98"/>
      <c r="AE58" s="98"/>
      <c r="AF58" s="98"/>
      <c r="AG58" s="98"/>
      <c r="AH58" s="98"/>
      <c r="AI58" s="98"/>
      <c r="AJ58" s="98"/>
      <c r="AK58" s="98"/>
      <c r="AL58" s="98"/>
      <c r="AM58" s="98"/>
      <c r="AN58" s="98"/>
      <c r="AO58" s="98"/>
      <c r="AP58" s="98"/>
      <c r="AQ58" s="98"/>
      <c r="AR58" s="98"/>
      <c r="AS58" s="98"/>
      <c r="AT58" s="98"/>
      <c r="AU58" s="98"/>
      <c r="AV58" s="98"/>
      <c r="AW58" s="98"/>
      <c r="AX58" s="98"/>
      <c r="AY58" s="98"/>
      <c r="AZ58" s="98"/>
      <c r="BA58" s="98"/>
      <c r="BB58" s="98"/>
      <c r="BC58" s="98"/>
      <c r="BD58" s="98"/>
      <c r="BE58" s="98"/>
      <c r="BF58" s="98"/>
      <c r="BG58" s="98"/>
      <c r="BH58" s="98"/>
      <c r="BI58" s="98"/>
      <c r="BJ58" s="98"/>
      <c r="BK58" s="98"/>
      <c r="BL58" s="99"/>
      <c r="BM58" s="99"/>
      <c r="BN58" s="99"/>
      <c r="BO58" s="99"/>
      <c r="BP58" s="99"/>
      <c r="BQ58" s="99"/>
      <c r="BR58" s="99"/>
      <c r="BS58" s="99"/>
      <c r="BT58" s="99"/>
      <c r="BU58" s="99"/>
    </row>
    <row r="59" spans="1:73" ht="5.25" customHeight="1">
      <c r="A59" s="6"/>
      <c r="B59" s="108"/>
      <c r="C59" s="1"/>
      <c r="D59" s="225"/>
      <c r="E59" s="1"/>
      <c r="F59" s="240"/>
      <c r="G59" s="244"/>
      <c r="H59" s="244"/>
      <c r="I59" s="244"/>
      <c r="J59" s="244"/>
      <c r="K59" s="244"/>
      <c r="L59" s="244"/>
      <c r="M59" s="244"/>
      <c r="N59" s="244"/>
      <c r="O59" s="199"/>
      <c r="P59" s="199"/>
      <c r="Q59" s="36"/>
      <c r="R59" s="162"/>
      <c r="S59" s="1"/>
      <c r="T59" s="103"/>
      <c r="U59" s="103"/>
      <c r="V59" s="103"/>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c r="BH59" s="98"/>
      <c r="BI59" s="98"/>
      <c r="BJ59" s="98"/>
      <c r="BK59" s="98"/>
      <c r="BL59" s="99"/>
      <c r="BM59" s="99"/>
      <c r="BN59" s="99"/>
      <c r="BO59" s="99"/>
      <c r="BP59" s="99"/>
      <c r="BQ59" s="99"/>
      <c r="BR59" s="99"/>
      <c r="BS59" s="99"/>
      <c r="BT59" s="99"/>
      <c r="BU59" s="99"/>
    </row>
    <row r="60" spans="1:73">
      <c r="A60" s="6"/>
      <c r="B60" s="97"/>
      <c r="C60" s="1"/>
      <c r="D60" s="222" t="s">
        <v>524</v>
      </c>
      <c r="E60" s="223"/>
      <c r="F60" s="224"/>
      <c r="G60" s="201">
        <f ca="1">G58*'2.2 Input_General_Information'!H94*'2.2 Input_General_Information'!H92*'2.2 Input_General_Information'!H93</f>
        <v>-8094.5388204996971</v>
      </c>
      <c r="H60" s="201">
        <f ca="1">H58*'2.2 Input_General_Information'!I94*'2.2 Input_General_Information'!I92*'2.2 Input_General_Information'!I93</f>
        <v>-1376.7492172577292</v>
      </c>
      <c r="I60" s="201">
        <f ca="1">I58*'2.2 Input_General_Information'!J94*'2.2 Input_General_Information'!J92*'2.2 Input_General_Information'!J93</f>
        <v>-3003.9156280505299</v>
      </c>
      <c r="J60" s="201">
        <f ca="1">J58*'2.2 Input_General_Information'!K94*'2.2 Input_General_Information'!K92*'2.2 Input_General_Information'!K93</f>
        <v>-1727.7717857112398</v>
      </c>
      <c r="K60" s="201">
        <f ca="1">K58*'2.2 Input_General_Information'!L94*'2.2 Input_General_Information'!L92*'2.2 Input_General_Information'!L93</f>
        <v>0</v>
      </c>
      <c r="L60" s="201">
        <f ca="1">L58*'2.2 Input_General_Information'!M94*'2.2 Input_General_Information'!M92*'2.2 Input_General_Information'!M93</f>
        <v>0</v>
      </c>
      <c r="M60" s="201">
        <f ca="1">M58*'2.2 Input_General_Information'!N94*'2.2 Input_General_Information'!N92*'2.2 Input_General_Information'!N93</f>
        <v>0</v>
      </c>
      <c r="N60" s="201">
        <f ca="1">N58*'2.2 Input_General_Information'!O94*'2.2 Input_General_Information'!O92*'2.2 Input_General_Information'!O93</f>
        <v>0</v>
      </c>
      <c r="Q60" s="36"/>
      <c r="R60" s="162"/>
      <c r="S60" s="1"/>
      <c r="T60" s="101"/>
      <c r="U60" s="101"/>
      <c r="V60" s="101"/>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c r="BH60" s="98"/>
      <c r="BI60" s="98"/>
      <c r="BJ60" s="98"/>
      <c r="BK60" s="98"/>
      <c r="BL60" s="99"/>
      <c r="BM60" s="99"/>
      <c r="BN60" s="99"/>
      <c r="BO60" s="99"/>
      <c r="BP60" s="99"/>
      <c r="BQ60" s="99"/>
      <c r="BR60" s="99"/>
      <c r="BS60" s="99"/>
      <c r="BT60" s="99"/>
      <c r="BU60" s="99"/>
    </row>
    <row r="61" spans="1:73">
      <c r="A61" s="6"/>
      <c r="B61" s="108"/>
      <c r="C61" s="1"/>
      <c r="D61" s="1"/>
      <c r="E61" s="1"/>
      <c r="F61" s="12"/>
      <c r="G61" s="3"/>
      <c r="H61" s="3"/>
      <c r="I61" s="3"/>
      <c r="J61" s="3"/>
      <c r="K61" s="3"/>
      <c r="L61" s="3"/>
      <c r="M61" s="3"/>
      <c r="N61" s="3"/>
      <c r="O61" s="36"/>
      <c r="P61" s="36"/>
      <c r="Q61" s="36"/>
      <c r="R61" s="162"/>
      <c r="S61" s="1"/>
      <c r="T61" s="103"/>
      <c r="U61" s="103"/>
      <c r="V61" s="6"/>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6"/>
      <c r="BM61" s="6"/>
      <c r="BN61" s="6"/>
      <c r="BO61" s="6"/>
      <c r="BP61" s="6"/>
      <c r="BQ61" s="6"/>
      <c r="BR61" s="6"/>
      <c r="BS61" s="6"/>
      <c r="BT61" s="6"/>
      <c r="BU61" s="6"/>
    </row>
    <row r="62" spans="1:73">
      <c r="A62" s="6"/>
      <c r="B62" s="108"/>
      <c r="C62" s="1"/>
      <c r="D62" s="30"/>
      <c r="E62" s="23"/>
      <c r="F62" s="207" t="s">
        <v>735</v>
      </c>
      <c r="G62" s="208">
        <f ca="1">SUM(G60:N60)</f>
        <v>-14202.975451519196</v>
      </c>
      <c r="H62" s="3"/>
      <c r="I62" s="3"/>
      <c r="J62" s="3"/>
      <c r="K62" s="3"/>
      <c r="L62" s="3"/>
      <c r="M62" s="3"/>
      <c r="N62" s="3"/>
      <c r="O62" s="36"/>
      <c r="P62" s="36"/>
      <c r="Q62" s="36"/>
      <c r="R62" s="162"/>
      <c r="S62" s="1"/>
      <c r="T62" s="103"/>
      <c r="U62" s="103"/>
      <c r="V62" s="6"/>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6"/>
      <c r="BM62" s="6"/>
      <c r="BN62" s="6"/>
      <c r="BO62" s="6"/>
      <c r="BP62" s="6"/>
      <c r="BQ62" s="6"/>
      <c r="BR62" s="6"/>
      <c r="BS62" s="6"/>
      <c r="BT62" s="6"/>
      <c r="BU62" s="6"/>
    </row>
    <row r="63" spans="1:73">
      <c r="A63" s="6"/>
      <c r="B63" s="108"/>
      <c r="C63" s="1"/>
      <c r="D63" s="25"/>
      <c r="E63" s="23"/>
      <c r="F63" s="30"/>
      <c r="G63" s="124"/>
      <c r="H63" s="3"/>
      <c r="I63" s="3"/>
      <c r="J63" s="3"/>
      <c r="K63" s="3"/>
      <c r="L63" s="3"/>
      <c r="M63" s="3"/>
      <c r="N63" s="3"/>
      <c r="O63" s="36"/>
      <c r="P63" s="36"/>
      <c r="Q63" s="36"/>
      <c r="R63" s="162"/>
      <c r="S63" s="1"/>
      <c r="T63" s="103"/>
      <c r="U63" s="103"/>
      <c r="V63" s="6"/>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1"/>
      <c r="BF63" s="81"/>
      <c r="BG63" s="81"/>
      <c r="BH63" s="81"/>
      <c r="BI63" s="81"/>
      <c r="BJ63" s="81"/>
      <c r="BK63" s="81"/>
      <c r="BL63" s="6"/>
      <c r="BM63" s="6"/>
      <c r="BN63" s="6"/>
      <c r="BO63" s="6"/>
      <c r="BP63" s="6"/>
      <c r="BQ63" s="6"/>
      <c r="BR63" s="6"/>
      <c r="BS63" s="6"/>
      <c r="BT63" s="6"/>
      <c r="BU63" s="6"/>
    </row>
    <row r="64" spans="1:73">
      <c r="A64" s="6"/>
      <c r="B64" s="108"/>
      <c r="C64" s="1"/>
      <c r="D64" s="173" t="s">
        <v>748</v>
      </c>
      <c r="E64" s="173"/>
      <c r="F64" s="173"/>
      <c r="G64" s="173"/>
      <c r="H64" s="173"/>
      <c r="I64" s="173"/>
      <c r="J64" s="173"/>
      <c r="K64" s="173"/>
      <c r="L64" s="173"/>
      <c r="M64" s="173"/>
      <c r="N64" s="173"/>
      <c r="O64" s="36"/>
      <c r="P64" s="36"/>
      <c r="Q64" s="36"/>
      <c r="R64" s="162"/>
      <c r="S64" s="1"/>
      <c r="T64" s="103"/>
      <c r="U64" s="103"/>
      <c r="V64" s="6"/>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6"/>
      <c r="BM64" s="6"/>
      <c r="BN64" s="6"/>
      <c r="BO64" s="6"/>
      <c r="BP64" s="6"/>
      <c r="BQ64" s="6"/>
      <c r="BR64" s="6"/>
      <c r="BS64" s="6"/>
      <c r="BT64" s="6"/>
      <c r="BU64" s="6"/>
    </row>
    <row r="65" spans="1:73" ht="5.25" customHeight="1">
      <c r="A65" s="6"/>
      <c r="B65" s="108"/>
      <c r="C65" s="1"/>
      <c r="D65" s="30"/>
      <c r="E65" s="23"/>
      <c r="F65" s="30"/>
      <c r="G65" s="124"/>
      <c r="H65" s="3"/>
      <c r="I65" s="3"/>
      <c r="J65" s="3"/>
      <c r="K65" s="3"/>
      <c r="L65" s="3"/>
      <c r="M65" s="3"/>
      <c r="N65" s="3"/>
      <c r="O65" s="36"/>
      <c r="P65" s="36"/>
      <c r="Q65" s="36"/>
      <c r="R65" s="162"/>
      <c r="S65" s="1"/>
      <c r="T65" s="103"/>
      <c r="U65" s="103"/>
      <c r="V65" s="6"/>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6"/>
      <c r="BM65" s="6"/>
      <c r="BN65" s="6"/>
      <c r="BO65" s="6"/>
      <c r="BP65" s="6"/>
      <c r="BQ65" s="6"/>
      <c r="BR65" s="6"/>
      <c r="BS65" s="6"/>
      <c r="BT65" s="6"/>
      <c r="BU65" s="6"/>
    </row>
    <row r="66" spans="1:73">
      <c r="A66" s="6"/>
      <c r="B66" s="108"/>
      <c r="C66" s="1"/>
      <c r="D66" s="177"/>
      <c r="E66" s="178" t="str">
        <f>D485</f>
        <v>Operational cost (Data Policies)</v>
      </c>
      <c r="F66" s="179"/>
      <c r="G66" s="245">
        <f ca="1">G485</f>
        <v>-21911.058474175385</v>
      </c>
      <c r="H66" s="3"/>
      <c r="I66" s="3"/>
      <c r="J66" s="3"/>
      <c r="K66" s="3"/>
      <c r="L66" s="3"/>
      <c r="M66" s="3"/>
      <c r="N66" s="3"/>
      <c r="O66" s="36"/>
      <c r="P66" s="36"/>
      <c r="Q66" s="36"/>
      <c r="R66" s="162"/>
      <c r="S66" s="1"/>
      <c r="T66" s="103"/>
      <c r="U66" s="103"/>
      <c r="V66" s="6"/>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6"/>
      <c r="BM66" s="6"/>
      <c r="BN66" s="6"/>
      <c r="BO66" s="6"/>
      <c r="BP66" s="6"/>
      <c r="BQ66" s="6"/>
      <c r="BR66" s="6"/>
      <c r="BS66" s="6"/>
      <c r="BT66" s="6"/>
      <c r="BU66" s="6"/>
    </row>
    <row r="67" spans="1:73">
      <c r="A67" s="6"/>
      <c r="B67" s="108"/>
      <c r="C67" s="1"/>
      <c r="D67" s="182"/>
      <c r="E67" s="12" t="str">
        <f>D411</f>
        <v>Cost to comply with global standardised PIDs</v>
      </c>
      <c r="F67" s="1"/>
      <c r="G67" s="246">
        <f ca="1">HLOOKUP('2.2 Input_General_Information'!$H$20,$W$413:$BK$414,2,FALSE)</f>
        <v>-4.9999999999979221E-2</v>
      </c>
      <c r="H67" s="3"/>
      <c r="I67" s="3"/>
      <c r="J67" s="3"/>
      <c r="K67" s="3"/>
      <c r="L67" s="3"/>
      <c r="M67" s="3"/>
      <c r="N67" s="3"/>
      <c r="O67" s="36"/>
      <c r="P67" s="36"/>
      <c r="Q67" s="36"/>
      <c r="R67" s="162"/>
      <c r="S67" s="1"/>
      <c r="T67" s="103"/>
      <c r="U67" s="103"/>
      <c r="V67" s="6"/>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6"/>
      <c r="BM67" s="6"/>
      <c r="BN67" s="6"/>
      <c r="BO67" s="6"/>
      <c r="BP67" s="6"/>
      <c r="BQ67" s="6"/>
      <c r="BR67" s="6"/>
      <c r="BS67" s="6"/>
      <c r="BT67" s="6"/>
      <c r="BU67" s="6"/>
    </row>
    <row r="68" spans="1:73">
      <c r="A68" s="6"/>
      <c r="B68" s="108"/>
      <c r="C68" s="1"/>
      <c r="D68" s="182"/>
      <c r="E68" s="12" t="str">
        <f>D725</f>
        <v>Data stewardship costs</v>
      </c>
      <c r="F68" s="12"/>
      <c r="G68" s="246">
        <f ca="1">HLOOKUP('2.2 Input_General_Information'!$H$20,$W$729:$BK$732,2,FALSE)</f>
        <v>-108150</v>
      </c>
      <c r="H68" s="3"/>
      <c r="I68" s="3"/>
      <c r="J68" s="3"/>
      <c r="K68" s="3"/>
      <c r="L68" s="3"/>
      <c r="M68" s="3"/>
      <c r="N68" s="3"/>
      <c r="O68" s="36"/>
      <c r="P68" s="36"/>
      <c r="Q68" s="36"/>
      <c r="R68" s="162"/>
      <c r="S68" s="1"/>
      <c r="T68" s="103"/>
      <c r="U68" s="103"/>
      <c r="V68" s="6"/>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1"/>
      <c r="BF68" s="81"/>
      <c r="BG68" s="81"/>
      <c r="BH68" s="81"/>
      <c r="BI68" s="81"/>
      <c r="BJ68" s="81"/>
      <c r="BK68" s="81"/>
      <c r="BL68" s="6"/>
      <c r="BM68" s="6"/>
      <c r="BN68" s="6"/>
      <c r="BO68" s="6"/>
      <c r="BP68" s="6"/>
      <c r="BQ68" s="6"/>
      <c r="BR68" s="6"/>
      <c r="BS68" s="6"/>
      <c r="BT68" s="6"/>
      <c r="BU68" s="6"/>
    </row>
    <row r="69" spans="1:73">
      <c r="A69" s="6"/>
      <c r="B69" s="108"/>
      <c r="C69" s="1"/>
      <c r="D69" s="217"/>
      <c r="E69" s="247" t="str">
        <f>D734</f>
        <v>Software maintenance costs</v>
      </c>
      <c r="F69" s="248"/>
      <c r="G69" s="249">
        <f ca="1">HLOOKUP('2.2 Input_General_Information'!$H$20,$W$736:$BK$737,2,FALSE)</f>
        <v>-0.49999999999979222</v>
      </c>
      <c r="H69" s="3"/>
      <c r="I69" s="3"/>
      <c r="J69" s="3"/>
      <c r="K69" s="3"/>
      <c r="L69" s="3"/>
      <c r="M69" s="3"/>
      <c r="N69" s="3"/>
      <c r="O69" s="36"/>
      <c r="P69" s="36"/>
      <c r="Q69" s="36"/>
      <c r="R69" s="162"/>
      <c r="S69" s="1"/>
      <c r="T69" s="103"/>
      <c r="U69" s="103"/>
      <c r="V69" s="6"/>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c r="BG69" s="81"/>
      <c r="BH69" s="81"/>
      <c r="BI69" s="81"/>
      <c r="BJ69" s="81"/>
      <c r="BK69" s="81"/>
      <c r="BL69" s="6"/>
      <c r="BM69" s="6"/>
      <c r="BN69" s="6"/>
      <c r="BO69" s="6"/>
      <c r="BP69" s="6"/>
      <c r="BQ69" s="6"/>
      <c r="BR69" s="6"/>
      <c r="BS69" s="6"/>
      <c r="BT69" s="6"/>
      <c r="BU69" s="6"/>
    </row>
    <row r="70" spans="1:73" ht="5.25" customHeight="1">
      <c r="A70" s="6"/>
      <c r="B70" s="108"/>
      <c r="C70" s="1"/>
      <c r="D70" s="30"/>
      <c r="E70" s="23"/>
      <c r="F70" s="30"/>
      <c r="G70" s="250"/>
      <c r="H70" s="3"/>
      <c r="I70" s="3"/>
      <c r="J70" s="3"/>
      <c r="K70" s="3"/>
      <c r="L70" s="3"/>
      <c r="M70" s="3"/>
      <c r="N70" s="3"/>
      <c r="O70" s="36"/>
      <c r="P70" s="36"/>
      <c r="Q70" s="36"/>
      <c r="R70" s="162"/>
      <c r="S70" s="1"/>
      <c r="T70" s="103"/>
      <c r="U70" s="103"/>
      <c r="V70" s="6"/>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6"/>
      <c r="BM70" s="6"/>
      <c r="BN70" s="6"/>
      <c r="BO70" s="6"/>
      <c r="BP70" s="6"/>
      <c r="BQ70" s="6"/>
      <c r="BR70" s="6"/>
      <c r="BS70" s="6"/>
      <c r="BT70" s="6"/>
      <c r="BU70" s="6"/>
    </row>
    <row r="71" spans="1:73">
      <c r="A71" s="6"/>
      <c r="B71" s="108"/>
      <c r="C71" s="1"/>
      <c r="D71" s="147" t="s">
        <v>749</v>
      </c>
      <c r="E71" s="200"/>
      <c r="F71" s="147"/>
      <c r="G71" s="201">
        <f ca="1">SUM(G66:G69)</f>
        <v>-130061.60847417539</v>
      </c>
      <c r="H71" s="3"/>
      <c r="I71" s="3"/>
      <c r="J71" s="3"/>
      <c r="K71" s="3"/>
      <c r="L71" s="3"/>
      <c r="M71" s="3"/>
      <c r="N71" s="3"/>
      <c r="O71" s="36"/>
      <c r="P71" s="36"/>
      <c r="Q71" s="36"/>
      <c r="R71" s="162"/>
      <c r="S71" s="1"/>
      <c r="T71" s="103"/>
      <c r="U71" s="103"/>
      <c r="V71" s="6"/>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L71" s="6"/>
      <c r="BM71" s="6"/>
      <c r="BN71" s="6"/>
      <c r="BO71" s="6"/>
      <c r="BP71" s="6"/>
      <c r="BQ71" s="6"/>
      <c r="BR71" s="6"/>
      <c r="BS71" s="6"/>
      <c r="BT71" s="6"/>
      <c r="BU71" s="6"/>
    </row>
    <row r="72" spans="1:73">
      <c r="A72" s="6"/>
      <c r="B72" s="108"/>
      <c r="C72" s="1"/>
      <c r="D72" s="1"/>
      <c r="E72" s="1"/>
      <c r="F72" s="12"/>
      <c r="G72" s="3"/>
      <c r="H72" s="3"/>
      <c r="I72" s="3"/>
      <c r="J72" s="3"/>
      <c r="K72" s="3"/>
      <c r="L72" s="3"/>
      <c r="M72" s="3"/>
      <c r="N72" s="3"/>
      <c r="O72" s="36"/>
      <c r="P72" s="36"/>
      <c r="Q72" s="36"/>
      <c r="R72" s="162"/>
      <c r="S72" s="1"/>
      <c r="T72" s="103"/>
      <c r="U72" s="103"/>
      <c r="V72" s="6"/>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c r="BG72" s="81"/>
      <c r="BH72" s="81"/>
      <c r="BI72" s="81"/>
      <c r="BJ72" s="81"/>
      <c r="BK72" s="81"/>
      <c r="BL72" s="6"/>
      <c r="BM72" s="6"/>
      <c r="BN72" s="6"/>
      <c r="BO72" s="6"/>
      <c r="BP72" s="6"/>
      <c r="BQ72" s="6"/>
      <c r="BR72" s="6"/>
      <c r="BS72" s="6"/>
      <c r="BT72" s="6"/>
      <c r="BU72" s="6"/>
    </row>
    <row r="73" spans="1:73">
      <c r="A73" s="6"/>
      <c r="B73" s="108"/>
      <c r="C73" s="1"/>
      <c r="D73" s="1"/>
      <c r="E73" s="1"/>
      <c r="F73" s="207" t="s">
        <v>745</v>
      </c>
      <c r="G73" s="208">
        <f ca="1">G62+G71</f>
        <v>-144264.58392569458</v>
      </c>
      <c r="H73" s="3"/>
      <c r="I73" s="3"/>
      <c r="J73" s="3"/>
      <c r="K73" s="3"/>
      <c r="L73" s="3"/>
      <c r="M73" s="3"/>
      <c r="N73" s="3"/>
      <c r="O73" s="36"/>
      <c r="P73" s="36"/>
      <c r="Q73" s="36"/>
      <c r="R73" s="162"/>
      <c r="S73" s="1"/>
      <c r="T73" s="103"/>
      <c r="U73" s="103"/>
      <c r="V73" s="6"/>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1"/>
      <c r="BI73" s="81"/>
      <c r="BJ73" s="81"/>
      <c r="BK73" s="81"/>
      <c r="BL73" s="6"/>
      <c r="BM73" s="6"/>
      <c r="BN73" s="6"/>
      <c r="BO73" s="6"/>
      <c r="BP73" s="6"/>
      <c r="BQ73" s="6"/>
      <c r="BR73" s="6"/>
      <c r="BS73" s="6"/>
      <c r="BT73" s="6"/>
      <c r="BU73" s="6"/>
    </row>
    <row r="74" spans="1:73">
      <c r="A74" s="6"/>
      <c r="B74" s="108"/>
      <c r="C74" s="1"/>
      <c r="D74" s="1"/>
      <c r="E74" s="1"/>
      <c r="F74" s="12"/>
      <c r="G74" s="3"/>
      <c r="H74" s="3"/>
      <c r="I74" s="3"/>
      <c r="J74" s="3"/>
      <c r="K74" s="3"/>
      <c r="L74" s="3"/>
      <c r="M74" s="3"/>
      <c r="N74" s="3"/>
      <c r="O74" s="36"/>
      <c r="P74" s="36"/>
      <c r="Q74" s="36"/>
      <c r="R74" s="162"/>
      <c r="S74" s="1"/>
      <c r="T74" s="103"/>
      <c r="U74" s="103"/>
      <c r="V74" s="6"/>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c r="BG74" s="81"/>
      <c r="BH74" s="81"/>
      <c r="BI74" s="81"/>
      <c r="BJ74" s="81"/>
      <c r="BK74" s="81"/>
      <c r="BL74" s="6"/>
      <c r="BM74" s="6"/>
      <c r="BN74" s="6"/>
      <c r="BO74" s="6"/>
      <c r="BP74" s="6"/>
      <c r="BQ74" s="6"/>
      <c r="BR74" s="6"/>
      <c r="BS74" s="6"/>
      <c r="BT74" s="6"/>
      <c r="BU74" s="6"/>
    </row>
    <row r="75" spans="1:73" ht="11.25" customHeight="1">
      <c r="A75" s="251"/>
      <c r="B75" s="252"/>
      <c r="C75" s="162"/>
      <c r="D75" s="162"/>
      <c r="E75" s="162"/>
      <c r="F75" s="253"/>
      <c r="G75" s="254"/>
      <c r="H75" s="254"/>
      <c r="I75" s="254"/>
      <c r="J75" s="254"/>
      <c r="K75" s="254"/>
      <c r="L75" s="254"/>
      <c r="M75" s="254"/>
      <c r="N75" s="254"/>
      <c r="O75" s="162"/>
      <c r="P75" s="162"/>
      <c r="Q75" s="162"/>
      <c r="R75" s="162"/>
      <c r="S75" s="162"/>
      <c r="T75" s="255"/>
      <c r="U75" s="255"/>
      <c r="V75" s="255"/>
      <c r="W75" s="256"/>
      <c r="X75" s="256"/>
      <c r="Y75" s="256"/>
      <c r="Z75" s="256"/>
      <c r="AA75" s="256"/>
      <c r="AB75" s="256"/>
      <c r="AC75" s="256"/>
      <c r="AD75" s="256"/>
      <c r="AE75" s="256"/>
      <c r="AF75" s="256"/>
      <c r="AG75" s="256"/>
      <c r="AH75" s="256"/>
      <c r="AI75" s="256"/>
      <c r="AJ75" s="256"/>
      <c r="AK75" s="256"/>
      <c r="AL75" s="256"/>
      <c r="AM75" s="256"/>
      <c r="AN75" s="256"/>
      <c r="AO75" s="256"/>
      <c r="AP75" s="256"/>
      <c r="AQ75" s="256"/>
      <c r="AR75" s="256"/>
      <c r="AS75" s="256"/>
      <c r="AT75" s="256"/>
      <c r="AU75" s="256"/>
      <c r="AV75" s="256"/>
      <c r="AW75" s="256"/>
      <c r="AX75" s="256"/>
      <c r="AY75" s="256"/>
      <c r="AZ75" s="256"/>
      <c r="BA75" s="256"/>
      <c r="BB75" s="256"/>
      <c r="BC75" s="256"/>
      <c r="BD75" s="256"/>
      <c r="BE75" s="256"/>
      <c r="BF75" s="256"/>
      <c r="BG75" s="256"/>
      <c r="BH75" s="256"/>
      <c r="BI75" s="256"/>
      <c r="BJ75" s="256"/>
      <c r="BK75" s="256"/>
      <c r="BL75" s="257"/>
      <c r="BM75" s="257"/>
      <c r="BN75" s="257"/>
      <c r="BO75" s="257"/>
      <c r="BP75" s="257"/>
      <c r="BQ75" s="257"/>
      <c r="BR75" s="257"/>
      <c r="BS75" s="257"/>
      <c r="BT75" s="257"/>
      <c r="BU75" s="257"/>
    </row>
    <row r="76" spans="1:73" hidden="1">
      <c r="A76" s="6"/>
      <c r="B76" s="108"/>
      <c r="C76" s="1"/>
      <c r="D76" s="1"/>
      <c r="E76" s="1"/>
      <c r="F76" s="12"/>
      <c r="G76" s="3"/>
      <c r="H76" s="3"/>
      <c r="I76" s="3"/>
      <c r="J76" s="3"/>
      <c r="K76" s="3"/>
      <c r="L76" s="3"/>
      <c r="M76" s="3"/>
      <c r="N76" s="3"/>
      <c r="O76" s="1"/>
      <c r="P76" s="1"/>
      <c r="Q76" s="1"/>
      <c r="R76" s="162"/>
      <c r="S76" s="1"/>
      <c r="T76" s="103"/>
      <c r="U76" s="9" t="s">
        <v>5</v>
      </c>
      <c r="V76" s="103"/>
      <c r="W76" s="98"/>
      <c r="X76" s="98"/>
      <c r="Y76" s="98"/>
      <c r="Z76" s="98"/>
      <c r="AA76" s="98"/>
      <c r="AB76" s="98"/>
      <c r="AC76" s="98"/>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98"/>
      <c r="BH76" s="98"/>
      <c r="BI76" s="98"/>
      <c r="BJ76" s="98"/>
      <c r="BK76" s="98"/>
      <c r="BL76" s="99"/>
      <c r="BM76" s="99"/>
      <c r="BN76" s="99"/>
      <c r="BO76" s="99"/>
      <c r="BP76" s="99"/>
      <c r="BQ76" s="99"/>
      <c r="BR76" s="99"/>
      <c r="BS76" s="99"/>
      <c r="BT76" s="99"/>
      <c r="BU76" s="99"/>
    </row>
    <row r="77" spans="1:73" hidden="1">
      <c r="A77" s="6"/>
      <c r="B77" s="108"/>
      <c r="C77" s="1"/>
      <c r="D77" s="1"/>
      <c r="E77" s="1"/>
      <c r="F77" s="12"/>
      <c r="G77" s="3"/>
      <c r="H77" s="3"/>
      <c r="I77" s="3"/>
      <c r="J77" s="3"/>
      <c r="K77" s="3"/>
      <c r="L77" s="3"/>
      <c r="M77" s="3"/>
      <c r="N77" s="3"/>
      <c r="O77" s="1"/>
      <c r="P77" s="1"/>
      <c r="Q77" s="1"/>
      <c r="R77" s="162"/>
      <c r="S77" s="1"/>
      <c r="T77" s="103"/>
      <c r="U77" s="103"/>
      <c r="V77" s="103" t="str">
        <f>"Total "&amp;D10</f>
        <v>Total Time saved</v>
      </c>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c r="BH77" s="98"/>
      <c r="BI77" s="98"/>
      <c r="BJ77" s="98"/>
      <c r="BK77" s="98"/>
      <c r="BL77" s="99"/>
      <c r="BM77" s="99"/>
      <c r="BN77" s="99"/>
      <c r="BO77" s="99"/>
      <c r="BP77" s="99"/>
      <c r="BQ77" s="99"/>
      <c r="BR77" s="99"/>
      <c r="BS77" s="99"/>
      <c r="BT77" s="99"/>
      <c r="BU77" s="99"/>
    </row>
    <row r="78" spans="1:73" hidden="1">
      <c r="A78" s="6"/>
      <c r="B78" s="108"/>
      <c r="C78" s="1"/>
      <c r="D78" s="1"/>
      <c r="E78" s="1"/>
      <c r="F78" s="12"/>
      <c r="G78" s="3"/>
      <c r="H78" s="3"/>
      <c r="I78" s="3"/>
      <c r="J78" s="3"/>
      <c r="K78" s="3"/>
      <c r="L78" s="3"/>
      <c r="M78" s="3"/>
      <c r="N78" s="3"/>
      <c r="O78" s="1"/>
      <c r="P78" s="1"/>
      <c r="Q78" s="1"/>
      <c r="R78" s="162"/>
      <c r="S78" s="1"/>
      <c r="T78" s="103"/>
      <c r="U78" s="103"/>
      <c r="V78" s="103"/>
      <c r="W78" s="98">
        <f>Growth!B20</f>
        <v>2018</v>
      </c>
      <c r="X78" s="98">
        <f t="shared" ref="X78:BK78" si="15">W78+1</f>
        <v>2019</v>
      </c>
      <c r="Y78" s="98">
        <f t="shared" si="15"/>
        <v>2020</v>
      </c>
      <c r="Z78" s="98">
        <f t="shared" si="15"/>
        <v>2021</v>
      </c>
      <c r="AA78" s="98">
        <f t="shared" si="15"/>
        <v>2022</v>
      </c>
      <c r="AB78" s="98">
        <f t="shared" si="15"/>
        <v>2023</v>
      </c>
      <c r="AC78" s="98">
        <f t="shared" si="15"/>
        <v>2024</v>
      </c>
      <c r="AD78" s="98">
        <f t="shared" si="15"/>
        <v>2025</v>
      </c>
      <c r="AE78" s="98">
        <f t="shared" si="15"/>
        <v>2026</v>
      </c>
      <c r="AF78" s="98">
        <f t="shared" si="15"/>
        <v>2027</v>
      </c>
      <c r="AG78" s="98">
        <f t="shared" si="15"/>
        <v>2028</v>
      </c>
      <c r="AH78" s="98">
        <f t="shared" si="15"/>
        <v>2029</v>
      </c>
      <c r="AI78" s="98">
        <f t="shared" si="15"/>
        <v>2030</v>
      </c>
      <c r="AJ78" s="98">
        <f t="shared" si="15"/>
        <v>2031</v>
      </c>
      <c r="AK78" s="98">
        <f t="shared" si="15"/>
        <v>2032</v>
      </c>
      <c r="AL78" s="98">
        <f t="shared" si="15"/>
        <v>2033</v>
      </c>
      <c r="AM78" s="98">
        <f t="shared" si="15"/>
        <v>2034</v>
      </c>
      <c r="AN78" s="98">
        <f t="shared" si="15"/>
        <v>2035</v>
      </c>
      <c r="AO78" s="98">
        <f t="shared" si="15"/>
        <v>2036</v>
      </c>
      <c r="AP78" s="98">
        <f t="shared" si="15"/>
        <v>2037</v>
      </c>
      <c r="AQ78" s="98">
        <f t="shared" si="15"/>
        <v>2038</v>
      </c>
      <c r="AR78" s="98">
        <f t="shared" si="15"/>
        <v>2039</v>
      </c>
      <c r="AS78" s="98">
        <f t="shared" si="15"/>
        <v>2040</v>
      </c>
      <c r="AT78" s="98">
        <f t="shared" si="15"/>
        <v>2041</v>
      </c>
      <c r="AU78" s="98">
        <f t="shared" si="15"/>
        <v>2042</v>
      </c>
      <c r="AV78" s="98">
        <f t="shared" si="15"/>
        <v>2043</v>
      </c>
      <c r="AW78" s="98">
        <f t="shared" si="15"/>
        <v>2044</v>
      </c>
      <c r="AX78" s="98">
        <f t="shared" si="15"/>
        <v>2045</v>
      </c>
      <c r="AY78" s="98">
        <f t="shared" si="15"/>
        <v>2046</v>
      </c>
      <c r="AZ78" s="98">
        <f t="shared" si="15"/>
        <v>2047</v>
      </c>
      <c r="BA78" s="98">
        <f t="shared" si="15"/>
        <v>2048</v>
      </c>
      <c r="BB78" s="98">
        <f t="shared" si="15"/>
        <v>2049</v>
      </c>
      <c r="BC78" s="98">
        <f t="shared" si="15"/>
        <v>2050</v>
      </c>
      <c r="BD78" s="98">
        <f t="shared" si="15"/>
        <v>2051</v>
      </c>
      <c r="BE78" s="98">
        <f t="shared" si="15"/>
        <v>2052</v>
      </c>
      <c r="BF78" s="98">
        <f t="shared" si="15"/>
        <v>2053</v>
      </c>
      <c r="BG78" s="98">
        <f t="shared" si="15"/>
        <v>2054</v>
      </c>
      <c r="BH78" s="98">
        <f t="shared" si="15"/>
        <v>2055</v>
      </c>
      <c r="BI78" s="98">
        <f t="shared" si="15"/>
        <v>2056</v>
      </c>
      <c r="BJ78" s="98">
        <f t="shared" si="15"/>
        <v>2057</v>
      </c>
      <c r="BK78" s="98">
        <f t="shared" si="15"/>
        <v>2058</v>
      </c>
      <c r="BL78" s="98"/>
      <c r="BM78" s="98"/>
      <c r="BN78" s="98"/>
      <c r="BO78" s="98"/>
      <c r="BP78" s="98"/>
      <c r="BQ78" s="98"/>
      <c r="BR78" s="98"/>
      <c r="BS78" s="98"/>
      <c r="BT78" s="98"/>
      <c r="BU78" s="98"/>
    </row>
    <row r="79" spans="1:73" hidden="1">
      <c r="A79" s="6"/>
      <c r="B79" s="108"/>
      <c r="C79" s="1"/>
      <c r="D79" s="1"/>
      <c r="E79" s="1"/>
      <c r="F79" s="12"/>
      <c r="G79" s="3"/>
      <c r="H79" s="3"/>
      <c r="I79" s="3"/>
      <c r="J79" s="3"/>
      <c r="K79" s="3"/>
      <c r="L79" s="3"/>
      <c r="M79" s="3"/>
      <c r="N79" s="3"/>
      <c r="O79" s="1"/>
      <c r="P79" s="1"/>
      <c r="Q79" s="1"/>
      <c r="R79" s="162"/>
      <c r="S79" s="1"/>
      <c r="T79" s="103"/>
      <c r="U79" s="103"/>
      <c r="V79" s="258" t="str">
        <f>G$10</f>
        <v>PhD researcher</v>
      </c>
      <c r="W79" s="259">
        <f t="shared" ref="W79:BK79" ca="1" si="16">N("Collecting data and reports") + (W323+W333+W302+W313) + N("Pre-processing data and reports") + N("Integrating Data") + (W526+W537) + N("Analysing the data") + N("Registering and Publishing") + (W655) + N("Peer Reviewing") + (W690+W701)</f>
        <v>3.4463951052756008E-2</v>
      </c>
      <c r="X79" s="259">
        <f t="shared" ca="1" si="16"/>
        <v>4.5492572552014818E-2</v>
      </c>
      <c r="Y79" s="259">
        <f t="shared" ca="1" si="16"/>
        <v>7.4648788495838406E-2</v>
      </c>
      <c r="Z79" s="259">
        <f t="shared" ca="1" si="16"/>
        <v>3.8719990198699539E-2</v>
      </c>
      <c r="AA79" s="259">
        <f t="shared" ca="1" si="16"/>
        <v>3.6449711064956793E-2</v>
      </c>
      <c r="AB79" s="259">
        <f t="shared" ca="1" si="16"/>
        <v>3.633605034553386E-2</v>
      </c>
      <c r="AC79" s="259">
        <f t="shared" ca="1" si="16"/>
        <v>3.6214476393045869E-2</v>
      </c>
      <c r="AD79" s="259">
        <f t="shared" ca="1" si="16"/>
        <v>3.6096203966549313E-2</v>
      </c>
      <c r="AE79" s="259">
        <f t="shared" ca="1" si="16"/>
        <v>3.5998082339789926E-2</v>
      </c>
      <c r="AF79" s="259">
        <f t="shared" ca="1" si="16"/>
        <v>3.5938145170624956E-2</v>
      </c>
      <c r="AG79" s="259">
        <f t="shared" ca="1" si="16"/>
        <v>3.5937539880652618E-2</v>
      </c>
      <c r="AH79" s="259">
        <f t="shared" ca="1" si="16"/>
        <v>3.6023957943193553E-2</v>
      </c>
      <c r="AI79" s="259">
        <f t="shared" ca="1" si="16"/>
        <v>3.6236608913219386E-2</v>
      </c>
      <c r="AJ79" s="259">
        <f t="shared" ca="1" si="16"/>
        <v>3.6632504356021035E-2</v>
      </c>
      <c r="AK79" s="259">
        <f t="shared" ca="1" si="16"/>
        <v>3.7292980183852076E-2</v>
      </c>
      <c r="AL79" s="259">
        <f t="shared" ca="1" si="16"/>
        <v>3.8327272701822658E-2</v>
      </c>
      <c r="AM79" s="259">
        <f t="shared" ca="1" si="16"/>
        <v>3.9865830486703835E-2</v>
      </c>
      <c r="AN79" s="259">
        <f t="shared" ca="1" si="16"/>
        <v>4.203068000482893E-2</v>
      </c>
      <c r="AO79" s="259">
        <f t="shared" ca="1" si="16"/>
        <v>4.4869676268597225E-2</v>
      </c>
      <c r="AP79" s="259">
        <f t="shared" ca="1" si="16"/>
        <v>4.8260338066401905E-2</v>
      </c>
      <c r="AQ79" s="259">
        <f t="shared" ca="1" si="16"/>
        <v>5.1837791286932167E-2</v>
      </c>
      <c r="AR79" s="259">
        <f t="shared" ca="1" si="16"/>
        <v>5.5046596835591211E-2</v>
      </c>
      <c r="AS79" s="259">
        <f t="shared" ca="1" si="16"/>
        <v>5.7365053286932158E-2</v>
      </c>
      <c r="AT79" s="259">
        <f t="shared" ca="1" si="16"/>
        <v>5.8574396585122077E-2</v>
      </c>
      <c r="AU79" s="259">
        <f t="shared" ca="1" si="16"/>
        <v>5.883959779275362E-2</v>
      </c>
      <c r="AV79" s="259">
        <f t="shared" ca="1" si="16"/>
        <v>5.8539227357882334E-2</v>
      </c>
      <c r="AW79" s="259">
        <f t="shared" ca="1" si="16"/>
        <v>5.8030751750361556E-2</v>
      </c>
      <c r="AX79" s="259">
        <f t="shared" ca="1" si="16"/>
        <v>5.7533085343673664E-2</v>
      </c>
      <c r="AY79" s="259">
        <f t="shared" ca="1" si="16"/>
        <v>5.713459510689535E-2</v>
      </c>
      <c r="AZ79" s="259">
        <f t="shared" ca="1" si="16"/>
        <v>5.6847256678296078E-2</v>
      </c>
      <c r="BA79" s="259">
        <f t="shared" ca="1" si="16"/>
        <v>5.6652272464525213E-2</v>
      </c>
      <c r="BB79" s="259">
        <f t="shared" ca="1" si="16"/>
        <v>5.6524703848856432E-2</v>
      </c>
      <c r="BC79" s="259">
        <f t="shared" ca="1" si="16"/>
        <v>5.6443072289924921E-2</v>
      </c>
      <c r="BD79" s="259">
        <f t="shared" ca="1" si="16"/>
        <v>5.6391526403552883E-2</v>
      </c>
      <c r="BE79" s="259">
        <f t="shared" ca="1" si="16"/>
        <v>5.6359224518254335E-2</v>
      </c>
      <c r="BF79" s="259">
        <f t="shared" ca="1" si="16"/>
        <v>5.6339056739899189E-2</v>
      </c>
      <c r="BG79" s="259">
        <f t="shared" ca="1" si="16"/>
        <v>5.6326473259188548E-2</v>
      </c>
      <c r="BH79" s="259">
        <f t="shared" ca="1" si="16"/>
        <v>5.6318604782820872E-2</v>
      </c>
      <c r="BI79" s="259">
        <f t="shared" ca="1" si="16"/>
        <v>5.6313657677918086E-2</v>
      </c>
      <c r="BJ79" s="259">
        <f t="shared" ca="1" si="16"/>
        <v>5.6310516641652972E-2</v>
      </c>
      <c r="BK79" s="260">
        <f t="shared" ca="1" si="16"/>
        <v>5.6308490351371768E-2</v>
      </c>
      <c r="BL79" s="261"/>
      <c r="BM79" s="261"/>
      <c r="BN79" s="261"/>
      <c r="BO79" s="261"/>
      <c r="BP79" s="261"/>
      <c r="BQ79" s="261"/>
      <c r="BR79" s="261"/>
      <c r="BS79" s="261"/>
      <c r="BT79" s="261"/>
      <c r="BU79" s="261"/>
    </row>
    <row r="80" spans="1:73" hidden="1">
      <c r="A80" s="6"/>
      <c r="B80" s="108"/>
      <c r="C80" s="1"/>
      <c r="D80" s="1"/>
      <c r="E80" s="1"/>
      <c r="F80" s="12"/>
      <c r="G80" s="3"/>
      <c r="H80" s="3"/>
      <c r="I80" s="3"/>
      <c r="J80" s="3"/>
      <c r="K80" s="3"/>
      <c r="L80" s="3"/>
      <c r="M80" s="3"/>
      <c r="N80" s="43"/>
      <c r="O80" s="1"/>
      <c r="P80" s="1"/>
      <c r="Q80" s="1"/>
      <c r="R80" s="162"/>
      <c r="S80" s="1"/>
      <c r="T80" s="103"/>
      <c r="U80" s="103"/>
      <c r="V80" s="262" t="str">
        <f>$H$10</f>
        <v>Lecturer assistant/Research assistant (Academic)</v>
      </c>
      <c r="W80" s="261">
        <f t="shared" ref="W80:BK80" ca="1" si="17">N("Collecting data and reports") + (W324+W334+W303+W314) + N("Pre-processing data and reports") + N("Integrating Data") + (W527+W538) + N("Analysing the data") + N("Registering and Publishing") + (W656) + N("Peer Reviewing") + (W691+W702)</f>
        <v>4.3902609392669996E-2</v>
      </c>
      <c r="X80" s="261">
        <f t="shared" ca="1" si="17"/>
        <v>5.2698676727881255E-2</v>
      </c>
      <c r="Y80" s="261">
        <f t="shared" ca="1" si="17"/>
        <v>7.5176061564626889E-2</v>
      </c>
      <c r="Z80" s="261">
        <f t="shared" ca="1" si="17"/>
        <v>4.7587124625171284E-2</v>
      </c>
      <c r="AA80" s="261">
        <f t="shared" ca="1" si="17"/>
        <v>4.5811469612893507E-2</v>
      </c>
      <c r="AB80" s="261">
        <f t="shared" ca="1" si="17"/>
        <v>4.5692755310030524E-2</v>
      </c>
      <c r="AC80" s="261">
        <f t="shared" ca="1" si="17"/>
        <v>4.5560981955614838E-2</v>
      </c>
      <c r="AD80" s="261">
        <f t="shared" ca="1" si="17"/>
        <v>4.542576116553422E-2</v>
      </c>
      <c r="AE80" s="261">
        <f t="shared" ca="1" si="17"/>
        <v>4.5299726725993195E-2</v>
      </c>
      <c r="AF80" s="261">
        <f t="shared" ca="1" si="17"/>
        <v>4.5194413594875707E-2</v>
      </c>
      <c r="AG80" s="261">
        <f t="shared" ca="1" si="17"/>
        <v>4.5120944649240241E-2</v>
      </c>
      <c r="AH80" s="261">
        <f t="shared" ca="1" si="17"/>
        <v>4.5091610953577083E-2</v>
      </c>
      <c r="AI80" s="261">
        <f t="shared" ca="1" si="17"/>
        <v>4.5122231087337178E-2</v>
      </c>
      <c r="AJ80" s="261">
        <f t="shared" ca="1" si="17"/>
        <v>4.5235059760717622E-2</v>
      </c>
      <c r="AK80" s="261">
        <f t="shared" ca="1" si="17"/>
        <v>4.5461694540016265E-2</v>
      </c>
      <c r="AL80" s="261">
        <f t="shared" ca="1" si="17"/>
        <v>4.5844543418937254E-2</v>
      </c>
      <c r="AM80" s="261">
        <f t="shared" ca="1" si="17"/>
        <v>4.6433516544766899E-2</v>
      </c>
      <c r="AN80" s="261">
        <f t="shared" ca="1" si="17"/>
        <v>4.7271785762748299E-2</v>
      </c>
      <c r="AO80" s="261">
        <f t="shared" ca="1" si="17"/>
        <v>4.8363193030592534E-2</v>
      </c>
      <c r="AP80" s="261">
        <f t="shared" ca="1" si="17"/>
        <v>4.9621721051747669E-2</v>
      </c>
      <c r="AQ80" s="261">
        <f t="shared" ca="1" si="17"/>
        <v>5.0829919051835148E-2</v>
      </c>
      <c r="AR80" s="261">
        <f t="shared" ca="1" si="17"/>
        <v>5.1667333224378012E-2</v>
      </c>
      <c r="AS80" s="261">
        <f t="shared" ca="1" si="17"/>
        <v>5.185220427633068E-2</v>
      </c>
      <c r="AT80" s="261">
        <f t="shared" ca="1" si="17"/>
        <v>5.1321803799100972E-2</v>
      </c>
      <c r="AU80" s="261">
        <f t="shared" ca="1" si="17"/>
        <v>5.0280016473035566E-2</v>
      </c>
      <c r="AV80" s="261">
        <f t="shared" ca="1" si="17"/>
        <v>4.9056365228460026E-2</v>
      </c>
      <c r="AW80" s="261">
        <f t="shared" ca="1" si="17"/>
        <v>4.7922497910093578E-2</v>
      </c>
      <c r="AX80" s="261">
        <f t="shared" ca="1" si="17"/>
        <v>4.7012345281646058E-2</v>
      </c>
      <c r="AY80" s="261">
        <f t="shared" ca="1" si="17"/>
        <v>4.6346152560126759E-2</v>
      </c>
      <c r="AZ80" s="261">
        <f t="shared" ca="1" si="17"/>
        <v>4.5886751124600812E-2</v>
      </c>
      <c r="BA80" s="261">
        <f t="shared" ca="1" si="17"/>
        <v>4.5581824292784644E-2</v>
      </c>
      <c r="BB80" s="261">
        <f t="shared" ca="1" si="17"/>
        <v>4.5384263143175285E-2</v>
      </c>
      <c r="BC80" s="261">
        <f t="shared" ca="1" si="17"/>
        <v>4.5258177199008778E-2</v>
      </c>
      <c r="BD80" s="261">
        <f t="shared" ca="1" si="17"/>
        <v>4.5178441147568887E-2</v>
      </c>
      <c r="BE80" s="261">
        <f t="shared" ca="1" si="17"/>
        <v>4.5128282342760138E-2</v>
      </c>
      <c r="BF80" s="261">
        <f t="shared" ca="1" si="17"/>
        <v>4.5096812482442968E-2</v>
      </c>
      <c r="BG80" s="261">
        <f t="shared" ca="1" si="17"/>
        <v>4.5077080644352799E-2</v>
      </c>
      <c r="BH80" s="261">
        <f t="shared" ca="1" si="17"/>
        <v>4.5064694151557505E-2</v>
      </c>
      <c r="BI80" s="261">
        <f t="shared" ca="1" si="17"/>
        <v>4.5056893910726564E-2</v>
      </c>
      <c r="BJ80" s="261">
        <f t="shared" ca="1" si="17"/>
        <v>4.5051953198868407E-2</v>
      </c>
      <c r="BK80" s="267">
        <f t="shared" ca="1" si="17"/>
        <v>4.5048793681687065E-2</v>
      </c>
      <c r="BL80" s="261"/>
      <c r="BM80" s="261"/>
      <c r="BN80" s="261"/>
      <c r="BO80" s="261"/>
      <c r="BP80" s="261"/>
      <c r="BQ80" s="261"/>
      <c r="BR80" s="261"/>
      <c r="BS80" s="261"/>
      <c r="BT80" s="261"/>
      <c r="BU80" s="261"/>
    </row>
    <row r="81" spans="1:73" hidden="1">
      <c r="A81" s="6"/>
      <c r="B81" s="108"/>
      <c r="C81" s="1"/>
      <c r="D81" s="1"/>
      <c r="E81" s="1"/>
      <c r="F81" s="12"/>
      <c r="G81" s="3"/>
      <c r="H81" s="3"/>
      <c r="I81" s="3"/>
      <c r="J81" s="3"/>
      <c r="K81" s="3"/>
      <c r="L81" s="3"/>
      <c r="M81" s="3"/>
      <c r="N81" s="3"/>
      <c r="O81" s="1"/>
      <c r="P81" s="1"/>
      <c r="Q81" s="1"/>
      <c r="R81" s="162"/>
      <c r="S81" s="1"/>
      <c r="T81" s="103"/>
      <c r="U81" s="103"/>
      <c r="V81" s="262" t="str">
        <f>$I$10</f>
        <v>Lecturer/Researcher (Academic)</v>
      </c>
      <c r="W81" s="261">
        <f t="shared" ref="W81:BK81" ca="1" si="18">N("Collecting data and reports") + (W325+W335+W304+W315) + N("Pre-processing data and reports") + N("Integrating Data") + (W528+W539) + N("Analysing the data") + N("Registering and Publishing") + (W657) + N("Peer Reviewing") + (W692+W703)</f>
        <v>4.3073901586638007E-2</v>
      </c>
      <c r="X81" s="261">
        <f t="shared" ca="1" si="18"/>
        <v>5.3055870768832745E-2</v>
      </c>
      <c r="Y81" s="261">
        <f t="shared" ca="1" si="18"/>
        <v>8.0820059680079534E-2</v>
      </c>
      <c r="Z81" s="261">
        <f t="shared" ca="1" si="18"/>
        <v>4.6875422213112611E-2</v>
      </c>
      <c r="AA81" s="261">
        <f t="shared" ca="1" si="18"/>
        <v>4.4720593516183633E-2</v>
      </c>
      <c r="AB81" s="261">
        <f t="shared" ca="1" si="18"/>
        <v>4.463135337405312E-2</v>
      </c>
      <c r="AC81" s="261">
        <f t="shared" ca="1" si="18"/>
        <v>4.4541187357467892E-2</v>
      </c>
      <c r="AD81" s="261">
        <f t="shared" ca="1" si="18"/>
        <v>4.4462298140935858E-2</v>
      </c>
      <c r="AE81" s="261">
        <f t="shared" ca="1" si="18"/>
        <v>4.4413949898519677E-2</v>
      </c>
      <c r="AF81" s="261">
        <f t="shared" ca="1" si="18"/>
        <v>4.4419154062172679E-2</v>
      </c>
      <c r="AG81" s="261">
        <f t="shared" ca="1" si="18"/>
        <v>4.4507821572939754E-2</v>
      </c>
      <c r="AH81" s="261">
        <f t="shared" ca="1" si="18"/>
        <v>4.4721902631650413E-2</v>
      </c>
      <c r="AI81" s="261">
        <f t="shared" ca="1" si="18"/>
        <v>4.5122723197559188E-2</v>
      </c>
      <c r="AJ81" s="261">
        <f t="shared" ca="1" si="18"/>
        <v>4.5800292787129028E-2</v>
      </c>
      <c r="AK81" s="261">
        <f t="shared" ca="1" si="18"/>
        <v>4.6883001828716901E-2</v>
      </c>
      <c r="AL81" s="261">
        <f t="shared" ca="1" si="18"/>
        <v>4.8542819251625423E-2</v>
      </c>
      <c r="AM81" s="261">
        <f t="shared" ca="1" si="18"/>
        <v>5.0984904321099547E-2</v>
      </c>
      <c r="AN81" s="261">
        <f t="shared" ca="1" si="18"/>
        <v>5.4403126544856906E-2</v>
      </c>
      <c r="AO81" s="261">
        <f t="shared" ca="1" si="18"/>
        <v>5.8884174349342941E-2</v>
      </c>
      <c r="AP81" s="261">
        <f t="shared" ca="1" si="18"/>
        <v>6.4273265467236468E-2</v>
      </c>
      <c r="AQ81" s="261">
        <f t="shared" ca="1" si="18"/>
        <v>7.0082411556079943E-2</v>
      </c>
      <c r="AR81" s="261">
        <f t="shared" ca="1" si="18"/>
        <v>7.5569190881888529E-2</v>
      </c>
      <c r="AS81" s="261">
        <f t="shared" ca="1" si="18"/>
        <v>8.0024588762729998E-2</v>
      </c>
      <c r="AT81" s="261">
        <f t="shared" ca="1" si="18"/>
        <v>8.3094752704757052E-2</v>
      </c>
      <c r="AU81" s="261">
        <f t="shared" ca="1" si="18"/>
        <v>8.4876908278811281E-2</v>
      </c>
      <c r="AV81" s="261">
        <f t="shared" ca="1" si="18"/>
        <v>8.5741240018178108E-2</v>
      </c>
      <c r="AW81" s="261">
        <f t="shared" ca="1" si="18"/>
        <v>8.608066952375204E-2</v>
      </c>
      <c r="AX81" s="261">
        <f t="shared" ca="1" si="18"/>
        <v>8.6173649644285102E-2</v>
      </c>
      <c r="AY81" s="261">
        <f t="shared" ca="1" si="18"/>
        <v>8.6172938355761883E-2</v>
      </c>
      <c r="AZ81" s="261">
        <f t="shared" ca="1" si="18"/>
        <v>8.6147090309083615E-2</v>
      </c>
      <c r="BA81" s="261">
        <f t="shared" ca="1" si="18"/>
        <v>8.6121198509866465E-2</v>
      </c>
      <c r="BB81" s="261">
        <f t="shared" ca="1" si="18"/>
        <v>8.6101800008932805E-2</v>
      </c>
      <c r="BC81" s="261">
        <f t="shared" ca="1" si="18"/>
        <v>8.6088892251704394E-2</v>
      </c>
      <c r="BD81" s="261">
        <f t="shared" ca="1" si="18"/>
        <v>8.6080823717064048E-2</v>
      </c>
      <c r="BE81" s="261">
        <f t="shared" ca="1" si="18"/>
        <v>8.607595841296585E-2</v>
      </c>
      <c r="BF81" s="261">
        <f t="shared" ca="1" si="18"/>
        <v>8.6073081555797126E-2</v>
      </c>
      <c r="BG81" s="261">
        <f t="shared" ca="1" si="18"/>
        <v>8.6071389813397278E-2</v>
      </c>
      <c r="BH81" s="261">
        <f t="shared" ca="1" si="18"/>
        <v>8.6070383751669019E-2</v>
      </c>
      <c r="BI81" s="261">
        <f t="shared" ca="1" si="18"/>
        <v>8.6069764547198516E-2</v>
      </c>
      <c r="BJ81" s="261">
        <f t="shared" ca="1" si="18"/>
        <v>8.6069358153867098E-2</v>
      </c>
      <c r="BK81" s="267">
        <f t="shared" ca="1" si="18"/>
        <v>8.6069065349702503E-2</v>
      </c>
      <c r="BL81" s="261"/>
      <c r="BM81" s="261"/>
      <c r="BN81" s="261"/>
      <c r="BO81" s="261"/>
      <c r="BP81" s="261"/>
      <c r="BQ81" s="261"/>
      <c r="BR81" s="261"/>
      <c r="BS81" s="261"/>
      <c r="BT81" s="261"/>
      <c r="BU81" s="261"/>
    </row>
    <row r="82" spans="1:73" hidden="1">
      <c r="A82" s="6"/>
      <c r="B82" s="108"/>
      <c r="C82" s="1"/>
      <c r="D82" s="1"/>
      <c r="E82" s="1"/>
      <c r="F82" s="12"/>
      <c r="G82" s="3"/>
      <c r="H82" s="3"/>
      <c r="I82" s="3"/>
      <c r="J82" s="3"/>
      <c r="K82" s="3"/>
      <c r="L82" s="3"/>
      <c r="M82" s="3"/>
      <c r="N82" s="3"/>
      <c r="O82" s="1"/>
      <c r="P82" s="1"/>
      <c r="Q82" s="1"/>
      <c r="R82" s="162"/>
      <c r="S82" s="1"/>
      <c r="T82" s="103"/>
      <c r="U82" s="103"/>
      <c r="V82" s="262" t="str">
        <f>$J$10</f>
        <v>Other</v>
      </c>
      <c r="W82" s="261">
        <f t="shared" ref="W82:BK82" ca="1" si="19">N("Collecting data and reports") + (W326+W336+W305+W316) + N("Pre-processing data and reports") + N("Integrating Data") + (W529+W540) + N("Analysing the data") + N("Registering and Publishing") + (W658) + N("Peer Reviewing") + (W693+W704)</f>
        <v>3.9228695394380002E-2</v>
      </c>
      <c r="X82" s="261">
        <f t="shared" ca="1" si="19"/>
        <v>4.8957860447471864E-2</v>
      </c>
      <c r="Y82" s="261">
        <f t="shared" ca="1" si="19"/>
        <v>7.2783988385295359E-2</v>
      </c>
      <c r="Z82" s="261">
        <f t="shared" ca="1" si="19"/>
        <v>4.3408308544412744E-2</v>
      </c>
      <c r="AA82" s="261">
        <f t="shared" ca="1" si="19"/>
        <v>4.1516329577679742E-2</v>
      </c>
      <c r="AB82" s="261">
        <f t="shared" ca="1" si="19"/>
        <v>4.1372734752415853E-2</v>
      </c>
      <c r="AC82" s="261">
        <f t="shared" ca="1" si="19"/>
        <v>4.121085856601224E-2</v>
      </c>
      <c r="AD82" s="261">
        <f t="shared" ca="1" si="19"/>
        <v>4.1041172882577068E-2</v>
      </c>
      <c r="AE82" s="261">
        <f t="shared" ca="1" si="19"/>
        <v>4.0876476611860446E-2</v>
      </c>
      <c r="AF82" s="261">
        <f t="shared" ca="1" si="19"/>
        <v>4.072706511425965E-2</v>
      </c>
      <c r="AG82" s="261">
        <f t="shared" ca="1" si="19"/>
        <v>4.0600879621092739E-2</v>
      </c>
      <c r="AH82" s="261">
        <f t="shared" ca="1" si="19"/>
        <v>4.0504403249925151E-2</v>
      </c>
      <c r="AI82" s="261">
        <f t="shared" ca="1" si="19"/>
        <v>4.0444092703075168E-2</v>
      </c>
      <c r="AJ82" s="261">
        <f t="shared" ca="1" si="19"/>
        <v>4.0428085855504593E-2</v>
      </c>
      <c r="AK82" s="261">
        <f t="shared" ca="1" si="19"/>
        <v>4.0467828105915087E-2</v>
      </c>
      <c r="AL82" s="261">
        <f t="shared" ca="1" si="19"/>
        <v>4.0578874964758385E-2</v>
      </c>
      <c r="AM82" s="261">
        <f t="shared" ca="1" si="19"/>
        <v>4.0779055832755581E-2</v>
      </c>
      <c r="AN82" s="261">
        <f t="shared" ca="1" si="19"/>
        <v>4.1080093437058228E-2</v>
      </c>
      <c r="AO82" s="261">
        <f t="shared" ca="1" si="19"/>
        <v>4.1466556236026686E-2</v>
      </c>
      <c r="AP82" s="261">
        <f t="shared" ca="1" si="19"/>
        <v>4.1858996730241342E-2</v>
      </c>
      <c r="AQ82" s="261">
        <f t="shared" ca="1" si="19"/>
        <v>4.2077904691733586E-2</v>
      </c>
      <c r="AR82" s="261">
        <f t="shared" ca="1" si="19"/>
        <v>4.1861955494432015E-2</v>
      </c>
      <c r="AS82" s="261">
        <f t="shared" ca="1" si="19"/>
        <v>4.0993264808522639E-2</v>
      </c>
      <c r="AT82" s="261">
        <f t="shared" ca="1" si="19"/>
        <v>3.9470616135280696E-2</v>
      </c>
      <c r="AU82" s="261">
        <f t="shared" ca="1" si="19"/>
        <v>3.7554240897227684E-2</v>
      </c>
      <c r="AV82" s="261">
        <f t="shared" ca="1" si="19"/>
        <v>3.5613501153226271E-2</v>
      </c>
      <c r="AW82" s="261">
        <f t="shared" ca="1" si="19"/>
        <v>3.3931472225932666E-2</v>
      </c>
      <c r="AX82" s="261">
        <f t="shared" ca="1" si="19"/>
        <v>3.2626544226560042E-2</v>
      </c>
      <c r="AY82" s="261">
        <f t="shared" ca="1" si="19"/>
        <v>3.1688757988777801E-2</v>
      </c>
      <c r="AZ82" s="261">
        <f t="shared" ca="1" si="19"/>
        <v>3.1048503586657172E-2</v>
      </c>
      <c r="BA82" s="261">
        <f t="shared" ca="1" si="19"/>
        <v>3.0625777586833106E-2</v>
      </c>
      <c r="BB82" s="261">
        <f t="shared" ca="1" si="19"/>
        <v>3.0352585910082532E-2</v>
      </c>
      <c r="BC82" s="261">
        <f t="shared" ca="1" si="19"/>
        <v>3.0178385055721051E-2</v>
      </c>
      <c r="BD82" s="261">
        <f t="shared" ca="1" si="19"/>
        <v>3.0068210836083086E-2</v>
      </c>
      <c r="BE82" s="261">
        <f t="shared" ca="1" si="19"/>
        <v>2.99988596896246E-2</v>
      </c>
      <c r="BF82" s="261">
        <f t="shared" ca="1" si="19"/>
        <v>2.9955308947140599E-2</v>
      </c>
      <c r="BG82" s="261">
        <f t="shared" ca="1" si="19"/>
        <v>2.992797664951059E-2</v>
      </c>
      <c r="BH82" s="261">
        <f t="shared" ca="1" si="19"/>
        <v>2.9910806158086438E-2</v>
      </c>
      <c r="BI82" s="261">
        <f t="shared" ca="1" si="19"/>
        <v>2.9899989989057102E-2</v>
      </c>
      <c r="BJ82" s="261">
        <f t="shared" ca="1" si="19"/>
        <v>2.9893142357745876E-2</v>
      </c>
      <c r="BK82" s="267">
        <f t="shared" ca="1" si="19"/>
        <v>2.9888771159532524E-2</v>
      </c>
      <c r="BL82" s="261"/>
      <c r="BM82" s="261"/>
      <c r="BN82" s="261"/>
      <c r="BO82" s="261"/>
      <c r="BP82" s="261"/>
      <c r="BQ82" s="261"/>
      <c r="BR82" s="261"/>
      <c r="BS82" s="261"/>
      <c r="BT82" s="261"/>
      <c r="BU82" s="261"/>
    </row>
    <row r="83" spans="1:73" hidden="1">
      <c r="A83" s="6"/>
      <c r="B83" s="108"/>
      <c r="C83" s="1"/>
      <c r="D83" s="1"/>
      <c r="E83" s="1"/>
      <c r="F83" s="12"/>
      <c r="G83" s="3"/>
      <c r="H83" s="3"/>
      <c r="I83" s="3"/>
      <c r="J83" s="3"/>
      <c r="K83" s="3"/>
      <c r="L83" s="3"/>
      <c r="M83" s="3"/>
      <c r="N83" s="3"/>
      <c r="O83" s="1"/>
      <c r="P83" s="1"/>
      <c r="Q83" s="1"/>
      <c r="R83" s="162"/>
      <c r="S83" s="1"/>
      <c r="T83" s="103"/>
      <c r="U83" s="103"/>
      <c r="V83" s="262" t="str">
        <f>$K$10</f>
        <v>Profile 5</v>
      </c>
      <c r="W83" s="261">
        <f t="shared" ref="W83:BK83" ca="1" si="20">N("Collecting data and reports") + (W327+W337+W306+W317) + N("Pre-processing data and reports") + N("Integrating Data") + (W530+W541) + N("Analysing the data") + N("Registering and Publishing") + (W659) + N("Peer Reviewing") + (W694+W705)</f>
        <v>4.017965201858413E-2</v>
      </c>
      <c r="X83" s="261">
        <f t="shared" ca="1" si="20"/>
        <v>5.0043184333750719E-2</v>
      </c>
      <c r="Y83" s="261">
        <f t="shared" ca="1" si="20"/>
        <v>7.5843939871388447E-2</v>
      </c>
      <c r="Z83" s="261">
        <f t="shared" ca="1" si="20"/>
        <v>4.4157802274301841E-2</v>
      </c>
      <c r="AA83" s="261">
        <f t="shared" ca="1" si="20"/>
        <v>4.2134576973244971E-2</v>
      </c>
      <c r="AB83" s="261">
        <f t="shared" ca="1" si="20"/>
        <v>4.2018222367261084E-2</v>
      </c>
      <c r="AC83" s="261">
        <f t="shared" ca="1" si="20"/>
        <v>4.1891815092084582E-2</v>
      </c>
      <c r="AD83" s="261">
        <f t="shared" ca="1" si="20"/>
        <v>4.1766234403351594E-2</v>
      </c>
      <c r="AE83" s="261">
        <f t="shared" ca="1" si="20"/>
        <v>4.165686959059596E-2</v>
      </c>
      <c r="AF83" s="261">
        <f t="shared" ca="1" si="20"/>
        <v>4.1579440512034556E-2</v>
      </c>
      <c r="AG83" s="261">
        <f t="shared" ca="1" si="20"/>
        <v>4.1551476742385803E-2</v>
      </c>
      <c r="AH83" s="261">
        <f t="shared" ca="1" si="20"/>
        <v>4.1595078838872125E-2</v>
      </c>
      <c r="AI83" s="261">
        <f t="shared" ca="1" si="20"/>
        <v>4.1740943200772693E-2</v>
      </c>
      <c r="AJ83" s="261">
        <f t="shared" ca="1" si="20"/>
        <v>4.2033413121808597E-2</v>
      </c>
      <c r="AK83" s="261">
        <f t="shared" ca="1" si="20"/>
        <v>4.2535665508473049E-2</v>
      </c>
      <c r="AL83" s="261">
        <f t="shared" ca="1" si="20"/>
        <v>4.333246980402683E-2</v>
      </c>
      <c r="AM83" s="261">
        <f t="shared" ca="1" si="20"/>
        <v>4.4524630600892616E-2</v>
      </c>
      <c r="AN83" s="261">
        <f t="shared" ca="1" si="20"/>
        <v>4.6204802738477782E-2</v>
      </c>
      <c r="AO83" s="261">
        <f t="shared" ca="1" si="20"/>
        <v>4.8403674520759159E-2</v>
      </c>
      <c r="AP83" s="261">
        <f t="shared" ca="1" si="20"/>
        <v>5.1010518353030734E-2</v>
      </c>
      <c r="AQ83" s="261">
        <f t="shared" ca="1" si="20"/>
        <v>5.3712860653246222E-2</v>
      </c>
      <c r="AR83" s="261">
        <f t="shared" ca="1" si="20"/>
        <v>5.604082801555272E-2</v>
      </c>
      <c r="AS83" s="261">
        <f t="shared" ca="1" si="20"/>
        <v>5.7561929758194942E-2</v>
      </c>
      <c r="AT83" s="261">
        <f t="shared" ca="1" si="20"/>
        <v>5.8117162445720495E-2</v>
      </c>
      <c r="AU83" s="261">
        <f t="shared" ca="1" si="20"/>
        <v>5.7888230494383665E-2</v>
      </c>
      <c r="AV83" s="261">
        <f t="shared" ca="1" si="20"/>
        <v>5.7237119562529887E-2</v>
      </c>
      <c r="AW83" s="261">
        <f t="shared" ca="1" si="20"/>
        <v>5.6490123343133206E-2</v>
      </c>
      <c r="AX83" s="261">
        <f t="shared" ca="1" si="20"/>
        <v>5.5834636940270382E-2</v>
      </c>
      <c r="AY83" s="261">
        <f t="shared" ca="1" si="20"/>
        <v>5.5333467694030511E-2</v>
      </c>
      <c r="AZ83" s="261">
        <f t="shared" ca="1" si="20"/>
        <v>5.4980007509808089E-2</v>
      </c>
      <c r="BA83" s="261">
        <f t="shared" ca="1" si="20"/>
        <v>5.4742712011416249E-2</v>
      </c>
      <c r="BB83" s="261">
        <f t="shared" ca="1" si="20"/>
        <v>5.4588176583131538E-2</v>
      </c>
      <c r="BC83" s="261">
        <f t="shared" ca="1" si="20"/>
        <v>5.4489402535825911E-2</v>
      </c>
      <c r="BD83" s="261">
        <f t="shared" ca="1" si="20"/>
        <v>5.4426978361207821E-2</v>
      </c>
      <c r="BE83" s="261">
        <f t="shared" ca="1" si="20"/>
        <v>5.438778178313685E-2</v>
      </c>
      <c r="BF83" s="261">
        <f t="shared" ca="1" si="20"/>
        <v>5.4363248188680331E-2</v>
      </c>
      <c r="BG83" s="261">
        <f t="shared" ca="1" si="20"/>
        <v>5.4347902417391417E-2</v>
      </c>
      <c r="BH83" s="261">
        <f t="shared" ca="1" si="20"/>
        <v>5.4338287629303011E-2</v>
      </c>
      <c r="BI83" s="261">
        <f t="shared" ca="1" si="20"/>
        <v>5.4332237587130294E-2</v>
      </c>
      <c r="BJ83" s="261">
        <f t="shared" ca="1" si="20"/>
        <v>5.4328400889882771E-2</v>
      </c>
      <c r="BK83" s="267">
        <f t="shared" ca="1" si="20"/>
        <v>5.4325936699102455E-2</v>
      </c>
      <c r="BL83" s="261"/>
      <c r="BM83" s="261"/>
      <c r="BN83" s="261"/>
      <c r="BO83" s="261"/>
      <c r="BP83" s="261"/>
      <c r="BQ83" s="261"/>
      <c r="BR83" s="261"/>
      <c r="BS83" s="261"/>
      <c r="BT83" s="261"/>
      <c r="BU83" s="261"/>
    </row>
    <row r="84" spans="1:73" hidden="1">
      <c r="A84" s="6"/>
      <c r="B84" s="108"/>
      <c r="C84" s="1"/>
      <c r="D84" s="1"/>
      <c r="E84" s="1"/>
      <c r="F84" s="12"/>
      <c r="G84" s="3"/>
      <c r="H84" s="3"/>
      <c r="I84" s="3"/>
      <c r="J84" s="3"/>
      <c r="K84" s="3"/>
      <c r="L84" s="3"/>
      <c r="M84" s="3"/>
      <c r="N84" s="3"/>
      <c r="O84" s="1"/>
      <c r="P84" s="1"/>
      <c r="Q84" s="1"/>
      <c r="R84" s="162"/>
      <c r="S84" s="1"/>
      <c r="T84" s="103"/>
      <c r="U84" s="103"/>
      <c r="V84" s="262" t="str">
        <f>$L$10</f>
        <v>Profile 6</v>
      </c>
      <c r="W84" s="261">
        <f t="shared" ref="W84:BK84" ca="1" si="21">N("Collecting data and reports") + (W328+W338+W307+W318) + N("Pre-processing data and reports") + N("Integrating Data") + (W531+W542) + N("Analysing the data") + N("Registering and Publishing") + (W660) + N("Peer Reviewing") + (W695+W706)</f>
        <v>4.017965201858413E-2</v>
      </c>
      <c r="X84" s="261">
        <f t="shared" ca="1" si="21"/>
        <v>5.0043184333750719E-2</v>
      </c>
      <c r="Y84" s="261">
        <f t="shared" ca="1" si="21"/>
        <v>7.5843939871388447E-2</v>
      </c>
      <c r="Z84" s="261">
        <f t="shared" ca="1" si="21"/>
        <v>4.4157802274301841E-2</v>
      </c>
      <c r="AA84" s="261">
        <f t="shared" ca="1" si="21"/>
        <v>4.2134576973244971E-2</v>
      </c>
      <c r="AB84" s="261">
        <f t="shared" ca="1" si="21"/>
        <v>4.2018222367261084E-2</v>
      </c>
      <c r="AC84" s="261">
        <f t="shared" ca="1" si="21"/>
        <v>4.1891815092084582E-2</v>
      </c>
      <c r="AD84" s="261">
        <f t="shared" ca="1" si="21"/>
        <v>4.1766234403351594E-2</v>
      </c>
      <c r="AE84" s="261">
        <f t="shared" ca="1" si="21"/>
        <v>4.165686959059596E-2</v>
      </c>
      <c r="AF84" s="261">
        <f t="shared" ca="1" si="21"/>
        <v>4.1579440512034556E-2</v>
      </c>
      <c r="AG84" s="261">
        <f t="shared" ca="1" si="21"/>
        <v>4.1551476742385803E-2</v>
      </c>
      <c r="AH84" s="261">
        <f t="shared" ca="1" si="21"/>
        <v>4.1595078838872125E-2</v>
      </c>
      <c r="AI84" s="261">
        <f t="shared" ca="1" si="21"/>
        <v>4.1740943200772693E-2</v>
      </c>
      <c r="AJ84" s="261">
        <f t="shared" ca="1" si="21"/>
        <v>4.2033413121808597E-2</v>
      </c>
      <c r="AK84" s="261">
        <f t="shared" ca="1" si="21"/>
        <v>4.2535665508473049E-2</v>
      </c>
      <c r="AL84" s="261">
        <f t="shared" ca="1" si="21"/>
        <v>4.333246980402683E-2</v>
      </c>
      <c r="AM84" s="261">
        <f t="shared" ca="1" si="21"/>
        <v>4.4524630600892616E-2</v>
      </c>
      <c r="AN84" s="261">
        <f t="shared" ca="1" si="21"/>
        <v>4.6204802738477782E-2</v>
      </c>
      <c r="AO84" s="261">
        <f t="shared" ca="1" si="21"/>
        <v>4.8403674520759159E-2</v>
      </c>
      <c r="AP84" s="261">
        <f t="shared" ca="1" si="21"/>
        <v>5.1010518353030734E-2</v>
      </c>
      <c r="AQ84" s="261">
        <f t="shared" ca="1" si="21"/>
        <v>5.3712860653246222E-2</v>
      </c>
      <c r="AR84" s="261">
        <f t="shared" ca="1" si="21"/>
        <v>5.604082801555272E-2</v>
      </c>
      <c r="AS84" s="261">
        <f t="shared" ca="1" si="21"/>
        <v>5.7561929758194942E-2</v>
      </c>
      <c r="AT84" s="261">
        <f t="shared" ca="1" si="21"/>
        <v>5.8117162445720495E-2</v>
      </c>
      <c r="AU84" s="261">
        <f t="shared" ca="1" si="21"/>
        <v>5.7888230494383665E-2</v>
      </c>
      <c r="AV84" s="261">
        <f t="shared" ca="1" si="21"/>
        <v>5.7237119562529887E-2</v>
      </c>
      <c r="AW84" s="261">
        <f t="shared" ca="1" si="21"/>
        <v>5.6490123343133206E-2</v>
      </c>
      <c r="AX84" s="261">
        <f t="shared" ca="1" si="21"/>
        <v>5.5834636940270382E-2</v>
      </c>
      <c r="AY84" s="261">
        <f t="shared" ca="1" si="21"/>
        <v>5.5333467694030511E-2</v>
      </c>
      <c r="AZ84" s="261">
        <f t="shared" ca="1" si="21"/>
        <v>5.4980007509808089E-2</v>
      </c>
      <c r="BA84" s="261">
        <f t="shared" ca="1" si="21"/>
        <v>5.4742712011416249E-2</v>
      </c>
      <c r="BB84" s="261">
        <f t="shared" ca="1" si="21"/>
        <v>5.4588176583131538E-2</v>
      </c>
      <c r="BC84" s="261">
        <f t="shared" ca="1" si="21"/>
        <v>5.4489402535825911E-2</v>
      </c>
      <c r="BD84" s="261">
        <f t="shared" ca="1" si="21"/>
        <v>5.4426978361207821E-2</v>
      </c>
      <c r="BE84" s="261">
        <f t="shared" ca="1" si="21"/>
        <v>5.438778178313685E-2</v>
      </c>
      <c r="BF84" s="261">
        <f t="shared" ca="1" si="21"/>
        <v>5.4363248188680331E-2</v>
      </c>
      <c r="BG84" s="261">
        <f t="shared" ca="1" si="21"/>
        <v>5.4347902417391417E-2</v>
      </c>
      <c r="BH84" s="261">
        <f t="shared" ca="1" si="21"/>
        <v>5.4338287629303011E-2</v>
      </c>
      <c r="BI84" s="261">
        <f t="shared" ca="1" si="21"/>
        <v>5.4332237587130294E-2</v>
      </c>
      <c r="BJ84" s="261">
        <f t="shared" ca="1" si="21"/>
        <v>5.4328400889882771E-2</v>
      </c>
      <c r="BK84" s="267">
        <f t="shared" ca="1" si="21"/>
        <v>5.4325936699102455E-2</v>
      </c>
      <c r="BL84" s="261"/>
      <c r="BM84" s="261"/>
      <c r="BN84" s="261"/>
      <c r="BO84" s="261"/>
      <c r="BP84" s="261"/>
      <c r="BQ84" s="261"/>
      <c r="BR84" s="261"/>
      <c r="BS84" s="261"/>
      <c r="BT84" s="261"/>
      <c r="BU84" s="261"/>
    </row>
    <row r="85" spans="1:73" hidden="1">
      <c r="A85" s="6"/>
      <c r="B85" s="108"/>
      <c r="C85" s="1"/>
      <c r="D85" s="1"/>
      <c r="E85" s="1"/>
      <c r="F85" s="12"/>
      <c r="G85" s="3"/>
      <c r="H85" s="3"/>
      <c r="I85" s="3"/>
      <c r="J85" s="3"/>
      <c r="K85" s="3"/>
      <c r="L85" s="3"/>
      <c r="M85" s="3"/>
      <c r="N85" s="3"/>
      <c r="O85" s="1"/>
      <c r="P85" s="1"/>
      <c r="Q85" s="1"/>
      <c r="R85" s="162"/>
      <c r="S85" s="1"/>
      <c r="T85" s="103"/>
      <c r="U85" s="103"/>
      <c r="V85" s="262" t="str">
        <f>$M$10</f>
        <v>Profile 7</v>
      </c>
      <c r="W85" s="261">
        <f t="shared" ref="W85:BK85" ca="1" si="22">N("Collecting data and reports") + (W329+W339+W308+W319) + N("Pre-processing data and reports") + N("Integrating Data") + (W532+W543) + N("Analysing the data") + N("Registering and Publishing") + (W661) + N("Peer Reviewing") + (W696+W707)</f>
        <v>4.017965201858413E-2</v>
      </c>
      <c r="X85" s="261">
        <f t="shared" ca="1" si="22"/>
        <v>5.0043184333750719E-2</v>
      </c>
      <c r="Y85" s="261">
        <f t="shared" ca="1" si="22"/>
        <v>7.5843939871388447E-2</v>
      </c>
      <c r="Z85" s="261">
        <f t="shared" ca="1" si="22"/>
        <v>4.4157802274301841E-2</v>
      </c>
      <c r="AA85" s="261">
        <f t="shared" ca="1" si="22"/>
        <v>4.2134576973244971E-2</v>
      </c>
      <c r="AB85" s="261">
        <f t="shared" ca="1" si="22"/>
        <v>4.2018222367261084E-2</v>
      </c>
      <c r="AC85" s="261">
        <f t="shared" ca="1" si="22"/>
        <v>4.1891815092084582E-2</v>
      </c>
      <c r="AD85" s="261">
        <f t="shared" ca="1" si="22"/>
        <v>4.1766234403351594E-2</v>
      </c>
      <c r="AE85" s="261">
        <f t="shared" ca="1" si="22"/>
        <v>4.165686959059596E-2</v>
      </c>
      <c r="AF85" s="261">
        <f t="shared" ca="1" si="22"/>
        <v>4.1579440512034556E-2</v>
      </c>
      <c r="AG85" s="261">
        <f t="shared" ca="1" si="22"/>
        <v>4.1551476742385803E-2</v>
      </c>
      <c r="AH85" s="261">
        <f t="shared" ca="1" si="22"/>
        <v>4.1595078838872125E-2</v>
      </c>
      <c r="AI85" s="261">
        <f t="shared" ca="1" si="22"/>
        <v>4.1740943200772693E-2</v>
      </c>
      <c r="AJ85" s="261">
        <f t="shared" ca="1" si="22"/>
        <v>4.2033413121808597E-2</v>
      </c>
      <c r="AK85" s="261">
        <f t="shared" ca="1" si="22"/>
        <v>4.2535665508473049E-2</v>
      </c>
      <c r="AL85" s="261">
        <f t="shared" ca="1" si="22"/>
        <v>4.333246980402683E-2</v>
      </c>
      <c r="AM85" s="261">
        <f t="shared" ca="1" si="22"/>
        <v>4.4524630600892616E-2</v>
      </c>
      <c r="AN85" s="261">
        <f t="shared" ca="1" si="22"/>
        <v>4.6204802738477782E-2</v>
      </c>
      <c r="AO85" s="261">
        <f t="shared" ca="1" si="22"/>
        <v>4.8403674520759159E-2</v>
      </c>
      <c r="AP85" s="261">
        <f t="shared" ca="1" si="22"/>
        <v>5.1010518353030734E-2</v>
      </c>
      <c r="AQ85" s="261">
        <f t="shared" ca="1" si="22"/>
        <v>5.3712860653246222E-2</v>
      </c>
      <c r="AR85" s="261">
        <f t="shared" ca="1" si="22"/>
        <v>5.604082801555272E-2</v>
      </c>
      <c r="AS85" s="261">
        <f t="shared" ca="1" si="22"/>
        <v>5.7561929758194942E-2</v>
      </c>
      <c r="AT85" s="261">
        <f t="shared" ca="1" si="22"/>
        <v>5.8117162445720495E-2</v>
      </c>
      <c r="AU85" s="261">
        <f t="shared" ca="1" si="22"/>
        <v>5.7888230494383665E-2</v>
      </c>
      <c r="AV85" s="261">
        <f t="shared" ca="1" si="22"/>
        <v>5.7237119562529887E-2</v>
      </c>
      <c r="AW85" s="261">
        <f t="shared" ca="1" si="22"/>
        <v>5.6490123343133206E-2</v>
      </c>
      <c r="AX85" s="261">
        <f t="shared" ca="1" si="22"/>
        <v>5.5834636940270382E-2</v>
      </c>
      <c r="AY85" s="261">
        <f t="shared" ca="1" si="22"/>
        <v>5.5333467694030511E-2</v>
      </c>
      <c r="AZ85" s="261">
        <f t="shared" ca="1" si="22"/>
        <v>5.4980007509808089E-2</v>
      </c>
      <c r="BA85" s="261">
        <f t="shared" ca="1" si="22"/>
        <v>5.4742712011416249E-2</v>
      </c>
      <c r="BB85" s="261">
        <f t="shared" ca="1" si="22"/>
        <v>5.4588176583131538E-2</v>
      </c>
      <c r="BC85" s="261">
        <f t="shared" ca="1" si="22"/>
        <v>5.4489402535825911E-2</v>
      </c>
      <c r="BD85" s="261">
        <f t="shared" ca="1" si="22"/>
        <v>5.4426978361207821E-2</v>
      </c>
      <c r="BE85" s="261">
        <f t="shared" ca="1" si="22"/>
        <v>5.438778178313685E-2</v>
      </c>
      <c r="BF85" s="261">
        <f t="shared" ca="1" si="22"/>
        <v>5.4363248188680331E-2</v>
      </c>
      <c r="BG85" s="261">
        <f t="shared" ca="1" si="22"/>
        <v>5.4347902417391417E-2</v>
      </c>
      <c r="BH85" s="261">
        <f t="shared" ca="1" si="22"/>
        <v>5.4338287629303011E-2</v>
      </c>
      <c r="BI85" s="261">
        <f t="shared" ca="1" si="22"/>
        <v>5.4332237587130294E-2</v>
      </c>
      <c r="BJ85" s="261">
        <f t="shared" ca="1" si="22"/>
        <v>5.4328400889882771E-2</v>
      </c>
      <c r="BK85" s="267">
        <f t="shared" ca="1" si="22"/>
        <v>5.4325936699102455E-2</v>
      </c>
      <c r="BL85" s="261"/>
      <c r="BM85" s="261"/>
      <c r="BN85" s="261"/>
      <c r="BO85" s="261"/>
      <c r="BP85" s="261"/>
      <c r="BQ85" s="261"/>
      <c r="BR85" s="261"/>
      <c r="BS85" s="261"/>
      <c r="BT85" s="261"/>
      <c r="BU85" s="261"/>
    </row>
    <row r="86" spans="1:73" hidden="1">
      <c r="A86" s="6"/>
      <c r="B86" s="108"/>
      <c r="C86" s="1"/>
      <c r="D86" s="1"/>
      <c r="E86" s="1"/>
      <c r="F86" s="12"/>
      <c r="G86" s="3"/>
      <c r="H86" s="3"/>
      <c r="I86" s="3"/>
      <c r="J86" s="3"/>
      <c r="K86" s="3"/>
      <c r="L86" s="3"/>
      <c r="M86" s="3"/>
      <c r="N86" s="3"/>
      <c r="O86" s="1"/>
      <c r="P86" s="1"/>
      <c r="Q86" s="1"/>
      <c r="R86" s="162"/>
      <c r="S86" s="1"/>
      <c r="T86" s="103"/>
      <c r="U86" s="103"/>
      <c r="V86" s="290" t="str">
        <f>$N$10</f>
        <v>Profile 8</v>
      </c>
      <c r="W86" s="292">
        <f t="shared" ref="W86:BK86" ca="1" si="23">N("Collecting data and reports") + (W330+W340+W309+W320) + N("Pre-processing data and reports") + N("Integrating Data") + (W533+W544) + N("Analysing the data") + N("Registering and Publishing") + (W662) + N("Peer Reviewing") + (W697+W708)</f>
        <v>4.017965201858413E-2</v>
      </c>
      <c r="X86" s="292">
        <f t="shared" ca="1" si="23"/>
        <v>5.0043184333750719E-2</v>
      </c>
      <c r="Y86" s="292">
        <f t="shared" ca="1" si="23"/>
        <v>7.5843939871388447E-2</v>
      </c>
      <c r="Z86" s="292">
        <f t="shared" ca="1" si="23"/>
        <v>4.4157802274301841E-2</v>
      </c>
      <c r="AA86" s="292">
        <f t="shared" ca="1" si="23"/>
        <v>4.2134576973244971E-2</v>
      </c>
      <c r="AB86" s="292">
        <f t="shared" ca="1" si="23"/>
        <v>4.2018222367261084E-2</v>
      </c>
      <c r="AC86" s="292">
        <f t="shared" ca="1" si="23"/>
        <v>4.1891815092084582E-2</v>
      </c>
      <c r="AD86" s="292">
        <f t="shared" ca="1" si="23"/>
        <v>4.1766234403351594E-2</v>
      </c>
      <c r="AE86" s="292">
        <f t="shared" ca="1" si="23"/>
        <v>4.165686959059596E-2</v>
      </c>
      <c r="AF86" s="292">
        <f t="shared" ca="1" si="23"/>
        <v>4.1579440512034556E-2</v>
      </c>
      <c r="AG86" s="292">
        <f t="shared" ca="1" si="23"/>
        <v>4.1551476742385803E-2</v>
      </c>
      <c r="AH86" s="292">
        <f t="shared" ca="1" si="23"/>
        <v>4.1595078838872125E-2</v>
      </c>
      <c r="AI86" s="292">
        <f t="shared" ca="1" si="23"/>
        <v>4.1740943200772693E-2</v>
      </c>
      <c r="AJ86" s="292">
        <f t="shared" ca="1" si="23"/>
        <v>4.2033413121808597E-2</v>
      </c>
      <c r="AK86" s="292">
        <f t="shared" ca="1" si="23"/>
        <v>4.2535665508473049E-2</v>
      </c>
      <c r="AL86" s="292">
        <f t="shared" ca="1" si="23"/>
        <v>4.333246980402683E-2</v>
      </c>
      <c r="AM86" s="292">
        <f t="shared" ca="1" si="23"/>
        <v>4.4524630600892616E-2</v>
      </c>
      <c r="AN86" s="292">
        <f t="shared" ca="1" si="23"/>
        <v>4.6204802738477782E-2</v>
      </c>
      <c r="AO86" s="292">
        <f t="shared" ca="1" si="23"/>
        <v>4.8403674520759159E-2</v>
      </c>
      <c r="AP86" s="292">
        <f t="shared" ca="1" si="23"/>
        <v>5.1010518353030734E-2</v>
      </c>
      <c r="AQ86" s="292">
        <f t="shared" ca="1" si="23"/>
        <v>5.3712860653246222E-2</v>
      </c>
      <c r="AR86" s="292">
        <f t="shared" ca="1" si="23"/>
        <v>5.604082801555272E-2</v>
      </c>
      <c r="AS86" s="292">
        <f t="shared" ca="1" si="23"/>
        <v>5.7561929758194942E-2</v>
      </c>
      <c r="AT86" s="292">
        <f t="shared" ca="1" si="23"/>
        <v>5.8117162445720495E-2</v>
      </c>
      <c r="AU86" s="292">
        <f t="shared" ca="1" si="23"/>
        <v>5.7888230494383665E-2</v>
      </c>
      <c r="AV86" s="292">
        <f t="shared" ca="1" si="23"/>
        <v>5.7237119562529887E-2</v>
      </c>
      <c r="AW86" s="292">
        <f t="shared" ca="1" si="23"/>
        <v>5.6490123343133206E-2</v>
      </c>
      <c r="AX86" s="292">
        <f t="shared" ca="1" si="23"/>
        <v>5.5834636940270382E-2</v>
      </c>
      <c r="AY86" s="292">
        <f t="shared" ca="1" si="23"/>
        <v>5.5333467694030511E-2</v>
      </c>
      <c r="AZ86" s="292">
        <f t="shared" ca="1" si="23"/>
        <v>5.4980007509808089E-2</v>
      </c>
      <c r="BA86" s="292">
        <f t="shared" ca="1" si="23"/>
        <v>5.4742712011416249E-2</v>
      </c>
      <c r="BB86" s="292">
        <f t="shared" ca="1" si="23"/>
        <v>5.4588176583131538E-2</v>
      </c>
      <c r="BC86" s="292">
        <f t="shared" ca="1" si="23"/>
        <v>5.4489402535825911E-2</v>
      </c>
      <c r="BD86" s="292">
        <f t="shared" ca="1" si="23"/>
        <v>5.4426978361207821E-2</v>
      </c>
      <c r="BE86" s="292">
        <f t="shared" ca="1" si="23"/>
        <v>5.438778178313685E-2</v>
      </c>
      <c r="BF86" s="292">
        <f t="shared" ca="1" si="23"/>
        <v>5.4363248188680331E-2</v>
      </c>
      <c r="BG86" s="292">
        <f t="shared" ca="1" si="23"/>
        <v>5.4347902417391417E-2</v>
      </c>
      <c r="BH86" s="292">
        <f t="shared" ca="1" si="23"/>
        <v>5.4338287629303011E-2</v>
      </c>
      <c r="BI86" s="292">
        <f t="shared" ca="1" si="23"/>
        <v>5.4332237587130294E-2</v>
      </c>
      <c r="BJ86" s="292">
        <f t="shared" ca="1" si="23"/>
        <v>5.4328400889882771E-2</v>
      </c>
      <c r="BK86" s="295">
        <f t="shared" ca="1" si="23"/>
        <v>5.4325936699102455E-2</v>
      </c>
      <c r="BL86" s="261"/>
      <c r="BM86" s="261"/>
      <c r="BN86" s="261"/>
      <c r="BO86" s="261"/>
      <c r="BP86" s="261"/>
      <c r="BQ86" s="261"/>
      <c r="BR86" s="261"/>
      <c r="BS86" s="261"/>
      <c r="BT86" s="261"/>
      <c r="BU86" s="261"/>
    </row>
    <row r="87" spans="1:73" hidden="1">
      <c r="A87" s="6"/>
      <c r="B87" s="108"/>
      <c r="C87" s="1"/>
      <c r="D87" s="1"/>
      <c r="E87" s="1"/>
      <c r="F87" s="12"/>
      <c r="G87" s="3"/>
      <c r="H87" s="3"/>
      <c r="I87" s="3"/>
      <c r="J87" s="3"/>
      <c r="K87" s="3"/>
      <c r="L87" s="3"/>
      <c r="M87" s="3"/>
      <c r="N87" s="3"/>
      <c r="O87" s="1"/>
      <c r="P87" s="1"/>
      <c r="Q87" s="1"/>
      <c r="R87" s="162"/>
      <c r="S87" s="1"/>
      <c r="T87" s="103"/>
      <c r="U87" s="103"/>
      <c r="V87" s="103"/>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c r="BH87" s="98"/>
      <c r="BI87" s="98"/>
      <c r="BJ87" s="98"/>
      <c r="BK87" s="98"/>
      <c r="BL87" s="99"/>
      <c r="BM87" s="99"/>
      <c r="BN87" s="99"/>
      <c r="BO87" s="99"/>
      <c r="BP87" s="99"/>
      <c r="BQ87" s="99"/>
      <c r="BR87" s="99"/>
      <c r="BS87" s="99"/>
      <c r="BT87" s="99"/>
      <c r="BU87" s="99"/>
    </row>
    <row r="88" spans="1:73" hidden="1">
      <c r="A88" s="6"/>
      <c r="B88" s="108"/>
      <c r="C88" s="1"/>
      <c r="D88" s="1"/>
      <c r="E88" s="1"/>
      <c r="F88" s="12"/>
      <c r="G88" s="3"/>
      <c r="H88" s="3"/>
      <c r="I88" s="3"/>
      <c r="J88" s="3"/>
      <c r="K88" s="3"/>
      <c r="L88" s="3"/>
      <c r="M88" s="3"/>
      <c r="N88" s="3"/>
      <c r="O88" s="1"/>
      <c r="P88" s="1"/>
      <c r="Q88" s="1"/>
      <c r="R88" s="162"/>
      <c r="S88" s="1"/>
      <c r="T88" s="103"/>
      <c r="U88" s="103"/>
      <c r="V88" s="103"/>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c r="BH88" s="98"/>
      <c r="BI88" s="98"/>
      <c r="BJ88" s="98"/>
      <c r="BK88" s="98"/>
      <c r="BL88" s="99"/>
      <c r="BM88" s="99"/>
      <c r="BN88" s="99"/>
      <c r="BO88" s="99"/>
      <c r="BP88" s="99"/>
      <c r="BQ88" s="99"/>
      <c r="BR88" s="99"/>
      <c r="BS88" s="99"/>
      <c r="BT88" s="99"/>
      <c r="BU88" s="99"/>
    </row>
    <row r="89" spans="1:73" hidden="1">
      <c r="A89" s="6"/>
      <c r="B89" s="108"/>
      <c r="C89" s="1"/>
      <c r="D89" s="1"/>
      <c r="E89" s="1"/>
      <c r="F89" s="12"/>
      <c r="G89" s="3"/>
      <c r="H89" s="3"/>
      <c r="I89" s="3"/>
      <c r="J89" s="3"/>
      <c r="K89" s="3"/>
      <c r="L89" s="3"/>
      <c r="M89" s="3"/>
      <c r="N89" s="3"/>
      <c r="O89" s="1"/>
      <c r="P89" s="1"/>
      <c r="Q89" s="1"/>
      <c r="R89" s="162"/>
      <c r="S89" s="1"/>
      <c r="T89" s="103"/>
      <c r="U89" s="103"/>
      <c r="V89" s="103" t="str">
        <f>D18</f>
        <v>Total EUR of time saved when becoming FAIR</v>
      </c>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c r="BH89" s="98"/>
      <c r="BI89" s="98"/>
      <c r="BJ89" s="98"/>
      <c r="BK89" s="98"/>
      <c r="BL89" s="99"/>
      <c r="BM89" s="99"/>
      <c r="BN89" s="99"/>
      <c r="BO89" s="99"/>
      <c r="BP89" s="99"/>
      <c r="BQ89" s="99"/>
      <c r="BR89" s="99"/>
      <c r="BS89" s="99"/>
      <c r="BT89" s="99"/>
      <c r="BU89" s="99"/>
    </row>
    <row r="90" spans="1:73" hidden="1">
      <c r="A90" s="6"/>
      <c r="B90" s="108"/>
      <c r="C90" s="1"/>
      <c r="D90" s="1"/>
      <c r="E90" s="1"/>
      <c r="F90" s="12"/>
      <c r="G90" s="3"/>
      <c r="H90" s="3"/>
      <c r="I90" s="3"/>
      <c r="J90" s="3"/>
      <c r="K90" s="3"/>
      <c r="L90" s="3"/>
      <c r="M90" s="3"/>
      <c r="N90" s="3"/>
      <c r="O90" s="1"/>
      <c r="P90" s="1"/>
      <c r="Q90" s="1"/>
      <c r="R90" s="162"/>
      <c r="S90" s="1"/>
      <c r="T90" s="103"/>
      <c r="U90" s="103"/>
      <c r="V90" s="103"/>
      <c r="W90" s="98">
        <f>Growth!B20</f>
        <v>2018</v>
      </c>
      <c r="X90" s="98">
        <f t="shared" ref="X90:BK90" si="24">W90+1</f>
        <v>2019</v>
      </c>
      <c r="Y90" s="98">
        <f t="shared" si="24"/>
        <v>2020</v>
      </c>
      <c r="Z90" s="98">
        <f t="shared" si="24"/>
        <v>2021</v>
      </c>
      <c r="AA90" s="98">
        <f t="shared" si="24"/>
        <v>2022</v>
      </c>
      <c r="AB90" s="98">
        <f t="shared" si="24"/>
        <v>2023</v>
      </c>
      <c r="AC90" s="98">
        <f t="shared" si="24"/>
        <v>2024</v>
      </c>
      <c r="AD90" s="98">
        <f t="shared" si="24"/>
        <v>2025</v>
      </c>
      <c r="AE90" s="98">
        <f t="shared" si="24"/>
        <v>2026</v>
      </c>
      <c r="AF90" s="98">
        <f t="shared" si="24"/>
        <v>2027</v>
      </c>
      <c r="AG90" s="98">
        <f t="shared" si="24"/>
        <v>2028</v>
      </c>
      <c r="AH90" s="98">
        <f t="shared" si="24"/>
        <v>2029</v>
      </c>
      <c r="AI90" s="98">
        <f t="shared" si="24"/>
        <v>2030</v>
      </c>
      <c r="AJ90" s="98">
        <f t="shared" si="24"/>
        <v>2031</v>
      </c>
      <c r="AK90" s="98">
        <f t="shared" si="24"/>
        <v>2032</v>
      </c>
      <c r="AL90" s="98">
        <f t="shared" si="24"/>
        <v>2033</v>
      </c>
      <c r="AM90" s="98">
        <f t="shared" si="24"/>
        <v>2034</v>
      </c>
      <c r="AN90" s="98">
        <f t="shared" si="24"/>
        <v>2035</v>
      </c>
      <c r="AO90" s="98">
        <f t="shared" si="24"/>
        <v>2036</v>
      </c>
      <c r="AP90" s="98">
        <f t="shared" si="24"/>
        <v>2037</v>
      </c>
      <c r="AQ90" s="98">
        <f t="shared" si="24"/>
        <v>2038</v>
      </c>
      <c r="AR90" s="98">
        <f t="shared" si="24"/>
        <v>2039</v>
      </c>
      <c r="AS90" s="98">
        <f t="shared" si="24"/>
        <v>2040</v>
      </c>
      <c r="AT90" s="98">
        <f t="shared" si="24"/>
        <v>2041</v>
      </c>
      <c r="AU90" s="98">
        <f t="shared" si="24"/>
        <v>2042</v>
      </c>
      <c r="AV90" s="98">
        <f t="shared" si="24"/>
        <v>2043</v>
      </c>
      <c r="AW90" s="98">
        <f t="shared" si="24"/>
        <v>2044</v>
      </c>
      <c r="AX90" s="98">
        <f t="shared" si="24"/>
        <v>2045</v>
      </c>
      <c r="AY90" s="98">
        <f t="shared" si="24"/>
        <v>2046</v>
      </c>
      <c r="AZ90" s="98">
        <f t="shared" si="24"/>
        <v>2047</v>
      </c>
      <c r="BA90" s="98">
        <f t="shared" si="24"/>
        <v>2048</v>
      </c>
      <c r="BB90" s="98">
        <f t="shared" si="24"/>
        <v>2049</v>
      </c>
      <c r="BC90" s="98">
        <f t="shared" si="24"/>
        <v>2050</v>
      </c>
      <c r="BD90" s="98">
        <f t="shared" si="24"/>
        <v>2051</v>
      </c>
      <c r="BE90" s="98">
        <f t="shared" si="24"/>
        <v>2052</v>
      </c>
      <c r="BF90" s="98">
        <f t="shared" si="24"/>
        <v>2053</v>
      </c>
      <c r="BG90" s="98">
        <f t="shared" si="24"/>
        <v>2054</v>
      </c>
      <c r="BH90" s="98">
        <f t="shared" si="24"/>
        <v>2055</v>
      </c>
      <c r="BI90" s="98">
        <f t="shared" si="24"/>
        <v>2056</v>
      </c>
      <c r="BJ90" s="98">
        <f t="shared" si="24"/>
        <v>2057</v>
      </c>
      <c r="BK90" s="98">
        <f t="shared" si="24"/>
        <v>2058</v>
      </c>
      <c r="BL90" s="99"/>
      <c r="BM90" s="99"/>
      <c r="BN90" s="99"/>
      <c r="BO90" s="99"/>
      <c r="BP90" s="99"/>
      <c r="BQ90" s="99"/>
      <c r="BR90" s="99"/>
      <c r="BS90" s="99"/>
      <c r="BT90" s="99"/>
      <c r="BU90" s="99"/>
    </row>
    <row r="91" spans="1:73" hidden="1">
      <c r="A91" s="6"/>
      <c r="B91" s="108"/>
      <c r="C91" s="1"/>
      <c r="D91" s="1"/>
      <c r="E91" s="1"/>
      <c r="F91" s="12"/>
      <c r="G91" s="3"/>
      <c r="H91" s="3"/>
      <c r="I91" s="3"/>
      <c r="J91" s="3"/>
      <c r="K91" s="3"/>
      <c r="L91" s="3"/>
      <c r="M91" s="3"/>
      <c r="N91" s="3"/>
      <c r="O91" s="1"/>
      <c r="P91" s="1"/>
      <c r="Q91" s="1"/>
      <c r="R91" s="162"/>
      <c r="S91" s="1"/>
      <c r="T91" s="103"/>
      <c r="U91" s="103"/>
      <c r="V91" s="258" t="str">
        <f>G$10</f>
        <v>PhD researcher</v>
      </c>
      <c r="W91" s="298">
        <f ca="1">W79*'2.2 Input_General_Information'!$H$94*'2.2 Input_General_Information'!$H$92*'2.2 Input_General_Information'!$H$93</f>
        <v>11929.273655009045</v>
      </c>
      <c r="X91" s="298">
        <f ca="1">X79*'2.2 Input_General_Information'!$H$94*'2.2 Input_General_Information'!$H$92*'2.2 Input_General_Information'!$H$93</f>
        <v>15746.695624439726</v>
      </c>
      <c r="Y91" s="298">
        <f ca="1">Y79*'2.2 Input_General_Information'!$H$94*'2.2 Input_General_Information'!$H$92*'2.2 Input_General_Information'!$H$93</f>
        <v>25838.761917303022</v>
      </c>
      <c r="Z91" s="298">
        <f ca="1">Z79*'2.2 Input_General_Information'!$H$94*'2.2 Input_General_Information'!$H$92*'2.2 Input_General_Information'!$H$93</f>
        <v>13402.449367819003</v>
      </c>
      <c r="AA91" s="298">
        <f ca="1">AA79*'2.2 Input_General_Information'!$H$94*'2.2 Input_General_Information'!$H$92*'2.2 Input_General_Information'!$H$93</f>
        <v>12616.620110511363</v>
      </c>
      <c r="AB91" s="298">
        <f ca="1">AB79*'2.2 Input_General_Information'!$H$94*'2.2 Input_General_Information'!$H$92*'2.2 Input_General_Information'!$H$93</f>
        <v>12577.277847526315</v>
      </c>
      <c r="AC91" s="298">
        <f ca="1">AC79*'2.2 Input_General_Information'!$H$94*'2.2 Input_General_Information'!$H$92*'2.2 Input_General_Information'!$H$93</f>
        <v>12535.196516040838</v>
      </c>
      <c r="AD91" s="298">
        <f ca="1">AD79*'2.2 Input_General_Information'!$H$94*'2.2 Input_General_Information'!$H$92*'2.2 Input_General_Information'!$H$93</f>
        <v>12494.257967255191</v>
      </c>
      <c r="AE91" s="298">
        <f ca="1">AE79*'2.2 Input_General_Information'!$H$94*'2.2 Input_General_Information'!$H$92*'2.2 Input_General_Information'!$H$93</f>
        <v>12460.294370472699</v>
      </c>
      <c r="AF91" s="298">
        <f ca="1">AF79*'2.2 Input_General_Information'!$H$94*'2.2 Input_General_Information'!$H$92*'2.2 Input_General_Information'!$H$93</f>
        <v>12439.547855020044</v>
      </c>
      <c r="AG91" s="298">
        <f ca="1">AG79*'2.2 Input_General_Information'!$H$94*'2.2 Input_General_Information'!$H$92*'2.2 Input_General_Information'!$H$93</f>
        <v>12439.338341325296</v>
      </c>
      <c r="AH91" s="298">
        <f ca="1">AH79*'2.2 Input_General_Information'!$H$94*'2.2 Input_General_Information'!$H$92*'2.2 Input_General_Information'!$H$93</f>
        <v>12469.25089300019</v>
      </c>
      <c r="AI91" s="298">
        <f ca="1">AI79*'2.2 Input_General_Information'!$H$94*'2.2 Input_General_Information'!$H$92*'2.2 Input_General_Information'!$H$93</f>
        <v>12542.85741624989</v>
      </c>
      <c r="AJ91" s="298">
        <f ca="1">AJ79*'2.2 Input_General_Information'!$H$94*'2.2 Input_General_Information'!$H$92*'2.2 Input_General_Information'!$H$93</f>
        <v>12679.891764654183</v>
      </c>
      <c r="AK91" s="298">
        <f ca="1">AK79*'2.2 Input_General_Information'!$H$94*'2.2 Input_General_Information'!$H$92*'2.2 Input_General_Information'!$H$93</f>
        <v>12908.507365943029</v>
      </c>
      <c r="AL91" s="298">
        <f ca="1">AL79*'2.2 Input_General_Information'!$H$94*'2.2 Input_General_Information'!$H$92*'2.2 Input_General_Information'!$H$93</f>
        <v>13266.515026391256</v>
      </c>
      <c r="AM91" s="298">
        <f ca="1">AM79*'2.2 Input_General_Information'!$H$94*'2.2 Input_General_Information'!$H$92*'2.2 Input_General_Information'!$H$93</f>
        <v>13799.067919755013</v>
      </c>
      <c r="AN91" s="298">
        <f ca="1">AN79*'2.2 Input_General_Information'!$H$94*'2.2 Input_General_Information'!$H$92*'2.2 Input_General_Information'!$H$93</f>
        <v>14548.404009633296</v>
      </c>
      <c r="AO91" s="298">
        <f ca="1">AO79*'2.2 Input_General_Information'!$H$94*'2.2 Input_General_Information'!$H$92*'2.2 Input_General_Information'!$H$93</f>
        <v>15531.087721207681</v>
      </c>
      <c r="AP91" s="298">
        <f ca="1">AP79*'2.2 Input_General_Information'!$H$94*'2.2 Input_General_Information'!$H$92*'2.2 Input_General_Information'!$H$93</f>
        <v>16704.723686384183</v>
      </c>
      <c r="AQ91" s="298">
        <f ca="1">AQ79*'2.2 Input_General_Information'!$H$94*'2.2 Input_General_Information'!$H$92*'2.2 Input_General_Information'!$H$93</f>
        <v>17943.015209906011</v>
      </c>
      <c r="AR91" s="298">
        <f ca="1">AR79*'2.2 Input_General_Information'!$H$94*'2.2 Input_General_Information'!$H$92*'2.2 Input_General_Information'!$H$93</f>
        <v>19053.703866498799</v>
      </c>
      <c r="AS91" s="298">
        <f ca="1">AS79*'2.2 Input_General_Information'!$H$94*'2.2 Input_General_Information'!$H$92*'2.2 Input_General_Information'!$H$93</f>
        <v>19856.209110976724</v>
      </c>
      <c r="AT91" s="298">
        <f ca="1">AT79*'2.2 Input_General_Information'!$H$94*'2.2 Input_General_Information'!$H$92*'2.2 Input_General_Information'!$H$93</f>
        <v>20274.808450468452</v>
      </c>
      <c r="AU91" s="298">
        <f ca="1">AU79*'2.2 Input_General_Information'!$H$94*'2.2 Input_General_Information'!$H$92*'2.2 Input_General_Information'!$H$93</f>
        <v>20366.604593476917</v>
      </c>
      <c r="AV91" s="298">
        <f ca="1">AV79*'2.2 Input_General_Information'!$H$94*'2.2 Input_General_Information'!$H$92*'2.2 Input_General_Information'!$H$93</f>
        <v>20262.635054117698</v>
      </c>
      <c r="AW91" s="298">
        <f ca="1">AW79*'2.2 Input_General_Information'!$H$94*'2.2 Input_General_Information'!$H$92*'2.2 Input_General_Information'!$H$93</f>
        <v>20086.632463476621</v>
      </c>
      <c r="AX91" s="298">
        <f ca="1">AX79*'2.2 Input_General_Information'!$H$94*'2.2 Input_General_Information'!$H$92*'2.2 Input_General_Information'!$H$93</f>
        <v>19914.371345034422</v>
      </c>
      <c r="AY91" s="298">
        <f ca="1">AY79*'2.2 Input_General_Information'!$H$94*'2.2 Input_General_Information'!$H$92*'2.2 Input_General_Information'!$H$93</f>
        <v>19776.43884054296</v>
      </c>
      <c r="AZ91" s="298">
        <f ca="1">AZ79*'2.2 Input_General_Information'!$H$94*'2.2 Input_General_Information'!$H$92*'2.2 Input_General_Information'!$H$93</f>
        <v>19676.98017020322</v>
      </c>
      <c r="BA91" s="298">
        <f ca="1">BA79*'2.2 Input_General_Information'!$H$94*'2.2 Input_General_Information'!$H$92*'2.2 Input_General_Information'!$H$93</f>
        <v>19609.488777793835</v>
      </c>
      <c r="BB91" s="298">
        <f ca="1">BB79*'2.2 Input_General_Information'!$H$94*'2.2 Input_General_Information'!$H$92*'2.2 Input_General_Information'!$H$93</f>
        <v>19565.332467225322</v>
      </c>
      <c r="BC91" s="298">
        <f ca="1">BC79*'2.2 Input_General_Information'!$H$94*'2.2 Input_General_Information'!$H$92*'2.2 Input_General_Information'!$H$93</f>
        <v>19537.076705026484</v>
      </c>
      <c r="BD91" s="298">
        <f ca="1">BD79*'2.2 Input_General_Information'!$H$94*'2.2 Input_General_Information'!$H$92*'2.2 Input_General_Information'!$H$93</f>
        <v>19519.2347291201</v>
      </c>
      <c r="BE91" s="298">
        <f ca="1">BE79*'2.2 Input_General_Information'!$H$94*'2.2 Input_General_Information'!$H$92*'2.2 Input_General_Information'!$H$93</f>
        <v>19508.053827989257</v>
      </c>
      <c r="BF91" s="298">
        <f ca="1">BF79*'2.2 Input_General_Information'!$H$94*'2.2 Input_General_Information'!$H$92*'2.2 Input_General_Information'!$H$93</f>
        <v>19501.072999045882</v>
      </c>
      <c r="BG91" s="298">
        <f ca="1">BG79*'2.2 Input_General_Information'!$H$94*'2.2 Input_General_Information'!$H$92*'2.2 Input_General_Information'!$H$93</f>
        <v>19496.717381644386</v>
      </c>
      <c r="BH91" s="298">
        <f ca="1">BH79*'2.2 Input_General_Information'!$H$94*'2.2 Input_General_Information'!$H$92*'2.2 Input_General_Information'!$H$93</f>
        <v>19493.993805125421</v>
      </c>
      <c r="BI91" s="298">
        <f ca="1">BI79*'2.2 Input_General_Information'!$H$94*'2.2 Input_General_Information'!$H$92*'2.2 Input_General_Information'!$H$93</f>
        <v>19492.281425482848</v>
      </c>
      <c r="BJ91" s="298">
        <f ca="1">BJ79*'2.2 Input_General_Information'!$H$94*'2.2 Input_General_Information'!$H$92*'2.2 Input_General_Information'!$H$93</f>
        <v>19491.194194331973</v>
      </c>
      <c r="BK91" s="298">
        <f ca="1">BK79*'2.2 Input_General_Information'!$H$94*'2.2 Input_General_Information'!$H$92*'2.2 Input_General_Information'!$H$93</f>
        <v>19490.492818821313</v>
      </c>
      <c r="BL91" s="99"/>
      <c r="BM91" s="99"/>
      <c r="BN91" s="99"/>
      <c r="BO91" s="99"/>
      <c r="BP91" s="99"/>
      <c r="BQ91" s="99"/>
      <c r="BR91" s="99"/>
      <c r="BS91" s="99"/>
      <c r="BT91" s="99"/>
      <c r="BU91" s="99"/>
    </row>
    <row r="92" spans="1:73" hidden="1">
      <c r="A92" s="6"/>
      <c r="B92" s="108"/>
      <c r="C92" s="1"/>
      <c r="D92" s="1"/>
      <c r="E92" s="1"/>
      <c r="F92" s="12"/>
      <c r="G92" s="3"/>
      <c r="H92" s="3"/>
      <c r="I92" s="3"/>
      <c r="J92" s="3"/>
      <c r="K92" s="3"/>
      <c r="L92" s="3"/>
      <c r="M92" s="3"/>
      <c r="N92" s="3"/>
      <c r="O92" s="1"/>
      <c r="P92" s="1"/>
      <c r="Q92" s="1"/>
      <c r="R92" s="162"/>
      <c r="S92" s="1"/>
      <c r="T92" s="103"/>
      <c r="U92" s="103"/>
      <c r="V92" s="262" t="str">
        <f>$H$10</f>
        <v>Lecturer assistant/Research assistant (Academic)</v>
      </c>
      <c r="W92" s="186">
        <f ca="1">W80*'2.2 Input_General_Information'!$I$94*'2.2 Input_General_Information'!$I$92*'2.2 Input_General_Information'!$I$93</f>
        <v>2528.7340239859827</v>
      </c>
      <c r="X92" s="186">
        <f ca="1">X80*'2.2 Input_General_Information'!$I$94*'2.2 Input_General_Information'!$I$92*'2.2 Input_General_Information'!$I$93</f>
        <v>3035.3762271606788</v>
      </c>
      <c r="Y92" s="186">
        <f ca="1">Y80*'2.2 Input_General_Information'!$I$94*'2.2 Input_General_Information'!$I$92*'2.2 Input_General_Information'!$I$93</f>
        <v>4330.044780879839</v>
      </c>
      <c r="Z92" s="186">
        <f ca="1">Z80*'2.2 Input_General_Information'!$I$94*'2.2 Input_General_Information'!$I$92*'2.2 Input_General_Information'!$I$93</f>
        <v>2740.9573783425967</v>
      </c>
      <c r="AA92" s="186">
        <f ca="1">AA80*'2.2 Input_General_Information'!$I$94*'2.2 Input_General_Information'!$I$92*'2.2 Input_General_Information'!$I$93</f>
        <v>2638.6819257778629</v>
      </c>
      <c r="AB92" s="186">
        <f ca="1">AB80*'2.2 Input_General_Information'!$I$94*'2.2 Input_General_Information'!$I$92*'2.2 Input_General_Information'!$I$93</f>
        <v>2631.8441341081607</v>
      </c>
      <c r="AC92" s="186">
        <f ca="1">AC80*'2.2 Input_General_Information'!$I$94*'2.2 Input_General_Information'!$I$92*'2.2 Input_General_Information'!$I$93</f>
        <v>2624.2541578089076</v>
      </c>
      <c r="AD92" s="186">
        <f ca="1">AD80*'2.2 Input_General_Information'!$I$94*'2.2 Input_General_Information'!$I$92*'2.2 Input_General_Information'!$I$93</f>
        <v>2616.4656136344879</v>
      </c>
      <c r="AE92" s="186">
        <f ca="1">AE80*'2.2 Input_General_Information'!$I$94*'2.2 Input_General_Information'!$I$92*'2.2 Input_General_Information'!$I$93</f>
        <v>2609.2061914755254</v>
      </c>
      <c r="AF92" s="186">
        <f ca="1">AF80*'2.2 Input_General_Information'!$I$94*'2.2 Input_General_Information'!$I$92*'2.2 Input_General_Information'!$I$93</f>
        <v>2603.1402901199281</v>
      </c>
      <c r="AG92" s="186">
        <f ca="1">AG80*'2.2 Input_General_Information'!$I$94*'2.2 Input_General_Information'!$I$92*'2.2 Input_General_Information'!$I$93</f>
        <v>2598.9085730282827</v>
      </c>
      <c r="AH92" s="186">
        <f ca="1">AH80*'2.2 Input_General_Information'!$I$94*'2.2 Input_General_Information'!$I$92*'2.2 Input_General_Information'!$I$93</f>
        <v>2597.2189897597982</v>
      </c>
      <c r="AI92" s="186">
        <f ca="1">AI80*'2.2 Input_General_Information'!$I$94*'2.2 Input_General_Information'!$I$92*'2.2 Input_General_Information'!$I$93</f>
        <v>2598.982670213632</v>
      </c>
      <c r="AJ92" s="186">
        <f ca="1">AJ80*'2.2 Input_General_Information'!$I$94*'2.2 Input_General_Information'!$I$92*'2.2 Input_General_Information'!$I$93</f>
        <v>2605.4814571696975</v>
      </c>
      <c r="AK92" s="186">
        <f ca="1">AK80*'2.2 Input_General_Information'!$I$94*'2.2 Input_General_Information'!$I$92*'2.2 Input_General_Information'!$I$93</f>
        <v>2618.5353299430712</v>
      </c>
      <c r="AL92" s="186">
        <f ca="1">AL80*'2.2 Input_General_Information'!$I$94*'2.2 Input_General_Information'!$I$92*'2.2 Input_General_Information'!$I$93</f>
        <v>2640.5869346099689</v>
      </c>
      <c r="AM92" s="186">
        <f ca="1">AM80*'2.2 Input_General_Information'!$I$94*'2.2 Input_General_Information'!$I$92*'2.2 Input_General_Information'!$I$93</f>
        <v>2674.5110316762234</v>
      </c>
      <c r="AN92" s="186">
        <f ca="1">AN80*'2.2 Input_General_Information'!$I$94*'2.2 Input_General_Information'!$I$92*'2.2 Input_General_Information'!$I$93</f>
        <v>2722.7942640875435</v>
      </c>
      <c r="AO92" s="186">
        <f ca="1">AO80*'2.2 Input_General_Information'!$I$94*'2.2 Input_General_Information'!$I$92*'2.2 Input_General_Information'!$I$93</f>
        <v>2785.6579236832326</v>
      </c>
      <c r="AP92" s="186">
        <f ca="1">AP80*'2.2 Input_General_Information'!$I$94*'2.2 Input_General_Information'!$I$92*'2.2 Input_General_Information'!$I$93</f>
        <v>2858.1475244440953</v>
      </c>
      <c r="AQ92" s="186">
        <f ca="1">AQ80*'2.2 Input_General_Information'!$I$94*'2.2 Input_General_Information'!$I$92*'2.2 Input_General_Information'!$I$93</f>
        <v>2927.7381805075393</v>
      </c>
      <c r="AR92" s="186">
        <f ca="1">AR80*'2.2 Input_General_Information'!$I$94*'2.2 Input_General_Information'!$I$92*'2.2 Input_General_Information'!$I$93</f>
        <v>2975.9721633976487</v>
      </c>
      <c r="AS92" s="186">
        <f ca="1">AS80*'2.2 Input_General_Information'!$I$94*'2.2 Input_General_Information'!$I$92*'2.2 Input_General_Information'!$I$93</f>
        <v>2986.6204990111769</v>
      </c>
      <c r="AT92" s="186">
        <f ca="1">AT80*'2.2 Input_General_Information'!$I$94*'2.2 Input_General_Information'!$I$92*'2.2 Input_General_Information'!$I$93</f>
        <v>2956.0701114222998</v>
      </c>
      <c r="AU92" s="186">
        <f ca="1">AU80*'2.2 Input_General_Information'!$I$94*'2.2 Input_General_Information'!$I$92*'2.2 Input_General_Information'!$I$93</f>
        <v>2896.0644968672159</v>
      </c>
      <c r="AV92" s="186">
        <f ca="1">AV80*'2.2 Input_General_Information'!$I$94*'2.2 Input_General_Information'!$I$92*'2.2 Input_General_Information'!$I$93</f>
        <v>2825.5837537301672</v>
      </c>
      <c r="AW92" s="186">
        <f ca="1">AW80*'2.2 Input_General_Information'!$I$94*'2.2 Input_General_Information'!$I$92*'2.2 Input_General_Information'!$I$93</f>
        <v>2760.2744496522705</v>
      </c>
      <c r="AX92" s="186">
        <f ca="1">AX80*'2.2 Input_General_Information'!$I$94*'2.2 Input_General_Information'!$I$92*'2.2 Input_General_Information'!$I$93</f>
        <v>2707.8508249426245</v>
      </c>
      <c r="AY92" s="186">
        <f ca="1">AY80*'2.2 Input_General_Information'!$I$94*'2.2 Input_General_Information'!$I$92*'2.2 Input_General_Information'!$I$93</f>
        <v>2669.4789781494146</v>
      </c>
      <c r="AZ92" s="186">
        <f ca="1">AZ80*'2.2 Input_General_Information'!$I$94*'2.2 Input_General_Information'!$I$92*'2.2 Input_General_Information'!$I$93</f>
        <v>2643.0180443517888</v>
      </c>
      <c r="BA92" s="186">
        <f ca="1">BA80*'2.2 Input_General_Information'!$I$94*'2.2 Input_General_Information'!$I$92*'2.2 Input_General_Information'!$I$93</f>
        <v>2625.4546497129149</v>
      </c>
      <c r="BB92" s="186">
        <f ca="1">BB80*'2.2 Input_General_Information'!$I$94*'2.2 Input_General_Information'!$I$92*'2.2 Input_General_Information'!$I$93</f>
        <v>2614.0753807412989</v>
      </c>
      <c r="BC92" s="186">
        <f ca="1">BC80*'2.2 Input_General_Information'!$I$94*'2.2 Input_General_Information'!$I$92*'2.2 Input_General_Information'!$I$93</f>
        <v>2606.8129919819316</v>
      </c>
      <c r="BD92" s="186">
        <f ca="1">BD80*'2.2 Input_General_Information'!$I$94*'2.2 Input_General_Information'!$I$92*'2.2 Input_General_Information'!$I$93</f>
        <v>2602.2202976295089</v>
      </c>
      <c r="BE92" s="186">
        <f ca="1">BE80*'2.2 Input_General_Information'!$I$94*'2.2 Input_General_Information'!$I$92*'2.2 Input_General_Information'!$I$93</f>
        <v>2599.3312147691277</v>
      </c>
      <c r="BF92" s="186">
        <f ca="1">BF80*'2.2 Input_General_Information'!$I$94*'2.2 Input_General_Information'!$I$92*'2.2 Input_General_Information'!$I$93</f>
        <v>2597.5185911548374</v>
      </c>
      <c r="BG92" s="186">
        <f ca="1">BG80*'2.2 Input_General_Information'!$I$94*'2.2 Input_General_Information'!$I$92*'2.2 Input_General_Information'!$I$93</f>
        <v>2596.3820625743119</v>
      </c>
      <c r="BH92" s="186">
        <f ca="1">BH80*'2.2 Input_General_Information'!$I$94*'2.2 Input_General_Information'!$I$92*'2.2 Input_General_Information'!$I$93</f>
        <v>2595.6686164670623</v>
      </c>
      <c r="BI92" s="186">
        <f ca="1">BI80*'2.2 Input_General_Information'!$I$94*'2.2 Input_General_Information'!$I$92*'2.2 Input_General_Information'!$I$93</f>
        <v>2595.2193325940225</v>
      </c>
      <c r="BJ92" s="186">
        <f ca="1">BJ80*'2.2 Input_General_Information'!$I$94*'2.2 Input_General_Information'!$I$92*'2.2 Input_General_Information'!$I$93</f>
        <v>2594.9347539242972</v>
      </c>
      <c r="BK92" s="186">
        <f ca="1">BK80*'2.2 Input_General_Information'!$I$94*'2.2 Input_General_Information'!$I$92*'2.2 Input_General_Information'!$I$93</f>
        <v>2594.7527697847136</v>
      </c>
      <c r="BL92" s="99"/>
      <c r="BM92" s="99"/>
      <c r="BN92" s="99"/>
      <c r="BO92" s="99"/>
      <c r="BP92" s="99"/>
      <c r="BQ92" s="99"/>
      <c r="BR92" s="99"/>
      <c r="BS92" s="99"/>
      <c r="BT92" s="99"/>
      <c r="BU92" s="99"/>
    </row>
    <row r="93" spans="1:73" hidden="1">
      <c r="A93" s="6"/>
      <c r="B93" s="108"/>
      <c r="C93" s="1"/>
      <c r="D93" s="1"/>
      <c r="E93" s="1"/>
      <c r="F93" s="12"/>
      <c r="G93" s="3"/>
      <c r="H93" s="3"/>
      <c r="I93" s="3"/>
      <c r="J93" s="3"/>
      <c r="K93" s="3"/>
      <c r="L93" s="3"/>
      <c r="M93" s="3"/>
      <c r="N93" s="3"/>
      <c r="O93" s="1"/>
      <c r="P93" s="1"/>
      <c r="Q93" s="1"/>
      <c r="R93" s="162"/>
      <c r="S93" s="1"/>
      <c r="T93" s="103"/>
      <c r="U93" s="103"/>
      <c r="V93" s="262" t="str">
        <f>$I$10</f>
        <v>Lecturer/Researcher (Academic)</v>
      </c>
      <c r="W93" s="186">
        <f ca="1">W81*'2.2 Input_General_Information'!$J$94*'2.2 Input_General_Information'!$J$92*'2.2 Input_General_Information'!$J$93</f>
        <v>5197.5039790885685</v>
      </c>
      <c r="X93" s="186">
        <f ca="1">X81*'2.2 Input_General_Information'!$J$94*'2.2 Input_General_Information'!$J$92*'2.2 Input_General_Information'!$J$93</f>
        <v>6401.9763540658741</v>
      </c>
      <c r="Y93" s="186">
        <f ca="1">Y81*'2.2 Input_General_Information'!$J$94*'2.2 Input_General_Information'!$J$92*'2.2 Input_General_Information'!$J$93</f>
        <v>9752.1368230942189</v>
      </c>
      <c r="Z93" s="186">
        <f ca="1">Z81*'2.2 Input_General_Information'!$J$94*'2.2 Input_General_Information'!$J$92*'2.2 Input_General_Information'!$J$93</f>
        <v>5656.2137280289407</v>
      </c>
      <c r="AA93" s="186">
        <f ca="1">AA81*'2.2 Input_General_Information'!$J$94*'2.2 Input_General_Information'!$J$92*'2.2 Input_General_Information'!$J$93</f>
        <v>5396.2017413270705</v>
      </c>
      <c r="AB93" s="186">
        <f ca="1">AB81*'2.2 Input_General_Information'!$J$94*'2.2 Input_General_Information'!$J$92*'2.2 Input_General_Information'!$J$93</f>
        <v>5385.433596888498</v>
      </c>
      <c r="AC93" s="186">
        <f ca="1">AC81*'2.2 Input_General_Information'!$J$94*'2.2 Input_General_Information'!$J$92*'2.2 Input_General_Information'!$J$93</f>
        <v>5374.5537319884561</v>
      </c>
      <c r="AD93" s="186">
        <f ca="1">AD81*'2.2 Input_General_Information'!$J$94*'2.2 Input_General_Information'!$J$92*'2.2 Input_General_Information'!$J$93</f>
        <v>5365.0345799792594</v>
      </c>
      <c r="AE93" s="186">
        <f ca="1">AE81*'2.2 Input_General_Information'!$J$94*'2.2 Input_General_Information'!$J$92*'2.2 Input_General_Information'!$J$93</f>
        <v>5359.2006486871378</v>
      </c>
      <c r="AF93" s="186">
        <f ca="1">AF81*'2.2 Input_General_Information'!$J$94*'2.2 Input_General_Information'!$J$92*'2.2 Input_General_Information'!$J$93</f>
        <v>5359.8286080847774</v>
      </c>
      <c r="AG93" s="186">
        <f ca="1">AG81*'2.2 Input_General_Information'!$J$94*'2.2 Input_General_Information'!$J$92*'2.2 Input_General_Information'!$J$93</f>
        <v>5370.5276560709635</v>
      </c>
      <c r="AH93" s="186">
        <f ca="1">AH81*'2.2 Input_General_Information'!$J$94*'2.2 Input_General_Information'!$J$92*'2.2 Input_General_Information'!$J$93</f>
        <v>5396.359705490916</v>
      </c>
      <c r="AI93" s="186">
        <f ca="1">AI81*'2.2 Input_General_Information'!$J$94*'2.2 Input_General_Information'!$J$92*'2.2 Input_General_Information'!$J$93</f>
        <v>5444.7246413215162</v>
      </c>
      <c r="AJ93" s="186">
        <f ca="1">AJ81*'2.2 Input_General_Information'!$J$94*'2.2 Input_General_Information'!$J$92*'2.2 Input_General_Information'!$J$93</f>
        <v>5526.4834444059143</v>
      </c>
      <c r="AK93" s="186">
        <f ca="1">AK81*'2.2 Input_General_Information'!$J$94*'2.2 Input_General_Information'!$J$92*'2.2 Input_General_Information'!$J$93</f>
        <v>5657.1283208754703</v>
      </c>
      <c r="AL93" s="186">
        <f ca="1">AL81*'2.2 Input_General_Information'!$J$94*'2.2 Input_General_Information'!$J$92*'2.2 Input_General_Information'!$J$93</f>
        <v>5857.4098682244048</v>
      </c>
      <c r="AM93" s="186">
        <f ca="1">AM81*'2.2 Input_General_Information'!$J$94*'2.2 Input_General_Information'!$J$92*'2.2 Input_General_Information'!$J$93</f>
        <v>6152.0835893948588</v>
      </c>
      <c r="AN93" s="186">
        <f ca="1">AN81*'2.2 Input_General_Information'!$J$94*'2.2 Input_General_Information'!$J$92*'2.2 Input_General_Information'!$J$93</f>
        <v>6564.5427109270277</v>
      </c>
      <c r="AO93" s="186">
        <f ca="1">AO81*'2.2 Input_General_Information'!$J$94*'2.2 Input_General_Information'!$J$92*'2.2 Input_General_Information'!$J$93</f>
        <v>7105.2474749813518</v>
      </c>
      <c r="AP93" s="186">
        <f ca="1">AP81*'2.2 Input_General_Information'!$J$94*'2.2 Input_General_Information'!$J$92*'2.2 Input_General_Information'!$J$93</f>
        <v>7755.5211092975769</v>
      </c>
      <c r="AQ93" s="186">
        <f ca="1">AQ81*'2.2 Input_General_Information'!$J$94*'2.2 Input_General_Information'!$J$92*'2.2 Input_General_Information'!$J$93</f>
        <v>8456.4805951974322</v>
      </c>
      <c r="AR93" s="186">
        <f ca="1">AR81*'2.2 Input_General_Information'!$J$94*'2.2 Input_General_Information'!$J$92*'2.2 Input_General_Information'!$J$93</f>
        <v>9118.5417581712882</v>
      </c>
      <c r="AS93" s="186">
        <f ca="1">AS81*'2.2 Input_General_Information'!$J$94*'2.2 Input_General_Information'!$J$92*'2.2 Input_General_Information'!$J$93</f>
        <v>9656.1514791648424</v>
      </c>
      <c r="AT93" s="186">
        <f ca="1">AT81*'2.2 Input_General_Information'!$J$94*'2.2 Input_General_Information'!$J$92*'2.2 Input_General_Information'!$J$93</f>
        <v>10026.612215651505</v>
      </c>
      <c r="AU93" s="186">
        <f ca="1">AU81*'2.2 Input_General_Information'!$J$94*'2.2 Input_General_Information'!$J$92*'2.2 Input_General_Information'!$J$93</f>
        <v>10241.65567227618</v>
      </c>
      <c r="AV93" s="186">
        <f ca="1">AV81*'2.2 Input_General_Information'!$J$94*'2.2 Input_General_Information'!$J$92*'2.2 Input_General_Information'!$J$93</f>
        <v>10345.950093936028</v>
      </c>
      <c r="AW93" s="186">
        <f ca="1">AW81*'2.2 Input_General_Information'!$J$94*'2.2 Input_General_Information'!$J$92*'2.2 Input_General_Information'!$J$93</f>
        <v>10386.907289380517</v>
      </c>
      <c r="AX93" s="186">
        <f ca="1">AX81*'2.2 Input_General_Information'!$J$94*'2.2 Input_General_Information'!$J$92*'2.2 Input_General_Information'!$J$93</f>
        <v>10398.126717587518</v>
      </c>
      <c r="AY93" s="186">
        <f ca="1">AY81*'2.2 Input_General_Information'!$J$94*'2.2 Input_General_Information'!$J$92*'2.2 Input_General_Information'!$J$93</f>
        <v>10398.040890095846</v>
      </c>
      <c r="AZ93" s="186">
        <f ca="1">AZ81*'2.2 Input_General_Information'!$J$94*'2.2 Input_General_Information'!$J$92*'2.2 Input_General_Information'!$J$93</f>
        <v>10394.92194055765</v>
      </c>
      <c r="BA93" s="186">
        <f ca="1">BA81*'2.2 Input_General_Information'!$J$94*'2.2 Input_General_Information'!$J$92*'2.2 Input_General_Information'!$J$93</f>
        <v>10391.797711627836</v>
      </c>
      <c r="BB93" s="186">
        <f ca="1">BB81*'2.2 Input_General_Information'!$J$94*'2.2 Input_General_Information'!$J$92*'2.2 Input_General_Information'!$J$93</f>
        <v>10389.45699527577</v>
      </c>
      <c r="BC93" s="186">
        <f ca="1">BC81*'2.2 Input_General_Information'!$J$94*'2.2 Input_General_Information'!$J$92*'2.2 Input_General_Information'!$J$93</f>
        <v>10387.899483253768</v>
      </c>
      <c r="BD93" s="186">
        <f ca="1">BD81*'2.2 Input_General_Information'!$J$94*'2.2 Input_General_Information'!$J$92*'2.2 Input_General_Information'!$J$93</f>
        <v>10386.925895086599</v>
      </c>
      <c r="BE93" s="186">
        <f ca="1">BE81*'2.2 Input_General_Information'!$J$94*'2.2 Input_General_Information'!$J$92*'2.2 Input_General_Information'!$J$93</f>
        <v>10386.338824111404</v>
      </c>
      <c r="BF93" s="186">
        <f ca="1">BF81*'2.2 Input_General_Information'!$J$94*'2.2 Input_General_Information'!$J$92*'2.2 Input_General_Information'!$J$93</f>
        <v>10385.99168869922</v>
      </c>
      <c r="BG93" s="186">
        <f ca="1">BG81*'2.2 Input_General_Information'!$J$94*'2.2 Input_General_Information'!$J$92*'2.2 Input_General_Information'!$J$93</f>
        <v>10385.787554930719</v>
      </c>
      <c r="BH93" s="186">
        <f ca="1">BH81*'2.2 Input_General_Information'!$J$94*'2.2 Input_General_Information'!$J$92*'2.2 Input_General_Information'!$J$93</f>
        <v>10385.666158687445</v>
      </c>
      <c r="BI93" s="186">
        <f ca="1">BI81*'2.2 Input_General_Information'!$J$94*'2.2 Input_General_Information'!$J$92*'2.2 Input_General_Information'!$J$93</f>
        <v>10385.591442500132</v>
      </c>
      <c r="BJ93" s="186">
        <f ca="1">BJ81*'2.2 Input_General_Information'!$J$94*'2.2 Input_General_Information'!$J$92*'2.2 Input_General_Information'!$J$93</f>
        <v>10385.542405127631</v>
      </c>
      <c r="BK93" s="186">
        <f ca="1">BK81*'2.2 Input_General_Information'!$J$94*'2.2 Input_General_Information'!$J$92*'2.2 Input_General_Information'!$J$93</f>
        <v>10385.507073969911</v>
      </c>
      <c r="BL93" s="99"/>
      <c r="BM93" s="99"/>
      <c r="BN93" s="99"/>
      <c r="BO93" s="99"/>
      <c r="BP93" s="99"/>
      <c r="BQ93" s="99"/>
      <c r="BR93" s="99"/>
      <c r="BS93" s="99"/>
      <c r="BT93" s="99"/>
      <c r="BU93" s="99"/>
    </row>
    <row r="94" spans="1:73" hidden="1">
      <c r="A94" s="6"/>
      <c r="B94" s="108"/>
      <c r="C94" s="1"/>
      <c r="D94" s="1"/>
      <c r="E94" s="1"/>
      <c r="F94" s="12"/>
      <c r="G94" s="3"/>
      <c r="H94" s="3"/>
      <c r="I94" s="3"/>
      <c r="J94" s="3"/>
      <c r="K94" s="3"/>
      <c r="L94" s="3"/>
      <c r="M94" s="3"/>
      <c r="N94" s="3"/>
      <c r="O94" s="1"/>
      <c r="P94" s="1"/>
      <c r="Q94" s="1"/>
      <c r="R94" s="162"/>
      <c r="S94" s="1"/>
      <c r="T94" s="103"/>
      <c r="U94" s="103"/>
      <c r="V94" s="262" t="str">
        <f>$J$10</f>
        <v>Other</v>
      </c>
      <c r="W94" s="186">
        <f ca="1">W82*'2.2 Input_General_Information'!$K$94*'2.2 Input_General_Information'!$K$92*'2.2 Input_General_Information'!$K$93</f>
        <v>2769.7484747956992</v>
      </c>
      <c r="X94" s="186">
        <f ca="1">X82*'2.2 Input_General_Information'!$K$94*'2.2 Input_General_Information'!$K$92*'2.2 Input_General_Information'!$K$93</f>
        <v>3456.6777696887775</v>
      </c>
      <c r="Y94" s="186">
        <f ca="1">Y82*'2.2 Input_General_Information'!$K$94*'2.2 Input_General_Information'!$K$92*'2.2 Input_General_Information'!$K$93</f>
        <v>5138.9254420273292</v>
      </c>
      <c r="Z94" s="186">
        <f ca="1">Z82*'2.2 Input_General_Information'!$K$94*'2.2 Input_General_Information'!$K$92*'2.2 Input_General_Information'!$K$93</f>
        <v>3064.8507470266973</v>
      </c>
      <c r="AA94" s="186">
        <f ca="1">AA82*'2.2 Input_General_Information'!$K$94*'2.2 Input_General_Information'!$K$92*'2.2 Input_General_Information'!$K$93</f>
        <v>2931.2672616527479</v>
      </c>
      <c r="AB94" s="186">
        <f ca="1">AB82*'2.2 Input_General_Information'!$K$94*'2.2 Input_General_Information'!$K$92*'2.2 Input_General_Information'!$K$93</f>
        <v>2921.12872545457</v>
      </c>
      <c r="AC94" s="186">
        <f ca="1">AC82*'2.2 Input_General_Information'!$K$94*'2.2 Input_General_Information'!$K$92*'2.2 Input_General_Information'!$K$93</f>
        <v>2909.6994307535952</v>
      </c>
      <c r="AD94" s="186">
        <f ca="1">AD82*'2.2 Input_General_Information'!$K$94*'2.2 Input_General_Information'!$K$92*'2.2 Input_General_Information'!$K$93</f>
        <v>2897.7187452333583</v>
      </c>
      <c r="AE94" s="186">
        <f ca="1">AE82*'2.2 Input_General_Information'!$K$94*'2.2 Input_General_Information'!$K$92*'2.2 Input_General_Information'!$K$93</f>
        <v>2886.0903380167556</v>
      </c>
      <c r="AF94" s="186">
        <f ca="1">AF82*'2.2 Input_General_Information'!$K$94*'2.2 Input_General_Information'!$K$92*'2.2 Input_General_Information'!$K$93</f>
        <v>2875.5411147138561</v>
      </c>
      <c r="AG94" s="186">
        <f ca="1">AG82*'2.2 Input_General_Information'!$K$94*'2.2 Input_General_Information'!$K$92*'2.2 Input_General_Information'!$K$93</f>
        <v>2866.6317672648333</v>
      </c>
      <c r="AH94" s="186">
        <f ca="1">AH82*'2.2 Input_General_Information'!$K$94*'2.2 Input_General_Information'!$K$92*'2.2 Input_General_Information'!$K$93</f>
        <v>2859.8200372491187</v>
      </c>
      <c r="AI94" s="186">
        <f ca="1">AI82*'2.2 Input_General_Information'!$K$94*'2.2 Input_General_Information'!$K$92*'2.2 Input_General_Information'!$K$93</f>
        <v>2855.5618011932806</v>
      </c>
      <c r="AJ94" s="186">
        <f ca="1">AJ82*'2.2 Input_General_Information'!$K$94*'2.2 Input_General_Information'!$K$92*'2.2 Input_General_Information'!$K$93</f>
        <v>2854.4316350942254</v>
      </c>
      <c r="AK94" s="186">
        <f ca="1">AK82*'2.2 Input_General_Information'!$K$94*'2.2 Input_General_Information'!$K$92*'2.2 Input_General_Information'!$K$93</f>
        <v>2857.237643205196</v>
      </c>
      <c r="AL94" s="186">
        <f ca="1">AL82*'2.2 Input_General_Information'!$K$94*'2.2 Input_General_Information'!$K$92*'2.2 Input_General_Information'!$K$93</f>
        <v>2865.0781248939174</v>
      </c>
      <c r="AM94" s="186">
        <f ca="1">AM82*'2.2 Input_General_Information'!$K$94*'2.2 Input_General_Information'!$K$92*'2.2 Input_General_Information'!$K$93</f>
        <v>2879.2119279236749</v>
      </c>
      <c r="AN94" s="186">
        <f ca="1">AN82*'2.2 Input_General_Information'!$K$94*'2.2 Input_General_Information'!$K$92*'2.2 Input_General_Information'!$K$93</f>
        <v>2900.4667373684179</v>
      </c>
      <c r="AO94" s="186">
        <f ca="1">AO82*'2.2 Input_General_Information'!$K$94*'2.2 Input_General_Information'!$K$92*'2.2 Input_General_Information'!$K$93</f>
        <v>2927.7530066987383</v>
      </c>
      <c r="AP94" s="186">
        <f ca="1">AP82*'2.2 Input_General_Information'!$K$94*'2.2 Input_General_Information'!$K$92*'2.2 Input_General_Information'!$K$93</f>
        <v>2955.4613321827114</v>
      </c>
      <c r="AQ94" s="186">
        <f ca="1">AQ82*'2.2 Input_General_Information'!$K$94*'2.2 Input_General_Information'!$K$92*'2.2 Input_General_Information'!$K$93</f>
        <v>2970.9173647213474</v>
      </c>
      <c r="AR94" s="186">
        <f ca="1">AR82*'2.2 Input_General_Information'!$K$94*'2.2 Input_General_Information'!$K$92*'2.2 Input_General_Information'!$K$93</f>
        <v>2955.6702362138553</v>
      </c>
      <c r="AS94" s="186">
        <f ca="1">AS82*'2.2 Input_General_Information'!$K$94*'2.2 Input_General_Information'!$K$92*'2.2 Input_General_Information'!$K$93</f>
        <v>2894.3361878041947</v>
      </c>
      <c r="AT94" s="186">
        <f ca="1">AT82*'2.2 Input_General_Information'!$K$94*'2.2 Input_General_Information'!$K$92*'2.2 Input_General_Information'!$K$93</f>
        <v>2786.8293284003066</v>
      </c>
      <c r="AU94" s="186">
        <f ca="1">AU82*'2.2 Input_General_Information'!$K$94*'2.2 Input_General_Information'!$K$92*'2.2 Input_General_Information'!$K$93</f>
        <v>2651.5233402869726</v>
      </c>
      <c r="AV94" s="186">
        <f ca="1">AV82*'2.2 Input_General_Information'!$K$94*'2.2 Input_General_Information'!$K$92*'2.2 Input_General_Information'!$K$93</f>
        <v>2514.4970922335287</v>
      </c>
      <c r="AW94" s="186">
        <f ca="1">AW82*'2.2 Input_General_Information'!$K$94*'2.2 Input_General_Information'!$K$92*'2.2 Input_General_Information'!$K$93</f>
        <v>2395.7371638418967</v>
      </c>
      <c r="AX94" s="186">
        <f ca="1">AX82*'2.2 Input_General_Information'!$K$94*'2.2 Input_General_Information'!$K$92*'2.2 Input_General_Information'!$K$93</f>
        <v>2303.6025083392233</v>
      </c>
      <c r="AY94" s="186">
        <f ca="1">AY82*'2.2 Input_General_Information'!$K$94*'2.2 Input_General_Information'!$K$92*'2.2 Input_General_Information'!$K$93</f>
        <v>2237.3899571526786</v>
      </c>
      <c r="AZ94" s="186">
        <f ca="1">AZ82*'2.2 Input_General_Information'!$K$94*'2.2 Input_General_Information'!$K$92*'2.2 Input_General_Information'!$K$93</f>
        <v>2192.184690040765</v>
      </c>
      <c r="BA94" s="186">
        <f ca="1">BA82*'2.2 Input_General_Information'!$K$94*'2.2 Input_General_Information'!$K$92*'2.2 Input_General_Information'!$K$93</f>
        <v>2162.3380514641235</v>
      </c>
      <c r="BB94" s="186">
        <f ca="1">BB82*'2.2 Input_General_Information'!$K$94*'2.2 Input_General_Information'!$K$92*'2.2 Input_General_Information'!$K$93</f>
        <v>2143.0493083030351</v>
      </c>
      <c r="BC94" s="186">
        <f ca="1">BC82*'2.2 Input_General_Information'!$K$94*'2.2 Input_General_Information'!$K$92*'2.2 Input_General_Information'!$K$93</f>
        <v>2130.7498283987161</v>
      </c>
      <c r="BD94" s="186">
        <f ca="1">BD82*'2.2 Input_General_Information'!$K$94*'2.2 Input_General_Information'!$K$92*'2.2 Input_General_Information'!$K$93</f>
        <v>2122.970959544266</v>
      </c>
      <c r="BE94" s="186">
        <f ca="1">BE82*'2.2 Input_General_Information'!$K$94*'2.2 Input_General_Information'!$K$92*'2.2 Input_General_Information'!$K$93</f>
        <v>2118.0744104697264</v>
      </c>
      <c r="BF94" s="186">
        <f ca="1">BF82*'2.2 Input_General_Information'!$K$94*'2.2 Input_General_Information'!$K$92*'2.2 Input_General_Information'!$K$93</f>
        <v>2114.9995031510261</v>
      </c>
      <c r="BG94" s="186">
        <f ca="1">BG82*'2.2 Input_General_Information'!$K$94*'2.2 Input_General_Information'!$K$92*'2.2 Input_General_Information'!$K$93</f>
        <v>2113.069701792293</v>
      </c>
      <c r="BH94" s="186">
        <f ca="1">BH82*'2.2 Input_General_Information'!$K$94*'2.2 Input_General_Information'!$K$92*'2.2 Input_General_Information'!$K$93</f>
        <v>2111.8573764280304</v>
      </c>
      <c r="BI94" s="186">
        <f ca="1">BI82*'2.2 Input_General_Information'!$K$94*'2.2 Input_General_Information'!$K$92*'2.2 Input_General_Information'!$K$93</f>
        <v>2111.0936990390437</v>
      </c>
      <c r="BJ94" s="186">
        <f ca="1">BJ82*'2.2 Input_General_Information'!$K$94*'2.2 Input_General_Information'!$K$92*'2.2 Input_General_Information'!$K$93</f>
        <v>2110.6102209067853</v>
      </c>
      <c r="BK94" s="186">
        <f ca="1">BK82*'2.2 Input_General_Information'!$K$94*'2.2 Input_General_Information'!$K$92*'2.2 Input_General_Information'!$K$93</f>
        <v>2110.3015917397238</v>
      </c>
      <c r="BL94" s="99"/>
      <c r="BM94" s="99"/>
      <c r="BN94" s="99"/>
      <c r="BO94" s="99"/>
      <c r="BP94" s="99"/>
      <c r="BQ94" s="99"/>
      <c r="BR94" s="99"/>
      <c r="BS94" s="99"/>
      <c r="BT94" s="99"/>
      <c r="BU94" s="99"/>
    </row>
    <row r="95" spans="1:73" hidden="1">
      <c r="A95" s="6"/>
      <c r="B95" s="108"/>
      <c r="C95" s="1"/>
      <c r="D95" s="1"/>
      <c r="E95" s="1"/>
      <c r="F95" s="12"/>
      <c r="G95" s="3"/>
      <c r="H95" s="3"/>
      <c r="I95" s="3"/>
      <c r="J95" s="3"/>
      <c r="K95" s="3"/>
      <c r="L95" s="3"/>
      <c r="M95" s="3"/>
      <c r="N95" s="3"/>
      <c r="O95" s="1"/>
      <c r="P95" s="1"/>
      <c r="Q95" s="1"/>
      <c r="R95" s="162"/>
      <c r="S95" s="1"/>
      <c r="T95" s="103"/>
      <c r="U95" s="103"/>
      <c r="V95" s="262" t="str">
        <f>$K$10</f>
        <v>Profile 5</v>
      </c>
      <c r="W95" s="186">
        <f ca="1">W83*'2.2 Input_General_Information'!$L$94*'2.2 Input_General_Information'!$L$92*'2.2 Input_General_Information'!$L$93</f>
        <v>0</v>
      </c>
      <c r="X95" s="186">
        <f ca="1">X83*'2.2 Input_General_Information'!$L$94*'2.2 Input_General_Information'!$L$92*'2.2 Input_General_Information'!$L$93</f>
        <v>0</v>
      </c>
      <c r="Y95" s="186">
        <f ca="1">Y83*'2.2 Input_General_Information'!$L$94*'2.2 Input_General_Information'!$L$92*'2.2 Input_General_Information'!$L$93</f>
        <v>0</v>
      </c>
      <c r="Z95" s="186">
        <f ca="1">Z83*'2.2 Input_General_Information'!$L$94*'2.2 Input_General_Information'!$L$92*'2.2 Input_General_Information'!$L$93</f>
        <v>0</v>
      </c>
      <c r="AA95" s="186">
        <f ca="1">AA83*'2.2 Input_General_Information'!$L$94*'2.2 Input_General_Information'!$L$92*'2.2 Input_General_Information'!$L$93</f>
        <v>0</v>
      </c>
      <c r="AB95" s="186">
        <f ca="1">AB83*'2.2 Input_General_Information'!$L$94*'2.2 Input_General_Information'!$L$92*'2.2 Input_General_Information'!$L$93</f>
        <v>0</v>
      </c>
      <c r="AC95" s="186">
        <f ca="1">AC83*'2.2 Input_General_Information'!$L$94*'2.2 Input_General_Information'!$L$92*'2.2 Input_General_Information'!$L$93</f>
        <v>0</v>
      </c>
      <c r="AD95" s="186">
        <f ca="1">AD83*'2.2 Input_General_Information'!$L$94*'2.2 Input_General_Information'!$L$92*'2.2 Input_General_Information'!$L$93</f>
        <v>0</v>
      </c>
      <c r="AE95" s="186">
        <f ca="1">AE83*'2.2 Input_General_Information'!$L$94*'2.2 Input_General_Information'!$L$92*'2.2 Input_General_Information'!$L$93</f>
        <v>0</v>
      </c>
      <c r="AF95" s="186">
        <f ca="1">AF83*'2.2 Input_General_Information'!$L$94*'2.2 Input_General_Information'!$L$92*'2.2 Input_General_Information'!$L$93</f>
        <v>0</v>
      </c>
      <c r="AG95" s="186">
        <f ca="1">AG83*'2.2 Input_General_Information'!$L$94*'2.2 Input_General_Information'!$L$92*'2.2 Input_General_Information'!$L$93</f>
        <v>0</v>
      </c>
      <c r="AH95" s="186">
        <f ca="1">AH83*'2.2 Input_General_Information'!$L$94*'2.2 Input_General_Information'!$L$92*'2.2 Input_General_Information'!$L$93</f>
        <v>0</v>
      </c>
      <c r="AI95" s="186">
        <f ca="1">AI83*'2.2 Input_General_Information'!$L$94*'2.2 Input_General_Information'!$L$92*'2.2 Input_General_Information'!$L$93</f>
        <v>0</v>
      </c>
      <c r="AJ95" s="186">
        <f ca="1">AJ83*'2.2 Input_General_Information'!$L$94*'2.2 Input_General_Information'!$L$92*'2.2 Input_General_Information'!$L$93</f>
        <v>0</v>
      </c>
      <c r="AK95" s="186">
        <f ca="1">AK83*'2.2 Input_General_Information'!$L$94*'2.2 Input_General_Information'!$L$92*'2.2 Input_General_Information'!$L$93</f>
        <v>0</v>
      </c>
      <c r="AL95" s="186">
        <f ca="1">AL83*'2.2 Input_General_Information'!$L$94*'2.2 Input_General_Information'!$L$92*'2.2 Input_General_Information'!$L$93</f>
        <v>0</v>
      </c>
      <c r="AM95" s="186">
        <f ca="1">AM83*'2.2 Input_General_Information'!$L$94*'2.2 Input_General_Information'!$L$92*'2.2 Input_General_Information'!$L$93</f>
        <v>0</v>
      </c>
      <c r="AN95" s="186">
        <f ca="1">AN83*'2.2 Input_General_Information'!$L$94*'2.2 Input_General_Information'!$L$92*'2.2 Input_General_Information'!$L$93</f>
        <v>0</v>
      </c>
      <c r="AO95" s="186">
        <f ca="1">AO83*'2.2 Input_General_Information'!$L$94*'2.2 Input_General_Information'!$L$92*'2.2 Input_General_Information'!$L$93</f>
        <v>0</v>
      </c>
      <c r="AP95" s="186">
        <f ca="1">AP83*'2.2 Input_General_Information'!$L$94*'2.2 Input_General_Information'!$L$92*'2.2 Input_General_Information'!$L$93</f>
        <v>0</v>
      </c>
      <c r="AQ95" s="186">
        <f ca="1">AQ83*'2.2 Input_General_Information'!$L$94*'2.2 Input_General_Information'!$L$92*'2.2 Input_General_Information'!$L$93</f>
        <v>0</v>
      </c>
      <c r="AR95" s="186">
        <f ca="1">AR83*'2.2 Input_General_Information'!$L$94*'2.2 Input_General_Information'!$L$92*'2.2 Input_General_Information'!$L$93</f>
        <v>0</v>
      </c>
      <c r="AS95" s="186">
        <f ca="1">AS83*'2.2 Input_General_Information'!$L$94*'2.2 Input_General_Information'!$L$92*'2.2 Input_General_Information'!$L$93</f>
        <v>0</v>
      </c>
      <c r="AT95" s="186">
        <f ca="1">AT83*'2.2 Input_General_Information'!$L$94*'2.2 Input_General_Information'!$L$92*'2.2 Input_General_Information'!$L$93</f>
        <v>0</v>
      </c>
      <c r="AU95" s="186">
        <f ca="1">AU83*'2.2 Input_General_Information'!$L$94*'2.2 Input_General_Information'!$L$92*'2.2 Input_General_Information'!$L$93</f>
        <v>0</v>
      </c>
      <c r="AV95" s="186">
        <f ca="1">AV83*'2.2 Input_General_Information'!$L$94*'2.2 Input_General_Information'!$L$92*'2.2 Input_General_Information'!$L$93</f>
        <v>0</v>
      </c>
      <c r="AW95" s="186">
        <f ca="1">AW83*'2.2 Input_General_Information'!$L$94*'2.2 Input_General_Information'!$L$92*'2.2 Input_General_Information'!$L$93</f>
        <v>0</v>
      </c>
      <c r="AX95" s="186">
        <f ca="1">AX83*'2.2 Input_General_Information'!$L$94*'2.2 Input_General_Information'!$L$92*'2.2 Input_General_Information'!$L$93</f>
        <v>0</v>
      </c>
      <c r="AY95" s="186">
        <f ca="1">AY83*'2.2 Input_General_Information'!$L$94*'2.2 Input_General_Information'!$L$92*'2.2 Input_General_Information'!$L$93</f>
        <v>0</v>
      </c>
      <c r="AZ95" s="186">
        <f ca="1">AZ83*'2.2 Input_General_Information'!$L$94*'2.2 Input_General_Information'!$L$92*'2.2 Input_General_Information'!$L$93</f>
        <v>0</v>
      </c>
      <c r="BA95" s="186">
        <f ca="1">BA83*'2.2 Input_General_Information'!$L$94*'2.2 Input_General_Information'!$L$92*'2.2 Input_General_Information'!$L$93</f>
        <v>0</v>
      </c>
      <c r="BB95" s="186">
        <f ca="1">BB83*'2.2 Input_General_Information'!$L$94*'2.2 Input_General_Information'!$L$92*'2.2 Input_General_Information'!$L$93</f>
        <v>0</v>
      </c>
      <c r="BC95" s="186">
        <f ca="1">BC83*'2.2 Input_General_Information'!$L$94*'2.2 Input_General_Information'!$L$92*'2.2 Input_General_Information'!$L$93</f>
        <v>0</v>
      </c>
      <c r="BD95" s="186">
        <f ca="1">BD83*'2.2 Input_General_Information'!$L$94*'2.2 Input_General_Information'!$L$92*'2.2 Input_General_Information'!$L$93</f>
        <v>0</v>
      </c>
      <c r="BE95" s="186">
        <f ca="1">BE83*'2.2 Input_General_Information'!$L$94*'2.2 Input_General_Information'!$L$92*'2.2 Input_General_Information'!$L$93</f>
        <v>0</v>
      </c>
      <c r="BF95" s="186">
        <f ca="1">BF83*'2.2 Input_General_Information'!$L$94*'2.2 Input_General_Information'!$L$92*'2.2 Input_General_Information'!$L$93</f>
        <v>0</v>
      </c>
      <c r="BG95" s="186">
        <f ca="1">BG83*'2.2 Input_General_Information'!$L$94*'2.2 Input_General_Information'!$L$92*'2.2 Input_General_Information'!$L$93</f>
        <v>0</v>
      </c>
      <c r="BH95" s="186">
        <f ca="1">BH83*'2.2 Input_General_Information'!$L$94*'2.2 Input_General_Information'!$L$92*'2.2 Input_General_Information'!$L$93</f>
        <v>0</v>
      </c>
      <c r="BI95" s="186">
        <f ca="1">BI83*'2.2 Input_General_Information'!$L$94*'2.2 Input_General_Information'!$L$92*'2.2 Input_General_Information'!$L$93</f>
        <v>0</v>
      </c>
      <c r="BJ95" s="186">
        <f ca="1">BJ83*'2.2 Input_General_Information'!$L$94*'2.2 Input_General_Information'!$L$92*'2.2 Input_General_Information'!$L$93</f>
        <v>0</v>
      </c>
      <c r="BK95" s="186">
        <f ca="1">BK83*'2.2 Input_General_Information'!$L$94*'2.2 Input_General_Information'!$L$92*'2.2 Input_General_Information'!$L$93</f>
        <v>0</v>
      </c>
      <c r="BL95" s="99"/>
      <c r="BM95" s="99"/>
      <c r="BN95" s="99"/>
      <c r="BO95" s="99"/>
      <c r="BP95" s="99"/>
      <c r="BQ95" s="99"/>
      <c r="BR95" s="99"/>
      <c r="BS95" s="99"/>
      <c r="BT95" s="99"/>
      <c r="BU95" s="99"/>
    </row>
    <row r="96" spans="1:73" hidden="1">
      <c r="A96" s="6"/>
      <c r="B96" s="108"/>
      <c r="C96" s="1"/>
      <c r="D96" s="1"/>
      <c r="E96" s="1"/>
      <c r="F96" s="12"/>
      <c r="G96" s="3"/>
      <c r="H96" s="3"/>
      <c r="I96" s="3"/>
      <c r="J96" s="3"/>
      <c r="K96" s="3"/>
      <c r="L96" s="3"/>
      <c r="M96" s="3"/>
      <c r="N96" s="3"/>
      <c r="O96" s="1"/>
      <c r="P96" s="1"/>
      <c r="Q96" s="1"/>
      <c r="R96" s="162"/>
      <c r="S96" s="1"/>
      <c r="T96" s="103"/>
      <c r="U96" s="103"/>
      <c r="V96" s="262" t="str">
        <f>$L$10</f>
        <v>Profile 6</v>
      </c>
      <c r="W96" s="186">
        <f ca="1">W84*'2.2 Input_General_Information'!$M$94*'2.2 Input_General_Information'!$M$92*'2.2 Input_General_Information'!$M$93</f>
        <v>0</v>
      </c>
      <c r="X96" s="186">
        <f ca="1">X84*'2.2 Input_General_Information'!$M$94*'2.2 Input_General_Information'!$M$92*'2.2 Input_General_Information'!$M$93</f>
        <v>0</v>
      </c>
      <c r="Y96" s="186">
        <f ca="1">Y84*'2.2 Input_General_Information'!$M$94*'2.2 Input_General_Information'!$M$92*'2.2 Input_General_Information'!$M$93</f>
        <v>0</v>
      </c>
      <c r="Z96" s="186">
        <f ca="1">Z84*'2.2 Input_General_Information'!$M$94*'2.2 Input_General_Information'!$M$92*'2.2 Input_General_Information'!$M$93</f>
        <v>0</v>
      </c>
      <c r="AA96" s="186">
        <f ca="1">AA84*'2.2 Input_General_Information'!$M$94*'2.2 Input_General_Information'!$M$92*'2.2 Input_General_Information'!$M$93</f>
        <v>0</v>
      </c>
      <c r="AB96" s="186">
        <f ca="1">AB84*'2.2 Input_General_Information'!$M$94*'2.2 Input_General_Information'!$M$92*'2.2 Input_General_Information'!$M$93</f>
        <v>0</v>
      </c>
      <c r="AC96" s="186">
        <f ca="1">AC84*'2.2 Input_General_Information'!$M$94*'2.2 Input_General_Information'!$M$92*'2.2 Input_General_Information'!$M$93</f>
        <v>0</v>
      </c>
      <c r="AD96" s="186">
        <f ca="1">AD84*'2.2 Input_General_Information'!$M$94*'2.2 Input_General_Information'!$M$92*'2.2 Input_General_Information'!$M$93</f>
        <v>0</v>
      </c>
      <c r="AE96" s="186">
        <f ca="1">AE84*'2.2 Input_General_Information'!$M$94*'2.2 Input_General_Information'!$M$92*'2.2 Input_General_Information'!$M$93</f>
        <v>0</v>
      </c>
      <c r="AF96" s="186">
        <f ca="1">AF84*'2.2 Input_General_Information'!$M$94*'2.2 Input_General_Information'!$M$92*'2.2 Input_General_Information'!$M$93</f>
        <v>0</v>
      </c>
      <c r="AG96" s="186">
        <f ca="1">AG84*'2.2 Input_General_Information'!$M$94*'2.2 Input_General_Information'!$M$92*'2.2 Input_General_Information'!$M$93</f>
        <v>0</v>
      </c>
      <c r="AH96" s="186">
        <f ca="1">AH84*'2.2 Input_General_Information'!$M$94*'2.2 Input_General_Information'!$M$92*'2.2 Input_General_Information'!$M$93</f>
        <v>0</v>
      </c>
      <c r="AI96" s="186">
        <f ca="1">AI84*'2.2 Input_General_Information'!$M$94*'2.2 Input_General_Information'!$M$92*'2.2 Input_General_Information'!$M$93</f>
        <v>0</v>
      </c>
      <c r="AJ96" s="186">
        <f ca="1">AJ84*'2.2 Input_General_Information'!$M$94*'2.2 Input_General_Information'!$M$92*'2.2 Input_General_Information'!$M$93</f>
        <v>0</v>
      </c>
      <c r="AK96" s="186">
        <f ca="1">AK84*'2.2 Input_General_Information'!$M$94*'2.2 Input_General_Information'!$M$92*'2.2 Input_General_Information'!$M$93</f>
        <v>0</v>
      </c>
      <c r="AL96" s="186">
        <f ca="1">AL84*'2.2 Input_General_Information'!$M$94*'2.2 Input_General_Information'!$M$92*'2.2 Input_General_Information'!$M$93</f>
        <v>0</v>
      </c>
      <c r="AM96" s="186">
        <f ca="1">AM84*'2.2 Input_General_Information'!$M$94*'2.2 Input_General_Information'!$M$92*'2.2 Input_General_Information'!$M$93</f>
        <v>0</v>
      </c>
      <c r="AN96" s="186">
        <f ca="1">AN84*'2.2 Input_General_Information'!$M$94*'2.2 Input_General_Information'!$M$92*'2.2 Input_General_Information'!$M$93</f>
        <v>0</v>
      </c>
      <c r="AO96" s="186">
        <f ca="1">AO84*'2.2 Input_General_Information'!$M$94*'2.2 Input_General_Information'!$M$92*'2.2 Input_General_Information'!$M$93</f>
        <v>0</v>
      </c>
      <c r="AP96" s="186">
        <f ca="1">AP84*'2.2 Input_General_Information'!$M$94*'2.2 Input_General_Information'!$M$92*'2.2 Input_General_Information'!$M$93</f>
        <v>0</v>
      </c>
      <c r="AQ96" s="186">
        <f ca="1">AQ84*'2.2 Input_General_Information'!$M$94*'2.2 Input_General_Information'!$M$92*'2.2 Input_General_Information'!$M$93</f>
        <v>0</v>
      </c>
      <c r="AR96" s="186">
        <f ca="1">AR84*'2.2 Input_General_Information'!$M$94*'2.2 Input_General_Information'!$M$92*'2.2 Input_General_Information'!$M$93</f>
        <v>0</v>
      </c>
      <c r="AS96" s="186">
        <f ca="1">AS84*'2.2 Input_General_Information'!$M$94*'2.2 Input_General_Information'!$M$92*'2.2 Input_General_Information'!$M$93</f>
        <v>0</v>
      </c>
      <c r="AT96" s="186">
        <f ca="1">AT84*'2.2 Input_General_Information'!$M$94*'2.2 Input_General_Information'!$M$92*'2.2 Input_General_Information'!$M$93</f>
        <v>0</v>
      </c>
      <c r="AU96" s="186">
        <f ca="1">AU84*'2.2 Input_General_Information'!$M$94*'2.2 Input_General_Information'!$M$92*'2.2 Input_General_Information'!$M$93</f>
        <v>0</v>
      </c>
      <c r="AV96" s="186">
        <f ca="1">AV84*'2.2 Input_General_Information'!$M$94*'2.2 Input_General_Information'!$M$92*'2.2 Input_General_Information'!$M$93</f>
        <v>0</v>
      </c>
      <c r="AW96" s="186">
        <f ca="1">AW84*'2.2 Input_General_Information'!$M$94*'2.2 Input_General_Information'!$M$92*'2.2 Input_General_Information'!$M$93</f>
        <v>0</v>
      </c>
      <c r="AX96" s="186">
        <f ca="1">AX84*'2.2 Input_General_Information'!$M$94*'2.2 Input_General_Information'!$M$92*'2.2 Input_General_Information'!$M$93</f>
        <v>0</v>
      </c>
      <c r="AY96" s="186">
        <f ca="1">AY84*'2.2 Input_General_Information'!$M$94*'2.2 Input_General_Information'!$M$92*'2.2 Input_General_Information'!$M$93</f>
        <v>0</v>
      </c>
      <c r="AZ96" s="186">
        <f ca="1">AZ84*'2.2 Input_General_Information'!$M$94*'2.2 Input_General_Information'!$M$92*'2.2 Input_General_Information'!$M$93</f>
        <v>0</v>
      </c>
      <c r="BA96" s="186">
        <f ca="1">BA84*'2.2 Input_General_Information'!$M$94*'2.2 Input_General_Information'!$M$92*'2.2 Input_General_Information'!$M$93</f>
        <v>0</v>
      </c>
      <c r="BB96" s="186">
        <f ca="1">BB84*'2.2 Input_General_Information'!$M$94*'2.2 Input_General_Information'!$M$92*'2.2 Input_General_Information'!$M$93</f>
        <v>0</v>
      </c>
      <c r="BC96" s="186">
        <f ca="1">BC84*'2.2 Input_General_Information'!$M$94*'2.2 Input_General_Information'!$M$92*'2.2 Input_General_Information'!$M$93</f>
        <v>0</v>
      </c>
      <c r="BD96" s="186">
        <f ca="1">BD84*'2.2 Input_General_Information'!$M$94*'2.2 Input_General_Information'!$M$92*'2.2 Input_General_Information'!$M$93</f>
        <v>0</v>
      </c>
      <c r="BE96" s="186">
        <f ca="1">BE84*'2.2 Input_General_Information'!$M$94*'2.2 Input_General_Information'!$M$92*'2.2 Input_General_Information'!$M$93</f>
        <v>0</v>
      </c>
      <c r="BF96" s="186">
        <f ca="1">BF84*'2.2 Input_General_Information'!$M$94*'2.2 Input_General_Information'!$M$92*'2.2 Input_General_Information'!$M$93</f>
        <v>0</v>
      </c>
      <c r="BG96" s="186">
        <f ca="1">BG84*'2.2 Input_General_Information'!$M$94*'2.2 Input_General_Information'!$M$92*'2.2 Input_General_Information'!$M$93</f>
        <v>0</v>
      </c>
      <c r="BH96" s="186">
        <f ca="1">BH84*'2.2 Input_General_Information'!$M$94*'2.2 Input_General_Information'!$M$92*'2.2 Input_General_Information'!$M$93</f>
        <v>0</v>
      </c>
      <c r="BI96" s="186">
        <f ca="1">BI84*'2.2 Input_General_Information'!$M$94*'2.2 Input_General_Information'!$M$92*'2.2 Input_General_Information'!$M$93</f>
        <v>0</v>
      </c>
      <c r="BJ96" s="186">
        <f ca="1">BJ84*'2.2 Input_General_Information'!$M$94*'2.2 Input_General_Information'!$M$92*'2.2 Input_General_Information'!$M$93</f>
        <v>0</v>
      </c>
      <c r="BK96" s="186">
        <f ca="1">BK84*'2.2 Input_General_Information'!$M$94*'2.2 Input_General_Information'!$M$92*'2.2 Input_General_Information'!$M$93</f>
        <v>0</v>
      </c>
      <c r="BL96" s="99"/>
      <c r="BM96" s="99"/>
      <c r="BN96" s="99"/>
      <c r="BO96" s="99"/>
      <c r="BP96" s="99"/>
      <c r="BQ96" s="99"/>
      <c r="BR96" s="99"/>
      <c r="BS96" s="99"/>
      <c r="BT96" s="99"/>
      <c r="BU96" s="99"/>
    </row>
    <row r="97" spans="1:73" hidden="1">
      <c r="A97" s="6"/>
      <c r="B97" s="108"/>
      <c r="C97" s="1"/>
      <c r="D97" s="1"/>
      <c r="E97" s="1"/>
      <c r="F97" s="12"/>
      <c r="G97" s="3"/>
      <c r="H97" s="3"/>
      <c r="I97" s="3"/>
      <c r="J97" s="3"/>
      <c r="K97" s="3"/>
      <c r="L97" s="3"/>
      <c r="M97" s="3"/>
      <c r="N97" s="3"/>
      <c r="O97" s="1"/>
      <c r="P97" s="1"/>
      <c r="Q97" s="1"/>
      <c r="R97" s="162"/>
      <c r="S97" s="1"/>
      <c r="T97" s="103"/>
      <c r="U97" s="103"/>
      <c r="V97" s="262" t="str">
        <f>$M$10</f>
        <v>Profile 7</v>
      </c>
      <c r="W97" s="186">
        <f ca="1">W85*'2.2 Input_General_Information'!$N$94*'2.2 Input_General_Information'!$N$92*'2.2 Input_General_Information'!$N$93</f>
        <v>0</v>
      </c>
      <c r="X97" s="186">
        <f ca="1">X85*'2.2 Input_General_Information'!$N$94*'2.2 Input_General_Information'!$N$92*'2.2 Input_General_Information'!$N$93</f>
        <v>0</v>
      </c>
      <c r="Y97" s="186">
        <f ca="1">Y85*'2.2 Input_General_Information'!$N$94*'2.2 Input_General_Information'!$N$92*'2.2 Input_General_Information'!$N$93</f>
        <v>0</v>
      </c>
      <c r="Z97" s="186">
        <f ca="1">Z85*'2.2 Input_General_Information'!$N$94*'2.2 Input_General_Information'!$N$92*'2.2 Input_General_Information'!$N$93</f>
        <v>0</v>
      </c>
      <c r="AA97" s="186">
        <f ca="1">AA85*'2.2 Input_General_Information'!$N$94*'2.2 Input_General_Information'!$N$92*'2.2 Input_General_Information'!$N$93</f>
        <v>0</v>
      </c>
      <c r="AB97" s="186">
        <f ca="1">AB85*'2.2 Input_General_Information'!$N$94*'2.2 Input_General_Information'!$N$92*'2.2 Input_General_Information'!$N$93</f>
        <v>0</v>
      </c>
      <c r="AC97" s="186">
        <f ca="1">AC85*'2.2 Input_General_Information'!$N$94*'2.2 Input_General_Information'!$N$92*'2.2 Input_General_Information'!$N$93</f>
        <v>0</v>
      </c>
      <c r="AD97" s="186">
        <f ca="1">AD85*'2.2 Input_General_Information'!$N$94*'2.2 Input_General_Information'!$N$92*'2.2 Input_General_Information'!$N$93</f>
        <v>0</v>
      </c>
      <c r="AE97" s="186">
        <f ca="1">AE85*'2.2 Input_General_Information'!$N$94*'2.2 Input_General_Information'!$N$92*'2.2 Input_General_Information'!$N$93</f>
        <v>0</v>
      </c>
      <c r="AF97" s="186">
        <f ca="1">AF85*'2.2 Input_General_Information'!$N$94*'2.2 Input_General_Information'!$N$92*'2.2 Input_General_Information'!$N$93</f>
        <v>0</v>
      </c>
      <c r="AG97" s="186">
        <f ca="1">AG85*'2.2 Input_General_Information'!$N$94*'2.2 Input_General_Information'!$N$92*'2.2 Input_General_Information'!$N$93</f>
        <v>0</v>
      </c>
      <c r="AH97" s="186">
        <f ca="1">AH85*'2.2 Input_General_Information'!$N$94*'2.2 Input_General_Information'!$N$92*'2.2 Input_General_Information'!$N$93</f>
        <v>0</v>
      </c>
      <c r="AI97" s="186">
        <f ca="1">AI85*'2.2 Input_General_Information'!$N$94*'2.2 Input_General_Information'!$N$92*'2.2 Input_General_Information'!$N$93</f>
        <v>0</v>
      </c>
      <c r="AJ97" s="186">
        <f ca="1">AJ85*'2.2 Input_General_Information'!$N$94*'2.2 Input_General_Information'!$N$92*'2.2 Input_General_Information'!$N$93</f>
        <v>0</v>
      </c>
      <c r="AK97" s="186">
        <f ca="1">AK85*'2.2 Input_General_Information'!$N$94*'2.2 Input_General_Information'!$N$92*'2.2 Input_General_Information'!$N$93</f>
        <v>0</v>
      </c>
      <c r="AL97" s="186">
        <f ca="1">AL85*'2.2 Input_General_Information'!$N$94*'2.2 Input_General_Information'!$N$92*'2.2 Input_General_Information'!$N$93</f>
        <v>0</v>
      </c>
      <c r="AM97" s="186">
        <f ca="1">AM85*'2.2 Input_General_Information'!$N$94*'2.2 Input_General_Information'!$N$92*'2.2 Input_General_Information'!$N$93</f>
        <v>0</v>
      </c>
      <c r="AN97" s="186">
        <f ca="1">AN85*'2.2 Input_General_Information'!$N$94*'2.2 Input_General_Information'!$N$92*'2.2 Input_General_Information'!$N$93</f>
        <v>0</v>
      </c>
      <c r="AO97" s="186">
        <f ca="1">AO85*'2.2 Input_General_Information'!$N$94*'2.2 Input_General_Information'!$N$92*'2.2 Input_General_Information'!$N$93</f>
        <v>0</v>
      </c>
      <c r="AP97" s="186">
        <f ca="1">AP85*'2.2 Input_General_Information'!$N$94*'2.2 Input_General_Information'!$N$92*'2.2 Input_General_Information'!$N$93</f>
        <v>0</v>
      </c>
      <c r="AQ97" s="186">
        <f ca="1">AQ85*'2.2 Input_General_Information'!$N$94*'2.2 Input_General_Information'!$N$92*'2.2 Input_General_Information'!$N$93</f>
        <v>0</v>
      </c>
      <c r="AR97" s="186">
        <f ca="1">AR85*'2.2 Input_General_Information'!$N$94*'2.2 Input_General_Information'!$N$92*'2.2 Input_General_Information'!$N$93</f>
        <v>0</v>
      </c>
      <c r="AS97" s="186">
        <f ca="1">AS85*'2.2 Input_General_Information'!$N$94*'2.2 Input_General_Information'!$N$92*'2.2 Input_General_Information'!$N$93</f>
        <v>0</v>
      </c>
      <c r="AT97" s="186">
        <f ca="1">AT85*'2.2 Input_General_Information'!$N$94*'2.2 Input_General_Information'!$N$92*'2.2 Input_General_Information'!$N$93</f>
        <v>0</v>
      </c>
      <c r="AU97" s="186">
        <f ca="1">AU85*'2.2 Input_General_Information'!$N$94*'2.2 Input_General_Information'!$N$92*'2.2 Input_General_Information'!$N$93</f>
        <v>0</v>
      </c>
      <c r="AV97" s="186">
        <f ca="1">AV85*'2.2 Input_General_Information'!$N$94*'2.2 Input_General_Information'!$N$92*'2.2 Input_General_Information'!$N$93</f>
        <v>0</v>
      </c>
      <c r="AW97" s="186">
        <f ca="1">AW85*'2.2 Input_General_Information'!$N$94*'2.2 Input_General_Information'!$N$92*'2.2 Input_General_Information'!$N$93</f>
        <v>0</v>
      </c>
      <c r="AX97" s="186">
        <f ca="1">AX85*'2.2 Input_General_Information'!$N$94*'2.2 Input_General_Information'!$N$92*'2.2 Input_General_Information'!$N$93</f>
        <v>0</v>
      </c>
      <c r="AY97" s="186">
        <f ca="1">AY85*'2.2 Input_General_Information'!$N$94*'2.2 Input_General_Information'!$N$92*'2.2 Input_General_Information'!$N$93</f>
        <v>0</v>
      </c>
      <c r="AZ97" s="186">
        <f ca="1">AZ85*'2.2 Input_General_Information'!$N$94*'2.2 Input_General_Information'!$N$92*'2.2 Input_General_Information'!$N$93</f>
        <v>0</v>
      </c>
      <c r="BA97" s="186">
        <f ca="1">BA85*'2.2 Input_General_Information'!$N$94*'2.2 Input_General_Information'!$N$92*'2.2 Input_General_Information'!$N$93</f>
        <v>0</v>
      </c>
      <c r="BB97" s="186">
        <f ca="1">BB85*'2.2 Input_General_Information'!$N$94*'2.2 Input_General_Information'!$N$92*'2.2 Input_General_Information'!$N$93</f>
        <v>0</v>
      </c>
      <c r="BC97" s="186">
        <f ca="1">BC85*'2.2 Input_General_Information'!$N$94*'2.2 Input_General_Information'!$N$92*'2.2 Input_General_Information'!$N$93</f>
        <v>0</v>
      </c>
      <c r="BD97" s="186">
        <f ca="1">BD85*'2.2 Input_General_Information'!$N$94*'2.2 Input_General_Information'!$N$92*'2.2 Input_General_Information'!$N$93</f>
        <v>0</v>
      </c>
      <c r="BE97" s="186">
        <f ca="1">BE85*'2.2 Input_General_Information'!$N$94*'2.2 Input_General_Information'!$N$92*'2.2 Input_General_Information'!$N$93</f>
        <v>0</v>
      </c>
      <c r="BF97" s="186">
        <f ca="1">BF85*'2.2 Input_General_Information'!$N$94*'2.2 Input_General_Information'!$N$92*'2.2 Input_General_Information'!$N$93</f>
        <v>0</v>
      </c>
      <c r="BG97" s="186">
        <f ca="1">BG85*'2.2 Input_General_Information'!$N$94*'2.2 Input_General_Information'!$N$92*'2.2 Input_General_Information'!$N$93</f>
        <v>0</v>
      </c>
      <c r="BH97" s="186">
        <f ca="1">BH85*'2.2 Input_General_Information'!$N$94*'2.2 Input_General_Information'!$N$92*'2.2 Input_General_Information'!$N$93</f>
        <v>0</v>
      </c>
      <c r="BI97" s="186">
        <f ca="1">BI85*'2.2 Input_General_Information'!$N$94*'2.2 Input_General_Information'!$N$92*'2.2 Input_General_Information'!$N$93</f>
        <v>0</v>
      </c>
      <c r="BJ97" s="186">
        <f ca="1">BJ85*'2.2 Input_General_Information'!$N$94*'2.2 Input_General_Information'!$N$92*'2.2 Input_General_Information'!$N$93</f>
        <v>0</v>
      </c>
      <c r="BK97" s="186">
        <f ca="1">BK85*'2.2 Input_General_Information'!$N$94*'2.2 Input_General_Information'!$N$92*'2.2 Input_General_Information'!$N$93</f>
        <v>0</v>
      </c>
      <c r="BL97" s="99"/>
      <c r="BM97" s="99"/>
      <c r="BN97" s="99"/>
      <c r="BO97" s="99"/>
      <c r="BP97" s="99"/>
      <c r="BQ97" s="99"/>
      <c r="BR97" s="99"/>
      <c r="BS97" s="99"/>
      <c r="BT97" s="99"/>
      <c r="BU97" s="99"/>
    </row>
    <row r="98" spans="1:73" hidden="1">
      <c r="A98" s="6"/>
      <c r="B98" s="108"/>
      <c r="C98" s="1"/>
      <c r="D98" s="1"/>
      <c r="E98" s="1"/>
      <c r="F98" s="12"/>
      <c r="G98" s="3"/>
      <c r="H98" s="3"/>
      <c r="I98" s="3"/>
      <c r="J98" s="3"/>
      <c r="K98" s="3"/>
      <c r="L98" s="3"/>
      <c r="M98" s="3"/>
      <c r="N98" s="3"/>
      <c r="O98" s="1"/>
      <c r="P98" s="1"/>
      <c r="Q98" s="1"/>
      <c r="R98" s="162"/>
      <c r="S98" s="1"/>
      <c r="T98" s="103"/>
      <c r="U98" s="103"/>
      <c r="V98" s="290" t="str">
        <f>$N$10</f>
        <v>Profile 8</v>
      </c>
      <c r="W98" s="326">
        <f ca="1">W86*'2.2 Input_General_Information'!$O$94*'2.2 Input_General_Information'!$O$92*'2.2 Input_General_Information'!$O$93</f>
        <v>0</v>
      </c>
      <c r="X98" s="326">
        <f ca="1">X86*'2.2 Input_General_Information'!$O$94*'2.2 Input_General_Information'!$O$92*'2.2 Input_General_Information'!$O$93</f>
        <v>0</v>
      </c>
      <c r="Y98" s="326">
        <f ca="1">Y86*'2.2 Input_General_Information'!$O$94*'2.2 Input_General_Information'!$O$92*'2.2 Input_General_Information'!$O$93</f>
        <v>0</v>
      </c>
      <c r="Z98" s="326">
        <f ca="1">Z86*'2.2 Input_General_Information'!$O$94*'2.2 Input_General_Information'!$O$92*'2.2 Input_General_Information'!$O$93</f>
        <v>0</v>
      </c>
      <c r="AA98" s="326">
        <f ca="1">AA86*'2.2 Input_General_Information'!$O$94*'2.2 Input_General_Information'!$O$92*'2.2 Input_General_Information'!$O$93</f>
        <v>0</v>
      </c>
      <c r="AB98" s="326">
        <f ca="1">AB86*'2.2 Input_General_Information'!$O$94*'2.2 Input_General_Information'!$O$92*'2.2 Input_General_Information'!$O$93</f>
        <v>0</v>
      </c>
      <c r="AC98" s="326">
        <f ca="1">AC86*'2.2 Input_General_Information'!$O$94*'2.2 Input_General_Information'!$O$92*'2.2 Input_General_Information'!$O$93</f>
        <v>0</v>
      </c>
      <c r="AD98" s="326">
        <f ca="1">AD86*'2.2 Input_General_Information'!$O$94*'2.2 Input_General_Information'!$O$92*'2.2 Input_General_Information'!$O$93</f>
        <v>0</v>
      </c>
      <c r="AE98" s="326">
        <f ca="1">AE86*'2.2 Input_General_Information'!$O$94*'2.2 Input_General_Information'!$O$92*'2.2 Input_General_Information'!$O$93</f>
        <v>0</v>
      </c>
      <c r="AF98" s="326">
        <f ca="1">AF86*'2.2 Input_General_Information'!$O$94*'2.2 Input_General_Information'!$O$92*'2.2 Input_General_Information'!$O$93</f>
        <v>0</v>
      </c>
      <c r="AG98" s="326">
        <f ca="1">AG86*'2.2 Input_General_Information'!$O$94*'2.2 Input_General_Information'!$O$92*'2.2 Input_General_Information'!$O$93</f>
        <v>0</v>
      </c>
      <c r="AH98" s="326">
        <f ca="1">AH86*'2.2 Input_General_Information'!$O$94*'2.2 Input_General_Information'!$O$92*'2.2 Input_General_Information'!$O$93</f>
        <v>0</v>
      </c>
      <c r="AI98" s="326">
        <f ca="1">AI86*'2.2 Input_General_Information'!$O$94*'2.2 Input_General_Information'!$O$92*'2.2 Input_General_Information'!$O$93</f>
        <v>0</v>
      </c>
      <c r="AJ98" s="326">
        <f ca="1">AJ86*'2.2 Input_General_Information'!$O$94*'2.2 Input_General_Information'!$O$92*'2.2 Input_General_Information'!$O$93</f>
        <v>0</v>
      </c>
      <c r="AK98" s="326">
        <f ca="1">AK86*'2.2 Input_General_Information'!$O$94*'2.2 Input_General_Information'!$O$92*'2.2 Input_General_Information'!$O$93</f>
        <v>0</v>
      </c>
      <c r="AL98" s="326">
        <f ca="1">AL86*'2.2 Input_General_Information'!$O$94*'2.2 Input_General_Information'!$O$92*'2.2 Input_General_Information'!$O$93</f>
        <v>0</v>
      </c>
      <c r="AM98" s="326">
        <f ca="1">AM86*'2.2 Input_General_Information'!$O$94*'2.2 Input_General_Information'!$O$92*'2.2 Input_General_Information'!$O$93</f>
        <v>0</v>
      </c>
      <c r="AN98" s="326">
        <f ca="1">AN86*'2.2 Input_General_Information'!$O$94*'2.2 Input_General_Information'!$O$92*'2.2 Input_General_Information'!$O$93</f>
        <v>0</v>
      </c>
      <c r="AO98" s="326">
        <f ca="1">AO86*'2.2 Input_General_Information'!$O$94*'2.2 Input_General_Information'!$O$92*'2.2 Input_General_Information'!$O$93</f>
        <v>0</v>
      </c>
      <c r="AP98" s="326">
        <f ca="1">AP86*'2.2 Input_General_Information'!$O$94*'2.2 Input_General_Information'!$O$92*'2.2 Input_General_Information'!$O$93</f>
        <v>0</v>
      </c>
      <c r="AQ98" s="326">
        <f ca="1">AQ86*'2.2 Input_General_Information'!$O$94*'2.2 Input_General_Information'!$O$92*'2.2 Input_General_Information'!$O$93</f>
        <v>0</v>
      </c>
      <c r="AR98" s="326">
        <f ca="1">AR86*'2.2 Input_General_Information'!$O$94*'2.2 Input_General_Information'!$O$92*'2.2 Input_General_Information'!$O$93</f>
        <v>0</v>
      </c>
      <c r="AS98" s="326">
        <f ca="1">AS86*'2.2 Input_General_Information'!$O$94*'2.2 Input_General_Information'!$O$92*'2.2 Input_General_Information'!$O$93</f>
        <v>0</v>
      </c>
      <c r="AT98" s="326">
        <f ca="1">AT86*'2.2 Input_General_Information'!$O$94*'2.2 Input_General_Information'!$O$92*'2.2 Input_General_Information'!$O$93</f>
        <v>0</v>
      </c>
      <c r="AU98" s="326">
        <f ca="1">AU86*'2.2 Input_General_Information'!$O$94*'2.2 Input_General_Information'!$O$92*'2.2 Input_General_Information'!$O$93</f>
        <v>0</v>
      </c>
      <c r="AV98" s="326">
        <f ca="1">AV86*'2.2 Input_General_Information'!$O$94*'2.2 Input_General_Information'!$O$92*'2.2 Input_General_Information'!$O$93</f>
        <v>0</v>
      </c>
      <c r="AW98" s="326">
        <f ca="1">AW86*'2.2 Input_General_Information'!$O$94*'2.2 Input_General_Information'!$O$92*'2.2 Input_General_Information'!$O$93</f>
        <v>0</v>
      </c>
      <c r="AX98" s="326">
        <f ca="1">AX86*'2.2 Input_General_Information'!$O$94*'2.2 Input_General_Information'!$O$92*'2.2 Input_General_Information'!$O$93</f>
        <v>0</v>
      </c>
      <c r="AY98" s="326">
        <f ca="1">AY86*'2.2 Input_General_Information'!$O$94*'2.2 Input_General_Information'!$O$92*'2.2 Input_General_Information'!$O$93</f>
        <v>0</v>
      </c>
      <c r="AZ98" s="326">
        <f ca="1">AZ86*'2.2 Input_General_Information'!$O$94*'2.2 Input_General_Information'!$O$92*'2.2 Input_General_Information'!$O$93</f>
        <v>0</v>
      </c>
      <c r="BA98" s="326">
        <f ca="1">BA86*'2.2 Input_General_Information'!$O$94*'2.2 Input_General_Information'!$O$92*'2.2 Input_General_Information'!$O$93</f>
        <v>0</v>
      </c>
      <c r="BB98" s="326">
        <f ca="1">BB86*'2.2 Input_General_Information'!$O$94*'2.2 Input_General_Information'!$O$92*'2.2 Input_General_Information'!$O$93</f>
        <v>0</v>
      </c>
      <c r="BC98" s="326">
        <f ca="1">BC86*'2.2 Input_General_Information'!$O$94*'2.2 Input_General_Information'!$O$92*'2.2 Input_General_Information'!$O$93</f>
        <v>0</v>
      </c>
      <c r="BD98" s="326">
        <f ca="1">BD86*'2.2 Input_General_Information'!$O$94*'2.2 Input_General_Information'!$O$92*'2.2 Input_General_Information'!$O$93</f>
        <v>0</v>
      </c>
      <c r="BE98" s="326">
        <f ca="1">BE86*'2.2 Input_General_Information'!$O$94*'2.2 Input_General_Information'!$O$92*'2.2 Input_General_Information'!$O$93</f>
        <v>0</v>
      </c>
      <c r="BF98" s="326">
        <f ca="1">BF86*'2.2 Input_General_Information'!$O$94*'2.2 Input_General_Information'!$O$92*'2.2 Input_General_Information'!$O$93</f>
        <v>0</v>
      </c>
      <c r="BG98" s="326">
        <f ca="1">BG86*'2.2 Input_General_Information'!$O$94*'2.2 Input_General_Information'!$O$92*'2.2 Input_General_Information'!$O$93</f>
        <v>0</v>
      </c>
      <c r="BH98" s="326">
        <f ca="1">BH86*'2.2 Input_General_Information'!$O$94*'2.2 Input_General_Information'!$O$92*'2.2 Input_General_Information'!$O$93</f>
        <v>0</v>
      </c>
      <c r="BI98" s="326">
        <f ca="1">BI86*'2.2 Input_General_Information'!$O$94*'2.2 Input_General_Information'!$O$92*'2.2 Input_General_Information'!$O$93</f>
        <v>0</v>
      </c>
      <c r="BJ98" s="326">
        <f ca="1">BJ86*'2.2 Input_General_Information'!$O$94*'2.2 Input_General_Information'!$O$92*'2.2 Input_General_Information'!$O$93</f>
        <v>0</v>
      </c>
      <c r="BK98" s="326">
        <f ca="1">BK86*'2.2 Input_General_Information'!$O$94*'2.2 Input_General_Information'!$O$92*'2.2 Input_General_Information'!$O$93</f>
        <v>0</v>
      </c>
      <c r="BL98" s="99"/>
      <c r="BM98" s="99"/>
      <c r="BN98" s="99"/>
      <c r="BO98" s="99"/>
      <c r="BP98" s="99"/>
      <c r="BQ98" s="99"/>
      <c r="BR98" s="99"/>
      <c r="BS98" s="99"/>
      <c r="BT98" s="99"/>
      <c r="BU98" s="99"/>
    </row>
    <row r="99" spans="1:73" hidden="1">
      <c r="A99" s="6"/>
      <c r="B99" s="108"/>
      <c r="C99" s="1"/>
      <c r="D99" s="1"/>
      <c r="E99" s="1"/>
      <c r="F99" s="12"/>
      <c r="G99" s="3"/>
      <c r="H99" s="3"/>
      <c r="I99" s="3"/>
      <c r="J99" s="3"/>
      <c r="K99" s="3"/>
      <c r="L99" s="3"/>
      <c r="M99" s="3"/>
      <c r="N99" s="3"/>
      <c r="O99" s="1"/>
      <c r="P99" s="1"/>
      <c r="Q99" s="1"/>
      <c r="R99" s="162"/>
      <c r="S99" s="1"/>
      <c r="T99" s="103"/>
      <c r="U99" s="103"/>
      <c r="V99" s="342" t="s">
        <v>772</v>
      </c>
      <c r="W99" s="343">
        <f t="shared" ref="W99:BK99" ca="1" si="25">SUM(W91:W98)</f>
        <v>22425.260132879295</v>
      </c>
      <c r="X99" s="343">
        <f t="shared" ca="1" si="25"/>
        <v>28640.725975355057</v>
      </c>
      <c r="Y99" s="343">
        <f t="shared" ca="1" si="25"/>
        <v>45059.868963304405</v>
      </c>
      <c r="Z99" s="343">
        <f t="shared" ca="1" si="25"/>
        <v>24864.471221217234</v>
      </c>
      <c r="AA99" s="343">
        <f t="shared" ca="1" si="25"/>
        <v>23582.771039269046</v>
      </c>
      <c r="AB99" s="343">
        <f t="shared" ca="1" si="25"/>
        <v>23515.684303977545</v>
      </c>
      <c r="AC99" s="343">
        <f t="shared" ca="1" si="25"/>
        <v>23443.703836591798</v>
      </c>
      <c r="AD99" s="343">
        <f t="shared" ca="1" si="25"/>
        <v>23373.476906102296</v>
      </c>
      <c r="AE99" s="343">
        <f t="shared" ca="1" si="25"/>
        <v>23314.791548652116</v>
      </c>
      <c r="AF99" s="343">
        <f t="shared" ca="1" si="25"/>
        <v>23278.057867938605</v>
      </c>
      <c r="AG99" s="343">
        <f t="shared" ca="1" si="25"/>
        <v>23275.406337689376</v>
      </c>
      <c r="AH99" s="343">
        <f t="shared" ca="1" si="25"/>
        <v>23322.649625500024</v>
      </c>
      <c r="AI99" s="343">
        <f t="shared" ca="1" si="25"/>
        <v>23442.126528978319</v>
      </c>
      <c r="AJ99" s="343">
        <f t="shared" ca="1" si="25"/>
        <v>23666.288301324021</v>
      </c>
      <c r="AK99" s="343">
        <f t="shared" ca="1" si="25"/>
        <v>24041.408659966768</v>
      </c>
      <c r="AL99" s="343">
        <f t="shared" ca="1" si="25"/>
        <v>24629.589954119547</v>
      </c>
      <c r="AM99" s="343">
        <f t="shared" ca="1" si="25"/>
        <v>25504.874468749771</v>
      </c>
      <c r="AN99" s="343">
        <f t="shared" ca="1" si="25"/>
        <v>26736.207722016283</v>
      </c>
      <c r="AO99" s="343">
        <f t="shared" ca="1" si="25"/>
        <v>28349.746126571004</v>
      </c>
      <c r="AP99" s="343">
        <f t="shared" ca="1" si="25"/>
        <v>30273.853652308568</v>
      </c>
      <c r="AQ99" s="343">
        <f t="shared" ca="1" si="25"/>
        <v>32298.151350332329</v>
      </c>
      <c r="AR99" s="343">
        <f t="shared" ca="1" si="25"/>
        <v>34103.888024281587</v>
      </c>
      <c r="AS99" s="343">
        <f t="shared" ca="1" si="25"/>
        <v>35393.317276956943</v>
      </c>
      <c r="AT99" s="343">
        <f t="shared" ca="1" si="25"/>
        <v>36044.32010594257</v>
      </c>
      <c r="AU99" s="343">
        <f t="shared" ca="1" si="25"/>
        <v>36155.848102907286</v>
      </c>
      <c r="AV99" s="343">
        <f t="shared" ca="1" si="25"/>
        <v>35948.665994017421</v>
      </c>
      <c r="AW99" s="343">
        <f t="shared" ca="1" si="25"/>
        <v>35629.551366351312</v>
      </c>
      <c r="AX99" s="343">
        <f t="shared" ca="1" si="25"/>
        <v>35323.951395903787</v>
      </c>
      <c r="AY99" s="343">
        <f t="shared" ca="1" si="25"/>
        <v>35081.348665940903</v>
      </c>
      <c r="AZ99" s="343">
        <f t="shared" ca="1" si="25"/>
        <v>34907.104845153423</v>
      </c>
      <c r="BA99" s="343">
        <f t="shared" ca="1" si="25"/>
        <v>34789.079190598713</v>
      </c>
      <c r="BB99" s="343">
        <f t="shared" ca="1" si="25"/>
        <v>34711.914151545425</v>
      </c>
      <c r="BC99" s="343">
        <f t="shared" ca="1" si="25"/>
        <v>34662.539008660904</v>
      </c>
      <c r="BD99" s="343">
        <f t="shared" ca="1" si="25"/>
        <v>34631.351881380477</v>
      </c>
      <c r="BE99" s="343">
        <f t="shared" ca="1" si="25"/>
        <v>34611.79827733952</v>
      </c>
      <c r="BF99" s="343">
        <f t="shared" ca="1" si="25"/>
        <v>34599.582782050966</v>
      </c>
      <c r="BG99" s="343">
        <f t="shared" ca="1" si="25"/>
        <v>34591.956700941715</v>
      </c>
      <c r="BH99" s="343">
        <f t="shared" ca="1" si="25"/>
        <v>34587.185956707959</v>
      </c>
      <c r="BI99" s="343">
        <f t="shared" ca="1" si="25"/>
        <v>34584.185899616044</v>
      </c>
      <c r="BJ99" s="343">
        <f t="shared" ca="1" si="25"/>
        <v>34582.28157429069</v>
      </c>
      <c r="BK99" s="345">
        <f t="shared" ca="1" si="25"/>
        <v>34581.054254315663</v>
      </c>
      <c r="BL99" s="99"/>
      <c r="BM99" s="99"/>
      <c r="BN99" s="99"/>
      <c r="BO99" s="99"/>
      <c r="BP99" s="99"/>
      <c r="BQ99" s="99"/>
      <c r="BR99" s="99"/>
      <c r="BS99" s="99"/>
      <c r="BT99" s="99"/>
      <c r="BU99" s="99"/>
    </row>
    <row r="100" spans="1:73" hidden="1">
      <c r="A100" s="6"/>
      <c r="B100" s="108"/>
      <c r="C100" s="1"/>
      <c r="D100" s="1"/>
      <c r="E100" s="1"/>
      <c r="F100" s="12"/>
      <c r="G100" s="3"/>
      <c r="H100" s="3"/>
      <c r="I100" s="3"/>
      <c r="J100" s="3"/>
      <c r="K100" s="3"/>
      <c r="L100" s="3"/>
      <c r="M100" s="3"/>
      <c r="N100" s="3"/>
      <c r="O100" s="1"/>
      <c r="P100" s="1"/>
      <c r="Q100" s="1"/>
      <c r="R100" s="162"/>
      <c r="S100" s="1"/>
      <c r="T100" s="103"/>
      <c r="U100" s="103"/>
      <c r="V100" s="103" t="str">
        <f>D51</f>
        <v>Time spent to become FAIR - Operational Costs</v>
      </c>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c r="BH100" s="98"/>
      <c r="BI100" s="98"/>
      <c r="BJ100" s="98"/>
      <c r="BK100" s="98"/>
      <c r="BL100" s="99"/>
      <c r="BM100" s="99"/>
      <c r="BN100" s="99"/>
      <c r="BO100" s="99"/>
      <c r="BP100" s="99"/>
      <c r="BQ100" s="99"/>
      <c r="BR100" s="99"/>
      <c r="BS100" s="99"/>
      <c r="BT100" s="99"/>
      <c r="BU100" s="99"/>
    </row>
    <row r="101" spans="1:73" hidden="1">
      <c r="A101" s="6"/>
      <c r="B101" s="108"/>
      <c r="C101" s="1"/>
      <c r="D101" s="1"/>
      <c r="E101" s="1"/>
      <c r="F101" s="12"/>
      <c r="G101" s="3"/>
      <c r="H101" s="3"/>
      <c r="I101" s="3"/>
      <c r="J101" s="3"/>
      <c r="K101" s="3"/>
      <c r="L101" s="3"/>
      <c r="M101" s="3"/>
      <c r="N101" s="3"/>
      <c r="O101" s="1"/>
      <c r="P101" s="1"/>
      <c r="Q101" s="1"/>
      <c r="R101" s="162"/>
      <c r="S101" s="1"/>
      <c r="T101" s="103"/>
      <c r="U101" s="103"/>
      <c r="V101" s="103"/>
      <c r="W101" s="346">
        <f>Growth!B20</f>
        <v>2018</v>
      </c>
      <c r="X101" s="346">
        <f t="shared" ref="X101:BK101" si="26">W101+1</f>
        <v>2019</v>
      </c>
      <c r="Y101" s="346">
        <f t="shared" si="26"/>
        <v>2020</v>
      </c>
      <c r="Z101" s="346">
        <f t="shared" si="26"/>
        <v>2021</v>
      </c>
      <c r="AA101" s="346">
        <f t="shared" si="26"/>
        <v>2022</v>
      </c>
      <c r="AB101" s="346">
        <f t="shared" si="26"/>
        <v>2023</v>
      </c>
      <c r="AC101" s="346">
        <f t="shared" si="26"/>
        <v>2024</v>
      </c>
      <c r="AD101" s="346">
        <f t="shared" si="26"/>
        <v>2025</v>
      </c>
      <c r="AE101" s="346">
        <f t="shared" si="26"/>
        <v>2026</v>
      </c>
      <c r="AF101" s="346">
        <f t="shared" si="26"/>
        <v>2027</v>
      </c>
      <c r="AG101" s="346">
        <f t="shared" si="26"/>
        <v>2028</v>
      </c>
      <c r="AH101" s="346">
        <f t="shared" si="26"/>
        <v>2029</v>
      </c>
      <c r="AI101" s="346">
        <f t="shared" si="26"/>
        <v>2030</v>
      </c>
      <c r="AJ101" s="346">
        <f t="shared" si="26"/>
        <v>2031</v>
      </c>
      <c r="AK101" s="346">
        <f t="shared" si="26"/>
        <v>2032</v>
      </c>
      <c r="AL101" s="346">
        <f t="shared" si="26"/>
        <v>2033</v>
      </c>
      <c r="AM101" s="346">
        <f t="shared" si="26"/>
        <v>2034</v>
      </c>
      <c r="AN101" s="346">
        <f t="shared" si="26"/>
        <v>2035</v>
      </c>
      <c r="AO101" s="346">
        <f t="shared" si="26"/>
        <v>2036</v>
      </c>
      <c r="AP101" s="346">
        <f t="shared" si="26"/>
        <v>2037</v>
      </c>
      <c r="AQ101" s="346">
        <f t="shared" si="26"/>
        <v>2038</v>
      </c>
      <c r="AR101" s="346">
        <f t="shared" si="26"/>
        <v>2039</v>
      </c>
      <c r="AS101" s="346">
        <f t="shared" si="26"/>
        <v>2040</v>
      </c>
      <c r="AT101" s="346">
        <f t="shared" si="26"/>
        <v>2041</v>
      </c>
      <c r="AU101" s="346">
        <f t="shared" si="26"/>
        <v>2042</v>
      </c>
      <c r="AV101" s="346">
        <f t="shared" si="26"/>
        <v>2043</v>
      </c>
      <c r="AW101" s="346">
        <f t="shared" si="26"/>
        <v>2044</v>
      </c>
      <c r="AX101" s="346">
        <f t="shared" si="26"/>
        <v>2045</v>
      </c>
      <c r="AY101" s="346">
        <f t="shared" si="26"/>
        <v>2046</v>
      </c>
      <c r="AZ101" s="346">
        <f t="shared" si="26"/>
        <v>2047</v>
      </c>
      <c r="BA101" s="346">
        <f t="shared" si="26"/>
        <v>2048</v>
      </c>
      <c r="BB101" s="346">
        <f t="shared" si="26"/>
        <v>2049</v>
      </c>
      <c r="BC101" s="346">
        <f t="shared" si="26"/>
        <v>2050</v>
      </c>
      <c r="BD101" s="346">
        <f t="shared" si="26"/>
        <v>2051</v>
      </c>
      <c r="BE101" s="346">
        <f t="shared" si="26"/>
        <v>2052</v>
      </c>
      <c r="BF101" s="346">
        <f t="shared" si="26"/>
        <v>2053</v>
      </c>
      <c r="BG101" s="346">
        <f t="shared" si="26"/>
        <v>2054</v>
      </c>
      <c r="BH101" s="346">
        <f t="shared" si="26"/>
        <v>2055</v>
      </c>
      <c r="BI101" s="346">
        <f t="shared" si="26"/>
        <v>2056</v>
      </c>
      <c r="BJ101" s="346">
        <f t="shared" si="26"/>
        <v>2057</v>
      </c>
      <c r="BK101" s="346">
        <f t="shared" si="26"/>
        <v>2058</v>
      </c>
      <c r="BL101" s="348"/>
      <c r="BM101" s="348"/>
      <c r="BN101" s="348"/>
      <c r="BO101" s="348"/>
      <c r="BP101" s="348"/>
      <c r="BQ101" s="348"/>
      <c r="BR101" s="348"/>
      <c r="BS101" s="348"/>
      <c r="BT101" s="348"/>
      <c r="BU101" s="348"/>
    </row>
    <row r="102" spans="1:73" hidden="1">
      <c r="A102" s="6"/>
      <c r="B102" s="108"/>
      <c r="C102" s="1"/>
      <c r="D102" s="1"/>
      <c r="E102" s="1"/>
      <c r="F102" s="12"/>
      <c r="G102" s="3"/>
      <c r="H102" s="3"/>
      <c r="I102" s="3"/>
      <c r="J102" s="3"/>
      <c r="K102" s="3"/>
      <c r="L102" s="3"/>
      <c r="M102" s="3"/>
      <c r="N102" s="3"/>
      <c r="O102" s="1"/>
      <c r="P102" s="1"/>
      <c r="Q102" s="1"/>
      <c r="R102" s="162"/>
      <c r="S102" s="1"/>
      <c r="T102" s="103"/>
      <c r="U102" s="103"/>
      <c r="V102" s="258" t="str">
        <f>G$10</f>
        <v>PhD researcher</v>
      </c>
      <c r="W102" s="259">
        <f t="shared" ref="W102:BK102" ca="1" si="27">N("Planning of a research project") + (W145) + N("Analysing the Data") + (W581) + N("Pre-processing and describing data and reports") + (W427+W438+W452) + N("Programme set-up: operational cost") + (W748)</f>
        <v>-2.5476265100000287E-2</v>
      </c>
      <c r="X102" s="259">
        <f t="shared" ca="1" si="27"/>
        <v>-1.874216627687646E-2</v>
      </c>
      <c r="Y102" s="259">
        <f t="shared" ca="1" si="27"/>
        <v>-1.8430858396823034E-2</v>
      </c>
      <c r="Z102" s="259">
        <f t="shared" ca="1" si="27"/>
        <v>-1.3747495129972743E-2</v>
      </c>
      <c r="AA102" s="259">
        <f t="shared" ca="1" si="27"/>
        <v>-1.3725492440363035E-2</v>
      </c>
      <c r="AB102" s="259">
        <f t="shared" ca="1" si="27"/>
        <v>-1.3704607447320907E-2</v>
      </c>
      <c r="AC102" s="259">
        <f t="shared" ca="1" si="27"/>
        <v>-1.3683508355892209E-2</v>
      </c>
      <c r="AD102" s="259">
        <f t="shared" ca="1" si="27"/>
        <v>-1.3662204718384419E-2</v>
      </c>
      <c r="AE102" s="259">
        <f t="shared" ca="1" si="27"/>
        <v>-1.3640706521116838E-2</v>
      </c>
      <c r="AF102" s="259">
        <f t="shared" ca="1" si="27"/>
        <v>-1.3619024169311617E-2</v>
      </c>
      <c r="AG102" s="259">
        <f t="shared" ca="1" si="27"/>
        <v>-1.3597168470151463E-2</v>
      </c>
      <c r="AH102" s="259">
        <f t="shared" ca="1" si="27"/>
        <v>-1.3575150614042908E-2</v>
      </c>
      <c r="AI102" s="259">
        <f t="shared" ca="1" si="27"/>
        <v>-1.3552982154137269E-2</v>
      </c>
      <c r="AJ102" s="259">
        <f t="shared" ca="1" si="27"/>
        <v>-1.3530674984174394E-2</v>
      </c>
      <c r="AK102" s="259">
        <f t="shared" ca="1" si="27"/>
        <v>-1.35082413147273E-2</v>
      </c>
      <c r="AL102" s="259">
        <f t="shared" ca="1" si="27"/>
        <v>-1.3485693647938333E-2</v>
      </c>
      <c r="AM102" s="259">
        <f t="shared" ca="1" si="27"/>
        <v>-1.3463044750849477E-2</v>
      </c>
      <c r="AN102" s="259">
        <f t="shared" ca="1" si="27"/>
        <v>-1.344030762744103E-2</v>
      </c>
      <c r="AO102" s="259">
        <f t="shared" ca="1" si="27"/>
        <v>-1.3417495489503365E-2</v>
      </c>
      <c r="AP102" s="259">
        <f t="shared" ca="1" si="27"/>
        <v>-1.3394621726476371E-2</v>
      </c>
      <c r="AQ102" s="259">
        <f t="shared" ca="1" si="27"/>
        <v>-1.3371699874399831E-2</v>
      </c>
      <c r="AR102" s="259">
        <f t="shared" ca="1" si="27"/>
        <v>-1.3348743584125633E-2</v>
      </c>
      <c r="AS102" s="259">
        <f t="shared" ca="1" si="27"/>
        <v>-1.3325766588949021E-2</v>
      </c>
      <c r="AT102" s="259">
        <f t="shared" ca="1" si="27"/>
        <v>-1.3302782671821141E-2</v>
      </c>
      <c r="AU102" s="259">
        <f t="shared" ca="1" si="27"/>
        <v>-1.3279805632308819E-2</v>
      </c>
      <c r="AV102" s="259">
        <f t="shared" ca="1" si="27"/>
        <v>-1.3256849253469604E-2</v>
      </c>
      <c r="AW102" s="259">
        <f t="shared" ca="1" si="27"/>
        <v>-1.3233927268810997E-2</v>
      </c>
      <c r="AX102" s="259">
        <f t="shared" ca="1" si="27"/>
        <v>-1.3211053329501924E-2</v>
      </c>
      <c r="AY102" s="259">
        <f t="shared" ca="1" si="27"/>
        <v>-1.3188240972002382E-2</v>
      </c>
      <c r="AZ102" s="259">
        <f t="shared" ca="1" si="27"/>
        <v>-1.3165503586273518E-2</v>
      </c>
      <c r="BA102" s="259">
        <f t="shared" ca="1" si="27"/>
        <v>-1.3142854384725396E-2</v>
      </c>
      <c r="BB102" s="259">
        <f t="shared" ca="1" si="27"/>
        <v>-1.3120306372053348E-2</v>
      </c>
      <c r="BC102" s="259">
        <f t="shared" ca="1" si="27"/>
        <v>-1.3097872316106204E-2</v>
      </c>
      <c r="BD102" s="259">
        <f t="shared" ca="1" si="27"/>
        <v>-1.3075564719920982E-2</v>
      </c>
      <c r="BE102" s="259">
        <f t="shared" ca="1" si="27"/>
        <v>-1.3053395795048901E-2</v>
      </c>
      <c r="BF102" s="259">
        <f t="shared" ca="1" si="27"/>
        <v>-1.3031377436286823E-2</v>
      </c>
      <c r="BG102" s="259">
        <f t="shared" ca="1" si="27"/>
        <v>-1.3009521197916901E-2</v>
      </c>
      <c r="BH102" s="259">
        <f t="shared" ca="1" si="27"/>
        <v>-1.2987838271545061E-2</v>
      </c>
      <c r="BI102" s="259">
        <f t="shared" ca="1" si="27"/>
        <v>-1.2966339465616438E-2</v>
      </c>
      <c r="BJ102" s="259">
        <f t="shared" ca="1" si="27"/>
        <v>-1.2945035186672988E-2</v>
      </c>
      <c r="BK102" s="260">
        <f t="shared" ca="1" si="27"/>
        <v>-1.2923935422405334E-2</v>
      </c>
      <c r="BL102" s="349"/>
      <c r="BM102" s="349"/>
      <c r="BN102" s="349"/>
      <c r="BO102" s="349"/>
      <c r="BP102" s="349"/>
      <c r="BQ102" s="349"/>
      <c r="BR102" s="349"/>
      <c r="BS102" s="349"/>
      <c r="BT102" s="349"/>
      <c r="BU102" s="349"/>
    </row>
    <row r="103" spans="1:73" hidden="1">
      <c r="A103" s="6"/>
      <c r="B103" s="108"/>
      <c r="C103" s="1"/>
      <c r="D103" s="1"/>
      <c r="E103" s="1"/>
      <c r="F103" s="12"/>
      <c r="G103" s="3"/>
      <c r="H103" s="3"/>
      <c r="I103" s="3"/>
      <c r="J103" s="3"/>
      <c r="K103" s="3"/>
      <c r="L103" s="3"/>
      <c r="M103" s="3"/>
      <c r="N103" s="3"/>
      <c r="O103" s="1"/>
      <c r="P103" s="1"/>
      <c r="Q103" s="1"/>
      <c r="R103" s="162"/>
      <c r="S103" s="1"/>
      <c r="T103" s="103"/>
      <c r="U103" s="103"/>
      <c r="V103" s="262" t="str">
        <f>$H$10</f>
        <v>Lecturer assistant/Research assistant (Academic)</v>
      </c>
      <c r="W103" s="261">
        <f t="shared" ref="W103:BK103" ca="1" si="28">N("Planning of a research project") + (W146) + N("Analysing the Data") + (W582) + N("Pre-processing and describing data and reports") + (W428+W439+W453) + N("Programme set-up: operational cost") + (W749)</f>
        <v>-2.1460022300000048E-2</v>
      </c>
      <c r="X103" s="261">
        <f t="shared" ca="1" si="28"/>
        <v>-1.6662765478416396E-2</v>
      </c>
      <c r="Y103" s="261">
        <f t="shared" ca="1" si="28"/>
        <v>-1.680027293120848E-2</v>
      </c>
      <c r="Z103" s="261">
        <f t="shared" ca="1" si="28"/>
        <v>-9.9196705087831773E-3</v>
      </c>
      <c r="AA103" s="261">
        <f t="shared" ca="1" si="28"/>
        <v>-9.8975280191734693E-3</v>
      </c>
      <c r="AB103" s="261">
        <f t="shared" ca="1" si="28"/>
        <v>-9.8766430261313411E-3</v>
      </c>
      <c r="AC103" s="261">
        <f t="shared" ca="1" si="28"/>
        <v>-9.855543934702643E-3</v>
      </c>
      <c r="AD103" s="261">
        <f t="shared" ca="1" si="28"/>
        <v>-9.8342402971948531E-3</v>
      </c>
      <c r="AE103" s="261">
        <f t="shared" ca="1" si="28"/>
        <v>-9.8127420999272724E-3</v>
      </c>
      <c r="AF103" s="261">
        <f t="shared" ca="1" si="28"/>
        <v>-9.7910597481220517E-3</v>
      </c>
      <c r="AG103" s="261">
        <f t="shared" ca="1" si="28"/>
        <v>-9.7692040489618971E-3</v>
      </c>
      <c r="AH103" s="261">
        <f t="shared" ca="1" si="28"/>
        <v>-9.7471861928533424E-3</v>
      </c>
      <c r="AI103" s="261">
        <f t="shared" ca="1" si="28"/>
        <v>-9.7250177329477033E-3</v>
      </c>
      <c r="AJ103" s="261">
        <f t="shared" ca="1" si="28"/>
        <v>-9.7027105629848287E-3</v>
      </c>
      <c r="AK103" s="261">
        <f t="shared" ca="1" si="28"/>
        <v>-9.6802768935377349E-3</v>
      </c>
      <c r="AL103" s="261">
        <f t="shared" ca="1" si="28"/>
        <v>-9.6577292267487676E-3</v>
      </c>
      <c r="AM103" s="261">
        <f t="shared" ca="1" si="28"/>
        <v>-9.6350803296599112E-3</v>
      </c>
      <c r="AN103" s="261">
        <f t="shared" ca="1" si="28"/>
        <v>-9.6123432062514644E-3</v>
      </c>
      <c r="AO103" s="261">
        <f t="shared" ca="1" si="28"/>
        <v>-9.5895310683137992E-3</v>
      </c>
      <c r="AP103" s="261">
        <f t="shared" ca="1" si="28"/>
        <v>-9.5666573052868055E-3</v>
      </c>
      <c r="AQ103" s="261">
        <f t="shared" ca="1" si="28"/>
        <v>-9.5437354532102656E-3</v>
      </c>
      <c r="AR103" s="261">
        <f t="shared" ca="1" si="28"/>
        <v>-9.5207791629360675E-3</v>
      </c>
      <c r="AS103" s="261">
        <f t="shared" ca="1" si="28"/>
        <v>-9.4978021677594553E-3</v>
      </c>
      <c r="AT103" s="261">
        <f t="shared" ca="1" si="28"/>
        <v>-9.4748182506315757E-3</v>
      </c>
      <c r="AU103" s="261">
        <f t="shared" ca="1" si="28"/>
        <v>-9.451841211119253E-3</v>
      </c>
      <c r="AV103" s="261">
        <f t="shared" ca="1" si="28"/>
        <v>-9.4288848322800385E-3</v>
      </c>
      <c r="AW103" s="261">
        <f t="shared" ca="1" si="28"/>
        <v>-9.4059628476214317E-3</v>
      </c>
      <c r="AX103" s="261">
        <f t="shared" ca="1" si="28"/>
        <v>-9.3830889083123589E-3</v>
      </c>
      <c r="AY103" s="261">
        <f t="shared" ca="1" si="28"/>
        <v>-9.3602765508128162E-3</v>
      </c>
      <c r="AZ103" s="261">
        <f t="shared" ca="1" si="28"/>
        <v>-9.3375391650839523E-3</v>
      </c>
      <c r="BA103" s="261">
        <f t="shared" ca="1" si="28"/>
        <v>-9.3148899635358308E-3</v>
      </c>
      <c r="BB103" s="261">
        <f t="shared" ca="1" si="28"/>
        <v>-9.2923419508637826E-3</v>
      </c>
      <c r="BC103" s="261">
        <f t="shared" ca="1" si="28"/>
        <v>-9.2699078949166382E-3</v>
      </c>
      <c r="BD103" s="261">
        <f t="shared" ca="1" si="28"/>
        <v>-9.2476002987314163E-3</v>
      </c>
      <c r="BE103" s="261">
        <f t="shared" ca="1" si="28"/>
        <v>-9.2254313738593351E-3</v>
      </c>
      <c r="BF103" s="261">
        <f t="shared" ca="1" si="28"/>
        <v>-9.2034130150972573E-3</v>
      </c>
      <c r="BG103" s="261">
        <f t="shared" ca="1" si="28"/>
        <v>-9.1815567767273357E-3</v>
      </c>
      <c r="BH103" s="261">
        <f t="shared" ca="1" si="28"/>
        <v>-9.159873850355495E-3</v>
      </c>
      <c r="BI103" s="261">
        <f t="shared" ca="1" si="28"/>
        <v>-9.1383750444268726E-3</v>
      </c>
      <c r="BJ103" s="261">
        <f t="shared" ca="1" si="28"/>
        <v>-9.1170707654834229E-3</v>
      </c>
      <c r="BK103" s="267">
        <f t="shared" ca="1" si="28"/>
        <v>-9.0959710012157684E-3</v>
      </c>
      <c r="BL103" s="349"/>
      <c r="BM103" s="349"/>
      <c r="BN103" s="349"/>
      <c r="BO103" s="349"/>
      <c r="BP103" s="349"/>
      <c r="BQ103" s="349"/>
      <c r="BR103" s="349"/>
      <c r="BS103" s="349"/>
      <c r="BT103" s="349"/>
      <c r="BU103" s="349"/>
    </row>
    <row r="104" spans="1:73" hidden="1">
      <c r="A104" s="6"/>
      <c r="B104" s="108"/>
      <c r="C104" s="1"/>
      <c r="D104" s="1"/>
      <c r="E104" s="1"/>
      <c r="F104" s="12"/>
      <c r="G104" s="3"/>
      <c r="H104" s="3"/>
      <c r="I104" s="3"/>
      <c r="J104" s="3"/>
      <c r="K104" s="3"/>
      <c r="L104" s="3"/>
      <c r="M104" s="3"/>
      <c r="N104" s="3"/>
      <c r="O104" s="1"/>
      <c r="P104" s="1"/>
      <c r="Q104" s="1"/>
      <c r="R104" s="162"/>
      <c r="S104" s="1"/>
      <c r="T104" s="103"/>
      <c r="U104" s="103"/>
      <c r="V104" s="262" t="str">
        <f>$I$10</f>
        <v>Lecturer/Researcher (Academic)</v>
      </c>
      <c r="W104" s="261">
        <f t="shared" ref="W104:BK104" ca="1" si="29">N("Planning of a research project") + (W147) + N("Analysing the Data") + (W583) + N("Pre-processing and describing data and reports") + (W429+W440+W454) + N("Programme set-up: operational cost") + (W750)</f>
        <v>-3.1932517949999871E-2</v>
      </c>
      <c r="X104" s="261">
        <f t="shared" ca="1" si="29"/>
        <v>-2.0102900885059772E-2</v>
      </c>
      <c r="Y104" s="261">
        <f t="shared" ca="1" si="29"/>
        <v>-1.916703681462148E-2</v>
      </c>
      <c r="Z104" s="261">
        <f t="shared" ca="1" si="29"/>
        <v>-1.3568336424469418E-2</v>
      </c>
      <c r="AA104" s="261">
        <f t="shared" ca="1" si="29"/>
        <v>-1.3524609795249999E-2</v>
      </c>
      <c r="AB104" s="261">
        <f t="shared" ca="1" si="29"/>
        <v>-1.3482839809165741E-2</v>
      </c>
      <c r="AC104" s="261">
        <f t="shared" ca="1" si="29"/>
        <v>-1.3440641626308349E-2</v>
      </c>
      <c r="AD104" s="261">
        <f t="shared" ca="1" si="29"/>
        <v>-1.3398034351292769E-2</v>
      </c>
      <c r="AE104" s="261">
        <f t="shared" ca="1" si="29"/>
        <v>-1.3355037956757606E-2</v>
      </c>
      <c r="AF104" s="261">
        <f t="shared" ca="1" si="29"/>
        <v>-1.3311673253147166E-2</v>
      </c>
      <c r="AG104" s="261">
        <f t="shared" ca="1" si="29"/>
        <v>-1.3267961854826855E-2</v>
      </c>
      <c r="AH104" s="261">
        <f t="shared" ca="1" si="29"/>
        <v>-1.3223926142609746E-2</v>
      </c>
      <c r="AI104" s="261">
        <f t="shared" ca="1" si="29"/>
        <v>-1.3179589222798467E-2</v>
      </c>
      <c r="AJ104" s="261">
        <f t="shared" ca="1" si="29"/>
        <v>-1.3134974882872717E-2</v>
      </c>
      <c r="AK104" s="261">
        <f t="shared" ca="1" si="29"/>
        <v>-1.3090107543978532E-2</v>
      </c>
      <c r="AL104" s="261">
        <f t="shared" ca="1" si="29"/>
        <v>-1.3045012210400596E-2</v>
      </c>
      <c r="AM104" s="261">
        <f t="shared" ca="1" si="29"/>
        <v>-1.2999714416222883E-2</v>
      </c>
      <c r="AN104" s="261">
        <f t="shared" ca="1" si="29"/>
        <v>-1.295424016940599E-2</v>
      </c>
      <c r="AO104" s="261">
        <f t="shared" ca="1" si="29"/>
        <v>-1.2908615893530659E-2</v>
      </c>
      <c r="AP104" s="261">
        <f t="shared" ca="1" si="29"/>
        <v>-1.286286836747667E-2</v>
      </c>
      <c r="AQ104" s="261">
        <f t="shared" ca="1" si="29"/>
        <v>-1.2817024663323592E-2</v>
      </c>
      <c r="AR104" s="261">
        <f t="shared" ca="1" si="29"/>
        <v>-1.2771112082775198E-2</v>
      </c>
      <c r="AS104" s="261">
        <f t="shared" ca="1" si="29"/>
        <v>-1.272515809242197E-2</v>
      </c>
      <c r="AT104" s="261">
        <f t="shared" ca="1" si="29"/>
        <v>-1.2679190258166212E-2</v>
      </c>
      <c r="AU104" s="261">
        <f t="shared" ca="1" si="29"/>
        <v>-1.2633236179141567E-2</v>
      </c>
      <c r="AV104" s="261">
        <f t="shared" ca="1" si="29"/>
        <v>-1.2587323421463136E-2</v>
      </c>
      <c r="AW104" s="261">
        <f t="shared" ca="1" si="29"/>
        <v>-1.2541479452145923E-2</v>
      </c>
      <c r="AX104" s="261">
        <f t="shared" ca="1" si="29"/>
        <v>-1.2495731573527779E-2</v>
      </c>
      <c r="AY104" s="261">
        <f t="shared" ca="1" si="29"/>
        <v>-1.2450106858528693E-2</v>
      </c>
      <c r="AZ104" s="261">
        <f t="shared" ca="1" si="29"/>
        <v>-1.2404632087070964E-2</v>
      </c>
      <c r="BA104" s="261">
        <f t="shared" ca="1" si="29"/>
        <v>-1.2359333683974722E-2</v>
      </c>
      <c r="BB104" s="261">
        <f t="shared" ca="1" si="29"/>
        <v>-1.2314237658630628E-2</v>
      </c>
      <c r="BC104" s="261">
        <f t="shared" ca="1" si="29"/>
        <v>-1.2269369546736335E-2</v>
      </c>
      <c r="BD104" s="261">
        <f t="shared" ca="1" si="29"/>
        <v>-1.2224754354365892E-2</v>
      </c>
      <c r="BE104" s="261">
        <f t="shared" ca="1" si="29"/>
        <v>-1.2180416504621729E-2</v>
      </c>
      <c r="BF104" s="261">
        <f t="shared" ca="1" si="29"/>
        <v>-1.2136379787097576E-2</v>
      </c>
      <c r="BG104" s="261">
        <f t="shared" ca="1" si="29"/>
        <v>-1.2092667310357734E-2</v>
      </c>
      <c r="BH104" s="261">
        <f t="shared" ca="1" si="29"/>
        <v>-1.2049301457614051E-2</v>
      </c>
      <c r="BI104" s="261">
        <f t="shared" ca="1" si="29"/>
        <v>-1.2006303845756808E-2</v>
      </c>
      <c r="BJ104" s="261">
        <f t="shared" ca="1" si="29"/>
        <v>-1.1963695287869907E-2</v>
      </c>
      <c r="BK104" s="267">
        <f t="shared" ca="1" si="29"/>
        <v>-1.1921495759334598E-2</v>
      </c>
      <c r="BL104" s="349"/>
      <c r="BM104" s="349"/>
      <c r="BN104" s="349"/>
      <c r="BO104" s="349"/>
      <c r="BP104" s="349"/>
      <c r="BQ104" s="349"/>
      <c r="BR104" s="349"/>
      <c r="BS104" s="349"/>
      <c r="BT104" s="349"/>
      <c r="BU104" s="349"/>
    </row>
    <row r="105" spans="1:73" hidden="1">
      <c r="A105" s="6"/>
      <c r="B105" s="108"/>
      <c r="C105" s="1"/>
      <c r="D105" s="1"/>
      <c r="E105" s="1"/>
      <c r="F105" s="12"/>
      <c r="G105" s="3"/>
      <c r="H105" s="3"/>
      <c r="I105" s="3"/>
      <c r="J105" s="3"/>
      <c r="K105" s="3"/>
      <c r="L105" s="3"/>
      <c r="M105" s="3"/>
      <c r="N105" s="3"/>
      <c r="O105" s="1"/>
      <c r="P105" s="1"/>
      <c r="Q105" s="1"/>
      <c r="R105" s="162"/>
      <c r="S105" s="1"/>
      <c r="T105" s="103"/>
      <c r="U105" s="103"/>
      <c r="V105" s="262" t="str">
        <f>$J$10</f>
        <v>Other</v>
      </c>
      <c r="W105" s="261">
        <f t="shared" ref="W105:BK105" ca="1" si="30">N("Planning of a research project") + (W148) + N("Analysing the Data") + (W584) + N("Pre-processing and describing data and reports") + (W430+W441+W455) + N("Programme set-up: operational cost") + (W751)</f>
        <v>-2.15800239000003E-2</v>
      </c>
      <c r="X105" s="261">
        <f t="shared" ca="1" si="30"/>
        <v>-1.6669408591019473E-2</v>
      </c>
      <c r="Y105" s="261">
        <f t="shared" ca="1" si="30"/>
        <v>-1.6902988121040297E-2</v>
      </c>
      <c r="Z105" s="261">
        <f t="shared" ca="1" si="30"/>
        <v>-9.5500451810512834E-3</v>
      </c>
      <c r="AA105" s="261">
        <f t="shared" ca="1" si="30"/>
        <v>-9.5486350810512852E-3</v>
      </c>
      <c r="AB105" s="261">
        <f t="shared" ca="1" si="30"/>
        <v>-9.5486350810512852E-3</v>
      </c>
      <c r="AC105" s="261">
        <f t="shared" ca="1" si="30"/>
        <v>-9.5486350810512852E-3</v>
      </c>
      <c r="AD105" s="261">
        <f t="shared" ca="1" si="30"/>
        <v>-9.5486350810512852E-3</v>
      </c>
      <c r="AE105" s="261">
        <f t="shared" ca="1" si="30"/>
        <v>-9.5486350810512852E-3</v>
      </c>
      <c r="AF105" s="261">
        <f t="shared" ca="1" si="30"/>
        <v>-9.5486350810512852E-3</v>
      </c>
      <c r="AG105" s="261">
        <f t="shared" ca="1" si="30"/>
        <v>-9.5486350810512852E-3</v>
      </c>
      <c r="AH105" s="261">
        <f t="shared" ca="1" si="30"/>
        <v>-9.5486350810512852E-3</v>
      </c>
      <c r="AI105" s="261">
        <f t="shared" ca="1" si="30"/>
        <v>-9.5486350810512852E-3</v>
      </c>
      <c r="AJ105" s="261">
        <f t="shared" ca="1" si="30"/>
        <v>-9.5486350810512852E-3</v>
      </c>
      <c r="AK105" s="261">
        <f t="shared" ca="1" si="30"/>
        <v>-9.5486350810512852E-3</v>
      </c>
      <c r="AL105" s="261">
        <f t="shared" ca="1" si="30"/>
        <v>-9.5486350810512852E-3</v>
      </c>
      <c r="AM105" s="261">
        <f t="shared" ca="1" si="30"/>
        <v>-9.5486350810512852E-3</v>
      </c>
      <c r="AN105" s="261">
        <f t="shared" ca="1" si="30"/>
        <v>-9.5486350810512852E-3</v>
      </c>
      <c r="AO105" s="261">
        <f t="shared" ca="1" si="30"/>
        <v>-9.5486350810512852E-3</v>
      </c>
      <c r="AP105" s="261">
        <f t="shared" ca="1" si="30"/>
        <v>-9.5486350810512852E-3</v>
      </c>
      <c r="AQ105" s="261">
        <f t="shared" ca="1" si="30"/>
        <v>-9.5486350810512852E-3</v>
      </c>
      <c r="AR105" s="261">
        <f t="shared" ca="1" si="30"/>
        <v>-9.5486350810512852E-3</v>
      </c>
      <c r="AS105" s="261">
        <f t="shared" ca="1" si="30"/>
        <v>-9.5486350810512852E-3</v>
      </c>
      <c r="AT105" s="261">
        <f t="shared" ca="1" si="30"/>
        <v>-9.5486350810512852E-3</v>
      </c>
      <c r="AU105" s="261">
        <f t="shared" ca="1" si="30"/>
        <v>-9.5486350810512852E-3</v>
      </c>
      <c r="AV105" s="261">
        <f t="shared" ca="1" si="30"/>
        <v>-9.5486350810512852E-3</v>
      </c>
      <c r="AW105" s="261">
        <f t="shared" ca="1" si="30"/>
        <v>-9.5486350810512852E-3</v>
      </c>
      <c r="AX105" s="261">
        <f t="shared" ca="1" si="30"/>
        <v>-9.5486350810512852E-3</v>
      </c>
      <c r="AY105" s="261">
        <f t="shared" ca="1" si="30"/>
        <v>-9.5486350810512852E-3</v>
      </c>
      <c r="AZ105" s="261">
        <f t="shared" ca="1" si="30"/>
        <v>-9.5486350810512852E-3</v>
      </c>
      <c r="BA105" s="261">
        <f t="shared" ca="1" si="30"/>
        <v>-9.5486350810512852E-3</v>
      </c>
      <c r="BB105" s="261">
        <f t="shared" ca="1" si="30"/>
        <v>-9.5486350810512852E-3</v>
      </c>
      <c r="BC105" s="261">
        <f t="shared" ca="1" si="30"/>
        <v>-9.5486350810512852E-3</v>
      </c>
      <c r="BD105" s="261">
        <f t="shared" ca="1" si="30"/>
        <v>-9.5486350810512852E-3</v>
      </c>
      <c r="BE105" s="261">
        <f t="shared" ca="1" si="30"/>
        <v>-9.5486350810512852E-3</v>
      </c>
      <c r="BF105" s="261">
        <f t="shared" ca="1" si="30"/>
        <v>-9.5486350810512852E-3</v>
      </c>
      <c r="BG105" s="261">
        <f t="shared" ca="1" si="30"/>
        <v>-9.5486350810512852E-3</v>
      </c>
      <c r="BH105" s="261">
        <f t="shared" ca="1" si="30"/>
        <v>-9.5486350810512852E-3</v>
      </c>
      <c r="BI105" s="261">
        <f t="shared" ca="1" si="30"/>
        <v>-9.5486350810512852E-3</v>
      </c>
      <c r="BJ105" s="261">
        <f t="shared" ca="1" si="30"/>
        <v>-9.5486350810512852E-3</v>
      </c>
      <c r="BK105" s="267">
        <f t="shared" ca="1" si="30"/>
        <v>-9.5486350810512852E-3</v>
      </c>
      <c r="BL105" s="349"/>
      <c r="BM105" s="349"/>
      <c r="BN105" s="349"/>
      <c r="BO105" s="349"/>
      <c r="BP105" s="349"/>
      <c r="BQ105" s="349"/>
      <c r="BR105" s="349"/>
      <c r="BS105" s="349"/>
      <c r="BT105" s="349"/>
      <c r="BU105" s="349"/>
    </row>
    <row r="106" spans="1:73" hidden="1">
      <c r="A106" s="6"/>
      <c r="B106" s="108"/>
      <c r="C106" s="1"/>
      <c r="D106" s="1"/>
      <c r="E106" s="1"/>
      <c r="F106" s="12"/>
      <c r="G106" s="3"/>
      <c r="H106" s="3"/>
      <c r="I106" s="3"/>
      <c r="J106" s="3"/>
      <c r="K106" s="3"/>
      <c r="L106" s="3"/>
      <c r="M106" s="3"/>
      <c r="N106" s="3"/>
      <c r="O106" s="1"/>
      <c r="P106" s="1"/>
      <c r="Q106" s="1"/>
      <c r="R106" s="162"/>
      <c r="S106" s="1"/>
      <c r="T106" s="103"/>
      <c r="U106" s="103"/>
      <c r="V106" s="262" t="str">
        <f>$K$10</f>
        <v>Profile 5</v>
      </c>
      <c r="W106" s="261">
        <f t="shared" ref="W106:BK106" ca="1" si="31">N("Planning of a research project") + (W149) + N("Analysing the Data") + (W585) + N("Pre-processing and describing data and reports") + (W431+W442+W456) + N("Programme set-up: operational cost") + (W752)</f>
        <v>-2.011220731250013E-2</v>
      </c>
      <c r="X106" s="261">
        <f t="shared" ca="1" si="31"/>
        <v>-1.3064252488935762E-2</v>
      </c>
      <c r="Y106" s="261">
        <f t="shared" ca="1" si="31"/>
        <v>-1.2865421158685124E-2</v>
      </c>
      <c r="Z106" s="261">
        <f t="shared" ca="1" si="31"/>
        <v>-6.7569488436016135E-3</v>
      </c>
      <c r="AA106" s="261">
        <f t="shared" ca="1" si="31"/>
        <v>-6.7552901561016157E-3</v>
      </c>
      <c r="AB106" s="261">
        <f t="shared" ca="1" si="31"/>
        <v>-6.7552901561016157E-3</v>
      </c>
      <c r="AC106" s="261">
        <f t="shared" ca="1" si="31"/>
        <v>-6.7552901561016157E-3</v>
      </c>
      <c r="AD106" s="261">
        <f t="shared" ca="1" si="31"/>
        <v>-6.7552901561016157E-3</v>
      </c>
      <c r="AE106" s="261">
        <f t="shared" ca="1" si="31"/>
        <v>-6.7552901561016157E-3</v>
      </c>
      <c r="AF106" s="261">
        <f t="shared" ca="1" si="31"/>
        <v>-6.7552901561016157E-3</v>
      </c>
      <c r="AG106" s="261">
        <f t="shared" ca="1" si="31"/>
        <v>-6.7552901561016157E-3</v>
      </c>
      <c r="AH106" s="261">
        <f t="shared" ca="1" si="31"/>
        <v>-6.7552901561016157E-3</v>
      </c>
      <c r="AI106" s="261">
        <f t="shared" ca="1" si="31"/>
        <v>-6.7552901561016157E-3</v>
      </c>
      <c r="AJ106" s="261">
        <f t="shared" ca="1" si="31"/>
        <v>-6.7552901561016157E-3</v>
      </c>
      <c r="AK106" s="261">
        <f t="shared" ca="1" si="31"/>
        <v>-6.7552901561016157E-3</v>
      </c>
      <c r="AL106" s="261">
        <f t="shared" ca="1" si="31"/>
        <v>-6.7552901561016157E-3</v>
      </c>
      <c r="AM106" s="261">
        <f t="shared" ca="1" si="31"/>
        <v>-6.7552901561016157E-3</v>
      </c>
      <c r="AN106" s="261">
        <f t="shared" ca="1" si="31"/>
        <v>-6.7552901561016157E-3</v>
      </c>
      <c r="AO106" s="261">
        <f t="shared" ca="1" si="31"/>
        <v>-6.7552901561016157E-3</v>
      </c>
      <c r="AP106" s="261">
        <f t="shared" ca="1" si="31"/>
        <v>-6.7552901561016157E-3</v>
      </c>
      <c r="AQ106" s="261">
        <f t="shared" ca="1" si="31"/>
        <v>-6.7552901561016157E-3</v>
      </c>
      <c r="AR106" s="261">
        <f t="shared" ca="1" si="31"/>
        <v>-6.7552901561016157E-3</v>
      </c>
      <c r="AS106" s="261">
        <f t="shared" ca="1" si="31"/>
        <v>-6.7552901561016157E-3</v>
      </c>
      <c r="AT106" s="261">
        <f t="shared" ca="1" si="31"/>
        <v>-6.7552901561016157E-3</v>
      </c>
      <c r="AU106" s="261">
        <f t="shared" ca="1" si="31"/>
        <v>-6.7552901561016157E-3</v>
      </c>
      <c r="AV106" s="261">
        <f t="shared" ca="1" si="31"/>
        <v>-6.7552901561016157E-3</v>
      </c>
      <c r="AW106" s="261">
        <f t="shared" ca="1" si="31"/>
        <v>-6.7552901561016157E-3</v>
      </c>
      <c r="AX106" s="261">
        <f t="shared" ca="1" si="31"/>
        <v>-6.7552901561016157E-3</v>
      </c>
      <c r="AY106" s="261">
        <f t="shared" ca="1" si="31"/>
        <v>-6.7552901561016157E-3</v>
      </c>
      <c r="AZ106" s="261">
        <f t="shared" ca="1" si="31"/>
        <v>-6.7552901561016157E-3</v>
      </c>
      <c r="BA106" s="261">
        <f t="shared" ca="1" si="31"/>
        <v>-6.7552901561016157E-3</v>
      </c>
      <c r="BB106" s="261">
        <f t="shared" ca="1" si="31"/>
        <v>-6.7552901561016157E-3</v>
      </c>
      <c r="BC106" s="261">
        <f t="shared" ca="1" si="31"/>
        <v>-6.7552901561016157E-3</v>
      </c>
      <c r="BD106" s="261">
        <f t="shared" ca="1" si="31"/>
        <v>-6.7552901561016157E-3</v>
      </c>
      <c r="BE106" s="261">
        <f t="shared" ca="1" si="31"/>
        <v>-6.7552901561016157E-3</v>
      </c>
      <c r="BF106" s="261">
        <f t="shared" ca="1" si="31"/>
        <v>-6.7552901561016157E-3</v>
      </c>
      <c r="BG106" s="261">
        <f t="shared" ca="1" si="31"/>
        <v>-6.7552901561016157E-3</v>
      </c>
      <c r="BH106" s="261">
        <f t="shared" ca="1" si="31"/>
        <v>-6.7552901561016157E-3</v>
      </c>
      <c r="BI106" s="261">
        <f t="shared" ca="1" si="31"/>
        <v>-6.7552901561016157E-3</v>
      </c>
      <c r="BJ106" s="261">
        <f t="shared" ca="1" si="31"/>
        <v>-6.7552901561016157E-3</v>
      </c>
      <c r="BK106" s="267">
        <f t="shared" ca="1" si="31"/>
        <v>-6.7552901561016157E-3</v>
      </c>
      <c r="BL106" s="349"/>
      <c r="BM106" s="349"/>
      <c r="BN106" s="349"/>
      <c r="BO106" s="349"/>
      <c r="BP106" s="349"/>
      <c r="BQ106" s="349"/>
      <c r="BR106" s="349"/>
      <c r="BS106" s="349"/>
      <c r="BT106" s="349"/>
      <c r="BU106" s="349"/>
    </row>
    <row r="107" spans="1:73" hidden="1">
      <c r="A107" s="6"/>
      <c r="B107" s="108"/>
      <c r="C107" s="1"/>
      <c r="D107" s="1"/>
      <c r="E107" s="1"/>
      <c r="F107" s="12"/>
      <c r="G107" s="3"/>
      <c r="H107" s="3"/>
      <c r="I107" s="3"/>
      <c r="J107" s="3"/>
      <c r="K107" s="3"/>
      <c r="L107" s="3"/>
      <c r="M107" s="3"/>
      <c r="N107" s="3"/>
      <c r="O107" s="1"/>
      <c r="P107" s="1"/>
      <c r="Q107" s="1"/>
      <c r="R107" s="162"/>
      <c r="S107" s="1"/>
      <c r="T107" s="103"/>
      <c r="U107" s="103"/>
      <c r="V107" s="262" t="str">
        <f>$L$10</f>
        <v>Profile 6</v>
      </c>
      <c r="W107" s="261">
        <f t="shared" ref="W107:BK107" ca="1" si="32">N("Planning of a research project") + (W150) + N("Analysing the Data") + (W586) + N("Pre-processing and describing data and reports") + (W432+W443+W457) + N("Programme set-up: operational cost") + (W753)</f>
        <v>-2.011220731250013E-2</v>
      </c>
      <c r="X107" s="261">
        <f t="shared" ca="1" si="32"/>
        <v>-1.3064252488935762E-2</v>
      </c>
      <c r="Y107" s="261">
        <f t="shared" ca="1" si="32"/>
        <v>-1.2865421158685124E-2</v>
      </c>
      <c r="Z107" s="261">
        <f t="shared" ca="1" si="32"/>
        <v>-6.7569488436016135E-3</v>
      </c>
      <c r="AA107" s="261">
        <f t="shared" ca="1" si="32"/>
        <v>-6.7552901561016157E-3</v>
      </c>
      <c r="AB107" s="261">
        <f t="shared" ca="1" si="32"/>
        <v>-6.7552901561016157E-3</v>
      </c>
      <c r="AC107" s="261">
        <f t="shared" ca="1" si="32"/>
        <v>-6.7552901561016157E-3</v>
      </c>
      <c r="AD107" s="261">
        <f t="shared" ca="1" si="32"/>
        <v>-6.7552901561016157E-3</v>
      </c>
      <c r="AE107" s="261">
        <f t="shared" ca="1" si="32"/>
        <v>-6.7552901561016157E-3</v>
      </c>
      <c r="AF107" s="261">
        <f t="shared" ca="1" si="32"/>
        <v>-6.7552901561016157E-3</v>
      </c>
      <c r="AG107" s="261">
        <f t="shared" ca="1" si="32"/>
        <v>-6.7552901561016157E-3</v>
      </c>
      <c r="AH107" s="261">
        <f t="shared" ca="1" si="32"/>
        <v>-6.7552901561016157E-3</v>
      </c>
      <c r="AI107" s="261">
        <f t="shared" ca="1" si="32"/>
        <v>-6.7552901561016157E-3</v>
      </c>
      <c r="AJ107" s="261">
        <f t="shared" ca="1" si="32"/>
        <v>-6.7552901561016157E-3</v>
      </c>
      <c r="AK107" s="261">
        <f t="shared" ca="1" si="32"/>
        <v>-6.7552901561016157E-3</v>
      </c>
      <c r="AL107" s="261">
        <f t="shared" ca="1" si="32"/>
        <v>-6.7552901561016157E-3</v>
      </c>
      <c r="AM107" s="261">
        <f t="shared" ca="1" si="32"/>
        <v>-6.7552901561016157E-3</v>
      </c>
      <c r="AN107" s="261">
        <f t="shared" ca="1" si="32"/>
        <v>-6.7552901561016157E-3</v>
      </c>
      <c r="AO107" s="261">
        <f t="shared" ca="1" si="32"/>
        <v>-6.7552901561016157E-3</v>
      </c>
      <c r="AP107" s="261">
        <f t="shared" ca="1" si="32"/>
        <v>-6.7552901561016157E-3</v>
      </c>
      <c r="AQ107" s="261">
        <f t="shared" ca="1" si="32"/>
        <v>-6.7552901561016157E-3</v>
      </c>
      <c r="AR107" s="261">
        <f t="shared" ca="1" si="32"/>
        <v>-6.7552901561016157E-3</v>
      </c>
      <c r="AS107" s="261">
        <f t="shared" ca="1" si="32"/>
        <v>-6.7552901561016157E-3</v>
      </c>
      <c r="AT107" s="261">
        <f t="shared" ca="1" si="32"/>
        <v>-6.7552901561016157E-3</v>
      </c>
      <c r="AU107" s="261">
        <f t="shared" ca="1" si="32"/>
        <v>-6.7552901561016157E-3</v>
      </c>
      <c r="AV107" s="261">
        <f t="shared" ca="1" si="32"/>
        <v>-6.7552901561016157E-3</v>
      </c>
      <c r="AW107" s="261">
        <f t="shared" ca="1" si="32"/>
        <v>-6.7552901561016157E-3</v>
      </c>
      <c r="AX107" s="261">
        <f t="shared" ca="1" si="32"/>
        <v>-6.7552901561016157E-3</v>
      </c>
      <c r="AY107" s="261">
        <f t="shared" ca="1" si="32"/>
        <v>-6.7552901561016157E-3</v>
      </c>
      <c r="AZ107" s="261">
        <f t="shared" ca="1" si="32"/>
        <v>-6.7552901561016157E-3</v>
      </c>
      <c r="BA107" s="261">
        <f t="shared" ca="1" si="32"/>
        <v>-6.7552901561016157E-3</v>
      </c>
      <c r="BB107" s="261">
        <f t="shared" ca="1" si="32"/>
        <v>-6.7552901561016157E-3</v>
      </c>
      <c r="BC107" s="261">
        <f t="shared" ca="1" si="32"/>
        <v>-6.7552901561016157E-3</v>
      </c>
      <c r="BD107" s="261">
        <f t="shared" ca="1" si="32"/>
        <v>-6.7552901561016157E-3</v>
      </c>
      <c r="BE107" s="261">
        <f t="shared" ca="1" si="32"/>
        <v>-6.7552901561016157E-3</v>
      </c>
      <c r="BF107" s="261">
        <f t="shared" ca="1" si="32"/>
        <v>-6.7552901561016157E-3</v>
      </c>
      <c r="BG107" s="261">
        <f t="shared" ca="1" si="32"/>
        <v>-6.7552901561016157E-3</v>
      </c>
      <c r="BH107" s="261">
        <f t="shared" ca="1" si="32"/>
        <v>-6.7552901561016157E-3</v>
      </c>
      <c r="BI107" s="261">
        <f t="shared" ca="1" si="32"/>
        <v>-6.7552901561016157E-3</v>
      </c>
      <c r="BJ107" s="261">
        <f t="shared" ca="1" si="32"/>
        <v>-6.7552901561016157E-3</v>
      </c>
      <c r="BK107" s="267">
        <f t="shared" ca="1" si="32"/>
        <v>-6.7552901561016157E-3</v>
      </c>
      <c r="BL107" s="349"/>
      <c r="BM107" s="349"/>
      <c r="BN107" s="349"/>
      <c r="BO107" s="349"/>
      <c r="BP107" s="349"/>
      <c r="BQ107" s="349"/>
      <c r="BR107" s="349"/>
      <c r="BS107" s="349"/>
      <c r="BT107" s="349"/>
      <c r="BU107" s="349"/>
    </row>
    <row r="108" spans="1:73" hidden="1">
      <c r="A108" s="6"/>
      <c r="B108" s="108"/>
      <c r="C108" s="1"/>
      <c r="D108" s="1"/>
      <c r="E108" s="1"/>
      <c r="F108" s="12"/>
      <c r="G108" s="3"/>
      <c r="H108" s="3"/>
      <c r="I108" s="3"/>
      <c r="J108" s="3"/>
      <c r="K108" s="3"/>
      <c r="L108" s="3"/>
      <c r="M108" s="3"/>
      <c r="N108" s="3"/>
      <c r="O108" s="1"/>
      <c r="P108" s="1"/>
      <c r="Q108" s="1"/>
      <c r="R108" s="162"/>
      <c r="S108" s="1"/>
      <c r="T108" s="103"/>
      <c r="U108" s="103"/>
      <c r="V108" s="262" t="str">
        <f>$M$10</f>
        <v>Profile 7</v>
      </c>
      <c r="W108" s="261">
        <f t="shared" ref="W108:BK108" ca="1" si="33">N("Planning of a research project") + (W151) + N("Analysing the Data") + (W587) + N("Pre-processing and describing data and reports") + (W433+W444+W458) + N("Programme set-up: operational cost") + (W754)</f>
        <v>-2.011220731250013E-2</v>
      </c>
      <c r="X108" s="261">
        <f t="shared" ca="1" si="33"/>
        <v>-1.3064252488935762E-2</v>
      </c>
      <c r="Y108" s="261">
        <f t="shared" ca="1" si="33"/>
        <v>-1.2865421158685124E-2</v>
      </c>
      <c r="Z108" s="261">
        <f t="shared" ca="1" si="33"/>
        <v>-6.7569488436016135E-3</v>
      </c>
      <c r="AA108" s="261">
        <f t="shared" ca="1" si="33"/>
        <v>-6.7552901561016157E-3</v>
      </c>
      <c r="AB108" s="261">
        <f t="shared" ca="1" si="33"/>
        <v>-6.7552901561016157E-3</v>
      </c>
      <c r="AC108" s="261">
        <f t="shared" ca="1" si="33"/>
        <v>-6.7552901561016157E-3</v>
      </c>
      <c r="AD108" s="261">
        <f t="shared" ca="1" si="33"/>
        <v>-6.7552901561016157E-3</v>
      </c>
      <c r="AE108" s="261">
        <f t="shared" ca="1" si="33"/>
        <v>-6.7552901561016157E-3</v>
      </c>
      <c r="AF108" s="261">
        <f t="shared" ca="1" si="33"/>
        <v>-6.7552901561016157E-3</v>
      </c>
      <c r="AG108" s="261">
        <f t="shared" ca="1" si="33"/>
        <v>-6.7552901561016157E-3</v>
      </c>
      <c r="AH108" s="261">
        <f t="shared" ca="1" si="33"/>
        <v>-6.7552901561016157E-3</v>
      </c>
      <c r="AI108" s="261">
        <f t="shared" ca="1" si="33"/>
        <v>-6.7552901561016157E-3</v>
      </c>
      <c r="AJ108" s="261">
        <f t="shared" ca="1" si="33"/>
        <v>-6.7552901561016157E-3</v>
      </c>
      <c r="AK108" s="261">
        <f t="shared" ca="1" si="33"/>
        <v>-6.7552901561016157E-3</v>
      </c>
      <c r="AL108" s="261">
        <f t="shared" ca="1" si="33"/>
        <v>-6.7552901561016157E-3</v>
      </c>
      <c r="AM108" s="261">
        <f t="shared" ca="1" si="33"/>
        <v>-6.7552901561016157E-3</v>
      </c>
      <c r="AN108" s="261">
        <f t="shared" ca="1" si="33"/>
        <v>-6.7552901561016157E-3</v>
      </c>
      <c r="AO108" s="261">
        <f t="shared" ca="1" si="33"/>
        <v>-6.7552901561016157E-3</v>
      </c>
      <c r="AP108" s="261">
        <f t="shared" ca="1" si="33"/>
        <v>-6.7552901561016157E-3</v>
      </c>
      <c r="AQ108" s="261">
        <f t="shared" ca="1" si="33"/>
        <v>-6.7552901561016157E-3</v>
      </c>
      <c r="AR108" s="261">
        <f t="shared" ca="1" si="33"/>
        <v>-6.7552901561016157E-3</v>
      </c>
      <c r="AS108" s="261">
        <f t="shared" ca="1" si="33"/>
        <v>-6.7552901561016157E-3</v>
      </c>
      <c r="AT108" s="261">
        <f t="shared" ca="1" si="33"/>
        <v>-6.7552901561016157E-3</v>
      </c>
      <c r="AU108" s="261">
        <f t="shared" ca="1" si="33"/>
        <v>-6.7552901561016157E-3</v>
      </c>
      <c r="AV108" s="261">
        <f t="shared" ca="1" si="33"/>
        <v>-6.7552901561016157E-3</v>
      </c>
      <c r="AW108" s="261">
        <f t="shared" ca="1" si="33"/>
        <v>-6.7552901561016157E-3</v>
      </c>
      <c r="AX108" s="261">
        <f t="shared" ca="1" si="33"/>
        <v>-6.7552901561016157E-3</v>
      </c>
      <c r="AY108" s="261">
        <f t="shared" ca="1" si="33"/>
        <v>-6.7552901561016157E-3</v>
      </c>
      <c r="AZ108" s="261">
        <f t="shared" ca="1" si="33"/>
        <v>-6.7552901561016157E-3</v>
      </c>
      <c r="BA108" s="261">
        <f t="shared" ca="1" si="33"/>
        <v>-6.7552901561016157E-3</v>
      </c>
      <c r="BB108" s="261">
        <f t="shared" ca="1" si="33"/>
        <v>-6.7552901561016157E-3</v>
      </c>
      <c r="BC108" s="261">
        <f t="shared" ca="1" si="33"/>
        <v>-6.7552901561016157E-3</v>
      </c>
      <c r="BD108" s="261">
        <f t="shared" ca="1" si="33"/>
        <v>-6.7552901561016157E-3</v>
      </c>
      <c r="BE108" s="261">
        <f t="shared" ca="1" si="33"/>
        <v>-6.7552901561016157E-3</v>
      </c>
      <c r="BF108" s="261">
        <f t="shared" ca="1" si="33"/>
        <v>-6.7552901561016157E-3</v>
      </c>
      <c r="BG108" s="261">
        <f t="shared" ca="1" si="33"/>
        <v>-6.7552901561016157E-3</v>
      </c>
      <c r="BH108" s="261">
        <f t="shared" ca="1" si="33"/>
        <v>-6.7552901561016157E-3</v>
      </c>
      <c r="BI108" s="261">
        <f t="shared" ca="1" si="33"/>
        <v>-6.7552901561016157E-3</v>
      </c>
      <c r="BJ108" s="261">
        <f t="shared" ca="1" si="33"/>
        <v>-6.7552901561016157E-3</v>
      </c>
      <c r="BK108" s="267">
        <f t="shared" ca="1" si="33"/>
        <v>-6.7552901561016157E-3</v>
      </c>
      <c r="BL108" s="349"/>
      <c r="BM108" s="349"/>
      <c r="BN108" s="349"/>
      <c r="BO108" s="349"/>
      <c r="BP108" s="349"/>
      <c r="BQ108" s="349"/>
      <c r="BR108" s="349"/>
      <c r="BS108" s="349"/>
      <c r="BT108" s="349"/>
      <c r="BU108" s="349"/>
    </row>
    <row r="109" spans="1:73" hidden="1">
      <c r="A109" s="6"/>
      <c r="B109" s="108"/>
      <c r="C109" s="1"/>
      <c r="D109" s="1"/>
      <c r="E109" s="1"/>
      <c r="F109" s="12"/>
      <c r="G109" s="3"/>
      <c r="H109" s="3"/>
      <c r="I109" s="3"/>
      <c r="J109" s="3"/>
      <c r="K109" s="3"/>
      <c r="L109" s="3"/>
      <c r="M109" s="3"/>
      <c r="N109" s="3"/>
      <c r="O109" s="1"/>
      <c r="P109" s="1"/>
      <c r="Q109" s="1"/>
      <c r="R109" s="162"/>
      <c r="S109" s="1"/>
      <c r="T109" s="103"/>
      <c r="U109" s="103"/>
      <c r="V109" s="290" t="str">
        <f>$N$10</f>
        <v>Profile 8</v>
      </c>
      <c r="W109" s="292">
        <f t="shared" ref="W109:BK109" ca="1" si="34">N("Planning of a research project") + (W152) + N("Analysing the Data") + (W588) + N("Pre-processing and describing data and reports") + (W434+W445+W459) + N("Programme set-up: operational cost") + (W755)</f>
        <v>-2.011220731250013E-2</v>
      </c>
      <c r="X109" s="292">
        <f t="shared" ca="1" si="34"/>
        <v>-1.3064252488935762E-2</v>
      </c>
      <c r="Y109" s="292">
        <f t="shared" ca="1" si="34"/>
        <v>-1.2865421158685124E-2</v>
      </c>
      <c r="Z109" s="292">
        <f t="shared" ca="1" si="34"/>
        <v>-6.7569488436016135E-3</v>
      </c>
      <c r="AA109" s="292">
        <f t="shared" ca="1" si="34"/>
        <v>-6.7552901561016157E-3</v>
      </c>
      <c r="AB109" s="292">
        <f t="shared" ca="1" si="34"/>
        <v>-6.7552901561016157E-3</v>
      </c>
      <c r="AC109" s="292">
        <f t="shared" ca="1" si="34"/>
        <v>-6.7552901561016157E-3</v>
      </c>
      <c r="AD109" s="292">
        <f t="shared" ca="1" si="34"/>
        <v>-6.7552901561016157E-3</v>
      </c>
      <c r="AE109" s="292">
        <f t="shared" ca="1" si="34"/>
        <v>-6.7552901561016157E-3</v>
      </c>
      <c r="AF109" s="292">
        <f t="shared" ca="1" si="34"/>
        <v>-6.7552901561016157E-3</v>
      </c>
      <c r="AG109" s="292">
        <f t="shared" ca="1" si="34"/>
        <v>-6.7552901561016157E-3</v>
      </c>
      <c r="AH109" s="292">
        <f t="shared" ca="1" si="34"/>
        <v>-6.7552901561016157E-3</v>
      </c>
      <c r="AI109" s="292">
        <f t="shared" ca="1" si="34"/>
        <v>-6.7552901561016157E-3</v>
      </c>
      <c r="AJ109" s="292">
        <f t="shared" ca="1" si="34"/>
        <v>-6.7552901561016157E-3</v>
      </c>
      <c r="AK109" s="292">
        <f t="shared" ca="1" si="34"/>
        <v>-6.7552901561016157E-3</v>
      </c>
      <c r="AL109" s="292">
        <f t="shared" ca="1" si="34"/>
        <v>-6.7552901561016157E-3</v>
      </c>
      <c r="AM109" s="292">
        <f t="shared" ca="1" si="34"/>
        <v>-6.7552901561016157E-3</v>
      </c>
      <c r="AN109" s="292">
        <f t="shared" ca="1" si="34"/>
        <v>-6.7552901561016157E-3</v>
      </c>
      <c r="AO109" s="292">
        <f t="shared" ca="1" si="34"/>
        <v>-6.7552901561016157E-3</v>
      </c>
      <c r="AP109" s="292">
        <f t="shared" ca="1" si="34"/>
        <v>-6.7552901561016157E-3</v>
      </c>
      <c r="AQ109" s="292">
        <f t="shared" ca="1" si="34"/>
        <v>-6.7552901561016157E-3</v>
      </c>
      <c r="AR109" s="292">
        <f t="shared" ca="1" si="34"/>
        <v>-6.7552901561016157E-3</v>
      </c>
      <c r="AS109" s="292">
        <f t="shared" ca="1" si="34"/>
        <v>-6.7552901561016157E-3</v>
      </c>
      <c r="AT109" s="292">
        <f t="shared" ca="1" si="34"/>
        <v>-6.7552901561016157E-3</v>
      </c>
      <c r="AU109" s="292">
        <f t="shared" ca="1" si="34"/>
        <v>-6.7552901561016157E-3</v>
      </c>
      <c r="AV109" s="292">
        <f t="shared" ca="1" si="34"/>
        <v>-6.7552901561016157E-3</v>
      </c>
      <c r="AW109" s="292">
        <f t="shared" ca="1" si="34"/>
        <v>-6.7552901561016157E-3</v>
      </c>
      <c r="AX109" s="292">
        <f t="shared" ca="1" si="34"/>
        <v>-6.7552901561016157E-3</v>
      </c>
      <c r="AY109" s="292">
        <f t="shared" ca="1" si="34"/>
        <v>-6.7552901561016157E-3</v>
      </c>
      <c r="AZ109" s="292">
        <f t="shared" ca="1" si="34"/>
        <v>-6.7552901561016157E-3</v>
      </c>
      <c r="BA109" s="292">
        <f t="shared" ca="1" si="34"/>
        <v>-6.7552901561016157E-3</v>
      </c>
      <c r="BB109" s="292">
        <f t="shared" ca="1" si="34"/>
        <v>-6.7552901561016157E-3</v>
      </c>
      <c r="BC109" s="292">
        <f t="shared" ca="1" si="34"/>
        <v>-6.7552901561016157E-3</v>
      </c>
      <c r="BD109" s="292">
        <f t="shared" ca="1" si="34"/>
        <v>-6.7552901561016157E-3</v>
      </c>
      <c r="BE109" s="292">
        <f t="shared" ca="1" si="34"/>
        <v>-6.7552901561016157E-3</v>
      </c>
      <c r="BF109" s="292">
        <f t="shared" ca="1" si="34"/>
        <v>-6.7552901561016157E-3</v>
      </c>
      <c r="BG109" s="292">
        <f t="shared" ca="1" si="34"/>
        <v>-6.7552901561016157E-3</v>
      </c>
      <c r="BH109" s="292">
        <f t="shared" ca="1" si="34"/>
        <v>-6.7552901561016157E-3</v>
      </c>
      <c r="BI109" s="292">
        <f t="shared" ca="1" si="34"/>
        <v>-6.7552901561016157E-3</v>
      </c>
      <c r="BJ109" s="292">
        <f t="shared" ca="1" si="34"/>
        <v>-6.7552901561016157E-3</v>
      </c>
      <c r="BK109" s="295">
        <f t="shared" ca="1" si="34"/>
        <v>-6.7552901561016157E-3</v>
      </c>
      <c r="BL109" s="349"/>
      <c r="BM109" s="349"/>
      <c r="BN109" s="349"/>
      <c r="BO109" s="349"/>
      <c r="BP109" s="349"/>
      <c r="BQ109" s="349"/>
      <c r="BR109" s="349"/>
      <c r="BS109" s="349"/>
      <c r="BT109" s="349"/>
      <c r="BU109" s="349"/>
    </row>
    <row r="110" spans="1:73" hidden="1">
      <c r="A110" s="6"/>
      <c r="B110" s="108"/>
      <c r="C110" s="1"/>
      <c r="D110" s="1"/>
      <c r="E110" s="1"/>
      <c r="F110" s="12"/>
      <c r="G110" s="3"/>
      <c r="H110" s="3"/>
      <c r="I110" s="3"/>
      <c r="J110" s="3"/>
      <c r="K110" s="3"/>
      <c r="L110" s="3"/>
      <c r="M110" s="3"/>
      <c r="N110" s="3"/>
      <c r="O110" s="1"/>
      <c r="P110" s="1"/>
      <c r="Q110" s="1"/>
      <c r="R110" s="162"/>
      <c r="S110" s="1"/>
      <c r="T110" s="103"/>
      <c r="U110" s="103"/>
      <c r="V110" s="103" t="str">
        <f>D60</f>
        <v>Total operational cost in EUR of time spent to become FAIR</v>
      </c>
      <c r="W110" s="98"/>
      <c r="X110" s="98"/>
      <c r="Y110" s="98"/>
      <c r="Z110" s="98"/>
      <c r="AA110" s="98"/>
      <c r="AB110" s="98"/>
      <c r="AC110" s="98"/>
      <c r="AD110" s="98"/>
      <c r="AE110" s="98"/>
      <c r="AF110" s="98"/>
      <c r="AG110" s="98"/>
      <c r="AH110" s="98"/>
      <c r="AI110" s="98"/>
      <c r="AJ110" s="98"/>
      <c r="AK110" s="98"/>
      <c r="AL110" s="98"/>
      <c r="AM110" s="98"/>
      <c r="AN110" s="98"/>
      <c r="AO110" s="98"/>
      <c r="AP110" s="98"/>
      <c r="AQ110" s="98"/>
      <c r="AR110" s="98"/>
      <c r="AS110" s="98"/>
      <c r="AT110" s="98"/>
      <c r="AU110" s="98"/>
      <c r="AV110" s="98"/>
      <c r="AW110" s="98"/>
      <c r="AX110" s="98"/>
      <c r="AY110" s="98"/>
      <c r="AZ110" s="98"/>
      <c r="BA110" s="98"/>
      <c r="BB110" s="98"/>
      <c r="BC110" s="98"/>
      <c r="BD110" s="98"/>
      <c r="BE110" s="98"/>
      <c r="BF110" s="98"/>
      <c r="BG110" s="98"/>
      <c r="BH110" s="98"/>
      <c r="BI110" s="98"/>
      <c r="BJ110" s="98"/>
      <c r="BK110" s="98"/>
      <c r="BL110" s="99"/>
      <c r="BM110" s="99"/>
      <c r="BN110" s="99"/>
      <c r="BO110" s="99"/>
      <c r="BP110" s="99"/>
      <c r="BQ110" s="99"/>
      <c r="BR110" s="99"/>
      <c r="BS110" s="99"/>
      <c r="BT110" s="99"/>
      <c r="BU110" s="99"/>
    </row>
    <row r="111" spans="1:73" hidden="1">
      <c r="A111" s="6"/>
      <c r="B111" s="108"/>
      <c r="C111" s="1"/>
      <c r="D111" s="1"/>
      <c r="E111" s="1"/>
      <c r="F111" s="12"/>
      <c r="G111" s="3"/>
      <c r="H111" s="3"/>
      <c r="I111" s="3"/>
      <c r="J111" s="3"/>
      <c r="K111" s="3"/>
      <c r="L111" s="3"/>
      <c r="M111" s="3"/>
      <c r="N111" s="3"/>
      <c r="O111" s="1"/>
      <c r="P111" s="1"/>
      <c r="Q111" s="1"/>
      <c r="R111" s="162"/>
      <c r="S111" s="1"/>
      <c r="T111" s="103"/>
      <c r="U111" s="103"/>
      <c r="V111" s="103"/>
      <c r="W111" s="346">
        <f>Growth!B20</f>
        <v>2018</v>
      </c>
      <c r="X111" s="346">
        <f t="shared" ref="X111:BK111" si="35">W111+1</f>
        <v>2019</v>
      </c>
      <c r="Y111" s="346">
        <f t="shared" si="35"/>
        <v>2020</v>
      </c>
      <c r="Z111" s="346">
        <f t="shared" si="35"/>
        <v>2021</v>
      </c>
      <c r="AA111" s="346">
        <f t="shared" si="35"/>
        <v>2022</v>
      </c>
      <c r="AB111" s="346">
        <f t="shared" si="35"/>
        <v>2023</v>
      </c>
      <c r="AC111" s="346">
        <f t="shared" si="35"/>
        <v>2024</v>
      </c>
      <c r="AD111" s="346">
        <f t="shared" si="35"/>
        <v>2025</v>
      </c>
      <c r="AE111" s="346">
        <f t="shared" si="35"/>
        <v>2026</v>
      </c>
      <c r="AF111" s="346">
        <f t="shared" si="35"/>
        <v>2027</v>
      </c>
      <c r="AG111" s="346">
        <f t="shared" si="35"/>
        <v>2028</v>
      </c>
      <c r="AH111" s="346">
        <f t="shared" si="35"/>
        <v>2029</v>
      </c>
      <c r="AI111" s="346">
        <f t="shared" si="35"/>
        <v>2030</v>
      </c>
      <c r="AJ111" s="346">
        <f t="shared" si="35"/>
        <v>2031</v>
      </c>
      <c r="AK111" s="346">
        <f t="shared" si="35"/>
        <v>2032</v>
      </c>
      <c r="AL111" s="346">
        <f t="shared" si="35"/>
        <v>2033</v>
      </c>
      <c r="AM111" s="346">
        <f t="shared" si="35"/>
        <v>2034</v>
      </c>
      <c r="AN111" s="346">
        <f t="shared" si="35"/>
        <v>2035</v>
      </c>
      <c r="AO111" s="346">
        <f t="shared" si="35"/>
        <v>2036</v>
      </c>
      <c r="AP111" s="346">
        <f t="shared" si="35"/>
        <v>2037</v>
      </c>
      <c r="AQ111" s="346">
        <f t="shared" si="35"/>
        <v>2038</v>
      </c>
      <c r="AR111" s="346">
        <f t="shared" si="35"/>
        <v>2039</v>
      </c>
      <c r="AS111" s="346">
        <f t="shared" si="35"/>
        <v>2040</v>
      </c>
      <c r="AT111" s="346">
        <f t="shared" si="35"/>
        <v>2041</v>
      </c>
      <c r="AU111" s="346">
        <f t="shared" si="35"/>
        <v>2042</v>
      </c>
      <c r="AV111" s="346">
        <f t="shared" si="35"/>
        <v>2043</v>
      </c>
      <c r="AW111" s="346">
        <f t="shared" si="35"/>
        <v>2044</v>
      </c>
      <c r="AX111" s="346">
        <f t="shared" si="35"/>
        <v>2045</v>
      </c>
      <c r="AY111" s="346">
        <f t="shared" si="35"/>
        <v>2046</v>
      </c>
      <c r="AZ111" s="346">
        <f t="shared" si="35"/>
        <v>2047</v>
      </c>
      <c r="BA111" s="346">
        <f t="shared" si="35"/>
        <v>2048</v>
      </c>
      <c r="BB111" s="346">
        <f t="shared" si="35"/>
        <v>2049</v>
      </c>
      <c r="BC111" s="346">
        <f t="shared" si="35"/>
        <v>2050</v>
      </c>
      <c r="BD111" s="346">
        <f t="shared" si="35"/>
        <v>2051</v>
      </c>
      <c r="BE111" s="346">
        <f t="shared" si="35"/>
        <v>2052</v>
      </c>
      <c r="BF111" s="346">
        <f t="shared" si="35"/>
        <v>2053</v>
      </c>
      <c r="BG111" s="346">
        <f t="shared" si="35"/>
        <v>2054</v>
      </c>
      <c r="BH111" s="346">
        <f t="shared" si="35"/>
        <v>2055</v>
      </c>
      <c r="BI111" s="346">
        <f t="shared" si="35"/>
        <v>2056</v>
      </c>
      <c r="BJ111" s="346">
        <f t="shared" si="35"/>
        <v>2057</v>
      </c>
      <c r="BK111" s="346">
        <f t="shared" si="35"/>
        <v>2058</v>
      </c>
      <c r="BL111" s="348"/>
      <c r="BM111" s="348"/>
      <c r="BN111" s="348"/>
      <c r="BO111" s="348"/>
      <c r="BP111" s="348"/>
      <c r="BQ111" s="348"/>
      <c r="BR111" s="348"/>
      <c r="BS111" s="348"/>
      <c r="BT111" s="348"/>
      <c r="BU111" s="348"/>
    </row>
    <row r="112" spans="1:73" hidden="1">
      <c r="A112" s="6"/>
      <c r="B112" s="108"/>
      <c r="C112" s="1"/>
      <c r="D112" s="1"/>
      <c r="E112" s="1"/>
      <c r="F112" s="12"/>
      <c r="G112" s="3"/>
      <c r="H112" s="3"/>
      <c r="I112" s="3"/>
      <c r="J112" s="3"/>
      <c r="K112" s="3"/>
      <c r="L112" s="3"/>
      <c r="M112" s="3"/>
      <c r="N112" s="3"/>
      <c r="O112" s="1"/>
      <c r="P112" s="1"/>
      <c r="Q112" s="1"/>
      <c r="R112" s="162"/>
      <c r="S112" s="1"/>
      <c r="T112" s="103"/>
      <c r="U112" s="103"/>
      <c r="V112" s="258" t="str">
        <f>G$10</f>
        <v>PhD researcher</v>
      </c>
      <c r="W112" s="298">
        <f ca="1">W102*'2.2 Input_General_Information'!$H$94*'2.2 Input_General_Information'!$H$92*'2.2 Input_General_Information'!$H$93</f>
        <v>-8818.296475068737</v>
      </c>
      <c r="X112" s="298">
        <f ca="1">X102*'2.2 Input_General_Information'!$H$94*'2.2 Input_General_Information'!$H$92*'2.2 Input_General_Information'!$H$93</f>
        <v>-6487.3708200865758</v>
      </c>
      <c r="Y112" s="298">
        <f ca="1">Y102*'2.2 Input_General_Information'!$H$94*'2.2 Input_General_Information'!$H$92*'2.2 Input_General_Information'!$H$93</f>
        <v>-6379.6154183210228</v>
      </c>
      <c r="Z112" s="298">
        <f ca="1">Z102*'2.2 Input_General_Information'!$H$94*'2.2 Input_General_Information'!$H$92*'2.2 Input_General_Information'!$H$93</f>
        <v>-4758.5267059284088</v>
      </c>
      <c r="AA112" s="298">
        <f ca="1">AA102*'2.2 Input_General_Information'!$H$94*'2.2 Input_General_Information'!$H$92*'2.2 Input_General_Information'!$H$93</f>
        <v>-4750.9107449755102</v>
      </c>
      <c r="AB112" s="298">
        <f ca="1">AB102*'2.2 Input_General_Information'!$H$94*'2.2 Input_General_Information'!$H$92*'2.2 Input_General_Information'!$H$93</f>
        <v>-4743.6816609711495</v>
      </c>
      <c r="AC112" s="298">
        <f ca="1">AC102*'2.2 Input_General_Information'!$H$94*'2.2 Input_General_Information'!$H$92*'2.2 Input_General_Information'!$H$93</f>
        <v>-4736.3784694380693</v>
      </c>
      <c r="AD112" s="298">
        <f ca="1">AD102*'2.2 Input_General_Information'!$H$94*'2.2 Input_General_Information'!$H$92*'2.2 Input_General_Information'!$H$93</f>
        <v>-4729.0044767902582</v>
      </c>
      <c r="AE112" s="298">
        <f ca="1">AE102*'2.2 Input_General_Information'!$H$94*'2.2 Input_General_Information'!$H$92*'2.2 Input_General_Information'!$H$93</f>
        <v>-4721.5631396695735</v>
      </c>
      <c r="AF112" s="298">
        <f ca="1">AF102*'2.2 Input_General_Information'!$H$94*'2.2 Input_General_Information'!$H$92*'2.2 Input_General_Information'!$H$93</f>
        <v>-4714.0580597159515</v>
      </c>
      <c r="AG112" s="298">
        <f ca="1">AG102*'2.2 Input_General_Information'!$H$94*'2.2 Input_General_Information'!$H$92*'2.2 Input_General_Information'!$H$93</f>
        <v>-4706.4929777030411</v>
      </c>
      <c r="AH112" s="298">
        <f ca="1">AH102*'2.2 Input_General_Information'!$H$94*'2.2 Input_General_Information'!$H$92*'2.2 Input_General_Information'!$H$93</f>
        <v>-4698.8717670527158</v>
      </c>
      <c r="AI112" s="298">
        <f ca="1">AI102*'2.2 Input_General_Information'!$H$94*'2.2 Input_General_Information'!$H$92*'2.2 Input_General_Information'!$H$93</f>
        <v>-4691.1984267465023</v>
      </c>
      <c r="AJ112" s="298">
        <f ca="1">AJ102*'2.2 Input_General_Information'!$H$94*'2.2 Input_General_Information'!$H$92*'2.2 Input_General_Information'!$H$93</f>
        <v>-4683.4770736564697</v>
      </c>
      <c r="AK112" s="298">
        <f ca="1">AK102*'2.2 Input_General_Information'!$H$94*'2.2 Input_General_Information'!$H$92*'2.2 Input_General_Information'!$H$93</f>
        <v>-4675.7119343225977</v>
      </c>
      <c r="AL112" s="298">
        <f ca="1">AL102*'2.2 Input_General_Information'!$H$94*'2.2 Input_General_Information'!$H$92*'2.2 Input_General_Information'!$H$93</f>
        <v>-4667.9073362080107</v>
      </c>
      <c r="AM112" s="298">
        <f ca="1">AM102*'2.2 Input_General_Information'!$H$94*'2.2 Input_General_Information'!$H$92*'2.2 Input_General_Information'!$H$93</f>
        <v>-4660.0676984675929</v>
      </c>
      <c r="AN112" s="298">
        <f ca="1">AN102*'2.2 Input_General_Information'!$H$94*'2.2 Input_General_Information'!$H$92*'2.2 Input_General_Information'!$H$93</f>
        <v>-4652.1975222695164</v>
      </c>
      <c r="AO112" s="298">
        <f ca="1">AO102*'2.2 Input_General_Information'!$H$94*'2.2 Input_General_Information'!$H$92*'2.2 Input_General_Information'!$H$93</f>
        <v>-4644.30138071286</v>
      </c>
      <c r="AP112" s="298">
        <f ca="1">AP102*'2.2 Input_General_Information'!$H$94*'2.2 Input_General_Information'!$H$92*'2.2 Input_General_Information'!$H$93</f>
        <v>-4636.3839083879038</v>
      </c>
      <c r="AQ112" s="298">
        <f ca="1">AQ102*'2.2 Input_General_Information'!$H$94*'2.2 Input_General_Information'!$H$92*'2.2 Input_General_Information'!$H$93</f>
        <v>-4628.4497906286806</v>
      </c>
      <c r="AR112" s="298">
        <f ca="1">AR102*'2.2 Input_General_Information'!$H$94*'2.2 Input_General_Information'!$H$92*'2.2 Input_General_Information'!$H$93</f>
        <v>-4620.5037525100242</v>
      </c>
      <c r="AS112" s="298">
        <f ca="1">AS102*'2.2 Input_General_Information'!$H$94*'2.2 Input_General_Information'!$H$92*'2.2 Input_General_Information'!$H$93</f>
        <v>-4612.5505476435237</v>
      </c>
      <c r="AT112" s="298">
        <f ca="1">AT102*'2.2 Input_General_Information'!$H$94*'2.2 Input_General_Information'!$H$92*'2.2 Input_General_Information'!$H$93</f>
        <v>-4604.5949468285489</v>
      </c>
      <c r="AU112" s="298">
        <f ca="1">AU102*'2.2 Input_General_Information'!$H$94*'2.2 Input_General_Information'!$H$92*'2.2 Input_General_Information'!$H$93</f>
        <v>-4596.641726615786</v>
      </c>
      <c r="AV112" s="298">
        <f ca="1">AV102*'2.2 Input_General_Information'!$H$94*'2.2 Input_General_Information'!$H$92*'2.2 Input_General_Information'!$H$93</f>
        <v>-4588.6956578414356</v>
      </c>
      <c r="AW112" s="298">
        <f ca="1">AW102*'2.2 Input_General_Information'!$H$94*'2.2 Input_General_Information'!$H$92*'2.2 Input_General_Information'!$H$93</f>
        <v>-4580.7614941905567</v>
      </c>
      <c r="AX112" s="298">
        <f ca="1">AX102*'2.2 Input_General_Information'!$H$94*'2.2 Input_General_Information'!$H$92*'2.2 Input_General_Information'!$H$93</f>
        <v>-4572.8439608477229</v>
      </c>
      <c r="AY112" s="298">
        <f ca="1">AY102*'2.2 Input_General_Information'!$H$94*'2.2 Input_General_Information'!$H$92*'2.2 Input_General_Information'!$H$93</f>
        <v>-4564.9477432924177</v>
      </c>
      <c r="AZ112" s="298">
        <f ca="1">AZ102*'2.2 Input_General_Information'!$H$94*'2.2 Input_General_Information'!$H$92*'2.2 Input_General_Information'!$H$93</f>
        <v>-4557.0774762953488</v>
      </c>
      <c r="BA112" s="298">
        <f ca="1">BA102*'2.2 Input_General_Information'!$H$94*'2.2 Input_General_Information'!$H$92*'2.2 Input_General_Information'!$H$93</f>
        <v>-4549.2377331700927</v>
      </c>
      <c r="BB112" s="298">
        <f ca="1">BB102*'2.2 Input_General_Information'!$H$94*'2.2 Input_General_Information'!$H$92*'2.2 Input_General_Information'!$H$93</f>
        <v>-4541.4330153323226</v>
      </c>
      <c r="BC112" s="298">
        <f ca="1">BC102*'2.2 Input_General_Information'!$H$94*'2.2 Input_General_Information'!$H$92*'2.2 Input_General_Information'!$H$93</f>
        <v>-4533.667742216202</v>
      </c>
      <c r="BD112" s="298">
        <f ca="1">BD102*'2.2 Input_General_Information'!$H$94*'2.2 Input_General_Information'!$H$92*'2.2 Input_General_Information'!$H$93</f>
        <v>-4525.9462415945354</v>
      </c>
      <c r="BE112" s="298">
        <f ca="1">BE102*'2.2 Input_General_Information'!$H$94*'2.2 Input_General_Information'!$H$92*'2.2 Input_General_Information'!$H$93</f>
        <v>-4518.2727403458957</v>
      </c>
      <c r="BF112" s="298">
        <f ca="1">BF102*'2.2 Input_General_Information'!$H$94*'2.2 Input_General_Information'!$H$92*'2.2 Input_General_Information'!$H$93</f>
        <v>-4510.6513557082226</v>
      </c>
      <c r="BG112" s="298">
        <f ca="1">BG102*'2.2 Input_General_Information'!$H$94*'2.2 Input_General_Information'!$H$92*'2.2 Input_General_Information'!$H$93</f>
        <v>-4503.0860870544684</v>
      </c>
      <c r="BH112" s="298">
        <f ca="1">BH102*'2.2 Input_General_Information'!$H$94*'2.2 Input_General_Information'!$H$92*'2.2 Input_General_Information'!$H$93</f>
        <v>-4495.5808082216636</v>
      </c>
      <c r="BI112" s="298">
        <f ca="1">BI102*'2.2 Input_General_Information'!$H$94*'2.2 Input_General_Information'!$H$92*'2.2 Input_General_Information'!$H$93</f>
        <v>-4488.1392604204293</v>
      </c>
      <c r="BJ112" s="298">
        <f ca="1">BJ102*'2.2 Input_General_Information'!$H$94*'2.2 Input_General_Information'!$H$92*'2.2 Input_General_Information'!$H$93</f>
        <v>-4480.7650457475374</v>
      </c>
      <c r="BK112" s="298">
        <f ca="1">BK102*'2.2 Input_General_Information'!$H$94*'2.2 Input_General_Information'!$H$92*'2.2 Input_General_Information'!$H$93</f>
        <v>-4473.4616213195104</v>
      </c>
      <c r="BL112" s="99"/>
      <c r="BM112" s="99"/>
      <c r="BN112" s="99"/>
      <c r="BO112" s="99"/>
      <c r="BP112" s="99"/>
      <c r="BQ112" s="99"/>
      <c r="BR112" s="99"/>
      <c r="BS112" s="99"/>
      <c r="BT112" s="99"/>
      <c r="BU112" s="99"/>
    </row>
    <row r="113" spans="1:73" hidden="1">
      <c r="A113" s="6"/>
      <c r="B113" s="108"/>
      <c r="C113" s="1"/>
      <c r="D113" s="1"/>
      <c r="E113" s="1"/>
      <c r="F113" s="12"/>
      <c r="G113" s="3"/>
      <c r="H113" s="3"/>
      <c r="I113" s="3"/>
      <c r="J113" s="3"/>
      <c r="K113" s="3"/>
      <c r="L113" s="3"/>
      <c r="M113" s="3"/>
      <c r="N113" s="3"/>
      <c r="O113" s="1"/>
      <c r="P113" s="1"/>
      <c r="Q113" s="1"/>
      <c r="R113" s="162"/>
      <c r="S113" s="1"/>
      <c r="T113" s="103"/>
      <c r="U113" s="103"/>
      <c r="V113" s="262" t="str">
        <f>$H$10</f>
        <v>Lecturer assistant/Research assistant (Academic)</v>
      </c>
      <c r="W113" s="186">
        <f ca="1">W103*'2.2 Input_General_Information'!$I$94*'2.2 Input_General_Information'!$I$92*'2.2 Input_General_Information'!$I$93</f>
        <v>-1236.0697757197192</v>
      </c>
      <c r="X113" s="186">
        <f ca="1">X103*'2.2 Input_General_Information'!$I$94*'2.2 Input_General_Information'!$I$92*'2.2 Input_General_Information'!$I$93</f>
        <v>-959.75393221172897</v>
      </c>
      <c r="Y113" s="186">
        <f ca="1">Y103*'2.2 Input_General_Information'!$I$94*'2.2 Input_General_Information'!$I$92*'2.2 Input_General_Information'!$I$93</f>
        <v>-967.67418522714627</v>
      </c>
      <c r="Z113" s="186">
        <f ca="1">Z103*'2.2 Input_General_Information'!$I$94*'2.2 Input_General_Information'!$I$92*'2.2 Input_General_Information'!$I$93</f>
        <v>-571.36030566963143</v>
      </c>
      <c r="AA113" s="186">
        <f ca="1">AA103*'2.2 Input_General_Information'!$I$94*'2.2 Input_General_Information'!$I$92*'2.2 Input_General_Information'!$I$93</f>
        <v>-570.08492665170058</v>
      </c>
      <c r="AB113" s="186">
        <f ca="1">AB103*'2.2 Input_General_Information'!$I$94*'2.2 Input_General_Information'!$I$92*'2.2 Input_General_Information'!$I$93</f>
        <v>-568.88197782412692</v>
      </c>
      <c r="AC113" s="186">
        <f ca="1">AC103*'2.2 Input_General_Information'!$I$94*'2.2 Input_General_Information'!$I$92*'2.2 Input_General_Information'!$I$93</f>
        <v>-567.66669720393099</v>
      </c>
      <c r="AD113" s="186">
        <f ca="1">AD103*'2.2 Input_General_Information'!$I$94*'2.2 Input_General_Information'!$I$92*'2.2 Input_General_Information'!$I$93</f>
        <v>-566.43963499177914</v>
      </c>
      <c r="AE113" s="186">
        <f ca="1">AE103*'2.2 Input_General_Information'!$I$94*'2.2 Input_General_Information'!$I$92*'2.2 Input_General_Information'!$I$93</f>
        <v>-565.20136638686165</v>
      </c>
      <c r="AF113" s="186">
        <f ca="1">AF103*'2.2 Input_General_Information'!$I$94*'2.2 Input_General_Information'!$I$92*'2.2 Input_General_Information'!$I$93</f>
        <v>-563.95249071663682</v>
      </c>
      <c r="AG113" s="186">
        <f ca="1">AG103*'2.2 Input_General_Information'!$I$94*'2.2 Input_General_Information'!$I$92*'2.2 Input_General_Information'!$I$93</f>
        <v>-562.69363046097487</v>
      </c>
      <c r="AH113" s="186">
        <f ca="1">AH103*'2.2 Input_General_Information'!$I$94*'2.2 Input_General_Information'!$I$92*'2.2 Input_General_Information'!$I$93</f>
        <v>-561.42543017294759</v>
      </c>
      <c r="AI113" s="186">
        <f ca="1">AI103*'2.2 Input_General_Information'!$I$94*'2.2 Input_General_Information'!$I$92*'2.2 Input_General_Information'!$I$93</f>
        <v>-560.14855529926137</v>
      </c>
      <c r="AJ113" s="186">
        <f ca="1">AJ103*'2.2 Input_General_Information'!$I$94*'2.2 Input_General_Information'!$I$92*'2.2 Input_General_Information'!$I$93</f>
        <v>-558.8636909040855</v>
      </c>
      <c r="AK113" s="186">
        <f ca="1">AK103*'2.2 Input_General_Information'!$I$94*'2.2 Input_General_Information'!$I$92*'2.2 Input_General_Information'!$I$93</f>
        <v>-557.57154030077322</v>
      </c>
      <c r="AL113" s="186">
        <f ca="1">AL103*'2.2 Input_General_Information'!$I$94*'2.2 Input_General_Information'!$I$92*'2.2 Input_General_Information'!$I$93</f>
        <v>-556.27282359669778</v>
      </c>
      <c r="AM113" s="186">
        <f ca="1">AM103*'2.2 Input_General_Information'!$I$94*'2.2 Input_General_Information'!$I$92*'2.2 Input_General_Information'!$I$93</f>
        <v>-554.96827615711186</v>
      </c>
      <c r="AN113" s="186">
        <f ca="1">AN103*'2.2 Input_General_Information'!$I$94*'2.2 Input_General_Information'!$I$92*'2.2 Input_General_Information'!$I$93</f>
        <v>-553.65864699461144</v>
      </c>
      <c r="AO113" s="186">
        <f ca="1">AO103*'2.2 Input_General_Information'!$I$94*'2.2 Input_General_Information'!$I$92*'2.2 Input_General_Information'!$I$93</f>
        <v>-552.34469709138614</v>
      </c>
      <c r="AP113" s="186">
        <f ca="1">AP103*'2.2 Input_General_Information'!$I$94*'2.2 Input_General_Information'!$I$92*'2.2 Input_General_Information'!$I$93</f>
        <v>-551.02719766201039</v>
      </c>
      <c r="AQ113" s="186">
        <f ca="1">AQ103*'2.2 Input_General_Information'!$I$94*'2.2 Input_General_Information'!$I$92*'2.2 Input_General_Information'!$I$93</f>
        <v>-549.70692836502405</v>
      </c>
      <c r="AR113" s="186">
        <f ca="1">AR103*'2.2 Input_General_Information'!$I$94*'2.2 Input_General_Information'!$I$92*'2.2 Input_General_Information'!$I$93</f>
        <v>-548.38467547199775</v>
      </c>
      <c r="AS113" s="186">
        <f ca="1">AS103*'2.2 Input_General_Information'!$I$94*'2.2 Input_General_Information'!$I$92*'2.2 Input_General_Information'!$I$93</f>
        <v>-547.06123000313323</v>
      </c>
      <c r="AT113" s="186">
        <f ca="1">AT103*'2.2 Input_General_Information'!$I$94*'2.2 Input_General_Information'!$I$92*'2.2 Input_General_Information'!$I$93</f>
        <v>-545.73738583874854</v>
      </c>
      <c r="AU113" s="186">
        <f ca="1">AU103*'2.2 Input_General_Information'!$I$94*'2.2 Input_General_Information'!$I$92*'2.2 Input_General_Information'!$I$93</f>
        <v>-544.41393781620388</v>
      </c>
      <c r="AV113" s="186">
        <f ca="1">AV103*'2.2 Input_General_Information'!$I$94*'2.2 Input_General_Information'!$I$92*'2.2 Input_General_Information'!$I$93</f>
        <v>-543.09167982194617</v>
      </c>
      <c r="AW113" s="186">
        <f ca="1">AW103*'2.2 Input_General_Information'!$I$94*'2.2 Input_General_Information'!$I$92*'2.2 Input_General_Information'!$I$93</f>
        <v>-541.7714028884028</v>
      </c>
      <c r="AX113" s="186">
        <f ca="1">AX103*'2.2 Input_General_Information'!$I$94*'2.2 Input_General_Information'!$I$92*'2.2 Input_General_Information'!$I$93</f>
        <v>-540.45389330540524</v>
      </c>
      <c r="AY113" s="186">
        <f ca="1">AY103*'2.2 Input_General_Information'!$I$94*'2.2 Input_General_Information'!$I$92*'2.2 Input_General_Information'!$I$93</f>
        <v>-539.13993075569726</v>
      </c>
      <c r="AZ113" s="186">
        <f ca="1">AZ103*'2.2 Input_General_Information'!$I$94*'2.2 Input_General_Information'!$I$92*'2.2 Input_General_Information'!$I$93</f>
        <v>-537.83028648387699</v>
      </c>
      <c r="BA113" s="186">
        <f ca="1">BA103*'2.2 Input_General_Information'!$I$94*'2.2 Input_General_Information'!$I$92*'2.2 Input_General_Information'!$I$93</f>
        <v>-536.52572150782771</v>
      </c>
      <c r="BB113" s="186">
        <f ca="1">BB103*'2.2 Input_General_Information'!$I$94*'2.2 Input_General_Information'!$I$92*'2.2 Input_General_Information'!$I$93</f>
        <v>-535.22698488133017</v>
      </c>
      <c r="BC113" s="186">
        <f ca="1">BC103*'2.2 Input_General_Information'!$I$94*'2.2 Input_General_Information'!$I$92*'2.2 Input_General_Information'!$I$93</f>
        <v>-533.93481201611041</v>
      </c>
      <c r="BD113" s="186">
        <f ca="1">BD103*'2.2 Input_General_Information'!$I$94*'2.2 Input_General_Information'!$I$92*'2.2 Input_General_Information'!$I$93</f>
        <v>-532.64992307107366</v>
      </c>
      <c r="BE113" s="186">
        <f ca="1">BE103*'2.2 Input_General_Information'!$I$94*'2.2 Input_General_Information'!$I$92*'2.2 Input_General_Information'!$I$93</f>
        <v>-531.37302141591647</v>
      </c>
      <c r="BF113" s="186">
        <f ca="1">BF103*'2.2 Input_General_Information'!$I$94*'2.2 Input_General_Information'!$I$92*'2.2 Input_General_Information'!$I$93</f>
        <v>-530.1047921756907</v>
      </c>
      <c r="BG113" s="186">
        <f ca="1">BG103*'2.2 Input_General_Information'!$I$94*'2.2 Input_General_Information'!$I$92*'2.2 Input_General_Information'!$I$93</f>
        <v>-528.84590086223727</v>
      </c>
      <c r="BH113" s="186">
        <f ca="1">BH103*'2.2 Input_General_Information'!$I$94*'2.2 Input_General_Information'!$I$92*'2.2 Input_General_Information'!$I$93</f>
        <v>-527.59699209771156</v>
      </c>
      <c r="BI113" s="186">
        <f ca="1">BI103*'2.2 Input_General_Information'!$I$94*'2.2 Input_General_Information'!$I$92*'2.2 Input_General_Information'!$I$93</f>
        <v>-526.35868843469837</v>
      </c>
      <c r="BJ113" s="186">
        <f ca="1">BJ103*'2.2 Input_General_Information'!$I$94*'2.2 Input_General_Information'!$I$92*'2.2 Input_General_Information'!$I$93</f>
        <v>-525.13158927667462</v>
      </c>
      <c r="BK113" s="186">
        <f ca="1">BK103*'2.2 Input_General_Information'!$I$94*'2.2 Input_General_Information'!$I$92*'2.2 Input_General_Information'!$I$93</f>
        <v>-523.91626990181737</v>
      </c>
      <c r="BL113" s="99"/>
      <c r="BM113" s="99"/>
      <c r="BN113" s="99"/>
      <c r="BO113" s="99"/>
      <c r="BP113" s="99"/>
      <c r="BQ113" s="99"/>
      <c r="BR113" s="99"/>
      <c r="BS113" s="99"/>
      <c r="BT113" s="99"/>
      <c r="BU113" s="99"/>
    </row>
    <row r="114" spans="1:73" hidden="1">
      <c r="A114" s="6"/>
      <c r="B114" s="108"/>
      <c r="C114" s="1"/>
      <c r="D114" s="1"/>
      <c r="E114" s="1"/>
      <c r="F114" s="12"/>
      <c r="G114" s="3"/>
      <c r="H114" s="3"/>
      <c r="I114" s="3"/>
      <c r="J114" s="3"/>
      <c r="K114" s="3"/>
      <c r="L114" s="3"/>
      <c r="M114" s="3"/>
      <c r="N114" s="3"/>
      <c r="O114" s="1"/>
      <c r="P114" s="1"/>
      <c r="Q114" s="1"/>
      <c r="R114" s="162"/>
      <c r="S114" s="1"/>
      <c r="T114" s="103"/>
      <c r="U114" s="103"/>
      <c r="V114" s="262" t="str">
        <f>$I$10</f>
        <v>Lecturer/Researcher (Academic)</v>
      </c>
      <c r="W114" s="186">
        <f ca="1">W104*'2.2 Input_General_Information'!$J$94*'2.2 Input_General_Information'!$J$92*'2.2 Input_General_Information'!$J$93</f>
        <v>-3853.1310838795011</v>
      </c>
      <c r="X114" s="186">
        <f ca="1">X104*'2.2 Input_General_Information'!$J$94*'2.2 Input_General_Information'!$J$92*'2.2 Input_General_Information'!$J$93</f>
        <v>-2425.7126355540922</v>
      </c>
      <c r="Y114" s="186">
        <f ca="1">Y104*'2.2 Input_General_Information'!$J$94*'2.2 Input_General_Information'!$J$92*'2.2 Input_General_Information'!$J$93</f>
        <v>-2312.7867790419914</v>
      </c>
      <c r="Z114" s="186">
        <f ca="1">Z104*'2.2 Input_General_Information'!$J$94*'2.2 Input_General_Information'!$J$92*'2.2 Input_General_Information'!$J$93</f>
        <v>-1637.2206825505841</v>
      </c>
      <c r="AA114" s="186">
        <f ca="1">AA104*'2.2 Input_General_Information'!$J$94*'2.2 Input_General_Information'!$J$92*'2.2 Input_General_Information'!$J$93</f>
        <v>-1631.9444173183078</v>
      </c>
      <c r="AB114" s="186">
        <f ca="1">AB104*'2.2 Input_General_Information'!$J$94*'2.2 Input_General_Information'!$J$92*'2.2 Input_General_Information'!$J$93</f>
        <v>-1626.904250050369</v>
      </c>
      <c r="AC114" s="186">
        <f ca="1">AC104*'2.2 Input_General_Information'!$J$94*'2.2 Input_General_Information'!$J$92*'2.2 Input_General_Information'!$J$93</f>
        <v>-1621.8124145018649</v>
      </c>
      <c r="AD114" s="186">
        <f ca="1">AD104*'2.2 Input_General_Information'!$J$94*'2.2 Input_General_Information'!$J$92*'2.2 Input_General_Information'!$J$93</f>
        <v>-1616.6712159274523</v>
      </c>
      <c r="AE114" s="186">
        <f ca="1">AE104*'2.2 Input_General_Information'!$J$94*'2.2 Input_General_Information'!$J$92*'2.2 Input_General_Information'!$J$93</f>
        <v>-1611.4830643216949</v>
      </c>
      <c r="AF114" s="186">
        <f ca="1">AF104*'2.2 Input_General_Information'!$J$94*'2.2 Input_General_Information'!$J$92*'2.2 Input_General_Information'!$J$93</f>
        <v>-1606.2504707728165</v>
      </c>
      <c r="AG114" s="186">
        <f ca="1">AG104*'2.2 Input_General_Information'!$J$94*'2.2 Input_General_Information'!$J$92*'2.2 Input_General_Information'!$J$93</f>
        <v>-1600.9760433740266</v>
      </c>
      <c r="AH114" s="186">
        <f ca="1">AH104*'2.2 Input_General_Information'!$J$94*'2.2 Input_General_Information'!$J$92*'2.2 Input_General_Information'!$J$93</f>
        <v>-1595.6624827017927</v>
      </c>
      <c r="AI114" s="186">
        <f ca="1">AI104*'2.2 Input_General_Information'!$J$94*'2.2 Input_General_Information'!$J$92*'2.2 Input_General_Information'!$J$93</f>
        <v>-1590.3125768736397</v>
      </c>
      <c r="AJ114" s="186">
        <f ca="1">AJ104*'2.2 Input_General_Information'!$J$94*'2.2 Input_General_Information'!$J$92*'2.2 Input_General_Information'!$J$93</f>
        <v>-1584.9291962011903</v>
      </c>
      <c r="AK114" s="186">
        <f ca="1">AK104*'2.2 Input_General_Information'!$J$94*'2.2 Input_General_Information'!$J$92*'2.2 Input_General_Information'!$J$93</f>
        <v>-1579.5152874572937</v>
      </c>
      <c r="AL114" s="186">
        <f ca="1">AL104*'2.2 Input_General_Information'!$J$94*'2.2 Input_General_Information'!$J$92*'2.2 Input_General_Information'!$J$93</f>
        <v>-1574.073867779111</v>
      </c>
      <c r="AM114" s="186">
        <f ca="1">AM104*'2.2 Input_General_Information'!$J$94*'2.2 Input_General_Information'!$J$92*'2.2 Input_General_Information'!$J$93</f>
        <v>-1568.6080182319308</v>
      </c>
      <c r="AN114" s="186">
        <f ca="1">AN104*'2.2 Input_General_Information'!$J$94*'2.2 Input_General_Information'!$J$92*'2.2 Input_General_Information'!$J$93</f>
        <v>-1563.1208770612739</v>
      </c>
      <c r="AO114" s="186">
        <f ca="1">AO104*'2.2 Input_General_Information'!$J$94*'2.2 Input_General_Information'!$J$92*'2.2 Input_General_Information'!$J$93</f>
        <v>-1557.6156326633848</v>
      </c>
      <c r="AP114" s="186">
        <f ca="1">AP104*'2.2 Input_General_Information'!$J$94*'2.2 Input_General_Information'!$J$92*'2.2 Input_General_Information'!$J$93</f>
        <v>-1552.0955163065973</v>
      </c>
      <c r="AQ114" s="186">
        <f ca="1">AQ104*'2.2 Input_General_Information'!$J$94*'2.2 Input_General_Information'!$J$92*'2.2 Input_General_Information'!$J$93</f>
        <v>-1546.5637946381403</v>
      </c>
      <c r="AR114" s="186">
        <f ca="1">AR104*'2.2 Input_General_Information'!$J$94*'2.2 Input_General_Information'!$J$92*'2.2 Input_General_Information'!$J$93</f>
        <v>-1541.0237620128039</v>
      </c>
      <c r="AS114" s="186">
        <f ca="1">AS104*'2.2 Input_General_Information'!$J$94*'2.2 Input_General_Information'!$J$92*'2.2 Input_General_Information'!$J$93</f>
        <v>-1535.4787326814003</v>
      </c>
      <c r="AT114" s="186">
        <f ca="1">AT104*'2.2 Input_General_Information'!$J$94*'2.2 Input_General_Information'!$J$92*'2.2 Input_General_Information'!$J$93</f>
        <v>-1529.9320328781837</v>
      </c>
      <c r="AU114" s="186">
        <f ca="1">AU104*'2.2 Input_General_Information'!$J$94*'2.2 Input_General_Information'!$J$92*'2.2 Input_General_Information'!$J$93</f>
        <v>-1524.3869928472607</v>
      </c>
      <c r="AV114" s="186">
        <f ca="1">AV104*'2.2 Input_General_Information'!$J$94*'2.2 Input_General_Information'!$J$92*'2.2 Input_General_Information'!$J$93</f>
        <v>-1518.8469388485628</v>
      </c>
      <c r="AW114" s="186">
        <f ca="1">AW104*'2.2 Input_General_Information'!$J$94*'2.2 Input_General_Information'!$J$92*'2.2 Input_General_Information'!$J$93</f>
        <v>-1513.3151851841269</v>
      </c>
      <c r="AX114" s="186">
        <f ca="1">AX104*'2.2 Input_General_Information'!$J$94*'2.2 Input_General_Information'!$J$92*'2.2 Input_General_Information'!$J$93</f>
        <v>-1507.7950262852537</v>
      </c>
      <c r="AY114" s="186">
        <f ca="1">AY104*'2.2 Input_General_Information'!$J$94*'2.2 Input_General_Information'!$J$92*'2.2 Input_General_Information'!$J$93</f>
        <v>-1502.2897289005818</v>
      </c>
      <c r="AZ114" s="186">
        <f ca="1">AZ104*'2.2 Input_General_Information'!$J$94*'2.2 Input_General_Information'!$J$92*'2.2 Input_General_Information'!$J$93</f>
        <v>-1496.8025244242406</v>
      </c>
      <c r="BA114" s="186">
        <f ca="1">BA104*'2.2 Input_General_Information'!$J$94*'2.2 Input_General_Information'!$J$92*'2.2 Input_General_Information'!$J$93</f>
        <v>-1491.3366014020246</v>
      </c>
      <c r="BB114" s="186">
        <f ca="1">BB104*'2.2 Input_General_Information'!$J$94*'2.2 Input_General_Information'!$J$92*'2.2 Input_General_Information'!$J$93</f>
        <v>-1485.8950982520123</v>
      </c>
      <c r="BC114" s="186">
        <f ca="1">BC104*'2.2 Input_General_Information'!$J$94*'2.2 Input_General_Information'!$J$92*'2.2 Input_General_Information'!$J$93</f>
        <v>-1480.4810962342076</v>
      </c>
      <c r="BD114" s="186">
        <f ca="1">BD104*'2.2 Input_General_Information'!$J$94*'2.2 Input_General_Information'!$J$92*'2.2 Input_General_Information'!$J$93</f>
        <v>-1475.0976127016847</v>
      </c>
      <c r="BE114" s="186">
        <f ca="1">BE104*'2.2 Input_General_Information'!$J$94*'2.2 Input_General_Information'!$J$92*'2.2 Input_General_Information'!$J$93</f>
        <v>-1469.7475946633604</v>
      </c>
      <c r="BF114" s="186">
        <f ca="1">BF104*'2.2 Input_General_Information'!$J$94*'2.2 Input_General_Information'!$J$92*'2.2 Input_General_Information'!$J$93</f>
        <v>-1464.433912685947</v>
      </c>
      <c r="BG114" s="186">
        <f ca="1">BG104*'2.2 Input_General_Information'!$J$94*'2.2 Input_General_Information'!$J$92*'2.2 Input_General_Information'!$J$93</f>
        <v>-1459.1593551598739</v>
      </c>
      <c r="BH114" s="186">
        <f ca="1">BH104*'2.2 Input_General_Information'!$J$94*'2.2 Input_General_Information'!$J$92*'2.2 Input_General_Information'!$J$93</f>
        <v>-1453.9266229510556</v>
      </c>
      <c r="BI114" s="186">
        <f ca="1">BI104*'2.2 Input_General_Information'!$J$94*'2.2 Input_General_Information'!$J$92*'2.2 Input_General_Information'!$J$93</f>
        <v>-1448.7383244573653</v>
      </c>
      <c r="BJ114" s="186">
        <f ca="1">BJ104*'2.2 Input_General_Information'!$J$94*'2.2 Input_General_Information'!$J$92*'2.2 Input_General_Information'!$J$93</f>
        <v>-1443.5969710855338</v>
      </c>
      <c r="BK114" s="186">
        <f ca="1">BK104*'2.2 Input_General_Information'!$J$94*'2.2 Input_General_Information'!$J$92*'2.2 Input_General_Information'!$J$93</f>
        <v>-1438.504973161065</v>
      </c>
      <c r="BL114" s="99"/>
      <c r="BM114" s="99"/>
      <c r="BN114" s="99"/>
      <c r="BO114" s="99"/>
      <c r="BP114" s="99"/>
      <c r="BQ114" s="99"/>
      <c r="BR114" s="99"/>
      <c r="BS114" s="99"/>
      <c r="BT114" s="99"/>
      <c r="BU114" s="99"/>
    </row>
    <row r="115" spans="1:73" hidden="1">
      <c r="A115" s="6"/>
      <c r="B115" s="108"/>
      <c r="C115" s="1"/>
      <c r="D115" s="1"/>
      <c r="E115" s="1"/>
      <c r="F115" s="12"/>
      <c r="G115" s="3"/>
      <c r="H115" s="3"/>
      <c r="I115" s="3"/>
      <c r="J115" s="3"/>
      <c r="K115" s="3"/>
      <c r="L115" s="3"/>
      <c r="M115" s="3"/>
      <c r="N115" s="3"/>
      <c r="O115" s="1"/>
      <c r="P115" s="1"/>
      <c r="Q115" s="1"/>
      <c r="R115" s="162"/>
      <c r="S115" s="1"/>
      <c r="T115" s="103"/>
      <c r="U115" s="103"/>
      <c r="V115" s="262" t="str">
        <f>$J$10</f>
        <v>Other</v>
      </c>
      <c r="W115" s="186">
        <f ca="1">W105*'2.2 Input_General_Information'!$K$94*'2.2 Input_General_Information'!$K$92*'2.2 Input_General_Information'!$K$93</f>
        <v>-1523.6611282169617</v>
      </c>
      <c r="X115" s="186">
        <f ca="1">X105*'2.2 Input_General_Information'!$K$94*'2.2 Input_General_Information'!$K$92*'2.2 Input_General_Information'!$K$93</f>
        <v>-1176.9463286137459</v>
      </c>
      <c r="Y115" s="186">
        <f ca="1">Y105*'2.2 Input_General_Information'!$K$94*'2.2 Input_General_Information'!$K$92*'2.2 Input_General_Information'!$K$93</f>
        <v>-1193.43824965559</v>
      </c>
      <c r="Z115" s="186">
        <f ca="1">Z105*'2.2 Input_General_Information'!$K$94*'2.2 Input_General_Information'!$K$92*'2.2 Input_General_Information'!$K$93</f>
        <v>-674.28250693843552</v>
      </c>
      <c r="AA115" s="186">
        <f ca="1">AA105*'2.2 Input_General_Information'!$K$94*'2.2 Input_General_Information'!$K$92*'2.2 Input_General_Information'!$K$93</f>
        <v>-674.18294659657249</v>
      </c>
      <c r="AB115" s="186">
        <f ca="1">AB105*'2.2 Input_General_Information'!$K$94*'2.2 Input_General_Information'!$K$92*'2.2 Input_General_Information'!$K$93</f>
        <v>-674.18294659657249</v>
      </c>
      <c r="AC115" s="186">
        <f ca="1">AC105*'2.2 Input_General_Information'!$K$94*'2.2 Input_General_Information'!$K$92*'2.2 Input_General_Information'!$K$93</f>
        <v>-674.18294659657249</v>
      </c>
      <c r="AD115" s="186">
        <f ca="1">AD105*'2.2 Input_General_Information'!$K$94*'2.2 Input_General_Information'!$K$92*'2.2 Input_General_Information'!$K$93</f>
        <v>-674.18294659657249</v>
      </c>
      <c r="AE115" s="186">
        <f ca="1">AE105*'2.2 Input_General_Information'!$K$94*'2.2 Input_General_Information'!$K$92*'2.2 Input_General_Information'!$K$93</f>
        <v>-674.18294659657249</v>
      </c>
      <c r="AF115" s="186">
        <f ca="1">AF105*'2.2 Input_General_Information'!$K$94*'2.2 Input_General_Information'!$K$92*'2.2 Input_General_Information'!$K$93</f>
        <v>-674.18294659657249</v>
      </c>
      <c r="AG115" s="186">
        <f ca="1">AG105*'2.2 Input_General_Information'!$K$94*'2.2 Input_General_Information'!$K$92*'2.2 Input_General_Information'!$K$93</f>
        <v>-674.18294659657249</v>
      </c>
      <c r="AH115" s="186">
        <f ca="1">AH105*'2.2 Input_General_Information'!$K$94*'2.2 Input_General_Information'!$K$92*'2.2 Input_General_Information'!$K$93</f>
        <v>-674.18294659657249</v>
      </c>
      <c r="AI115" s="186">
        <f ca="1">AI105*'2.2 Input_General_Information'!$K$94*'2.2 Input_General_Information'!$K$92*'2.2 Input_General_Information'!$K$93</f>
        <v>-674.18294659657249</v>
      </c>
      <c r="AJ115" s="186">
        <f ca="1">AJ105*'2.2 Input_General_Information'!$K$94*'2.2 Input_General_Information'!$K$92*'2.2 Input_General_Information'!$K$93</f>
        <v>-674.18294659657249</v>
      </c>
      <c r="AK115" s="186">
        <f ca="1">AK105*'2.2 Input_General_Information'!$K$94*'2.2 Input_General_Information'!$K$92*'2.2 Input_General_Information'!$K$93</f>
        <v>-674.18294659657249</v>
      </c>
      <c r="AL115" s="186">
        <f ca="1">AL105*'2.2 Input_General_Information'!$K$94*'2.2 Input_General_Information'!$K$92*'2.2 Input_General_Information'!$K$93</f>
        <v>-674.18294659657249</v>
      </c>
      <c r="AM115" s="186">
        <f ca="1">AM105*'2.2 Input_General_Information'!$K$94*'2.2 Input_General_Information'!$K$92*'2.2 Input_General_Information'!$K$93</f>
        <v>-674.18294659657249</v>
      </c>
      <c r="AN115" s="186">
        <f ca="1">AN105*'2.2 Input_General_Information'!$K$94*'2.2 Input_General_Information'!$K$92*'2.2 Input_General_Information'!$K$93</f>
        <v>-674.18294659657249</v>
      </c>
      <c r="AO115" s="186">
        <f ca="1">AO105*'2.2 Input_General_Information'!$K$94*'2.2 Input_General_Information'!$K$92*'2.2 Input_General_Information'!$K$93</f>
        <v>-674.18294659657249</v>
      </c>
      <c r="AP115" s="186">
        <f ca="1">AP105*'2.2 Input_General_Information'!$K$94*'2.2 Input_General_Information'!$K$92*'2.2 Input_General_Information'!$K$93</f>
        <v>-674.18294659657249</v>
      </c>
      <c r="AQ115" s="186">
        <f ca="1">AQ105*'2.2 Input_General_Information'!$K$94*'2.2 Input_General_Information'!$K$92*'2.2 Input_General_Information'!$K$93</f>
        <v>-674.18294659657249</v>
      </c>
      <c r="AR115" s="186">
        <f ca="1">AR105*'2.2 Input_General_Information'!$K$94*'2.2 Input_General_Information'!$K$92*'2.2 Input_General_Information'!$K$93</f>
        <v>-674.18294659657249</v>
      </c>
      <c r="AS115" s="186">
        <f ca="1">AS105*'2.2 Input_General_Information'!$K$94*'2.2 Input_General_Information'!$K$92*'2.2 Input_General_Information'!$K$93</f>
        <v>-674.18294659657249</v>
      </c>
      <c r="AT115" s="186">
        <f ca="1">AT105*'2.2 Input_General_Information'!$K$94*'2.2 Input_General_Information'!$K$92*'2.2 Input_General_Information'!$K$93</f>
        <v>-674.18294659657249</v>
      </c>
      <c r="AU115" s="186">
        <f ca="1">AU105*'2.2 Input_General_Information'!$K$94*'2.2 Input_General_Information'!$K$92*'2.2 Input_General_Information'!$K$93</f>
        <v>-674.18294659657249</v>
      </c>
      <c r="AV115" s="186">
        <f ca="1">AV105*'2.2 Input_General_Information'!$K$94*'2.2 Input_General_Information'!$K$92*'2.2 Input_General_Information'!$K$93</f>
        <v>-674.18294659657249</v>
      </c>
      <c r="AW115" s="186">
        <f ca="1">AW105*'2.2 Input_General_Information'!$K$94*'2.2 Input_General_Information'!$K$92*'2.2 Input_General_Information'!$K$93</f>
        <v>-674.18294659657249</v>
      </c>
      <c r="AX115" s="186">
        <f ca="1">AX105*'2.2 Input_General_Information'!$K$94*'2.2 Input_General_Information'!$K$92*'2.2 Input_General_Information'!$K$93</f>
        <v>-674.18294659657249</v>
      </c>
      <c r="AY115" s="186">
        <f ca="1">AY105*'2.2 Input_General_Information'!$K$94*'2.2 Input_General_Information'!$K$92*'2.2 Input_General_Information'!$K$93</f>
        <v>-674.18294659657249</v>
      </c>
      <c r="AZ115" s="186">
        <f ca="1">AZ105*'2.2 Input_General_Information'!$K$94*'2.2 Input_General_Information'!$K$92*'2.2 Input_General_Information'!$K$93</f>
        <v>-674.18294659657249</v>
      </c>
      <c r="BA115" s="186">
        <f ca="1">BA105*'2.2 Input_General_Information'!$K$94*'2.2 Input_General_Information'!$K$92*'2.2 Input_General_Information'!$K$93</f>
        <v>-674.18294659657249</v>
      </c>
      <c r="BB115" s="186">
        <f ca="1">BB105*'2.2 Input_General_Information'!$K$94*'2.2 Input_General_Information'!$K$92*'2.2 Input_General_Information'!$K$93</f>
        <v>-674.18294659657249</v>
      </c>
      <c r="BC115" s="186">
        <f ca="1">BC105*'2.2 Input_General_Information'!$K$94*'2.2 Input_General_Information'!$K$92*'2.2 Input_General_Information'!$K$93</f>
        <v>-674.18294659657249</v>
      </c>
      <c r="BD115" s="186">
        <f ca="1">BD105*'2.2 Input_General_Information'!$K$94*'2.2 Input_General_Information'!$K$92*'2.2 Input_General_Information'!$K$93</f>
        <v>-674.18294659657249</v>
      </c>
      <c r="BE115" s="186">
        <f ca="1">BE105*'2.2 Input_General_Information'!$K$94*'2.2 Input_General_Information'!$K$92*'2.2 Input_General_Information'!$K$93</f>
        <v>-674.18294659657249</v>
      </c>
      <c r="BF115" s="186">
        <f ca="1">BF105*'2.2 Input_General_Information'!$K$94*'2.2 Input_General_Information'!$K$92*'2.2 Input_General_Information'!$K$93</f>
        <v>-674.18294659657249</v>
      </c>
      <c r="BG115" s="186">
        <f ca="1">BG105*'2.2 Input_General_Information'!$K$94*'2.2 Input_General_Information'!$K$92*'2.2 Input_General_Information'!$K$93</f>
        <v>-674.18294659657249</v>
      </c>
      <c r="BH115" s="186">
        <f ca="1">BH105*'2.2 Input_General_Information'!$K$94*'2.2 Input_General_Information'!$K$92*'2.2 Input_General_Information'!$K$93</f>
        <v>-674.18294659657249</v>
      </c>
      <c r="BI115" s="186">
        <f ca="1">BI105*'2.2 Input_General_Information'!$K$94*'2.2 Input_General_Information'!$K$92*'2.2 Input_General_Information'!$K$93</f>
        <v>-674.18294659657249</v>
      </c>
      <c r="BJ115" s="186">
        <f ca="1">BJ105*'2.2 Input_General_Information'!$K$94*'2.2 Input_General_Information'!$K$92*'2.2 Input_General_Information'!$K$93</f>
        <v>-674.18294659657249</v>
      </c>
      <c r="BK115" s="186">
        <f ca="1">BK105*'2.2 Input_General_Information'!$K$94*'2.2 Input_General_Information'!$K$92*'2.2 Input_General_Information'!$K$93</f>
        <v>-674.18294659657249</v>
      </c>
      <c r="BL115" s="99"/>
      <c r="BM115" s="99"/>
      <c r="BN115" s="99"/>
      <c r="BO115" s="99"/>
      <c r="BP115" s="99"/>
      <c r="BQ115" s="99"/>
      <c r="BR115" s="99"/>
      <c r="BS115" s="99"/>
      <c r="BT115" s="99"/>
      <c r="BU115" s="99"/>
    </row>
    <row r="116" spans="1:73" hidden="1">
      <c r="A116" s="6"/>
      <c r="B116" s="108"/>
      <c r="C116" s="1"/>
      <c r="D116" s="1"/>
      <c r="E116" s="1"/>
      <c r="F116" s="12"/>
      <c r="G116" s="3"/>
      <c r="H116" s="3"/>
      <c r="I116" s="3"/>
      <c r="J116" s="3"/>
      <c r="K116" s="3"/>
      <c r="L116" s="3"/>
      <c r="M116" s="3"/>
      <c r="N116" s="3"/>
      <c r="O116" s="1"/>
      <c r="P116" s="1"/>
      <c r="Q116" s="1"/>
      <c r="R116" s="162"/>
      <c r="S116" s="1"/>
      <c r="T116" s="103"/>
      <c r="U116" s="103"/>
      <c r="V116" s="262" t="str">
        <f>$K$10</f>
        <v>Profile 5</v>
      </c>
      <c r="W116" s="186">
        <f ca="1">W106*'2.2 Input_General_Information'!$L$94*'2.2 Input_General_Information'!$L$92*'2.2 Input_General_Information'!$L$93</f>
        <v>0</v>
      </c>
      <c r="X116" s="186">
        <f ca="1">X106*'2.2 Input_General_Information'!$L$94*'2.2 Input_General_Information'!$L$92*'2.2 Input_General_Information'!$L$93</f>
        <v>0</v>
      </c>
      <c r="Y116" s="186">
        <f ca="1">Y106*'2.2 Input_General_Information'!$L$94*'2.2 Input_General_Information'!$L$92*'2.2 Input_General_Information'!$L$93</f>
        <v>0</v>
      </c>
      <c r="Z116" s="186">
        <f ca="1">Z106*'2.2 Input_General_Information'!$L$94*'2.2 Input_General_Information'!$L$92*'2.2 Input_General_Information'!$L$93</f>
        <v>0</v>
      </c>
      <c r="AA116" s="186">
        <f ca="1">AA106*'2.2 Input_General_Information'!$L$94*'2.2 Input_General_Information'!$L$92*'2.2 Input_General_Information'!$L$93</f>
        <v>0</v>
      </c>
      <c r="AB116" s="186">
        <f ca="1">AB106*'2.2 Input_General_Information'!$L$94*'2.2 Input_General_Information'!$L$92*'2.2 Input_General_Information'!$L$93</f>
        <v>0</v>
      </c>
      <c r="AC116" s="186">
        <f ca="1">AC106*'2.2 Input_General_Information'!$L$94*'2.2 Input_General_Information'!$L$92*'2.2 Input_General_Information'!$L$93</f>
        <v>0</v>
      </c>
      <c r="AD116" s="186">
        <f ca="1">AD106*'2.2 Input_General_Information'!$L$94*'2.2 Input_General_Information'!$L$92*'2.2 Input_General_Information'!$L$93</f>
        <v>0</v>
      </c>
      <c r="AE116" s="186">
        <f ca="1">AE106*'2.2 Input_General_Information'!$L$94*'2.2 Input_General_Information'!$L$92*'2.2 Input_General_Information'!$L$93</f>
        <v>0</v>
      </c>
      <c r="AF116" s="186">
        <f ca="1">AF106*'2.2 Input_General_Information'!$L$94*'2.2 Input_General_Information'!$L$92*'2.2 Input_General_Information'!$L$93</f>
        <v>0</v>
      </c>
      <c r="AG116" s="186">
        <f ca="1">AG106*'2.2 Input_General_Information'!$L$94*'2.2 Input_General_Information'!$L$92*'2.2 Input_General_Information'!$L$93</f>
        <v>0</v>
      </c>
      <c r="AH116" s="186">
        <f ca="1">AH106*'2.2 Input_General_Information'!$L$94*'2.2 Input_General_Information'!$L$92*'2.2 Input_General_Information'!$L$93</f>
        <v>0</v>
      </c>
      <c r="AI116" s="186">
        <f ca="1">AI106*'2.2 Input_General_Information'!$L$94*'2.2 Input_General_Information'!$L$92*'2.2 Input_General_Information'!$L$93</f>
        <v>0</v>
      </c>
      <c r="AJ116" s="186">
        <f ca="1">AJ106*'2.2 Input_General_Information'!$L$94*'2.2 Input_General_Information'!$L$92*'2.2 Input_General_Information'!$L$93</f>
        <v>0</v>
      </c>
      <c r="AK116" s="186">
        <f ca="1">AK106*'2.2 Input_General_Information'!$L$94*'2.2 Input_General_Information'!$L$92*'2.2 Input_General_Information'!$L$93</f>
        <v>0</v>
      </c>
      <c r="AL116" s="186">
        <f ca="1">AL106*'2.2 Input_General_Information'!$L$94*'2.2 Input_General_Information'!$L$92*'2.2 Input_General_Information'!$L$93</f>
        <v>0</v>
      </c>
      <c r="AM116" s="186">
        <f ca="1">AM106*'2.2 Input_General_Information'!$L$94*'2.2 Input_General_Information'!$L$92*'2.2 Input_General_Information'!$L$93</f>
        <v>0</v>
      </c>
      <c r="AN116" s="186">
        <f ca="1">AN106*'2.2 Input_General_Information'!$L$94*'2.2 Input_General_Information'!$L$92*'2.2 Input_General_Information'!$L$93</f>
        <v>0</v>
      </c>
      <c r="AO116" s="186">
        <f ca="1">AO106*'2.2 Input_General_Information'!$L$94*'2.2 Input_General_Information'!$L$92*'2.2 Input_General_Information'!$L$93</f>
        <v>0</v>
      </c>
      <c r="AP116" s="186">
        <f ca="1">AP106*'2.2 Input_General_Information'!$L$94*'2.2 Input_General_Information'!$L$92*'2.2 Input_General_Information'!$L$93</f>
        <v>0</v>
      </c>
      <c r="AQ116" s="186">
        <f ca="1">AQ106*'2.2 Input_General_Information'!$L$94*'2.2 Input_General_Information'!$L$92*'2.2 Input_General_Information'!$L$93</f>
        <v>0</v>
      </c>
      <c r="AR116" s="186">
        <f ca="1">AR106*'2.2 Input_General_Information'!$L$94*'2.2 Input_General_Information'!$L$92*'2.2 Input_General_Information'!$L$93</f>
        <v>0</v>
      </c>
      <c r="AS116" s="186">
        <f ca="1">AS106*'2.2 Input_General_Information'!$L$94*'2.2 Input_General_Information'!$L$92*'2.2 Input_General_Information'!$L$93</f>
        <v>0</v>
      </c>
      <c r="AT116" s="186">
        <f ca="1">AT106*'2.2 Input_General_Information'!$L$94*'2.2 Input_General_Information'!$L$92*'2.2 Input_General_Information'!$L$93</f>
        <v>0</v>
      </c>
      <c r="AU116" s="186">
        <f ca="1">AU106*'2.2 Input_General_Information'!$L$94*'2.2 Input_General_Information'!$L$92*'2.2 Input_General_Information'!$L$93</f>
        <v>0</v>
      </c>
      <c r="AV116" s="186">
        <f ca="1">AV106*'2.2 Input_General_Information'!$L$94*'2.2 Input_General_Information'!$L$92*'2.2 Input_General_Information'!$L$93</f>
        <v>0</v>
      </c>
      <c r="AW116" s="186">
        <f ca="1">AW106*'2.2 Input_General_Information'!$L$94*'2.2 Input_General_Information'!$L$92*'2.2 Input_General_Information'!$L$93</f>
        <v>0</v>
      </c>
      <c r="AX116" s="186">
        <f ca="1">AX106*'2.2 Input_General_Information'!$L$94*'2.2 Input_General_Information'!$L$92*'2.2 Input_General_Information'!$L$93</f>
        <v>0</v>
      </c>
      <c r="AY116" s="186">
        <f ca="1">AY106*'2.2 Input_General_Information'!$L$94*'2.2 Input_General_Information'!$L$92*'2.2 Input_General_Information'!$L$93</f>
        <v>0</v>
      </c>
      <c r="AZ116" s="186">
        <f ca="1">AZ106*'2.2 Input_General_Information'!$L$94*'2.2 Input_General_Information'!$L$92*'2.2 Input_General_Information'!$L$93</f>
        <v>0</v>
      </c>
      <c r="BA116" s="186">
        <f ca="1">BA106*'2.2 Input_General_Information'!$L$94*'2.2 Input_General_Information'!$L$92*'2.2 Input_General_Information'!$L$93</f>
        <v>0</v>
      </c>
      <c r="BB116" s="186">
        <f ca="1">BB106*'2.2 Input_General_Information'!$L$94*'2.2 Input_General_Information'!$L$92*'2.2 Input_General_Information'!$L$93</f>
        <v>0</v>
      </c>
      <c r="BC116" s="186">
        <f ca="1">BC106*'2.2 Input_General_Information'!$L$94*'2.2 Input_General_Information'!$L$92*'2.2 Input_General_Information'!$L$93</f>
        <v>0</v>
      </c>
      <c r="BD116" s="186">
        <f ca="1">BD106*'2.2 Input_General_Information'!$L$94*'2.2 Input_General_Information'!$L$92*'2.2 Input_General_Information'!$L$93</f>
        <v>0</v>
      </c>
      <c r="BE116" s="186">
        <f ca="1">BE106*'2.2 Input_General_Information'!$L$94*'2.2 Input_General_Information'!$L$92*'2.2 Input_General_Information'!$L$93</f>
        <v>0</v>
      </c>
      <c r="BF116" s="186">
        <f ca="1">BF106*'2.2 Input_General_Information'!$L$94*'2.2 Input_General_Information'!$L$92*'2.2 Input_General_Information'!$L$93</f>
        <v>0</v>
      </c>
      <c r="BG116" s="186">
        <f ca="1">BG106*'2.2 Input_General_Information'!$L$94*'2.2 Input_General_Information'!$L$92*'2.2 Input_General_Information'!$L$93</f>
        <v>0</v>
      </c>
      <c r="BH116" s="186">
        <f ca="1">BH106*'2.2 Input_General_Information'!$L$94*'2.2 Input_General_Information'!$L$92*'2.2 Input_General_Information'!$L$93</f>
        <v>0</v>
      </c>
      <c r="BI116" s="186">
        <f ca="1">BI106*'2.2 Input_General_Information'!$L$94*'2.2 Input_General_Information'!$L$92*'2.2 Input_General_Information'!$L$93</f>
        <v>0</v>
      </c>
      <c r="BJ116" s="186">
        <f ca="1">BJ106*'2.2 Input_General_Information'!$L$94*'2.2 Input_General_Information'!$L$92*'2.2 Input_General_Information'!$L$93</f>
        <v>0</v>
      </c>
      <c r="BK116" s="186">
        <f ca="1">BK106*'2.2 Input_General_Information'!$L$94*'2.2 Input_General_Information'!$L$92*'2.2 Input_General_Information'!$L$93</f>
        <v>0</v>
      </c>
      <c r="BL116" s="99"/>
      <c r="BM116" s="99"/>
      <c r="BN116" s="99"/>
      <c r="BO116" s="99"/>
      <c r="BP116" s="99"/>
      <c r="BQ116" s="99"/>
      <c r="BR116" s="99"/>
      <c r="BS116" s="99"/>
      <c r="BT116" s="99"/>
      <c r="BU116" s="99"/>
    </row>
    <row r="117" spans="1:73" hidden="1">
      <c r="A117" s="6"/>
      <c r="B117" s="108"/>
      <c r="C117" s="1"/>
      <c r="D117" s="1"/>
      <c r="E117" s="1"/>
      <c r="F117" s="12"/>
      <c r="G117" s="3"/>
      <c r="H117" s="3"/>
      <c r="I117" s="3"/>
      <c r="J117" s="3"/>
      <c r="K117" s="3"/>
      <c r="L117" s="3"/>
      <c r="M117" s="3"/>
      <c r="N117" s="3"/>
      <c r="O117" s="1"/>
      <c r="P117" s="1"/>
      <c r="Q117" s="1"/>
      <c r="R117" s="162"/>
      <c r="S117" s="1"/>
      <c r="T117" s="103"/>
      <c r="U117" s="103"/>
      <c r="V117" s="262" t="str">
        <f>$L$10</f>
        <v>Profile 6</v>
      </c>
      <c r="W117" s="186">
        <f ca="1">W107*'2.2 Input_General_Information'!$M$94*'2.2 Input_General_Information'!$M$92*'2.2 Input_General_Information'!$M$93</f>
        <v>0</v>
      </c>
      <c r="X117" s="186">
        <f ca="1">X107*'2.2 Input_General_Information'!$M$94*'2.2 Input_General_Information'!$M$92*'2.2 Input_General_Information'!$M$93</f>
        <v>0</v>
      </c>
      <c r="Y117" s="186">
        <f ca="1">Y107*'2.2 Input_General_Information'!$M$94*'2.2 Input_General_Information'!$M$92*'2.2 Input_General_Information'!$M$93</f>
        <v>0</v>
      </c>
      <c r="Z117" s="186">
        <f ca="1">Z107*'2.2 Input_General_Information'!$M$94*'2.2 Input_General_Information'!$M$92*'2.2 Input_General_Information'!$M$93</f>
        <v>0</v>
      </c>
      <c r="AA117" s="186">
        <f ca="1">AA107*'2.2 Input_General_Information'!$M$94*'2.2 Input_General_Information'!$M$92*'2.2 Input_General_Information'!$M$93</f>
        <v>0</v>
      </c>
      <c r="AB117" s="186">
        <f ca="1">AB107*'2.2 Input_General_Information'!$M$94*'2.2 Input_General_Information'!$M$92*'2.2 Input_General_Information'!$M$93</f>
        <v>0</v>
      </c>
      <c r="AC117" s="186">
        <f ca="1">AC107*'2.2 Input_General_Information'!$M$94*'2.2 Input_General_Information'!$M$92*'2.2 Input_General_Information'!$M$93</f>
        <v>0</v>
      </c>
      <c r="AD117" s="186">
        <f ca="1">AD107*'2.2 Input_General_Information'!$M$94*'2.2 Input_General_Information'!$M$92*'2.2 Input_General_Information'!$M$93</f>
        <v>0</v>
      </c>
      <c r="AE117" s="186">
        <f ca="1">AE107*'2.2 Input_General_Information'!$M$94*'2.2 Input_General_Information'!$M$92*'2.2 Input_General_Information'!$M$93</f>
        <v>0</v>
      </c>
      <c r="AF117" s="186">
        <f ca="1">AF107*'2.2 Input_General_Information'!$M$94*'2.2 Input_General_Information'!$M$92*'2.2 Input_General_Information'!$M$93</f>
        <v>0</v>
      </c>
      <c r="AG117" s="186">
        <f ca="1">AG107*'2.2 Input_General_Information'!$M$94*'2.2 Input_General_Information'!$M$92*'2.2 Input_General_Information'!$M$93</f>
        <v>0</v>
      </c>
      <c r="AH117" s="186">
        <f ca="1">AH107*'2.2 Input_General_Information'!$M$94*'2.2 Input_General_Information'!$M$92*'2.2 Input_General_Information'!$M$93</f>
        <v>0</v>
      </c>
      <c r="AI117" s="186">
        <f ca="1">AI107*'2.2 Input_General_Information'!$M$94*'2.2 Input_General_Information'!$M$92*'2.2 Input_General_Information'!$M$93</f>
        <v>0</v>
      </c>
      <c r="AJ117" s="186">
        <f ca="1">AJ107*'2.2 Input_General_Information'!$M$94*'2.2 Input_General_Information'!$M$92*'2.2 Input_General_Information'!$M$93</f>
        <v>0</v>
      </c>
      <c r="AK117" s="186">
        <f ca="1">AK107*'2.2 Input_General_Information'!$M$94*'2.2 Input_General_Information'!$M$92*'2.2 Input_General_Information'!$M$93</f>
        <v>0</v>
      </c>
      <c r="AL117" s="186">
        <f ca="1">AL107*'2.2 Input_General_Information'!$M$94*'2.2 Input_General_Information'!$M$92*'2.2 Input_General_Information'!$M$93</f>
        <v>0</v>
      </c>
      <c r="AM117" s="186">
        <f ca="1">AM107*'2.2 Input_General_Information'!$M$94*'2.2 Input_General_Information'!$M$92*'2.2 Input_General_Information'!$M$93</f>
        <v>0</v>
      </c>
      <c r="AN117" s="186">
        <f ca="1">AN107*'2.2 Input_General_Information'!$M$94*'2.2 Input_General_Information'!$M$92*'2.2 Input_General_Information'!$M$93</f>
        <v>0</v>
      </c>
      <c r="AO117" s="186">
        <f ca="1">AO107*'2.2 Input_General_Information'!$M$94*'2.2 Input_General_Information'!$M$92*'2.2 Input_General_Information'!$M$93</f>
        <v>0</v>
      </c>
      <c r="AP117" s="186">
        <f ca="1">AP107*'2.2 Input_General_Information'!$M$94*'2.2 Input_General_Information'!$M$92*'2.2 Input_General_Information'!$M$93</f>
        <v>0</v>
      </c>
      <c r="AQ117" s="186">
        <f ca="1">AQ107*'2.2 Input_General_Information'!$M$94*'2.2 Input_General_Information'!$M$92*'2.2 Input_General_Information'!$M$93</f>
        <v>0</v>
      </c>
      <c r="AR117" s="186">
        <f ca="1">AR107*'2.2 Input_General_Information'!$M$94*'2.2 Input_General_Information'!$M$92*'2.2 Input_General_Information'!$M$93</f>
        <v>0</v>
      </c>
      <c r="AS117" s="186">
        <f ca="1">AS107*'2.2 Input_General_Information'!$M$94*'2.2 Input_General_Information'!$M$92*'2.2 Input_General_Information'!$M$93</f>
        <v>0</v>
      </c>
      <c r="AT117" s="186">
        <f ca="1">AT107*'2.2 Input_General_Information'!$M$94*'2.2 Input_General_Information'!$M$92*'2.2 Input_General_Information'!$M$93</f>
        <v>0</v>
      </c>
      <c r="AU117" s="186">
        <f ca="1">AU107*'2.2 Input_General_Information'!$M$94*'2.2 Input_General_Information'!$M$92*'2.2 Input_General_Information'!$M$93</f>
        <v>0</v>
      </c>
      <c r="AV117" s="186">
        <f ca="1">AV107*'2.2 Input_General_Information'!$M$94*'2.2 Input_General_Information'!$M$92*'2.2 Input_General_Information'!$M$93</f>
        <v>0</v>
      </c>
      <c r="AW117" s="186">
        <f ca="1">AW107*'2.2 Input_General_Information'!$M$94*'2.2 Input_General_Information'!$M$92*'2.2 Input_General_Information'!$M$93</f>
        <v>0</v>
      </c>
      <c r="AX117" s="186">
        <f ca="1">AX107*'2.2 Input_General_Information'!$M$94*'2.2 Input_General_Information'!$M$92*'2.2 Input_General_Information'!$M$93</f>
        <v>0</v>
      </c>
      <c r="AY117" s="186">
        <f ca="1">AY107*'2.2 Input_General_Information'!$M$94*'2.2 Input_General_Information'!$M$92*'2.2 Input_General_Information'!$M$93</f>
        <v>0</v>
      </c>
      <c r="AZ117" s="186">
        <f ca="1">AZ107*'2.2 Input_General_Information'!$M$94*'2.2 Input_General_Information'!$M$92*'2.2 Input_General_Information'!$M$93</f>
        <v>0</v>
      </c>
      <c r="BA117" s="186">
        <f ca="1">BA107*'2.2 Input_General_Information'!$M$94*'2.2 Input_General_Information'!$M$92*'2.2 Input_General_Information'!$M$93</f>
        <v>0</v>
      </c>
      <c r="BB117" s="186">
        <f ca="1">BB107*'2.2 Input_General_Information'!$M$94*'2.2 Input_General_Information'!$M$92*'2.2 Input_General_Information'!$M$93</f>
        <v>0</v>
      </c>
      <c r="BC117" s="186">
        <f ca="1">BC107*'2.2 Input_General_Information'!$M$94*'2.2 Input_General_Information'!$M$92*'2.2 Input_General_Information'!$M$93</f>
        <v>0</v>
      </c>
      <c r="BD117" s="186">
        <f ca="1">BD107*'2.2 Input_General_Information'!$M$94*'2.2 Input_General_Information'!$M$92*'2.2 Input_General_Information'!$M$93</f>
        <v>0</v>
      </c>
      <c r="BE117" s="186">
        <f ca="1">BE107*'2.2 Input_General_Information'!$M$94*'2.2 Input_General_Information'!$M$92*'2.2 Input_General_Information'!$M$93</f>
        <v>0</v>
      </c>
      <c r="BF117" s="186">
        <f ca="1">BF107*'2.2 Input_General_Information'!$M$94*'2.2 Input_General_Information'!$M$92*'2.2 Input_General_Information'!$M$93</f>
        <v>0</v>
      </c>
      <c r="BG117" s="186">
        <f ca="1">BG107*'2.2 Input_General_Information'!$M$94*'2.2 Input_General_Information'!$M$92*'2.2 Input_General_Information'!$M$93</f>
        <v>0</v>
      </c>
      <c r="BH117" s="186">
        <f ca="1">BH107*'2.2 Input_General_Information'!$M$94*'2.2 Input_General_Information'!$M$92*'2.2 Input_General_Information'!$M$93</f>
        <v>0</v>
      </c>
      <c r="BI117" s="186">
        <f ca="1">BI107*'2.2 Input_General_Information'!$M$94*'2.2 Input_General_Information'!$M$92*'2.2 Input_General_Information'!$M$93</f>
        <v>0</v>
      </c>
      <c r="BJ117" s="186">
        <f ca="1">BJ107*'2.2 Input_General_Information'!$M$94*'2.2 Input_General_Information'!$M$92*'2.2 Input_General_Information'!$M$93</f>
        <v>0</v>
      </c>
      <c r="BK117" s="186">
        <f ca="1">BK107*'2.2 Input_General_Information'!$M$94*'2.2 Input_General_Information'!$M$92*'2.2 Input_General_Information'!$M$93</f>
        <v>0</v>
      </c>
      <c r="BL117" s="99"/>
      <c r="BM117" s="99"/>
      <c r="BN117" s="99"/>
      <c r="BO117" s="99"/>
      <c r="BP117" s="99"/>
      <c r="BQ117" s="99"/>
      <c r="BR117" s="99"/>
      <c r="BS117" s="99"/>
      <c r="BT117" s="99"/>
      <c r="BU117" s="99"/>
    </row>
    <row r="118" spans="1:73" hidden="1">
      <c r="A118" s="6"/>
      <c r="B118" s="108"/>
      <c r="C118" s="1"/>
      <c r="D118" s="1"/>
      <c r="E118" s="1"/>
      <c r="F118" s="12"/>
      <c r="G118" s="3"/>
      <c r="H118" s="3"/>
      <c r="I118" s="3"/>
      <c r="J118" s="3"/>
      <c r="K118" s="3"/>
      <c r="L118" s="3"/>
      <c r="M118" s="3"/>
      <c r="N118" s="3"/>
      <c r="O118" s="1"/>
      <c r="P118" s="1"/>
      <c r="Q118" s="1"/>
      <c r="R118" s="162"/>
      <c r="S118" s="1"/>
      <c r="T118" s="103"/>
      <c r="U118" s="103"/>
      <c r="V118" s="262" t="str">
        <f>$M$10</f>
        <v>Profile 7</v>
      </c>
      <c r="W118" s="186">
        <f ca="1">W108*'2.2 Input_General_Information'!$N$94*'2.2 Input_General_Information'!$N$92*'2.2 Input_General_Information'!$N$93</f>
        <v>0</v>
      </c>
      <c r="X118" s="186">
        <f ca="1">X108*'2.2 Input_General_Information'!$N$94*'2.2 Input_General_Information'!$N$92*'2.2 Input_General_Information'!$N$93</f>
        <v>0</v>
      </c>
      <c r="Y118" s="186">
        <f ca="1">Y108*'2.2 Input_General_Information'!$N$94*'2.2 Input_General_Information'!$N$92*'2.2 Input_General_Information'!$N$93</f>
        <v>0</v>
      </c>
      <c r="Z118" s="186">
        <f ca="1">Z108*'2.2 Input_General_Information'!$N$94*'2.2 Input_General_Information'!$N$92*'2.2 Input_General_Information'!$N$93</f>
        <v>0</v>
      </c>
      <c r="AA118" s="186">
        <f ca="1">AA108*'2.2 Input_General_Information'!$N$94*'2.2 Input_General_Information'!$N$92*'2.2 Input_General_Information'!$N$93</f>
        <v>0</v>
      </c>
      <c r="AB118" s="186">
        <f ca="1">AB108*'2.2 Input_General_Information'!$N$94*'2.2 Input_General_Information'!$N$92*'2.2 Input_General_Information'!$N$93</f>
        <v>0</v>
      </c>
      <c r="AC118" s="186">
        <f ca="1">AC108*'2.2 Input_General_Information'!$N$94*'2.2 Input_General_Information'!$N$92*'2.2 Input_General_Information'!$N$93</f>
        <v>0</v>
      </c>
      <c r="AD118" s="186">
        <f ca="1">AD108*'2.2 Input_General_Information'!$N$94*'2.2 Input_General_Information'!$N$92*'2.2 Input_General_Information'!$N$93</f>
        <v>0</v>
      </c>
      <c r="AE118" s="186">
        <f ca="1">AE108*'2.2 Input_General_Information'!$N$94*'2.2 Input_General_Information'!$N$92*'2.2 Input_General_Information'!$N$93</f>
        <v>0</v>
      </c>
      <c r="AF118" s="186">
        <f ca="1">AF108*'2.2 Input_General_Information'!$N$94*'2.2 Input_General_Information'!$N$92*'2.2 Input_General_Information'!$N$93</f>
        <v>0</v>
      </c>
      <c r="AG118" s="186">
        <f ca="1">AG108*'2.2 Input_General_Information'!$N$94*'2.2 Input_General_Information'!$N$92*'2.2 Input_General_Information'!$N$93</f>
        <v>0</v>
      </c>
      <c r="AH118" s="186">
        <f ca="1">AH108*'2.2 Input_General_Information'!$N$94*'2.2 Input_General_Information'!$N$92*'2.2 Input_General_Information'!$N$93</f>
        <v>0</v>
      </c>
      <c r="AI118" s="186">
        <f ca="1">AI108*'2.2 Input_General_Information'!$N$94*'2.2 Input_General_Information'!$N$92*'2.2 Input_General_Information'!$N$93</f>
        <v>0</v>
      </c>
      <c r="AJ118" s="186">
        <f ca="1">AJ108*'2.2 Input_General_Information'!$N$94*'2.2 Input_General_Information'!$N$92*'2.2 Input_General_Information'!$N$93</f>
        <v>0</v>
      </c>
      <c r="AK118" s="186">
        <f ca="1">AK108*'2.2 Input_General_Information'!$N$94*'2.2 Input_General_Information'!$N$92*'2.2 Input_General_Information'!$N$93</f>
        <v>0</v>
      </c>
      <c r="AL118" s="186">
        <f ca="1">AL108*'2.2 Input_General_Information'!$N$94*'2.2 Input_General_Information'!$N$92*'2.2 Input_General_Information'!$N$93</f>
        <v>0</v>
      </c>
      <c r="AM118" s="186">
        <f ca="1">AM108*'2.2 Input_General_Information'!$N$94*'2.2 Input_General_Information'!$N$92*'2.2 Input_General_Information'!$N$93</f>
        <v>0</v>
      </c>
      <c r="AN118" s="186">
        <f ca="1">AN108*'2.2 Input_General_Information'!$N$94*'2.2 Input_General_Information'!$N$92*'2.2 Input_General_Information'!$N$93</f>
        <v>0</v>
      </c>
      <c r="AO118" s="186">
        <f ca="1">AO108*'2.2 Input_General_Information'!$N$94*'2.2 Input_General_Information'!$N$92*'2.2 Input_General_Information'!$N$93</f>
        <v>0</v>
      </c>
      <c r="AP118" s="186">
        <f ca="1">AP108*'2.2 Input_General_Information'!$N$94*'2.2 Input_General_Information'!$N$92*'2.2 Input_General_Information'!$N$93</f>
        <v>0</v>
      </c>
      <c r="AQ118" s="186">
        <f ca="1">AQ108*'2.2 Input_General_Information'!$N$94*'2.2 Input_General_Information'!$N$92*'2.2 Input_General_Information'!$N$93</f>
        <v>0</v>
      </c>
      <c r="AR118" s="186">
        <f ca="1">AR108*'2.2 Input_General_Information'!$N$94*'2.2 Input_General_Information'!$N$92*'2.2 Input_General_Information'!$N$93</f>
        <v>0</v>
      </c>
      <c r="AS118" s="186">
        <f ca="1">AS108*'2.2 Input_General_Information'!$N$94*'2.2 Input_General_Information'!$N$92*'2.2 Input_General_Information'!$N$93</f>
        <v>0</v>
      </c>
      <c r="AT118" s="186">
        <f ca="1">AT108*'2.2 Input_General_Information'!$N$94*'2.2 Input_General_Information'!$N$92*'2.2 Input_General_Information'!$N$93</f>
        <v>0</v>
      </c>
      <c r="AU118" s="186">
        <f ca="1">AU108*'2.2 Input_General_Information'!$N$94*'2.2 Input_General_Information'!$N$92*'2.2 Input_General_Information'!$N$93</f>
        <v>0</v>
      </c>
      <c r="AV118" s="186">
        <f ca="1">AV108*'2.2 Input_General_Information'!$N$94*'2.2 Input_General_Information'!$N$92*'2.2 Input_General_Information'!$N$93</f>
        <v>0</v>
      </c>
      <c r="AW118" s="186">
        <f ca="1">AW108*'2.2 Input_General_Information'!$N$94*'2.2 Input_General_Information'!$N$92*'2.2 Input_General_Information'!$N$93</f>
        <v>0</v>
      </c>
      <c r="AX118" s="186">
        <f ca="1">AX108*'2.2 Input_General_Information'!$N$94*'2.2 Input_General_Information'!$N$92*'2.2 Input_General_Information'!$N$93</f>
        <v>0</v>
      </c>
      <c r="AY118" s="186">
        <f ca="1">AY108*'2.2 Input_General_Information'!$N$94*'2.2 Input_General_Information'!$N$92*'2.2 Input_General_Information'!$N$93</f>
        <v>0</v>
      </c>
      <c r="AZ118" s="186">
        <f ca="1">AZ108*'2.2 Input_General_Information'!$N$94*'2.2 Input_General_Information'!$N$92*'2.2 Input_General_Information'!$N$93</f>
        <v>0</v>
      </c>
      <c r="BA118" s="186">
        <f ca="1">BA108*'2.2 Input_General_Information'!$N$94*'2.2 Input_General_Information'!$N$92*'2.2 Input_General_Information'!$N$93</f>
        <v>0</v>
      </c>
      <c r="BB118" s="186">
        <f ca="1">BB108*'2.2 Input_General_Information'!$N$94*'2.2 Input_General_Information'!$N$92*'2.2 Input_General_Information'!$N$93</f>
        <v>0</v>
      </c>
      <c r="BC118" s="186">
        <f ca="1">BC108*'2.2 Input_General_Information'!$N$94*'2.2 Input_General_Information'!$N$92*'2.2 Input_General_Information'!$N$93</f>
        <v>0</v>
      </c>
      <c r="BD118" s="186">
        <f ca="1">BD108*'2.2 Input_General_Information'!$N$94*'2.2 Input_General_Information'!$N$92*'2.2 Input_General_Information'!$N$93</f>
        <v>0</v>
      </c>
      <c r="BE118" s="186">
        <f ca="1">BE108*'2.2 Input_General_Information'!$N$94*'2.2 Input_General_Information'!$N$92*'2.2 Input_General_Information'!$N$93</f>
        <v>0</v>
      </c>
      <c r="BF118" s="186">
        <f ca="1">BF108*'2.2 Input_General_Information'!$N$94*'2.2 Input_General_Information'!$N$92*'2.2 Input_General_Information'!$N$93</f>
        <v>0</v>
      </c>
      <c r="BG118" s="186">
        <f ca="1">BG108*'2.2 Input_General_Information'!$N$94*'2.2 Input_General_Information'!$N$92*'2.2 Input_General_Information'!$N$93</f>
        <v>0</v>
      </c>
      <c r="BH118" s="186">
        <f ca="1">BH108*'2.2 Input_General_Information'!$N$94*'2.2 Input_General_Information'!$N$92*'2.2 Input_General_Information'!$N$93</f>
        <v>0</v>
      </c>
      <c r="BI118" s="186">
        <f ca="1">BI108*'2.2 Input_General_Information'!$N$94*'2.2 Input_General_Information'!$N$92*'2.2 Input_General_Information'!$N$93</f>
        <v>0</v>
      </c>
      <c r="BJ118" s="186">
        <f ca="1">BJ108*'2.2 Input_General_Information'!$N$94*'2.2 Input_General_Information'!$N$92*'2.2 Input_General_Information'!$N$93</f>
        <v>0</v>
      </c>
      <c r="BK118" s="186">
        <f ca="1">BK108*'2.2 Input_General_Information'!$N$94*'2.2 Input_General_Information'!$N$92*'2.2 Input_General_Information'!$N$93</f>
        <v>0</v>
      </c>
      <c r="BL118" s="99"/>
      <c r="BM118" s="99"/>
      <c r="BN118" s="99"/>
      <c r="BO118" s="99"/>
      <c r="BP118" s="99"/>
      <c r="BQ118" s="99"/>
      <c r="BR118" s="99"/>
      <c r="BS118" s="99"/>
      <c r="BT118" s="99"/>
      <c r="BU118" s="99"/>
    </row>
    <row r="119" spans="1:73" hidden="1">
      <c r="A119" s="6"/>
      <c r="B119" s="108"/>
      <c r="C119" s="1"/>
      <c r="D119" s="12"/>
      <c r="E119" s="1"/>
      <c r="F119" s="12"/>
      <c r="G119" s="3"/>
      <c r="H119" s="3"/>
      <c r="I119" s="3"/>
      <c r="J119" s="3"/>
      <c r="K119" s="3"/>
      <c r="L119" s="3"/>
      <c r="M119" s="3"/>
      <c r="N119" s="3"/>
      <c r="O119" s="1"/>
      <c r="P119" s="1"/>
      <c r="Q119" s="1"/>
      <c r="R119" s="162"/>
      <c r="S119" s="1"/>
      <c r="T119" s="103"/>
      <c r="U119" s="103"/>
      <c r="V119" s="290" t="str">
        <f>$N$10</f>
        <v>Profile 8</v>
      </c>
      <c r="W119" s="326">
        <f ca="1">W109*'2.2 Input_General_Information'!$O$94*'2.2 Input_General_Information'!$O$92*'2.2 Input_General_Information'!$O$93</f>
        <v>0</v>
      </c>
      <c r="X119" s="326">
        <f ca="1">X109*'2.2 Input_General_Information'!$O$94*'2.2 Input_General_Information'!$O$92*'2.2 Input_General_Information'!$O$93</f>
        <v>0</v>
      </c>
      <c r="Y119" s="326">
        <f ca="1">Y109*'2.2 Input_General_Information'!$O$94*'2.2 Input_General_Information'!$O$92*'2.2 Input_General_Information'!$O$93</f>
        <v>0</v>
      </c>
      <c r="Z119" s="326">
        <f ca="1">Z109*'2.2 Input_General_Information'!$O$94*'2.2 Input_General_Information'!$O$92*'2.2 Input_General_Information'!$O$93</f>
        <v>0</v>
      </c>
      <c r="AA119" s="326">
        <f ca="1">AA109*'2.2 Input_General_Information'!$O$94*'2.2 Input_General_Information'!$O$92*'2.2 Input_General_Information'!$O$93</f>
        <v>0</v>
      </c>
      <c r="AB119" s="326">
        <f ca="1">AB109*'2.2 Input_General_Information'!$O$94*'2.2 Input_General_Information'!$O$92*'2.2 Input_General_Information'!$O$93</f>
        <v>0</v>
      </c>
      <c r="AC119" s="326">
        <f ca="1">AC109*'2.2 Input_General_Information'!$O$94*'2.2 Input_General_Information'!$O$92*'2.2 Input_General_Information'!$O$93</f>
        <v>0</v>
      </c>
      <c r="AD119" s="326">
        <f ca="1">AD109*'2.2 Input_General_Information'!$O$94*'2.2 Input_General_Information'!$O$92*'2.2 Input_General_Information'!$O$93</f>
        <v>0</v>
      </c>
      <c r="AE119" s="326">
        <f ca="1">AE109*'2.2 Input_General_Information'!$O$94*'2.2 Input_General_Information'!$O$92*'2.2 Input_General_Information'!$O$93</f>
        <v>0</v>
      </c>
      <c r="AF119" s="326">
        <f ca="1">AF109*'2.2 Input_General_Information'!$O$94*'2.2 Input_General_Information'!$O$92*'2.2 Input_General_Information'!$O$93</f>
        <v>0</v>
      </c>
      <c r="AG119" s="326">
        <f ca="1">AG109*'2.2 Input_General_Information'!$O$94*'2.2 Input_General_Information'!$O$92*'2.2 Input_General_Information'!$O$93</f>
        <v>0</v>
      </c>
      <c r="AH119" s="326">
        <f ca="1">AH109*'2.2 Input_General_Information'!$O$94*'2.2 Input_General_Information'!$O$92*'2.2 Input_General_Information'!$O$93</f>
        <v>0</v>
      </c>
      <c r="AI119" s="326">
        <f ca="1">AI109*'2.2 Input_General_Information'!$O$94*'2.2 Input_General_Information'!$O$92*'2.2 Input_General_Information'!$O$93</f>
        <v>0</v>
      </c>
      <c r="AJ119" s="326">
        <f ca="1">AJ109*'2.2 Input_General_Information'!$O$94*'2.2 Input_General_Information'!$O$92*'2.2 Input_General_Information'!$O$93</f>
        <v>0</v>
      </c>
      <c r="AK119" s="326">
        <f ca="1">AK109*'2.2 Input_General_Information'!$O$94*'2.2 Input_General_Information'!$O$92*'2.2 Input_General_Information'!$O$93</f>
        <v>0</v>
      </c>
      <c r="AL119" s="326">
        <f ca="1">AL109*'2.2 Input_General_Information'!$O$94*'2.2 Input_General_Information'!$O$92*'2.2 Input_General_Information'!$O$93</f>
        <v>0</v>
      </c>
      <c r="AM119" s="326">
        <f ca="1">AM109*'2.2 Input_General_Information'!$O$94*'2.2 Input_General_Information'!$O$92*'2.2 Input_General_Information'!$O$93</f>
        <v>0</v>
      </c>
      <c r="AN119" s="326">
        <f ca="1">AN109*'2.2 Input_General_Information'!$O$94*'2.2 Input_General_Information'!$O$92*'2.2 Input_General_Information'!$O$93</f>
        <v>0</v>
      </c>
      <c r="AO119" s="326">
        <f ca="1">AO109*'2.2 Input_General_Information'!$O$94*'2.2 Input_General_Information'!$O$92*'2.2 Input_General_Information'!$O$93</f>
        <v>0</v>
      </c>
      <c r="AP119" s="326">
        <f ca="1">AP109*'2.2 Input_General_Information'!$O$94*'2.2 Input_General_Information'!$O$92*'2.2 Input_General_Information'!$O$93</f>
        <v>0</v>
      </c>
      <c r="AQ119" s="326">
        <f ca="1">AQ109*'2.2 Input_General_Information'!$O$94*'2.2 Input_General_Information'!$O$92*'2.2 Input_General_Information'!$O$93</f>
        <v>0</v>
      </c>
      <c r="AR119" s="326">
        <f ca="1">AR109*'2.2 Input_General_Information'!$O$94*'2.2 Input_General_Information'!$O$92*'2.2 Input_General_Information'!$O$93</f>
        <v>0</v>
      </c>
      <c r="AS119" s="326">
        <f ca="1">AS109*'2.2 Input_General_Information'!$O$94*'2.2 Input_General_Information'!$O$92*'2.2 Input_General_Information'!$O$93</f>
        <v>0</v>
      </c>
      <c r="AT119" s="326">
        <f ca="1">AT109*'2.2 Input_General_Information'!$O$94*'2.2 Input_General_Information'!$O$92*'2.2 Input_General_Information'!$O$93</f>
        <v>0</v>
      </c>
      <c r="AU119" s="326">
        <f ca="1">AU109*'2.2 Input_General_Information'!$O$94*'2.2 Input_General_Information'!$O$92*'2.2 Input_General_Information'!$O$93</f>
        <v>0</v>
      </c>
      <c r="AV119" s="326">
        <f ca="1">AV109*'2.2 Input_General_Information'!$O$94*'2.2 Input_General_Information'!$O$92*'2.2 Input_General_Information'!$O$93</f>
        <v>0</v>
      </c>
      <c r="AW119" s="326">
        <f ca="1">AW109*'2.2 Input_General_Information'!$O$94*'2.2 Input_General_Information'!$O$92*'2.2 Input_General_Information'!$O$93</f>
        <v>0</v>
      </c>
      <c r="AX119" s="326">
        <f ca="1">AX109*'2.2 Input_General_Information'!$O$94*'2.2 Input_General_Information'!$O$92*'2.2 Input_General_Information'!$O$93</f>
        <v>0</v>
      </c>
      <c r="AY119" s="326">
        <f ca="1">AY109*'2.2 Input_General_Information'!$O$94*'2.2 Input_General_Information'!$O$92*'2.2 Input_General_Information'!$O$93</f>
        <v>0</v>
      </c>
      <c r="AZ119" s="326">
        <f ca="1">AZ109*'2.2 Input_General_Information'!$O$94*'2.2 Input_General_Information'!$O$92*'2.2 Input_General_Information'!$O$93</f>
        <v>0</v>
      </c>
      <c r="BA119" s="326">
        <f ca="1">BA109*'2.2 Input_General_Information'!$O$94*'2.2 Input_General_Information'!$O$92*'2.2 Input_General_Information'!$O$93</f>
        <v>0</v>
      </c>
      <c r="BB119" s="326">
        <f ca="1">BB109*'2.2 Input_General_Information'!$O$94*'2.2 Input_General_Information'!$O$92*'2.2 Input_General_Information'!$O$93</f>
        <v>0</v>
      </c>
      <c r="BC119" s="326">
        <f ca="1">BC109*'2.2 Input_General_Information'!$O$94*'2.2 Input_General_Information'!$O$92*'2.2 Input_General_Information'!$O$93</f>
        <v>0</v>
      </c>
      <c r="BD119" s="326">
        <f ca="1">BD109*'2.2 Input_General_Information'!$O$94*'2.2 Input_General_Information'!$O$92*'2.2 Input_General_Information'!$O$93</f>
        <v>0</v>
      </c>
      <c r="BE119" s="326">
        <f ca="1">BE109*'2.2 Input_General_Information'!$O$94*'2.2 Input_General_Information'!$O$92*'2.2 Input_General_Information'!$O$93</f>
        <v>0</v>
      </c>
      <c r="BF119" s="326">
        <f ca="1">BF109*'2.2 Input_General_Information'!$O$94*'2.2 Input_General_Information'!$O$92*'2.2 Input_General_Information'!$O$93</f>
        <v>0</v>
      </c>
      <c r="BG119" s="326">
        <f ca="1">BG109*'2.2 Input_General_Information'!$O$94*'2.2 Input_General_Information'!$O$92*'2.2 Input_General_Information'!$O$93</f>
        <v>0</v>
      </c>
      <c r="BH119" s="326">
        <f ca="1">BH109*'2.2 Input_General_Information'!$O$94*'2.2 Input_General_Information'!$O$92*'2.2 Input_General_Information'!$O$93</f>
        <v>0</v>
      </c>
      <c r="BI119" s="326">
        <f ca="1">BI109*'2.2 Input_General_Information'!$O$94*'2.2 Input_General_Information'!$O$92*'2.2 Input_General_Information'!$O$93</f>
        <v>0</v>
      </c>
      <c r="BJ119" s="326">
        <f ca="1">BJ109*'2.2 Input_General_Information'!$O$94*'2.2 Input_General_Information'!$O$92*'2.2 Input_General_Information'!$O$93</f>
        <v>0</v>
      </c>
      <c r="BK119" s="326">
        <f ca="1">BK109*'2.2 Input_General_Information'!$O$94*'2.2 Input_General_Information'!$O$92*'2.2 Input_General_Information'!$O$93</f>
        <v>0</v>
      </c>
      <c r="BL119" s="99"/>
      <c r="BM119" s="99"/>
      <c r="BN119" s="99"/>
      <c r="BO119" s="99"/>
      <c r="BP119" s="99"/>
      <c r="BQ119" s="99"/>
      <c r="BR119" s="99"/>
      <c r="BS119" s="99"/>
      <c r="BT119" s="99"/>
      <c r="BU119" s="99"/>
    </row>
    <row r="120" spans="1:73" hidden="1">
      <c r="A120" s="6"/>
      <c r="B120" s="108"/>
      <c r="C120" s="1"/>
      <c r="D120" s="1"/>
      <c r="E120" s="12"/>
      <c r="F120" s="12"/>
      <c r="G120" s="3"/>
      <c r="H120" s="3"/>
      <c r="I120" s="3"/>
      <c r="J120" s="3"/>
      <c r="K120" s="3"/>
      <c r="L120" s="3"/>
      <c r="M120" s="3"/>
      <c r="N120" s="3"/>
      <c r="O120" s="1"/>
      <c r="P120" s="1"/>
      <c r="Q120" s="1"/>
      <c r="R120" s="162"/>
      <c r="S120" s="1"/>
      <c r="T120" s="103"/>
      <c r="U120" s="103"/>
      <c r="V120" s="342" t="s">
        <v>861</v>
      </c>
      <c r="W120" s="343">
        <f t="shared" ref="W120:BK120" ca="1" si="36">SUM(W112:W119)</f>
        <v>-15431.15846288492</v>
      </c>
      <c r="X120" s="343">
        <f t="shared" ca="1" si="36"/>
        <v>-11049.783716466141</v>
      </c>
      <c r="Y120" s="343">
        <f t="shared" ca="1" si="36"/>
        <v>-10853.514632245749</v>
      </c>
      <c r="Z120" s="343">
        <f t="shared" ca="1" si="36"/>
        <v>-7641.3902010870597</v>
      </c>
      <c r="AA120" s="343">
        <f t="shared" ca="1" si="36"/>
        <v>-7627.1230355420921</v>
      </c>
      <c r="AB120" s="343">
        <f t="shared" ca="1" si="36"/>
        <v>-7613.6508354422185</v>
      </c>
      <c r="AC120" s="343">
        <f t="shared" ca="1" si="36"/>
        <v>-7600.040527740437</v>
      </c>
      <c r="AD120" s="343">
        <f t="shared" ca="1" si="36"/>
        <v>-7586.298274306062</v>
      </c>
      <c r="AE120" s="343">
        <f t="shared" ca="1" si="36"/>
        <v>-7572.4305169747022</v>
      </c>
      <c r="AF120" s="343">
        <f t="shared" ca="1" si="36"/>
        <v>-7558.4439678019771</v>
      </c>
      <c r="AG120" s="343">
        <f t="shared" ca="1" si="36"/>
        <v>-7544.345598134616</v>
      </c>
      <c r="AH120" s="343">
        <f t="shared" ca="1" si="36"/>
        <v>-7530.1426265240298</v>
      </c>
      <c r="AI120" s="343">
        <f t="shared" ca="1" si="36"/>
        <v>-7515.8425055159769</v>
      </c>
      <c r="AJ120" s="343">
        <f t="shared" ca="1" si="36"/>
        <v>-7501.452907358318</v>
      </c>
      <c r="AK120" s="343">
        <f t="shared" ca="1" si="36"/>
        <v>-7486.9817086772382</v>
      </c>
      <c r="AL120" s="343">
        <f t="shared" ca="1" si="36"/>
        <v>-7472.436974180393</v>
      </c>
      <c r="AM120" s="343">
        <f t="shared" ca="1" si="36"/>
        <v>-7457.826939453209</v>
      </c>
      <c r="AN120" s="343">
        <f t="shared" ca="1" si="36"/>
        <v>-7443.1599929219738</v>
      </c>
      <c r="AO120" s="343">
        <f t="shared" ca="1" si="36"/>
        <v>-7428.4446570642031</v>
      </c>
      <c r="AP120" s="343">
        <f t="shared" ca="1" si="36"/>
        <v>-7413.6895689530847</v>
      </c>
      <c r="AQ120" s="343">
        <f t="shared" ca="1" si="36"/>
        <v>-7398.9034602284173</v>
      </c>
      <c r="AR120" s="343">
        <f t="shared" ca="1" si="36"/>
        <v>-7384.0951365913988</v>
      </c>
      <c r="AS120" s="343">
        <f t="shared" ca="1" si="36"/>
        <v>-7369.2734569246295</v>
      </c>
      <c r="AT120" s="343">
        <f t="shared" ca="1" si="36"/>
        <v>-7354.4473121420542</v>
      </c>
      <c r="AU120" s="343">
        <f t="shared" ca="1" si="36"/>
        <v>-7339.625603875822</v>
      </c>
      <c r="AV120" s="343">
        <f t="shared" ca="1" si="36"/>
        <v>-7324.8172231085173</v>
      </c>
      <c r="AW120" s="343">
        <f t="shared" ca="1" si="36"/>
        <v>-7310.0310288596593</v>
      </c>
      <c r="AX120" s="343">
        <f t="shared" ca="1" si="36"/>
        <v>-7295.275827034955</v>
      </c>
      <c r="AY120" s="343">
        <f t="shared" ca="1" si="36"/>
        <v>-7280.5603495452706</v>
      </c>
      <c r="AZ120" s="343">
        <f t="shared" ca="1" si="36"/>
        <v>-7265.8932338000395</v>
      </c>
      <c r="BA120" s="343">
        <f t="shared" ca="1" si="36"/>
        <v>-7251.2830026765187</v>
      </c>
      <c r="BB120" s="343">
        <f t="shared" ca="1" si="36"/>
        <v>-7236.7380450622386</v>
      </c>
      <c r="BC120" s="343">
        <f t="shared" ca="1" si="36"/>
        <v>-7222.2665970630933</v>
      </c>
      <c r="BD120" s="343">
        <f t="shared" ca="1" si="36"/>
        <v>-7207.8767239638655</v>
      </c>
      <c r="BE120" s="343">
        <f t="shared" ca="1" si="36"/>
        <v>-7193.5763030217458</v>
      </c>
      <c r="BF120" s="343">
        <f t="shared" ca="1" si="36"/>
        <v>-7179.3730071664322</v>
      </c>
      <c r="BG120" s="343">
        <f t="shared" ca="1" si="36"/>
        <v>-7165.2742896731525</v>
      </c>
      <c r="BH120" s="343">
        <f t="shared" ca="1" si="36"/>
        <v>-7151.2873698670028</v>
      </c>
      <c r="BI120" s="343">
        <f t="shared" ca="1" si="36"/>
        <v>-7137.4192199090667</v>
      </c>
      <c r="BJ120" s="343">
        <f t="shared" ca="1" si="36"/>
        <v>-7123.676552706318</v>
      </c>
      <c r="BK120" s="345">
        <f t="shared" ca="1" si="36"/>
        <v>-7110.0658109789656</v>
      </c>
      <c r="BL120" s="99"/>
      <c r="BM120" s="99"/>
      <c r="BN120" s="99"/>
      <c r="BO120" s="99"/>
      <c r="BP120" s="99"/>
      <c r="BQ120" s="99"/>
      <c r="BR120" s="99"/>
      <c r="BS120" s="99"/>
      <c r="BT120" s="99"/>
      <c r="BU120" s="99"/>
    </row>
    <row r="121" spans="1:73" hidden="1">
      <c r="A121" s="6"/>
      <c r="B121" s="108"/>
      <c r="C121" s="1"/>
      <c r="D121" s="358"/>
      <c r="E121" s="29"/>
      <c r="F121" s="359"/>
      <c r="G121" s="360"/>
      <c r="H121" s="360"/>
      <c r="I121" s="360"/>
      <c r="J121" s="360"/>
      <c r="K121" s="360"/>
      <c r="L121" s="360"/>
      <c r="M121" s="360"/>
      <c r="N121" s="360"/>
      <c r="O121" s="1"/>
      <c r="P121" s="1"/>
      <c r="Q121" s="1"/>
      <c r="R121" s="162"/>
      <c r="S121" s="1"/>
      <c r="T121" s="103"/>
      <c r="U121" s="103"/>
      <c r="V121" s="103"/>
      <c r="W121" s="346"/>
      <c r="X121" s="346"/>
      <c r="Y121" s="346"/>
      <c r="Z121" s="346"/>
      <c r="AA121" s="346"/>
      <c r="AB121" s="346"/>
      <c r="AC121" s="346"/>
      <c r="AD121" s="346"/>
      <c r="AE121" s="346"/>
      <c r="AF121" s="346"/>
      <c r="AG121" s="346"/>
      <c r="AH121" s="346"/>
      <c r="AI121" s="346"/>
      <c r="AJ121" s="346"/>
      <c r="AK121" s="346"/>
      <c r="AL121" s="346"/>
      <c r="AM121" s="346"/>
      <c r="AN121" s="346"/>
      <c r="AO121" s="346"/>
      <c r="AP121" s="346"/>
      <c r="AQ121" s="346"/>
      <c r="AR121" s="346"/>
      <c r="AS121" s="346"/>
      <c r="AT121" s="346"/>
      <c r="AU121" s="346"/>
      <c r="AV121" s="346"/>
      <c r="AW121" s="346"/>
      <c r="AX121" s="346"/>
      <c r="AY121" s="346"/>
      <c r="AZ121" s="346"/>
      <c r="BA121" s="346"/>
      <c r="BB121" s="346"/>
      <c r="BC121" s="346"/>
      <c r="BD121" s="346"/>
      <c r="BE121" s="346"/>
      <c r="BF121" s="346"/>
      <c r="BG121" s="346"/>
      <c r="BH121" s="346"/>
      <c r="BI121" s="346"/>
      <c r="BJ121" s="346"/>
      <c r="BK121" s="346"/>
      <c r="BL121" s="6"/>
      <c r="BM121" s="6"/>
      <c r="BN121" s="6"/>
      <c r="BO121" s="6"/>
      <c r="BP121" s="6"/>
      <c r="BQ121" s="6"/>
      <c r="BR121" s="6"/>
      <c r="BS121" s="6"/>
      <c r="BT121" s="6"/>
      <c r="BU121" s="6"/>
    </row>
    <row r="122" spans="1:73" hidden="1">
      <c r="A122" s="6"/>
      <c r="B122" s="108"/>
      <c r="C122" s="1"/>
      <c r="D122" s="358"/>
      <c r="E122" s="29"/>
      <c r="F122" s="359"/>
      <c r="G122" s="360"/>
      <c r="H122" s="360"/>
      <c r="I122" s="360"/>
      <c r="J122" s="360"/>
      <c r="K122" s="360"/>
      <c r="L122" s="360"/>
      <c r="M122" s="360"/>
      <c r="N122" s="360"/>
      <c r="O122" s="1"/>
      <c r="P122" s="1"/>
      <c r="Q122" s="1"/>
      <c r="R122" s="162"/>
      <c r="S122" s="1"/>
      <c r="T122" s="103"/>
      <c r="U122" s="103"/>
      <c r="V122" s="103"/>
      <c r="W122" s="346">
        <f>Growth!B20</f>
        <v>2018</v>
      </c>
      <c r="X122" s="346">
        <f t="shared" ref="X122:BK122" si="37">W122+1</f>
        <v>2019</v>
      </c>
      <c r="Y122" s="346">
        <f t="shared" si="37"/>
        <v>2020</v>
      </c>
      <c r="Z122" s="346">
        <f t="shared" si="37"/>
        <v>2021</v>
      </c>
      <c r="AA122" s="346">
        <f t="shared" si="37"/>
        <v>2022</v>
      </c>
      <c r="AB122" s="346">
        <f t="shared" si="37"/>
        <v>2023</v>
      </c>
      <c r="AC122" s="346">
        <f t="shared" si="37"/>
        <v>2024</v>
      </c>
      <c r="AD122" s="346">
        <f t="shared" si="37"/>
        <v>2025</v>
      </c>
      <c r="AE122" s="346">
        <f t="shared" si="37"/>
        <v>2026</v>
      </c>
      <c r="AF122" s="346">
        <f t="shared" si="37"/>
        <v>2027</v>
      </c>
      <c r="AG122" s="346">
        <f t="shared" si="37"/>
        <v>2028</v>
      </c>
      <c r="AH122" s="346">
        <f t="shared" si="37"/>
        <v>2029</v>
      </c>
      <c r="AI122" s="346">
        <f t="shared" si="37"/>
        <v>2030</v>
      </c>
      <c r="AJ122" s="346">
        <f t="shared" si="37"/>
        <v>2031</v>
      </c>
      <c r="AK122" s="346">
        <f t="shared" si="37"/>
        <v>2032</v>
      </c>
      <c r="AL122" s="346">
        <f t="shared" si="37"/>
        <v>2033</v>
      </c>
      <c r="AM122" s="346">
        <f t="shared" si="37"/>
        <v>2034</v>
      </c>
      <c r="AN122" s="346">
        <f t="shared" si="37"/>
        <v>2035</v>
      </c>
      <c r="AO122" s="346">
        <f t="shared" si="37"/>
        <v>2036</v>
      </c>
      <c r="AP122" s="346">
        <f t="shared" si="37"/>
        <v>2037</v>
      </c>
      <c r="AQ122" s="346">
        <f t="shared" si="37"/>
        <v>2038</v>
      </c>
      <c r="AR122" s="346">
        <f t="shared" si="37"/>
        <v>2039</v>
      </c>
      <c r="AS122" s="346">
        <f t="shared" si="37"/>
        <v>2040</v>
      </c>
      <c r="AT122" s="346">
        <f t="shared" si="37"/>
        <v>2041</v>
      </c>
      <c r="AU122" s="346">
        <f t="shared" si="37"/>
        <v>2042</v>
      </c>
      <c r="AV122" s="346">
        <f t="shared" si="37"/>
        <v>2043</v>
      </c>
      <c r="AW122" s="346">
        <f t="shared" si="37"/>
        <v>2044</v>
      </c>
      <c r="AX122" s="346">
        <f t="shared" si="37"/>
        <v>2045</v>
      </c>
      <c r="AY122" s="346">
        <f t="shared" si="37"/>
        <v>2046</v>
      </c>
      <c r="AZ122" s="346">
        <f t="shared" si="37"/>
        <v>2047</v>
      </c>
      <c r="BA122" s="346">
        <f t="shared" si="37"/>
        <v>2048</v>
      </c>
      <c r="BB122" s="346">
        <f t="shared" si="37"/>
        <v>2049</v>
      </c>
      <c r="BC122" s="346">
        <f t="shared" si="37"/>
        <v>2050</v>
      </c>
      <c r="BD122" s="346">
        <f t="shared" si="37"/>
        <v>2051</v>
      </c>
      <c r="BE122" s="346">
        <f t="shared" si="37"/>
        <v>2052</v>
      </c>
      <c r="BF122" s="346">
        <f t="shared" si="37"/>
        <v>2053</v>
      </c>
      <c r="BG122" s="346">
        <f t="shared" si="37"/>
        <v>2054</v>
      </c>
      <c r="BH122" s="346">
        <f t="shared" si="37"/>
        <v>2055</v>
      </c>
      <c r="BI122" s="346">
        <f t="shared" si="37"/>
        <v>2056</v>
      </c>
      <c r="BJ122" s="346">
        <f t="shared" si="37"/>
        <v>2057</v>
      </c>
      <c r="BK122" s="346">
        <f t="shared" si="37"/>
        <v>2058</v>
      </c>
      <c r="BL122" s="6"/>
      <c r="BM122" s="6"/>
      <c r="BN122" s="6"/>
      <c r="BO122" s="6"/>
      <c r="BP122" s="6"/>
      <c r="BQ122" s="6"/>
      <c r="BR122" s="6"/>
      <c r="BS122" s="6"/>
      <c r="BT122" s="6"/>
      <c r="BU122" s="6"/>
    </row>
    <row r="123" spans="1:73" hidden="1">
      <c r="A123" s="6"/>
      <c r="B123" s="108"/>
      <c r="C123" s="1"/>
      <c r="D123" s="358"/>
      <c r="E123" s="28"/>
      <c r="F123" s="359"/>
      <c r="G123" s="360"/>
      <c r="H123" s="360"/>
      <c r="I123" s="360"/>
      <c r="J123" s="360"/>
      <c r="K123" s="360"/>
      <c r="L123" s="360"/>
      <c r="M123" s="360"/>
      <c r="N123" s="360"/>
      <c r="O123" s="1"/>
      <c r="P123" s="1"/>
      <c r="Q123" s="1"/>
      <c r="R123" s="162"/>
      <c r="S123" s="1"/>
      <c r="T123" s="103"/>
      <c r="U123" s="103"/>
      <c r="V123" s="262" t="str">
        <f>D725</f>
        <v>Data stewardship costs</v>
      </c>
      <c r="W123" s="153">
        <f t="shared" ref="W123:BK123" ca="1" si="38">N("Programme set-up") + W730</f>
        <v>-108150</v>
      </c>
      <c r="X123" s="153">
        <f t="shared" ca="1" si="38"/>
        <v>-105000</v>
      </c>
      <c r="Y123" s="153">
        <f t="shared" ca="1" si="38"/>
        <v>-105000</v>
      </c>
      <c r="Z123" s="153">
        <f t="shared" ca="1" si="38"/>
        <v>-105000</v>
      </c>
      <c r="AA123" s="153">
        <f t="shared" ca="1" si="38"/>
        <v>-105000</v>
      </c>
      <c r="AB123" s="153">
        <f t="shared" ca="1" si="38"/>
        <v>-105000</v>
      </c>
      <c r="AC123" s="153">
        <f t="shared" ca="1" si="38"/>
        <v>-105000</v>
      </c>
      <c r="AD123" s="153">
        <f t="shared" ca="1" si="38"/>
        <v>-105000</v>
      </c>
      <c r="AE123" s="153">
        <f t="shared" ca="1" si="38"/>
        <v>-105000</v>
      </c>
      <c r="AF123" s="153">
        <f t="shared" ca="1" si="38"/>
        <v>-105000</v>
      </c>
      <c r="AG123" s="153">
        <f t="shared" ca="1" si="38"/>
        <v>-105000</v>
      </c>
      <c r="AH123" s="153">
        <f t="shared" ca="1" si="38"/>
        <v>-105000</v>
      </c>
      <c r="AI123" s="153">
        <f t="shared" ca="1" si="38"/>
        <v>-105000</v>
      </c>
      <c r="AJ123" s="153">
        <f t="shared" ca="1" si="38"/>
        <v>-105000</v>
      </c>
      <c r="AK123" s="153">
        <f t="shared" ca="1" si="38"/>
        <v>-105000</v>
      </c>
      <c r="AL123" s="153">
        <f t="shared" ca="1" si="38"/>
        <v>-105000</v>
      </c>
      <c r="AM123" s="153">
        <f t="shared" ca="1" si="38"/>
        <v>-105000</v>
      </c>
      <c r="AN123" s="153">
        <f t="shared" ca="1" si="38"/>
        <v>-105000</v>
      </c>
      <c r="AO123" s="153">
        <f t="shared" ca="1" si="38"/>
        <v>-105000</v>
      </c>
      <c r="AP123" s="153">
        <f t="shared" ca="1" si="38"/>
        <v>-105000</v>
      </c>
      <c r="AQ123" s="153">
        <f t="shared" ca="1" si="38"/>
        <v>-105000</v>
      </c>
      <c r="AR123" s="153">
        <f t="shared" ca="1" si="38"/>
        <v>-105000</v>
      </c>
      <c r="AS123" s="153">
        <f t="shared" ca="1" si="38"/>
        <v>-105000</v>
      </c>
      <c r="AT123" s="153">
        <f t="shared" ca="1" si="38"/>
        <v>-105000</v>
      </c>
      <c r="AU123" s="153">
        <f t="shared" ca="1" si="38"/>
        <v>-105000</v>
      </c>
      <c r="AV123" s="153">
        <f t="shared" ca="1" si="38"/>
        <v>-105000</v>
      </c>
      <c r="AW123" s="153">
        <f t="shared" ca="1" si="38"/>
        <v>-105000</v>
      </c>
      <c r="AX123" s="153">
        <f t="shared" ca="1" si="38"/>
        <v>-105000</v>
      </c>
      <c r="AY123" s="153">
        <f t="shared" ca="1" si="38"/>
        <v>-105000</v>
      </c>
      <c r="AZ123" s="153">
        <f t="shared" ca="1" si="38"/>
        <v>-105000</v>
      </c>
      <c r="BA123" s="153">
        <f t="shared" ca="1" si="38"/>
        <v>-105000</v>
      </c>
      <c r="BB123" s="153">
        <f t="shared" ca="1" si="38"/>
        <v>-105000</v>
      </c>
      <c r="BC123" s="153">
        <f t="shared" ca="1" si="38"/>
        <v>-105000</v>
      </c>
      <c r="BD123" s="153">
        <f t="shared" ca="1" si="38"/>
        <v>-105000</v>
      </c>
      <c r="BE123" s="153">
        <f t="shared" ca="1" si="38"/>
        <v>-105000</v>
      </c>
      <c r="BF123" s="153">
        <f t="shared" ca="1" si="38"/>
        <v>-105000</v>
      </c>
      <c r="BG123" s="153">
        <f t="shared" ca="1" si="38"/>
        <v>-105000</v>
      </c>
      <c r="BH123" s="153">
        <f t="shared" ca="1" si="38"/>
        <v>-105000</v>
      </c>
      <c r="BI123" s="153">
        <f t="shared" ca="1" si="38"/>
        <v>-105000</v>
      </c>
      <c r="BJ123" s="153">
        <f t="shared" ca="1" si="38"/>
        <v>-105000</v>
      </c>
      <c r="BK123" s="361">
        <f t="shared" ca="1" si="38"/>
        <v>-105000</v>
      </c>
      <c r="BL123" s="6"/>
      <c r="BM123" s="6"/>
      <c r="BN123" s="6"/>
      <c r="BO123" s="6"/>
      <c r="BP123" s="6"/>
      <c r="BQ123" s="6"/>
      <c r="BR123" s="6"/>
      <c r="BS123" s="6"/>
      <c r="BT123" s="6"/>
      <c r="BU123" s="6"/>
    </row>
    <row r="124" spans="1:73" hidden="1">
      <c r="A124" s="6"/>
      <c r="B124" s="108"/>
      <c r="C124" s="1"/>
      <c r="D124" s="358"/>
      <c r="E124" s="28"/>
      <c r="F124" s="359" t="s">
        <v>863</v>
      </c>
      <c r="G124" s="360"/>
      <c r="H124" s="360"/>
      <c r="I124" s="360"/>
      <c r="J124" s="360"/>
      <c r="K124" s="360"/>
      <c r="L124" s="360"/>
      <c r="M124" s="360"/>
      <c r="N124" s="360"/>
      <c r="O124" s="1"/>
      <c r="P124" s="1"/>
      <c r="Q124" s="1"/>
      <c r="R124" s="162"/>
      <c r="S124" s="1"/>
      <c r="T124" s="103"/>
      <c r="U124" s="103"/>
      <c r="V124" s="262" t="str">
        <f>D411</f>
        <v>Cost to comply with global standardised PIDs</v>
      </c>
      <c r="W124" s="153">
        <f t="shared" ref="W124:BK124" ca="1" si="39">W414</f>
        <v>-4.9999999999979221E-2</v>
      </c>
      <c r="X124" s="153">
        <f t="shared" ca="1" si="39"/>
        <v>-22.179215509421205</v>
      </c>
      <c r="Y124" s="153">
        <f t="shared" ca="1" si="39"/>
        <v>-477.82078449057872</v>
      </c>
      <c r="Z124" s="153">
        <f t="shared" ca="1" si="39"/>
        <v>-499.95000000000005</v>
      </c>
      <c r="AA124" s="153">
        <f t="shared" ca="1" si="39"/>
        <v>-500</v>
      </c>
      <c r="AB124" s="153">
        <f t="shared" ca="1" si="39"/>
        <v>-500</v>
      </c>
      <c r="AC124" s="153">
        <f t="shared" ca="1" si="39"/>
        <v>-500</v>
      </c>
      <c r="AD124" s="153">
        <f t="shared" ca="1" si="39"/>
        <v>-500</v>
      </c>
      <c r="AE124" s="153">
        <f t="shared" ca="1" si="39"/>
        <v>-500</v>
      </c>
      <c r="AF124" s="153">
        <f t="shared" ca="1" si="39"/>
        <v>-500</v>
      </c>
      <c r="AG124" s="153">
        <f t="shared" ca="1" si="39"/>
        <v>-500</v>
      </c>
      <c r="AH124" s="153">
        <f t="shared" ca="1" si="39"/>
        <v>-500</v>
      </c>
      <c r="AI124" s="153">
        <f t="shared" ca="1" si="39"/>
        <v>-500</v>
      </c>
      <c r="AJ124" s="153">
        <f t="shared" ca="1" si="39"/>
        <v>-500</v>
      </c>
      <c r="AK124" s="153">
        <f t="shared" ca="1" si="39"/>
        <v>-500</v>
      </c>
      <c r="AL124" s="153">
        <f t="shared" ca="1" si="39"/>
        <v>-500</v>
      </c>
      <c r="AM124" s="153">
        <f t="shared" ca="1" si="39"/>
        <v>-500</v>
      </c>
      <c r="AN124" s="153">
        <f t="shared" ca="1" si="39"/>
        <v>-500</v>
      </c>
      <c r="AO124" s="153">
        <f t="shared" ca="1" si="39"/>
        <v>-500</v>
      </c>
      <c r="AP124" s="153">
        <f t="shared" ca="1" si="39"/>
        <v>-500</v>
      </c>
      <c r="AQ124" s="153">
        <f t="shared" ca="1" si="39"/>
        <v>-500</v>
      </c>
      <c r="AR124" s="153">
        <f t="shared" ca="1" si="39"/>
        <v>-500</v>
      </c>
      <c r="AS124" s="153">
        <f t="shared" ca="1" si="39"/>
        <v>-500</v>
      </c>
      <c r="AT124" s="153">
        <f t="shared" ca="1" si="39"/>
        <v>-500</v>
      </c>
      <c r="AU124" s="153">
        <f t="shared" ca="1" si="39"/>
        <v>-500</v>
      </c>
      <c r="AV124" s="153">
        <f t="shared" ca="1" si="39"/>
        <v>-500</v>
      </c>
      <c r="AW124" s="153">
        <f t="shared" ca="1" si="39"/>
        <v>-500</v>
      </c>
      <c r="AX124" s="153">
        <f t="shared" ca="1" si="39"/>
        <v>-500</v>
      </c>
      <c r="AY124" s="153">
        <f t="shared" ca="1" si="39"/>
        <v>-500</v>
      </c>
      <c r="AZ124" s="153">
        <f t="shared" ca="1" si="39"/>
        <v>-500</v>
      </c>
      <c r="BA124" s="153">
        <f t="shared" ca="1" si="39"/>
        <v>-500</v>
      </c>
      <c r="BB124" s="153">
        <f t="shared" ca="1" si="39"/>
        <v>-500</v>
      </c>
      <c r="BC124" s="153">
        <f t="shared" ca="1" si="39"/>
        <v>-500</v>
      </c>
      <c r="BD124" s="153">
        <f t="shared" ca="1" si="39"/>
        <v>-500</v>
      </c>
      <c r="BE124" s="153">
        <f t="shared" ca="1" si="39"/>
        <v>-500</v>
      </c>
      <c r="BF124" s="153">
        <f t="shared" ca="1" si="39"/>
        <v>-500</v>
      </c>
      <c r="BG124" s="153">
        <f t="shared" ca="1" si="39"/>
        <v>-500</v>
      </c>
      <c r="BH124" s="153">
        <f t="shared" ca="1" si="39"/>
        <v>-500</v>
      </c>
      <c r="BI124" s="153">
        <f t="shared" ca="1" si="39"/>
        <v>-500</v>
      </c>
      <c r="BJ124" s="153">
        <f t="shared" ca="1" si="39"/>
        <v>-500</v>
      </c>
      <c r="BK124" s="153">
        <f t="shared" ca="1" si="39"/>
        <v>-500</v>
      </c>
      <c r="BL124" s="6"/>
      <c r="BM124" s="6"/>
      <c r="BN124" s="6"/>
      <c r="BO124" s="6"/>
      <c r="BP124" s="6"/>
      <c r="BQ124" s="6"/>
      <c r="BR124" s="6"/>
      <c r="BS124" s="6"/>
      <c r="BT124" s="6"/>
      <c r="BU124" s="6"/>
    </row>
    <row r="125" spans="1:73" hidden="1">
      <c r="A125" s="6"/>
      <c r="B125" s="108"/>
      <c r="C125" s="1"/>
      <c r="D125" s="358"/>
      <c r="E125" s="28"/>
      <c r="F125" s="359"/>
      <c r="G125" s="360"/>
      <c r="H125" s="360"/>
      <c r="I125" s="360"/>
      <c r="J125" s="360"/>
      <c r="K125" s="360"/>
      <c r="L125" s="360"/>
      <c r="M125" s="360"/>
      <c r="N125" s="360"/>
      <c r="O125" s="1"/>
      <c r="P125" s="1"/>
      <c r="Q125" s="1"/>
      <c r="R125" s="162"/>
      <c r="S125" s="1"/>
      <c r="T125" s="103"/>
      <c r="V125" s="290" t="str">
        <f>D734</f>
        <v>Software maintenance costs</v>
      </c>
      <c r="W125" s="362">
        <f t="shared" ref="W125:BK125" ca="1" si="40">W$737</f>
        <v>-0.49999999999979222</v>
      </c>
      <c r="X125" s="362">
        <f t="shared" ca="1" si="40"/>
        <v>-221.79215509421206</v>
      </c>
      <c r="Y125" s="362">
        <f t="shared" ca="1" si="40"/>
        <v>-4778.2078449057872</v>
      </c>
      <c r="Z125" s="362">
        <f t="shared" ca="1" si="40"/>
        <v>-4999.5000000000009</v>
      </c>
      <c r="AA125" s="362">
        <f t="shared" ca="1" si="40"/>
        <v>-5000</v>
      </c>
      <c r="AB125" s="362">
        <f t="shared" ca="1" si="40"/>
        <v>-5000</v>
      </c>
      <c r="AC125" s="362">
        <f t="shared" ca="1" si="40"/>
        <v>-5000</v>
      </c>
      <c r="AD125" s="362">
        <f t="shared" ca="1" si="40"/>
        <v>-5000</v>
      </c>
      <c r="AE125" s="362">
        <f t="shared" ca="1" si="40"/>
        <v>-5000</v>
      </c>
      <c r="AF125" s="362">
        <f t="shared" ca="1" si="40"/>
        <v>-5000</v>
      </c>
      <c r="AG125" s="362">
        <f t="shared" ca="1" si="40"/>
        <v>-5000</v>
      </c>
      <c r="AH125" s="362">
        <f t="shared" ca="1" si="40"/>
        <v>-5000</v>
      </c>
      <c r="AI125" s="362">
        <f t="shared" ca="1" si="40"/>
        <v>-5000</v>
      </c>
      <c r="AJ125" s="362">
        <f t="shared" ca="1" si="40"/>
        <v>-5000</v>
      </c>
      <c r="AK125" s="362">
        <f t="shared" ca="1" si="40"/>
        <v>-5000</v>
      </c>
      <c r="AL125" s="362">
        <f t="shared" ca="1" si="40"/>
        <v>-5000</v>
      </c>
      <c r="AM125" s="362">
        <f t="shared" ca="1" si="40"/>
        <v>-5000</v>
      </c>
      <c r="AN125" s="362">
        <f t="shared" ca="1" si="40"/>
        <v>-5000</v>
      </c>
      <c r="AO125" s="362">
        <f t="shared" ca="1" si="40"/>
        <v>-5000</v>
      </c>
      <c r="AP125" s="362">
        <f t="shared" ca="1" si="40"/>
        <v>-5000</v>
      </c>
      <c r="AQ125" s="362">
        <f t="shared" ca="1" si="40"/>
        <v>-5000</v>
      </c>
      <c r="AR125" s="362">
        <f t="shared" ca="1" si="40"/>
        <v>-5000</v>
      </c>
      <c r="AS125" s="362">
        <f t="shared" ca="1" si="40"/>
        <v>-5000</v>
      </c>
      <c r="AT125" s="362">
        <f t="shared" ca="1" si="40"/>
        <v>-5000</v>
      </c>
      <c r="AU125" s="362">
        <f t="shared" ca="1" si="40"/>
        <v>-5000</v>
      </c>
      <c r="AV125" s="362">
        <f t="shared" ca="1" si="40"/>
        <v>-5000</v>
      </c>
      <c r="AW125" s="362">
        <f t="shared" ca="1" si="40"/>
        <v>-5000</v>
      </c>
      <c r="AX125" s="362">
        <f t="shared" ca="1" si="40"/>
        <v>-5000</v>
      </c>
      <c r="AY125" s="362">
        <f t="shared" ca="1" si="40"/>
        <v>-5000</v>
      </c>
      <c r="AZ125" s="362">
        <f t="shared" ca="1" si="40"/>
        <v>-5000</v>
      </c>
      <c r="BA125" s="362">
        <f t="shared" ca="1" si="40"/>
        <v>-5000</v>
      </c>
      <c r="BB125" s="362">
        <f t="shared" ca="1" si="40"/>
        <v>-5000</v>
      </c>
      <c r="BC125" s="362">
        <f t="shared" ca="1" si="40"/>
        <v>-5000</v>
      </c>
      <c r="BD125" s="362">
        <f t="shared" ca="1" si="40"/>
        <v>-5000</v>
      </c>
      <c r="BE125" s="362">
        <f t="shared" ca="1" si="40"/>
        <v>-5000</v>
      </c>
      <c r="BF125" s="362">
        <f t="shared" ca="1" si="40"/>
        <v>-5000</v>
      </c>
      <c r="BG125" s="362">
        <f t="shared" ca="1" si="40"/>
        <v>-5000</v>
      </c>
      <c r="BH125" s="362">
        <f t="shared" ca="1" si="40"/>
        <v>-5000</v>
      </c>
      <c r="BI125" s="362">
        <f t="shared" ca="1" si="40"/>
        <v>-5000</v>
      </c>
      <c r="BJ125" s="362">
        <f t="shared" ca="1" si="40"/>
        <v>-5000</v>
      </c>
      <c r="BK125" s="362">
        <f t="shared" ca="1" si="40"/>
        <v>-5000</v>
      </c>
      <c r="BL125" s="6"/>
      <c r="BM125" s="6"/>
      <c r="BN125" s="6"/>
      <c r="BO125" s="6"/>
      <c r="BP125" s="6"/>
      <c r="BQ125" s="6"/>
      <c r="BR125" s="6"/>
      <c r="BS125" s="6"/>
      <c r="BT125" s="6"/>
      <c r="BU125" s="6"/>
    </row>
    <row r="126" spans="1:73" hidden="1">
      <c r="A126" s="6"/>
      <c r="B126" s="108"/>
      <c r="C126" s="1"/>
      <c r="D126" s="358"/>
      <c r="E126" s="28"/>
      <c r="F126" s="359"/>
      <c r="G126" s="360"/>
      <c r="H126" s="360"/>
      <c r="I126" s="360"/>
      <c r="J126" s="360"/>
      <c r="K126" s="360"/>
      <c r="L126" s="360"/>
      <c r="M126" s="360"/>
      <c r="N126" s="360"/>
      <c r="O126" s="1"/>
      <c r="P126" s="1"/>
      <c r="Q126" s="1"/>
      <c r="R126" s="162"/>
      <c r="S126" s="1"/>
      <c r="T126" s="103"/>
      <c r="U126" s="9" t="s">
        <v>29</v>
      </c>
      <c r="V126" s="103"/>
      <c r="W126" s="346"/>
      <c r="X126" s="346"/>
      <c r="Y126" s="346"/>
      <c r="Z126" s="346"/>
      <c r="AA126" s="346"/>
      <c r="AB126" s="346"/>
      <c r="AC126" s="346"/>
      <c r="AD126" s="346"/>
      <c r="AE126" s="346"/>
      <c r="AF126" s="346"/>
      <c r="AG126" s="346"/>
      <c r="AH126" s="346"/>
      <c r="AI126" s="346"/>
      <c r="AJ126" s="346"/>
      <c r="AK126" s="346"/>
      <c r="AL126" s="346"/>
      <c r="AM126" s="346"/>
      <c r="AN126" s="346"/>
      <c r="AO126" s="346"/>
      <c r="AP126" s="346"/>
      <c r="AQ126" s="346"/>
      <c r="AR126" s="346"/>
      <c r="AS126" s="346"/>
      <c r="AT126" s="346"/>
      <c r="AU126" s="346"/>
      <c r="AV126" s="346"/>
      <c r="AW126" s="346"/>
      <c r="AX126" s="346"/>
      <c r="AY126" s="346"/>
      <c r="AZ126" s="346"/>
      <c r="BA126" s="346"/>
      <c r="BB126" s="346"/>
      <c r="BC126" s="346"/>
      <c r="BD126" s="346"/>
      <c r="BE126" s="346"/>
      <c r="BF126" s="346"/>
      <c r="BG126" s="346"/>
      <c r="BH126" s="346"/>
      <c r="BI126" s="346"/>
      <c r="BJ126" s="346"/>
      <c r="BK126" s="346"/>
      <c r="BL126" s="6"/>
      <c r="BM126" s="6"/>
      <c r="BN126" s="6"/>
      <c r="BO126" s="6"/>
      <c r="BP126" s="6"/>
      <c r="BQ126" s="6"/>
      <c r="BR126" s="6"/>
      <c r="BS126" s="6"/>
      <c r="BT126" s="6"/>
      <c r="BU126" s="6"/>
    </row>
    <row r="127" spans="1:73">
      <c r="A127" s="6"/>
      <c r="B127" s="108"/>
      <c r="C127" s="1"/>
      <c r="D127" s="358"/>
      <c r="E127" s="28"/>
      <c r="F127" s="359"/>
      <c r="G127" s="360"/>
      <c r="H127" s="360"/>
      <c r="I127" s="360"/>
      <c r="J127" s="360"/>
      <c r="K127" s="360"/>
      <c r="L127" s="360"/>
      <c r="M127" s="360"/>
      <c r="N127" s="360"/>
      <c r="O127" s="1"/>
      <c r="P127" s="1"/>
      <c r="Q127" s="1"/>
      <c r="R127" s="162"/>
      <c r="S127" s="1"/>
      <c r="T127" s="103"/>
      <c r="U127" s="103"/>
      <c r="V127" s="103"/>
      <c r="W127" s="346"/>
      <c r="X127" s="346"/>
      <c r="Y127" s="346"/>
      <c r="Z127" s="346"/>
      <c r="AA127" s="346"/>
      <c r="AB127" s="346"/>
      <c r="AC127" s="346"/>
      <c r="AD127" s="346"/>
      <c r="AE127" s="346"/>
      <c r="AF127" s="346"/>
      <c r="AG127" s="346"/>
      <c r="AH127" s="346"/>
      <c r="AI127" s="346"/>
      <c r="AJ127" s="346"/>
      <c r="AK127" s="346"/>
      <c r="AL127" s="346"/>
      <c r="AM127" s="346"/>
      <c r="AN127" s="346"/>
      <c r="AO127" s="346"/>
      <c r="AP127" s="346"/>
      <c r="AQ127" s="346"/>
      <c r="AR127" s="346"/>
      <c r="AS127" s="346"/>
      <c r="AT127" s="346"/>
      <c r="AU127" s="346"/>
      <c r="AV127" s="346"/>
      <c r="AW127" s="346"/>
      <c r="AX127" s="346"/>
      <c r="AY127" s="346"/>
      <c r="AZ127" s="346"/>
      <c r="BA127" s="346"/>
      <c r="BB127" s="346"/>
      <c r="BC127" s="346"/>
      <c r="BD127" s="346"/>
      <c r="BE127" s="346"/>
      <c r="BF127" s="346"/>
      <c r="BG127" s="346"/>
      <c r="BH127" s="346"/>
      <c r="BI127" s="346"/>
      <c r="BJ127" s="346"/>
      <c r="BK127" s="346"/>
      <c r="BL127" s="6"/>
      <c r="BM127" s="6"/>
      <c r="BN127" s="6"/>
      <c r="BO127" s="6"/>
      <c r="BP127" s="6"/>
      <c r="BQ127" s="6"/>
      <c r="BR127" s="6"/>
      <c r="BS127" s="6"/>
      <c r="BT127" s="6"/>
      <c r="BU127" s="6"/>
    </row>
    <row r="128" spans="1:73">
      <c r="A128" s="6"/>
      <c r="B128" s="108"/>
      <c r="C128" s="1"/>
      <c r="D128" s="169" t="str">
        <f ca="1">"Detailed calculations per research activity for "&amp;'2.2 Input_General_Information'!H20</f>
        <v>Detailed calculations per research activity for 2018</v>
      </c>
      <c r="E128" s="33"/>
      <c r="F128" s="170"/>
      <c r="G128" s="68"/>
      <c r="H128" s="68"/>
      <c r="I128" s="68"/>
      <c r="J128" s="68"/>
      <c r="K128" s="68"/>
      <c r="L128" s="68"/>
      <c r="M128" s="68"/>
      <c r="N128" s="68"/>
      <c r="O128" s="1"/>
      <c r="P128" s="1"/>
      <c r="Q128" s="1"/>
      <c r="R128" s="162"/>
      <c r="S128" s="1"/>
      <c r="T128" s="103"/>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363"/>
      <c r="BM128" s="363"/>
      <c r="BN128" s="363"/>
      <c r="BO128" s="363"/>
      <c r="BP128" s="363"/>
      <c r="BQ128" s="363"/>
      <c r="BR128" s="6"/>
      <c r="BS128" s="6"/>
      <c r="BT128" s="6"/>
      <c r="BU128" s="6"/>
    </row>
    <row r="129" spans="1:73">
      <c r="A129" s="6"/>
      <c r="B129" s="108"/>
      <c r="C129" s="1"/>
      <c r="D129" s="1"/>
      <c r="E129" s="1"/>
      <c r="F129" s="12"/>
      <c r="G129" s="3"/>
      <c r="H129" s="3"/>
      <c r="I129" s="3"/>
      <c r="J129" s="3"/>
      <c r="K129" s="3"/>
      <c r="L129" s="3"/>
      <c r="M129" s="3"/>
      <c r="N129" s="3"/>
      <c r="O129" s="1"/>
      <c r="P129" s="1"/>
      <c r="Q129" s="1"/>
      <c r="R129" s="162"/>
      <c r="S129" s="1"/>
      <c r="T129" s="103"/>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363"/>
      <c r="BM129" s="363"/>
      <c r="BN129" s="363"/>
      <c r="BO129" s="363"/>
      <c r="BP129" s="363"/>
      <c r="BQ129" s="363"/>
      <c r="BR129" s="99"/>
      <c r="BS129" s="99"/>
      <c r="BT129" s="99"/>
      <c r="BU129" s="99"/>
    </row>
    <row r="130" spans="1:73">
      <c r="A130" s="6"/>
      <c r="B130" s="108"/>
      <c r="C130" s="1"/>
      <c r="D130" s="44" t="str">
        <f>"Inputs on: "&amp;'2.3 Input_Main_Questionnaire'!F27</f>
        <v>Inputs on: (Research) project development / project initiation</v>
      </c>
      <c r="E130" s="45"/>
      <c r="F130" s="45"/>
      <c r="G130" s="142"/>
      <c r="H130" s="142"/>
      <c r="I130" s="142"/>
      <c r="J130" s="142"/>
      <c r="K130" s="142"/>
      <c r="L130" s="142"/>
      <c r="M130" s="142"/>
      <c r="N130" s="142"/>
      <c r="O130" s="1"/>
      <c r="P130" s="1"/>
      <c r="Q130" s="1"/>
      <c r="R130" s="162"/>
      <c r="S130" s="1"/>
      <c r="T130" s="103"/>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99"/>
      <c r="BM130" s="99"/>
      <c r="BN130" s="99"/>
      <c r="BO130" s="99"/>
      <c r="BP130" s="99"/>
      <c r="BQ130" s="99"/>
      <c r="BR130" s="99"/>
      <c r="BS130" s="99"/>
      <c r="BT130" s="99"/>
      <c r="BU130" s="99"/>
    </row>
    <row r="131" spans="1:73" ht="5.25" customHeight="1">
      <c r="A131" s="6"/>
      <c r="B131" s="108"/>
      <c r="C131" s="1"/>
      <c r="D131" s="1"/>
      <c r="E131" s="1"/>
      <c r="F131" s="12"/>
      <c r="G131" s="3"/>
      <c r="H131" s="3"/>
      <c r="I131" s="3"/>
      <c r="J131" s="3"/>
      <c r="K131" s="3"/>
      <c r="L131" s="3"/>
      <c r="M131" s="3"/>
      <c r="N131" s="3"/>
      <c r="O131" s="1"/>
      <c r="P131" s="1"/>
      <c r="Q131" s="1"/>
      <c r="R131" s="162"/>
      <c r="S131" s="1"/>
      <c r="T131" s="103"/>
      <c r="U131" s="103"/>
      <c r="V131" s="103"/>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9"/>
      <c r="BM131" s="99"/>
      <c r="BN131" s="99"/>
      <c r="BO131" s="99"/>
      <c r="BP131" s="99"/>
      <c r="BQ131" s="99"/>
      <c r="BR131" s="99"/>
      <c r="BS131" s="99"/>
      <c r="BT131" s="99"/>
      <c r="BU131" s="99"/>
    </row>
    <row r="132" spans="1:73">
      <c r="A132" s="6"/>
      <c r="B132" s="108"/>
      <c r="C132" s="1"/>
      <c r="D132" s="44" t="str">
        <f>"Inputs on: "&amp;'2.3 Input_Main_Questionnaire'!F28</f>
        <v>Inputs on: Planning of a project</v>
      </c>
      <c r="E132" s="45"/>
      <c r="F132" s="45"/>
      <c r="G132" s="142"/>
      <c r="H132" s="142"/>
      <c r="I132" s="142"/>
      <c r="J132" s="142"/>
      <c r="K132" s="142"/>
      <c r="L132" s="142"/>
      <c r="M132" s="142"/>
      <c r="N132" s="142"/>
      <c r="O132" s="1"/>
      <c r="P132" s="1"/>
      <c r="Q132" s="1"/>
      <c r="R132" s="162"/>
      <c r="S132" s="1"/>
      <c r="T132" s="103"/>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99"/>
      <c r="BM132" s="99"/>
      <c r="BN132" s="99"/>
      <c r="BO132" s="99"/>
      <c r="BP132" s="99"/>
      <c r="BQ132" s="99"/>
      <c r="BR132" s="99"/>
      <c r="BS132" s="99"/>
      <c r="BT132" s="99"/>
      <c r="BU132" s="99"/>
    </row>
    <row r="133" spans="1:73">
      <c r="A133" s="6"/>
      <c r="B133" s="108"/>
      <c r="C133" s="1"/>
      <c r="D133" s="1"/>
      <c r="E133" s="1"/>
      <c r="F133" s="12"/>
      <c r="G133" s="3"/>
      <c r="H133" s="3"/>
      <c r="I133" s="3"/>
      <c r="J133" s="3"/>
      <c r="K133" s="3"/>
      <c r="L133" s="3"/>
      <c r="M133" s="3"/>
      <c r="N133" s="3"/>
      <c r="O133" s="1"/>
      <c r="P133" s="1"/>
      <c r="Q133" s="1"/>
      <c r="R133" s="162"/>
      <c r="S133" s="1"/>
      <c r="T133" s="103"/>
      <c r="V133" s="103"/>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9"/>
      <c r="BM133" s="99"/>
      <c r="BN133" s="99"/>
      <c r="BO133" s="99"/>
      <c r="BP133" s="99"/>
      <c r="BQ133" s="99"/>
      <c r="BR133" s="99"/>
      <c r="BS133" s="99"/>
      <c r="BT133" s="99"/>
      <c r="BU133" s="99"/>
    </row>
    <row r="134" spans="1:73">
      <c r="A134" s="6"/>
      <c r="B134" s="97" t="str">
        <f>'2.3 Input_Main_Questionnaire'!E49</f>
        <v>2)</v>
      </c>
      <c r="C134" s="1"/>
      <c r="D134" s="41"/>
      <c r="E134" s="46"/>
      <c r="F134" s="46"/>
      <c r="G134" s="72" t="str">
        <f>'2.3 Input_Main_Questionnaire'!H$24</f>
        <v>PhD researcher</v>
      </c>
      <c r="H134" s="72" t="str">
        <f>'2.3 Input_Main_Questionnaire'!I$24</f>
        <v>Lecturer assistant/Research assistant (Academic)</v>
      </c>
      <c r="I134" s="72" t="str">
        <f>'2.3 Input_Main_Questionnaire'!J$24</f>
        <v>Lecturer/Researcher (Academic)</v>
      </c>
      <c r="J134" s="72" t="str">
        <f>'2.3 Input_Main_Questionnaire'!K$24</f>
        <v>Other</v>
      </c>
      <c r="K134" s="72" t="str">
        <f>'2.3 Input_Main_Questionnaire'!L$24</f>
        <v>Profile 5</v>
      </c>
      <c r="L134" s="72" t="str">
        <f>'2.3 Input_Main_Questionnaire'!M$24</f>
        <v>Profile 6</v>
      </c>
      <c r="M134" s="72" t="str">
        <f>'2.3 Input_Main_Questionnaire'!N$24</f>
        <v>Profile 7</v>
      </c>
      <c r="N134" s="72" t="str">
        <f>'2.3 Input_Main_Questionnaire'!O$24</f>
        <v>Profile 8</v>
      </c>
      <c r="O134" s="1"/>
      <c r="P134" s="1"/>
      <c r="Q134" s="1"/>
      <c r="R134" s="162"/>
      <c r="S134" s="1"/>
      <c r="T134" s="103"/>
      <c r="U134" s="103"/>
      <c r="V134" s="103"/>
      <c r="W134" s="81"/>
      <c r="X134" s="81"/>
      <c r="Y134" s="81"/>
      <c r="Z134" s="81"/>
      <c r="AA134" s="81"/>
      <c r="AB134" s="81"/>
      <c r="AC134" s="81"/>
      <c r="AD134" s="81"/>
      <c r="AE134" s="81"/>
      <c r="AF134" s="81"/>
      <c r="AG134" s="81"/>
      <c r="AH134" s="81"/>
      <c r="AI134" s="81"/>
      <c r="AJ134" s="81"/>
      <c r="AK134" s="81"/>
      <c r="AL134" s="81"/>
      <c r="AM134" s="81"/>
      <c r="AN134" s="81"/>
      <c r="AO134" s="81"/>
      <c r="AP134" s="81"/>
      <c r="AQ134" s="81"/>
      <c r="AR134" s="81"/>
      <c r="AS134" s="81"/>
      <c r="AT134" s="81"/>
      <c r="AU134" s="81"/>
      <c r="AV134" s="81"/>
      <c r="AW134" s="81"/>
      <c r="AX134" s="81"/>
      <c r="AY134" s="81"/>
      <c r="AZ134" s="81"/>
      <c r="BA134" s="81"/>
      <c r="BB134" s="81"/>
      <c r="BC134" s="81"/>
      <c r="BD134" s="81"/>
      <c r="BE134" s="81"/>
      <c r="BF134" s="81"/>
      <c r="BG134" s="81"/>
      <c r="BH134" s="81"/>
      <c r="BI134" s="81"/>
      <c r="BJ134" s="81"/>
      <c r="BK134" s="81"/>
      <c r="BL134" s="6"/>
      <c r="BM134" s="6"/>
      <c r="BN134" s="6"/>
      <c r="BO134" s="6"/>
      <c r="BP134" s="6"/>
      <c r="BQ134" s="6"/>
      <c r="BR134" s="6"/>
      <c r="BS134" s="6"/>
      <c r="BT134" s="6"/>
      <c r="BU134" s="6"/>
    </row>
    <row r="135" spans="1:73" ht="4.5" customHeight="1" thickTop="1">
      <c r="A135" s="6"/>
      <c r="B135" s="97"/>
      <c r="C135" s="1"/>
      <c r="D135" s="30"/>
      <c r="E135" s="30"/>
      <c r="F135" s="23"/>
      <c r="G135" s="23"/>
      <c r="H135" s="204"/>
      <c r="I135" s="204"/>
      <c r="J135" s="204"/>
      <c r="K135" s="204"/>
      <c r="L135" s="204"/>
      <c r="M135" s="204"/>
      <c r="N135" s="204"/>
      <c r="O135" s="204"/>
      <c r="P135" s="1"/>
      <c r="Q135" s="1"/>
      <c r="R135" s="162"/>
      <c r="S135" s="1"/>
      <c r="T135" s="103"/>
      <c r="V135" s="103"/>
      <c r="W135" s="98"/>
      <c r="X135" s="98"/>
      <c r="Y135" s="98"/>
      <c r="Z135" s="98"/>
      <c r="AA135" s="98"/>
      <c r="AB135" s="98"/>
      <c r="AC135" s="98"/>
      <c r="AD135" s="98"/>
      <c r="AE135" s="98"/>
      <c r="AF135" s="98"/>
      <c r="AG135" s="98"/>
      <c r="AH135" s="98"/>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9"/>
      <c r="BM135" s="99"/>
      <c r="BN135" s="99"/>
      <c r="BO135" s="99"/>
      <c r="BP135" s="99"/>
      <c r="BQ135" s="99"/>
      <c r="BR135" s="99"/>
      <c r="BS135" s="99"/>
      <c r="BT135" s="99"/>
      <c r="BU135" s="99"/>
    </row>
    <row r="136" spans="1:73">
      <c r="A136" s="6"/>
      <c r="B136" s="97" t="s">
        <v>648</v>
      </c>
      <c r="C136" s="1"/>
      <c r="D136" s="147" t="s">
        <v>864</v>
      </c>
      <c r="E136" s="147"/>
      <c r="F136" s="200"/>
      <c r="G136" s="364">
        <f>(1-'2.3 Input_Main_Questionnaire'!$H$51)*'2.3 Input_Main_Questionnaire'!$H$52*'2.3 Input_Main_Questionnaire'!H28</f>
        <v>1.0169999999999998E-2</v>
      </c>
      <c r="H136" s="365">
        <f>(1-'2.3 Input_Main_Questionnaire'!$H$51)*'2.3 Input_Main_Questionnaire'!$H$52*'2.3 Input_Main_Questionnaire'!I28</f>
        <v>1.1272499999999998E-2</v>
      </c>
      <c r="I136" s="365">
        <f>(1-'2.3 Input_Main_Questionnaire'!$H$51)*'2.3 Input_Main_Questionnaire'!$H$52*'2.3 Input_Main_Questionnaire'!J28</f>
        <v>1.8157499999999997E-2</v>
      </c>
      <c r="J136" s="365">
        <f>(1-'2.3 Input_Main_Questionnaire'!$H$51)*'2.3 Input_Main_Questionnaire'!$H$52*'2.3 Input_Main_Questionnaire'!K28</f>
        <v>1.0754999999999999E-2</v>
      </c>
      <c r="K136" s="365">
        <f>(1-'2.3 Input_Main_Questionnaire'!$H$51)*'2.3 Input_Main_Questionnaire'!$H$52*'2.3 Input_Main_Questionnaire'!L28</f>
        <v>1.2588749999999999E-2</v>
      </c>
      <c r="L136" s="365">
        <f>(1-'2.3 Input_Main_Questionnaire'!$H$51)*'2.3 Input_Main_Questionnaire'!$H$52*'2.3 Input_Main_Questionnaire'!M28</f>
        <v>1.2588749999999999E-2</v>
      </c>
      <c r="M136" s="365">
        <f>(1-'2.3 Input_Main_Questionnaire'!$H$51)*'2.3 Input_Main_Questionnaire'!$H$52*'2.3 Input_Main_Questionnaire'!N28</f>
        <v>1.2588749999999999E-2</v>
      </c>
      <c r="N136" s="365">
        <f>(1-'2.3 Input_Main_Questionnaire'!$H$51)*'2.3 Input_Main_Questionnaire'!$H$52*'2.3 Input_Main_Questionnaire'!O28</f>
        <v>1.2588749999999999E-2</v>
      </c>
      <c r="O136" s="1"/>
      <c r="P136" s="1"/>
      <c r="Q136" s="1"/>
      <c r="R136" s="162"/>
      <c r="S136" s="1"/>
      <c r="T136" s="103"/>
      <c r="V136" s="103"/>
      <c r="W136" s="98"/>
      <c r="X136" s="98"/>
      <c r="Y136" s="98"/>
      <c r="Z136" s="98"/>
      <c r="AA136" s="98"/>
      <c r="AB136" s="98"/>
      <c r="AC136" s="98"/>
      <c r="AD136" s="98"/>
      <c r="AE136" s="98"/>
      <c r="AF136" s="98"/>
      <c r="AG136" s="98"/>
      <c r="AH136" s="98"/>
      <c r="AI136" s="98"/>
      <c r="AJ136" s="98"/>
      <c r="AK136" s="98"/>
      <c r="AL136" s="98"/>
      <c r="AM136" s="98"/>
      <c r="AN136" s="98"/>
      <c r="AO136" s="98"/>
      <c r="AP136" s="98"/>
      <c r="AQ136" s="98"/>
      <c r="AR136" s="98"/>
      <c r="AS136" s="98"/>
      <c r="AT136" s="98"/>
      <c r="AU136" s="98"/>
      <c r="AV136" s="98"/>
      <c r="AW136" s="98"/>
      <c r="AX136" s="98"/>
      <c r="AY136" s="98"/>
      <c r="AZ136" s="98"/>
      <c r="BA136" s="98"/>
      <c r="BB136" s="98"/>
      <c r="BC136" s="98"/>
      <c r="BD136" s="98"/>
      <c r="BE136" s="98"/>
      <c r="BF136" s="98"/>
      <c r="BG136" s="98"/>
      <c r="BH136" s="98"/>
      <c r="BI136" s="98"/>
      <c r="BJ136" s="98"/>
      <c r="BK136" s="98"/>
      <c r="BL136" s="99"/>
      <c r="BM136" s="99"/>
      <c r="BN136" s="99"/>
      <c r="BO136" s="99"/>
      <c r="BP136" s="99"/>
      <c r="BQ136" s="99"/>
      <c r="BR136" s="99"/>
      <c r="BS136" s="99"/>
      <c r="BT136" s="99"/>
      <c r="BU136" s="99"/>
    </row>
    <row r="137" spans="1:73">
      <c r="A137" s="6"/>
      <c r="B137" s="97"/>
      <c r="C137" s="1"/>
      <c r="D137" s="30"/>
      <c r="E137" s="23"/>
      <c r="F137" s="23"/>
      <c r="G137" s="204"/>
      <c r="H137" s="204"/>
      <c r="I137" s="204"/>
      <c r="J137" s="204"/>
      <c r="K137" s="204"/>
      <c r="L137" s="204"/>
      <c r="M137" s="204"/>
      <c r="N137" s="204"/>
      <c r="O137" s="10"/>
      <c r="P137" s="10"/>
      <c r="Q137" s="10"/>
      <c r="R137" s="193"/>
      <c r="S137" s="10"/>
      <c r="T137" s="81"/>
      <c r="U137" s="9" t="s">
        <v>5</v>
      </c>
      <c r="V137" s="81"/>
      <c r="W137" s="81"/>
      <c r="X137" s="366"/>
      <c r="Y137" s="366"/>
      <c r="Z137" s="366"/>
      <c r="AA137" s="366"/>
      <c r="AB137" s="366"/>
      <c r="AC137" s="366"/>
      <c r="AD137" s="366"/>
      <c r="AE137" s="366"/>
      <c r="AF137" s="366"/>
      <c r="AG137" s="366"/>
      <c r="AH137" s="366"/>
      <c r="AI137" s="366"/>
      <c r="AJ137" s="366"/>
      <c r="AK137" s="366"/>
      <c r="AL137" s="366"/>
      <c r="AM137" s="366"/>
      <c r="AN137" s="366"/>
      <c r="AO137" s="366"/>
      <c r="AP137" s="366"/>
      <c r="AQ137" s="366"/>
      <c r="AR137" s="366"/>
      <c r="AS137" s="366"/>
      <c r="AT137" s="366"/>
      <c r="AU137" s="366"/>
      <c r="AV137" s="366"/>
      <c r="AW137" s="366"/>
      <c r="AX137" s="366"/>
      <c r="AY137" s="366"/>
      <c r="AZ137" s="366"/>
      <c r="BA137" s="366"/>
      <c r="BB137" s="366"/>
      <c r="BC137" s="366"/>
      <c r="BD137" s="366"/>
      <c r="BE137" s="366"/>
      <c r="BF137" s="366"/>
      <c r="BG137" s="366"/>
      <c r="BH137" s="366"/>
      <c r="BI137" s="366"/>
      <c r="BJ137" s="366"/>
      <c r="BK137" s="366"/>
      <c r="BL137" s="367"/>
      <c r="BM137" s="367"/>
      <c r="BN137" s="367"/>
      <c r="BO137" s="367"/>
      <c r="BP137" s="367"/>
      <c r="BQ137" s="367"/>
      <c r="BR137" s="367"/>
      <c r="BS137" s="367"/>
      <c r="BT137" s="367"/>
      <c r="BU137" s="367"/>
    </row>
    <row r="138" spans="1:73">
      <c r="A138" s="6"/>
      <c r="B138" s="97"/>
      <c r="C138" s="1"/>
      <c r="D138" s="30"/>
      <c r="E138" s="23"/>
      <c r="F138" s="23"/>
      <c r="G138" s="204"/>
      <c r="H138" s="204"/>
      <c r="I138" s="204"/>
      <c r="J138" s="204"/>
      <c r="K138" s="204"/>
      <c r="L138" s="204"/>
      <c r="M138" s="204"/>
      <c r="N138" s="204"/>
      <c r="O138" s="10"/>
      <c r="P138" s="10"/>
      <c r="Q138" s="10"/>
      <c r="R138" s="193"/>
      <c r="S138" s="10"/>
      <c r="V138" s="101" t="s">
        <v>208</v>
      </c>
      <c r="W138" s="366">
        <f>Growth!B20</f>
        <v>2018</v>
      </c>
      <c r="X138" s="366">
        <f t="shared" ref="X138:BK138" si="41">W138+1</f>
        <v>2019</v>
      </c>
      <c r="Y138" s="366">
        <f t="shared" si="41"/>
        <v>2020</v>
      </c>
      <c r="Z138" s="366">
        <f t="shared" si="41"/>
        <v>2021</v>
      </c>
      <c r="AA138" s="366">
        <f t="shared" si="41"/>
        <v>2022</v>
      </c>
      <c r="AB138" s="366">
        <f t="shared" si="41"/>
        <v>2023</v>
      </c>
      <c r="AC138" s="366">
        <f t="shared" si="41"/>
        <v>2024</v>
      </c>
      <c r="AD138" s="366">
        <f t="shared" si="41"/>
        <v>2025</v>
      </c>
      <c r="AE138" s="366">
        <f t="shared" si="41"/>
        <v>2026</v>
      </c>
      <c r="AF138" s="366">
        <f t="shared" si="41"/>
        <v>2027</v>
      </c>
      <c r="AG138" s="366">
        <f t="shared" si="41"/>
        <v>2028</v>
      </c>
      <c r="AH138" s="366">
        <f t="shared" si="41"/>
        <v>2029</v>
      </c>
      <c r="AI138" s="366">
        <f t="shared" si="41"/>
        <v>2030</v>
      </c>
      <c r="AJ138" s="366">
        <f t="shared" si="41"/>
        <v>2031</v>
      </c>
      <c r="AK138" s="366">
        <f t="shared" si="41"/>
        <v>2032</v>
      </c>
      <c r="AL138" s="366">
        <f t="shared" si="41"/>
        <v>2033</v>
      </c>
      <c r="AM138" s="366">
        <f t="shared" si="41"/>
        <v>2034</v>
      </c>
      <c r="AN138" s="366">
        <f t="shared" si="41"/>
        <v>2035</v>
      </c>
      <c r="AO138" s="366">
        <f t="shared" si="41"/>
        <v>2036</v>
      </c>
      <c r="AP138" s="366">
        <f t="shared" si="41"/>
        <v>2037</v>
      </c>
      <c r="AQ138" s="366">
        <f t="shared" si="41"/>
        <v>2038</v>
      </c>
      <c r="AR138" s="366">
        <f t="shared" si="41"/>
        <v>2039</v>
      </c>
      <c r="AS138" s="366">
        <f t="shared" si="41"/>
        <v>2040</v>
      </c>
      <c r="AT138" s="366">
        <f t="shared" si="41"/>
        <v>2041</v>
      </c>
      <c r="AU138" s="366">
        <f t="shared" si="41"/>
        <v>2042</v>
      </c>
      <c r="AV138" s="366">
        <f t="shared" si="41"/>
        <v>2043</v>
      </c>
      <c r="AW138" s="366">
        <f t="shared" si="41"/>
        <v>2044</v>
      </c>
      <c r="AX138" s="366">
        <f t="shared" si="41"/>
        <v>2045</v>
      </c>
      <c r="AY138" s="366">
        <f t="shared" si="41"/>
        <v>2046</v>
      </c>
      <c r="AZ138" s="366">
        <f t="shared" si="41"/>
        <v>2047</v>
      </c>
      <c r="BA138" s="366">
        <f t="shared" si="41"/>
        <v>2048</v>
      </c>
      <c r="BB138" s="366">
        <f t="shared" si="41"/>
        <v>2049</v>
      </c>
      <c r="BC138" s="366">
        <f t="shared" si="41"/>
        <v>2050</v>
      </c>
      <c r="BD138" s="366">
        <f t="shared" si="41"/>
        <v>2051</v>
      </c>
      <c r="BE138" s="366">
        <f t="shared" si="41"/>
        <v>2052</v>
      </c>
      <c r="BF138" s="366">
        <f t="shared" si="41"/>
        <v>2053</v>
      </c>
      <c r="BG138" s="366">
        <f t="shared" si="41"/>
        <v>2054</v>
      </c>
      <c r="BH138" s="366">
        <f t="shared" si="41"/>
        <v>2055</v>
      </c>
      <c r="BI138" s="366">
        <f t="shared" si="41"/>
        <v>2056</v>
      </c>
      <c r="BJ138" s="366">
        <f t="shared" si="41"/>
        <v>2057</v>
      </c>
      <c r="BK138" s="366">
        <f t="shared" si="41"/>
        <v>2058</v>
      </c>
      <c r="BL138" s="367"/>
      <c r="BM138" s="367"/>
      <c r="BN138" s="367"/>
      <c r="BO138" s="367"/>
      <c r="BP138" s="367"/>
      <c r="BQ138" s="367"/>
      <c r="BR138" s="367"/>
      <c r="BS138" s="367"/>
      <c r="BT138" s="367"/>
      <c r="BU138" s="367"/>
    </row>
    <row r="139" spans="1:73">
      <c r="A139" s="38"/>
      <c r="B139" s="368"/>
      <c r="C139" s="38"/>
      <c r="D139" s="368"/>
      <c r="E139" s="38"/>
      <c r="F139" s="38"/>
      <c r="G139" s="369"/>
      <c r="H139" s="369"/>
      <c r="I139" s="369"/>
      <c r="J139" s="369"/>
      <c r="K139" s="369"/>
      <c r="L139" s="369"/>
      <c r="M139" s="369"/>
      <c r="N139" s="369"/>
      <c r="O139" s="38"/>
      <c r="P139" s="38"/>
      <c r="Q139" s="38"/>
      <c r="R139" s="370"/>
      <c r="S139" s="38"/>
      <c r="T139" s="368"/>
      <c r="U139" s="368"/>
      <c r="V139" s="38"/>
      <c r="W139" s="371">
        <v>3</v>
      </c>
      <c r="X139" s="371">
        <v>4</v>
      </c>
      <c r="Y139" s="371">
        <v>5</v>
      </c>
      <c r="Z139" s="371">
        <v>6</v>
      </c>
      <c r="AA139" s="371">
        <v>7</v>
      </c>
      <c r="AB139" s="371">
        <v>8</v>
      </c>
      <c r="AC139" s="371">
        <v>9</v>
      </c>
      <c r="AD139" s="371">
        <v>10</v>
      </c>
      <c r="AE139" s="371">
        <v>11</v>
      </c>
      <c r="AF139" s="371">
        <v>12</v>
      </c>
      <c r="AG139" s="371">
        <v>13</v>
      </c>
      <c r="AH139" s="371">
        <v>14</v>
      </c>
      <c r="AI139" s="371">
        <v>15</v>
      </c>
      <c r="AJ139" s="371">
        <v>16</v>
      </c>
      <c r="AK139" s="371">
        <v>17</v>
      </c>
      <c r="AL139" s="371">
        <v>18</v>
      </c>
      <c r="AM139" s="371">
        <v>19</v>
      </c>
      <c r="AN139" s="371">
        <v>20</v>
      </c>
      <c r="AO139" s="371">
        <v>21</v>
      </c>
      <c r="AP139" s="371">
        <v>22</v>
      </c>
      <c r="AQ139" s="371">
        <v>23</v>
      </c>
      <c r="AR139" s="371">
        <v>24</v>
      </c>
      <c r="AS139" s="371">
        <v>25</v>
      </c>
      <c r="AT139" s="371">
        <v>26</v>
      </c>
      <c r="AU139" s="371">
        <v>27</v>
      </c>
      <c r="AV139" s="371">
        <v>28</v>
      </c>
      <c r="AW139" s="371">
        <v>29</v>
      </c>
      <c r="AX139" s="371">
        <v>30</v>
      </c>
      <c r="AY139" s="371">
        <v>31</v>
      </c>
      <c r="AZ139" s="371">
        <v>32</v>
      </c>
      <c r="BA139" s="371">
        <v>33</v>
      </c>
      <c r="BB139" s="371">
        <v>34</v>
      </c>
      <c r="BC139" s="371">
        <v>35</v>
      </c>
      <c r="BD139" s="371">
        <v>36</v>
      </c>
      <c r="BE139" s="371">
        <v>37</v>
      </c>
      <c r="BF139" s="371">
        <v>38</v>
      </c>
      <c r="BG139" s="371">
        <v>39</v>
      </c>
      <c r="BH139" s="371">
        <v>40</v>
      </c>
      <c r="BI139" s="371">
        <v>41</v>
      </c>
      <c r="BJ139" s="371">
        <v>42</v>
      </c>
      <c r="BK139" s="371">
        <v>43</v>
      </c>
      <c r="BL139" s="371"/>
      <c r="BM139" s="371"/>
      <c r="BN139" s="371"/>
      <c r="BO139" s="371"/>
      <c r="BP139" s="371"/>
      <c r="BQ139" s="371"/>
      <c r="BR139" s="371"/>
      <c r="BS139" s="371"/>
      <c r="BT139" s="371"/>
      <c r="BU139" s="371"/>
    </row>
    <row r="140" spans="1:73">
      <c r="A140" s="6"/>
      <c r="B140" s="97"/>
      <c r="C140" s="1"/>
      <c r="D140" s="30"/>
      <c r="E140" s="23"/>
      <c r="F140" s="23"/>
      <c r="G140" s="204"/>
      <c r="H140" s="204"/>
      <c r="I140" s="204"/>
      <c r="J140" s="204"/>
      <c r="K140" s="204"/>
      <c r="L140" s="204"/>
      <c r="M140" s="204"/>
      <c r="N140" s="204"/>
      <c r="O140" s="10"/>
      <c r="P140" s="10"/>
      <c r="Q140" s="10"/>
      <c r="R140" s="193"/>
      <c r="S140" s="10"/>
      <c r="T140" s="101" t="s">
        <v>865</v>
      </c>
      <c r="U140" s="372" t="s">
        <v>866</v>
      </c>
      <c r="W140" s="373">
        <f ca="1">HLOOKUP(Growth!$L$188,Growth!$L$195:$L$237, W139, FALSE)</f>
        <v>0.25000000000001188</v>
      </c>
      <c r="X140" s="373">
        <f ca="1">HLOOKUP(Growth!$L$188,Growth!$L$195:$L$237, X139, FALSE)</f>
        <v>0.91194932556644281</v>
      </c>
      <c r="Y140" s="373">
        <f ca="1">HLOOKUP(Growth!$L$188,Growth!$L$195:$L$237, Y139, FALSE)</f>
        <v>0.99690218659621788</v>
      </c>
      <c r="Z140" s="373">
        <f ca="1">HLOOKUP(Growth!$L$188,Growth!$L$195:$L$237, Z139, FALSE)</f>
        <v>0.99990000000000012</v>
      </c>
      <c r="AA140" s="373">
        <f ca="1">HLOOKUP(Growth!$L$188,Growth!$L$195:$L$237, AA139, FALSE)</f>
        <v>1</v>
      </c>
      <c r="AB140" s="373">
        <f ca="1">HLOOKUP(Growth!$L$188,Growth!$L$195:$L$237, AB139, FALSE)</f>
        <v>1</v>
      </c>
      <c r="AC140" s="373">
        <f ca="1">HLOOKUP(Growth!$L$188,Growth!$L$195:$L$237, AC139, FALSE)</f>
        <v>1</v>
      </c>
      <c r="AD140" s="373">
        <f ca="1">HLOOKUP(Growth!$L$188,Growth!$L$195:$L$237, AD139, FALSE)</f>
        <v>1</v>
      </c>
      <c r="AE140" s="373">
        <f ca="1">HLOOKUP(Growth!$L$188,Growth!$L$195:$L$237, AE139, FALSE)</f>
        <v>1</v>
      </c>
      <c r="AF140" s="373">
        <f ca="1">HLOOKUP(Growth!$L$188,Growth!$L$195:$L$237, AF139, FALSE)</f>
        <v>1</v>
      </c>
      <c r="AG140" s="373">
        <f ca="1">HLOOKUP(Growth!$L$188,Growth!$L$195:$L$237, AG139, FALSE)</f>
        <v>1</v>
      </c>
      <c r="AH140" s="373">
        <f ca="1">HLOOKUP(Growth!$L$188,Growth!$L$195:$L$237, AH139, FALSE)</f>
        <v>1</v>
      </c>
      <c r="AI140" s="373">
        <f ca="1">HLOOKUP(Growth!$L$188,Growth!$L$195:$L$237, AI139, FALSE)</f>
        <v>1</v>
      </c>
      <c r="AJ140" s="373">
        <f ca="1">HLOOKUP(Growth!$L$188,Growth!$L$195:$L$237, AJ139, FALSE)</f>
        <v>1</v>
      </c>
      <c r="AK140" s="373">
        <f ca="1">HLOOKUP(Growth!$L$188,Growth!$L$195:$L$237, AK139, FALSE)</f>
        <v>1</v>
      </c>
      <c r="AL140" s="373">
        <f ca="1">HLOOKUP(Growth!$L$188,Growth!$L$195:$L$237, AL139, FALSE)</f>
        <v>1</v>
      </c>
      <c r="AM140" s="373">
        <f ca="1">HLOOKUP(Growth!$L$188,Growth!$L$195:$L$237, AM139, FALSE)</f>
        <v>1</v>
      </c>
      <c r="AN140" s="373">
        <f ca="1">HLOOKUP(Growth!$L$188,Growth!$L$195:$L$237, AN139, FALSE)</f>
        <v>1</v>
      </c>
      <c r="AO140" s="373">
        <f ca="1">HLOOKUP(Growth!$L$188,Growth!$L$195:$L$237, AO139, FALSE)</f>
        <v>1</v>
      </c>
      <c r="AP140" s="373">
        <f ca="1">HLOOKUP(Growth!$L$188,Growth!$L$195:$L$237, AP139, FALSE)</f>
        <v>1</v>
      </c>
      <c r="AQ140" s="373">
        <f ca="1">HLOOKUP(Growth!$L$188,Growth!$L$195:$L$237, AQ139, FALSE)</f>
        <v>1</v>
      </c>
      <c r="AR140" s="373">
        <f ca="1">HLOOKUP(Growth!$L$188,Growth!$L$195:$L$237, AR139, FALSE)</f>
        <v>1</v>
      </c>
      <c r="AS140" s="373">
        <f ca="1">HLOOKUP(Growth!$L$188,Growth!$L$195:$L$237, AS139, FALSE)</f>
        <v>1</v>
      </c>
      <c r="AT140" s="373">
        <f ca="1">HLOOKUP(Growth!$L$188,Growth!$L$195:$L$237, AT139, FALSE)</f>
        <v>1</v>
      </c>
      <c r="AU140" s="373">
        <f ca="1">HLOOKUP(Growth!$L$188,Growth!$L$195:$L$237, AU139, FALSE)</f>
        <v>1</v>
      </c>
      <c r="AV140" s="373">
        <f ca="1">HLOOKUP(Growth!$L$188,Growth!$L$195:$L$237, AV139, FALSE)</f>
        <v>1</v>
      </c>
      <c r="AW140" s="373">
        <f ca="1">HLOOKUP(Growth!$L$188,Growth!$L$195:$L$237, AW139, FALSE)</f>
        <v>1</v>
      </c>
      <c r="AX140" s="373">
        <f ca="1">HLOOKUP(Growth!$L$188,Growth!$L$195:$L$237, AX139, FALSE)</f>
        <v>1</v>
      </c>
      <c r="AY140" s="373">
        <f ca="1">HLOOKUP(Growth!$L$188,Growth!$L$195:$L$237, AY139, FALSE)</f>
        <v>1</v>
      </c>
      <c r="AZ140" s="373">
        <f ca="1">HLOOKUP(Growth!$L$188,Growth!$L$195:$L$237, AZ139, FALSE)</f>
        <v>1</v>
      </c>
      <c r="BA140" s="373">
        <f ca="1">HLOOKUP(Growth!$L$188,Growth!$L$195:$L$237, BA139, FALSE)</f>
        <v>1</v>
      </c>
      <c r="BB140" s="373">
        <f ca="1">HLOOKUP(Growth!$L$188,Growth!$L$195:$L$237, BB139, FALSE)</f>
        <v>1</v>
      </c>
      <c r="BC140" s="373">
        <f ca="1">HLOOKUP(Growth!$L$188,Growth!$L$195:$L$237, BC139, FALSE)</f>
        <v>1</v>
      </c>
      <c r="BD140" s="373">
        <f ca="1">HLOOKUP(Growth!$L$188,Growth!$L$195:$L$237, BD139, FALSE)</f>
        <v>1</v>
      </c>
      <c r="BE140" s="373">
        <f ca="1">HLOOKUP(Growth!$L$188,Growth!$L$195:$L$237, BE139, FALSE)</f>
        <v>1</v>
      </c>
      <c r="BF140" s="373">
        <f ca="1">HLOOKUP(Growth!$L$188,Growth!$L$195:$L$237, BF139, FALSE)</f>
        <v>1</v>
      </c>
      <c r="BG140" s="373">
        <f ca="1">HLOOKUP(Growth!$L$188,Growth!$L$195:$L$237, BG139, FALSE)</f>
        <v>1</v>
      </c>
      <c r="BH140" s="373">
        <f ca="1">HLOOKUP(Growth!$L$188,Growth!$L$195:$L$237, BH139, FALSE)</f>
        <v>1</v>
      </c>
      <c r="BI140" s="373">
        <f ca="1">HLOOKUP(Growth!$L$188,Growth!$L$195:$L$237, BI139, FALSE)</f>
        <v>1</v>
      </c>
      <c r="BJ140" s="373">
        <f ca="1">HLOOKUP(Growth!$L$188,Growth!$L$195:$L$237, BJ139, FALSE)</f>
        <v>1</v>
      </c>
      <c r="BK140" s="373">
        <f ca="1">HLOOKUP(Growth!$L$188,Growth!$L$195:$L$237, BK139, FALSE)</f>
        <v>1</v>
      </c>
      <c r="BL140" s="367"/>
      <c r="BM140" s="367"/>
      <c r="BN140" s="367"/>
      <c r="BO140" s="367"/>
      <c r="BP140" s="367"/>
      <c r="BQ140" s="367"/>
      <c r="BR140" s="367"/>
      <c r="BS140" s="367"/>
      <c r="BT140" s="367"/>
      <c r="BU140" s="367"/>
    </row>
    <row r="141" spans="1:73">
      <c r="A141" s="6"/>
      <c r="B141" s="97"/>
      <c r="C141" s="1"/>
      <c r="D141" s="30"/>
      <c r="E141" s="23"/>
      <c r="F141" s="23"/>
      <c r="G141" s="204"/>
      <c r="H141" s="204"/>
      <c r="I141" s="204"/>
      <c r="J141" s="204"/>
      <c r="K141" s="204"/>
      <c r="L141" s="204"/>
      <c r="M141" s="204"/>
      <c r="N141" s="204"/>
      <c r="O141" s="10"/>
      <c r="P141" s="10"/>
      <c r="Q141" s="10"/>
      <c r="R141" s="193"/>
      <c r="S141" s="10"/>
      <c r="T141" s="81"/>
      <c r="U141" s="9"/>
      <c r="V141" s="81"/>
      <c r="W141" s="81"/>
      <c r="X141" s="366"/>
      <c r="Y141" s="366"/>
      <c r="Z141" s="366"/>
      <c r="AA141" s="366"/>
      <c r="AB141" s="366"/>
      <c r="AC141" s="366"/>
      <c r="AD141" s="366"/>
      <c r="AE141" s="366"/>
      <c r="AF141" s="366"/>
      <c r="AG141" s="366"/>
      <c r="AH141" s="366"/>
      <c r="AI141" s="366"/>
      <c r="AJ141" s="366"/>
      <c r="AK141" s="366"/>
      <c r="AL141" s="366"/>
      <c r="AM141" s="366"/>
      <c r="AN141" s="366"/>
      <c r="AO141" s="366"/>
      <c r="AP141" s="366"/>
      <c r="AQ141" s="366"/>
      <c r="AR141" s="366"/>
      <c r="AS141" s="366"/>
      <c r="AT141" s="366"/>
      <c r="AU141" s="366"/>
      <c r="AV141" s="366"/>
      <c r="AW141" s="366"/>
      <c r="AX141" s="366"/>
      <c r="AY141" s="366"/>
      <c r="AZ141" s="366"/>
      <c r="BA141" s="366"/>
      <c r="BB141" s="366"/>
      <c r="BC141" s="366"/>
      <c r="BD141" s="366"/>
      <c r="BE141" s="366"/>
      <c r="BF141" s="366"/>
      <c r="BG141" s="366"/>
      <c r="BH141" s="366"/>
      <c r="BI141" s="366"/>
      <c r="BJ141" s="366"/>
      <c r="BK141" s="366"/>
      <c r="BL141" s="367"/>
      <c r="BM141" s="367"/>
      <c r="BN141" s="367"/>
      <c r="BO141" s="367"/>
      <c r="BP141" s="367"/>
      <c r="BQ141" s="367"/>
      <c r="BR141" s="367"/>
      <c r="BS141" s="367"/>
      <c r="BT141" s="367"/>
      <c r="BU141" s="367"/>
    </row>
    <row r="142" spans="1:73">
      <c r="A142" s="6"/>
      <c r="B142" s="97"/>
      <c r="C142" s="1"/>
      <c r="D142" s="30"/>
      <c r="E142" s="23"/>
      <c r="F142" s="23"/>
      <c r="G142" s="204"/>
      <c r="H142" s="204"/>
      <c r="I142" s="204"/>
      <c r="J142" s="204"/>
      <c r="K142" s="204"/>
      <c r="L142" s="204"/>
      <c r="M142" s="204"/>
      <c r="N142" s="204"/>
      <c r="O142" s="10"/>
      <c r="P142" s="10"/>
      <c r="Q142" s="10"/>
      <c r="R142" s="193"/>
      <c r="S142" s="10"/>
      <c r="T142" s="81"/>
      <c r="U142" s="9"/>
      <c r="V142" s="81"/>
      <c r="W142" s="81"/>
      <c r="X142" s="366"/>
      <c r="Y142" s="366"/>
      <c r="Z142" s="366"/>
      <c r="AA142" s="366"/>
      <c r="AB142" s="366"/>
      <c r="AC142" s="366"/>
      <c r="AD142" s="366"/>
      <c r="AE142" s="366"/>
      <c r="AF142" s="366"/>
      <c r="AG142" s="366"/>
      <c r="AH142" s="366"/>
      <c r="AI142" s="366"/>
      <c r="AJ142" s="366"/>
      <c r="AK142" s="366"/>
      <c r="AL142" s="366"/>
      <c r="AM142" s="366"/>
      <c r="AN142" s="366"/>
      <c r="AO142" s="366"/>
      <c r="AP142" s="366"/>
      <c r="AQ142" s="366"/>
      <c r="AR142" s="366"/>
      <c r="AS142" s="366"/>
      <c r="AT142" s="366"/>
      <c r="AU142" s="366"/>
      <c r="AV142" s="366"/>
      <c r="AW142" s="366"/>
      <c r="AX142" s="366"/>
      <c r="AY142" s="366"/>
      <c r="AZ142" s="366"/>
      <c r="BA142" s="366"/>
      <c r="BB142" s="366"/>
      <c r="BC142" s="366"/>
      <c r="BD142" s="366"/>
      <c r="BE142" s="366"/>
      <c r="BF142" s="366"/>
      <c r="BG142" s="366"/>
      <c r="BH142" s="366"/>
      <c r="BI142" s="366"/>
      <c r="BJ142" s="366"/>
      <c r="BK142" s="366"/>
      <c r="BL142" s="367"/>
      <c r="BM142" s="367"/>
      <c r="BN142" s="367"/>
      <c r="BO142" s="367"/>
      <c r="BP142" s="367"/>
      <c r="BQ142" s="367"/>
      <c r="BR142" s="367"/>
      <c r="BS142" s="367"/>
      <c r="BT142" s="367"/>
      <c r="BU142" s="367"/>
    </row>
    <row r="143" spans="1:73">
      <c r="A143" s="6"/>
      <c r="B143" s="108"/>
      <c r="C143" s="1"/>
      <c r="D143" s="1"/>
      <c r="E143" s="1"/>
      <c r="F143" s="1"/>
      <c r="G143" s="3"/>
      <c r="H143" s="3"/>
      <c r="I143" s="3"/>
      <c r="J143" s="3"/>
      <c r="K143" s="3"/>
      <c r="L143" s="3"/>
      <c r="M143" s="3"/>
      <c r="N143" s="3"/>
      <c r="O143" s="1"/>
      <c r="P143" s="1"/>
      <c r="Q143" s="1"/>
      <c r="R143" s="162"/>
      <c r="S143" s="1"/>
      <c r="T143" s="81"/>
      <c r="U143" s="81"/>
      <c r="V143" s="374" t="str">
        <f>D136</f>
        <v>Additional time required to create DMPs for each new research project</v>
      </c>
      <c r="W143" s="375"/>
      <c r="X143" s="376"/>
      <c r="Y143" s="376"/>
      <c r="Z143" s="376"/>
      <c r="AA143" s="376"/>
      <c r="AB143" s="376"/>
      <c r="AC143" s="376"/>
      <c r="AD143" s="376"/>
      <c r="AE143" s="376"/>
      <c r="AF143" s="376"/>
      <c r="AG143" s="376"/>
      <c r="AH143" s="376"/>
      <c r="AI143" s="376"/>
      <c r="AJ143" s="376"/>
      <c r="AK143" s="376"/>
      <c r="AL143" s="376"/>
      <c r="AM143" s="376"/>
      <c r="AN143" s="376"/>
      <c r="AO143" s="376"/>
      <c r="AP143" s="376"/>
      <c r="AQ143" s="376"/>
      <c r="AR143" s="376"/>
      <c r="AS143" s="376"/>
      <c r="AT143" s="376"/>
      <c r="AU143" s="376"/>
      <c r="AV143" s="376"/>
      <c r="AW143" s="376"/>
      <c r="AX143" s="376"/>
      <c r="AY143" s="376"/>
      <c r="AZ143" s="376"/>
      <c r="BA143" s="376"/>
      <c r="BB143" s="376"/>
      <c r="BC143" s="376"/>
      <c r="BD143" s="376"/>
      <c r="BE143" s="376"/>
      <c r="BF143" s="376"/>
      <c r="BG143" s="376"/>
      <c r="BH143" s="376"/>
      <c r="BI143" s="376"/>
      <c r="BJ143" s="376"/>
      <c r="BK143" s="376"/>
      <c r="BL143" s="99"/>
      <c r="BM143" s="99"/>
      <c r="BN143" s="99"/>
      <c r="BO143" s="99"/>
      <c r="BP143" s="99"/>
      <c r="BQ143" s="99"/>
      <c r="BR143" s="99"/>
      <c r="BS143" s="99"/>
      <c r="BT143" s="99"/>
      <c r="BU143" s="99"/>
    </row>
    <row r="144" spans="1:73">
      <c r="A144" s="377"/>
      <c r="B144" s="79"/>
      <c r="C144" s="15"/>
      <c r="D144" s="25"/>
      <c r="E144" s="15"/>
      <c r="F144" s="15"/>
      <c r="G144" s="24"/>
      <c r="H144" s="24"/>
      <c r="I144" s="24"/>
      <c r="J144" s="24"/>
      <c r="K144" s="24"/>
      <c r="L144" s="24"/>
      <c r="M144" s="24"/>
      <c r="N144" s="24"/>
      <c r="O144" s="15"/>
      <c r="P144" s="15"/>
      <c r="Q144" s="15"/>
      <c r="R144" s="378"/>
      <c r="S144" s="1"/>
      <c r="T144" s="377"/>
      <c r="U144" s="103"/>
      <c r="V144" s="101" t="s">
        <v>208</v>
      </c>
      <c r="W144" s="379">
        <f>Growth!B20</f>
        <v>2018</v>
      </c>
      <c r="X144" s="379">
        <f t="shared" ref="X144:BK144" si="42">W144+1</f>
        <v>2019</v>
      </c>
      <c r="Y144" s="379">
        <f t="shared" si="42"/>
        <v>2020</v>
      </c>
      <c r="Z144" s="379">
        <f t="shared" si="42"/>
        <v>2021</v>
      </c>
      <c r="AA144" s="379">
        <f t="shared" si="42"/>
        <v>2022</v>
      </c>
      <c r="AB144" s="379">
        <f t="shared" si="42"/>
        <v>2023</v>
      </c>
      <c r="AC144" s="379">
        <f t="shared" si="42"/>
        <v>2024</v>
      </c>
      <c r="AD144" s="379">
        <f t="shared" si="42"/>
        <v>2025</v>
      </c>
      <c r="AE144" s="379">
        <f t="shared" si="42"/>
        <v>2026</v>
      </c>
      <c r="AF144" s="379">
        <f t="shared" si="42"/>
        <v>2027</v>
      </c>
      <c r="AG144" s="379">
        <f t="shared" si="42"/>
        <v>2028</v>
      </c>
      <c r="AH144" s="379">
        <f t="shared" si="42"/>
        <v>2029</v>
      </c>
      <c r="AI144" s="379">
        <f t="shared" si="42"/>
        <v>2030</v>
      </c>
      <c r="AJ144" s="379">
        <f t="shared" si="42"/>
        <v>2031</v>
      </c>
      <c r="AK144" s="379">
        <f t="shared" si="42"/>
        <v>2032</v>
      </c>
      <c r="AL144" s="379">
        <f t="shared" si="42"/>
        <v>2033</v>
      </c>
      <c r="AM144" s="379">
        <f t="shared" si="42"/>
        <v>2034</v>
      </c>
      <c r="AN144" s="379">
        <f t="shared" si="42"/>
        <v>2035</v>
      </c>
      <c r="AO144" s="379">
        <f t="shared" si="42"/>
        <v>2036</v>
      </c>
      <c r="AP144" s="379">
        <f t="shared" si="42"/>
        <v>2037</v>
      </c>
      <c r="AQ144" s="379">
        <f t="shared" si="42"/>
        <v>2038</v>
      </c>
      <c r="AR144" s="379">
        <f t="shared" si="42"/>
        <v>2039</v>
      </c>
      <c r="AS144" s="379">
        <f t="shared" si="42"/>
        <v>2040</v>
      </c>
      <c r="AT144" s="379">
        <f t="shared" si="42"/>
        <v>2041</v>
      </c>
      <c r="AU144" s="379">
        <f t="shared" si="42"/>
        <v>2042</v>
      </c>
      <c r="AV144" s="379">
        <f t="shared" si="42"/>
        <v>2043</v>
      </c>
      <c r="AW144" s="379">
        <f t="shared" si="42"/>
        <v>2044</v>
      </c>
      <c r="AX144" s="379">
        <f t="shared" si="42"/>
        <v>2045</v>
      </c>
      <c r="AY144" s="379">
        <f t="shared" si="42"/>
        <v>2046</v>
      </c>
      <c r="AZ144" s="379">
        <f t="shared" si="42"/>
        <v>2047</v>
      </c>
      <c r="BA144" s="379">
        <f t="shared" si="42"/>
        <v>2048</v>
      </c>
      <c r="BB144" s="379">
        <f t="shared" si="42"/>
        <v>2049</v>
      </c>
      <c r="BC144" s="379">
        <f t="shared" si="42"/>
        <v>2050</v>
      </c>
      <c r="BD144" s="379">
        <f t="shared" si="42"/>
        <v>2051</v>
      </c>
      <c r="BE144" s="379">
        <f t="shared" si="42"/>
        <v>2052</v>
      </c>
      <c r="BF144" s="379">
        <f t="shared" si="42"/>
        <v>2053</v>
      </c>
      <c r="BG144" s="379">
        <f t="shared" si="42"/>
        <v>2054</v>
      </c>
      <c r="BH144" s="379">
        <f t="shared" si="42"/>
        <v>2055</v>
      </c>
      <c r="BI144" s="379">
        <f t="shared" si="42"/>
        <v>2056</v>
      </c>
      <c r="BJ144" s="379">
        <f t="shared" si="42"/>
        <v>2057</v>
      </c>
      <c r="BK144" s="379">
        <f t="shared" si="42"/>
        <v>2058</v>
      </c>
      <c r="BL144" s="380"/>
      <c r="BM144" s="380"/>
      <c r="BN144" s="380"/>
      <c r="BO144" s="380"/>
      <c r="BP144" s="380"/>
      <c r="BQ144" s="380"/>
      <c r="BR144" s="380"/>
      <c r="BS144" s="380"/>
      <c r="BT144" s="380"/>
      <c r="BU144" s="380"/>
    </row>
    <row r="145" spans="1:73">
      <c r="A145" s="6"/>
      <c r="B145" s="108"/>
      <c r="C145" s="1"/>
      <c r="D145" s="37"/>
      <c r="E145" s="1"/>
      <c r="F145" s="1"/>
      <c r="G145" s="183"/>
      <c r="H145" s="3"/>
      <c r="I145" s="3"/>
      <c r="J145" s="3"/>
      <c r="K145" s="3"/>
      <c r="L145" s="3"/>
      <c r="M145" s="3"/>
      <c r="N145" s="3"/>
      <c r="O145" s="1"/>
      <c r="P145" s="1"/>
      <c r="Q145" s="1"/>
      <c r="R145" s="162"/>
      <c r="S145" s="1"/>
      <c r="T145" s="103"/>
      <c r="U145" s="103"/>
      <c r="V145" s="103" t="str">
        <f>G$10</f>
        <v>PhD researcher</v>
      </c>
      <c r="W145" s="373">
        <f ca="1">-(1-W$140)*'2.3 Input_Main_Questionnaire'!$H$52*'2.3 Input_Main_Questionnaire'!$H$28</f>
        <v>-1.0169999999999837E-2</v>
      </c>
      <c r="X145" s="373">
        <f ca="1">-(1-X$140)*'2.3 Input_Main_Questionnaire'!$H$52*'2.3 Input_Main_Questionnaire'!$H$28</f>
        <v>-1.1939671453190354E-3</v>
      </c>
      <c r="Y145" s="373">
        <f ca="1">-(1-Y$140)*'2.3 Input_Main_Questionnaire'!$H$52*'2.3 Input_Main_Questionnaire'!$H$28</f>
        <v>-4.200634975528559E-5</v>
      </c>
      <c r="Z145" s="373">
        <f ca="1">-(1-Z$140)*'2.3 Input_Main_Questionnaire'!$H$52*'2.3 Input_Main_Questionnaire'!$H$28</f>
        <v>-1.3559999999983451E-6</v>
      </c>
      <c r="AA145" s="373">
        <f ca="1">-(1-AA$140)*'2.3 Input_Main_Questionnaire'!$H$52*'2.3 Input_Main_Questionnaire'!$H$28</f>
        <v>0</v>
      </c>
      <c r="AB145" s="373">
        <f ca="1">-(1-AB$140)*'2.3 Input_Main_Questionnaire'!$H$52*'2.3 Input_Main_Questionnaire'!$H$28</f>
        <v>0</v>
      </c>
      <c r="AC145" s="373">
        <f ca="1">-(1-AC$140)*'2.3 Input_Main_Questionnaire'!$H$52*'2.3 Input_Main_Questionnaire'!$H$28</f>
        <v>0</v>
      </c>
      <c r="AD145" s="373">
        <f ca="1">-(1-AD$140)*'2.3 Input_Main_Questionnaire'!$H$52*'2.3 Input_Main_Questionnaire'!$H$28</f>
        <v>0</v>
      </c>
      <c r="AE145" s="373">
        <f ca="1">-(1-AE$140)*'2.3 Input_Main_Questionnaire'!$H$52*'2.3 Input_Main_Questionnaire'!$H$28</f>
        <v>0</v>
      </c>
      <c r="AF145" s="373">
        <f ca="1">-(1-AF$140)*'2.3 Input_Main_Questionnaire'!$H$52*'2.3 Input_Main_Questionnaire'!$H$28</f>
        <v>0</v>
      </c>
      <c r="AG145" s="373">
        <f ca="1">-(1-AG$140)*'2.3 Input_Main_Questionnaire'!$H$52*'2.3 Input_Main_Questionnaire'!$H$28</f>
        <v>0</v>
      </c>
      <c r="AH145" s="373">
        <f ca="1">-(1-AH$140)*'2.3 Input_Main_Questionnaire'!$H$52*'2.3 Input_Main_Questionnaire'!$H$28</f>
        <v>0</v>
      </c>
      <c r="AI145" s="373">
        <f ca="1">-(1-AI$140)*'2.3 Input_Main_Questionnaire'!$H$52*'2.3 Input_Main_Questionnaire'!$H$28</f>
        <v>0</v>
      </c>
      <c r="AJ145" s="373">
        <f ca="1">-(1-AJ$140)*'2.3 Input_Main_Questionnaire'!$H$52*'2.3 Input_Main_Questionnaire'!$H$28</f>
        <v>0</v>
      </c>
      <c r="AK145" s="373">
        <f ca="1">-(1-AK$140)*'2.3 Input_Main_Questionnaire'!$H$52*'2.3 Input_Main_Questionnaire'!$H$28</f>
        <v>0</v>
      </c>
      <c r="AL145" s="373">
        <f ca="1">-(1-AL$140)*'2.3 Input_Main_Questionnaire'!$H$52*'2.3 Input_Main_Questionnaire'!$H$28</f>
        <v>0</v>
      </c>
      <c r="AM145" s="373">
        <f ca="1">-(1-AM$140)*'2.3 Input_Main_Questionnaire'!$H$52*'2.3 Input_Main_Questionnaire'!$H$28</f>
        <v>0</v>
      </c>
      <c r="AN145" s="373">
        <f ca="1">-(1-AN$140)*'2.3 Input_Main_Questionnaire'!$H$52*'2.3 Input_Main_Questionnaire'!$H$28</f>
        <v>0</v>
      </c>
      <c r="AO145" s="373">
        <f ca="1">-(1-AO$140)*'2.3 Input_Main_Questionnaire'!$H$52*'2.3 Input_Main_Questionnaire'!$H$28</f>
        <v>0</v>
      </c>
      <c r="AP145" s="373">
        <f ca="1">-(1-AP$140)*'2.3 Input_Main_Questionnaire'!$H$52*'2.3 Input_Main_Questionnaire'!$H$28</f>
        <v>0</v>
      </c>
      <c r="AQ145" s="373">
        <f ca="1">-(1-AQ$140)*'2.3 Input_Main_Questionnaire'!$H$52*'2.3 Input_Main_Questionnaire'!$H$28</f>
        <v>0</v>
      </c>
      <c r="AR145" s="373">
        <f ca="1">-(1-AR$140)*'2.3 Input_Main_Questionnaire'!$H$52*'2.3 Input_Main_Questionnaire'!$H$28</f>
        <v>0</v>
      </c>
      <c r="AS145" s="373">
        <f ca="1">-(1-AS$140)*'2.3 Input_Main_Questionnaire'!$H$52*'2.3 Input_Main_Questionnaire'!$H$28</f>
        <v>0</v>
      </c>
      <c r="AT145" s="373">
        <f ca="1">-(1-AT$140)*'2.3 Input_Main_Questionnaire'!$H$52*'2.3 Input_Main_Questionnaire'!$H$28</f>
        <v>0</v>
      </c>
      <c r="AU145" s="373">
        <f ca="1">-(1-AU$140)*'2.3 Input_Main_Questionnaire'!$H$52*'2.3 Input_Main_Questionnaire'!$H$28</f>
        <v>0</v>
      </c>
      <c r="AV145" s="373">
        <f ca="1">-(1-AV$140)*'2.3 Input_Main_Questionnaire'!$H$52*'2.3 Input_Main_Questionnaire'!$H$28</f>
        <v>0</v>
      </c>
      <c r="AW145" s="373">
        <f ca="1">-(1-AW$140)*'2.3 Input_Main_Questionnaire'!$H$52*'2.3 Input_Main_Questionnaire'!$H$28</f>
        <v>0</v>
      </c>
      <c r="AX145" s="373">
        <f ca="1">-(1-AX$140)*'2.3 Input_Main_Questionnaire'!$H$52*'2.3 Input_Main_Questionnaire'!$H$28</f>
        <v>0</v>
      </c>
      <c r="AY145" s="373">
        <f ca="1">-(1-AY$140)*'2.3 Input_Main_Questionnaire'!$H$52*'2.3 Input_Main_Questionnaire'!$H$28</f>
        <v>0</v>
      </c>
      <c r="AZ145" s="373">
        <f ca="1">-(1-AZ$140)*'2.3 Input_Main_Questionnaire'!$H$52*'2.3 Input_Main_Questionnaire'!$H$28</f>
        <v>0</v>
      </c>
      <c r="BA145" s="373">
        <f ca="1">-(1-BA$140)*'2.3 Input_Main_Questionnaire'!$H$52*'2.3 Input_Main_Questionnaire'!$H$28</f>
        <v>0</v>
      </c>
      <c r="BB145" s="373">
        <f ca="1">-(1-BB$140)*'2.3 Input_Main_Questionnaire'!$H$52*'2.3 Input_Main_Questionnaire'!$H$28</f>
        <v>0</v>
      </c>
      <c r="BC145" s="373">
        <f ca="1">-(1-BC$140)*'2.3 Input_Main_Questionnaire'!$H$52*'2.3 Input_Main_Questionnaire'!$H$28</f>
        <v>0</v>
      </c>
      <c r="BD145" s="373">
        <f ca="1">-(1-BD$140)*'2.3 Input_Main_Questionnaire'!$H$52*'2.3 Input_Main_Questionnaire'!$H$28</f>
        <v>0</v>
      </c>
      <c r="BE145" s="373">
        <f ca="1">-(1-BE$140)*'2.3 Input_Main_Questionnaire'!$H$52*'2.3 Input_Main_Questionnaire'!$H$28</f>
        <v>0</v>
      </c>
      <c r="BF145" s="373">
        <f ca="1">-(1-BF$140)*'2.3 Input_Main_Questionnaire'!$H$52*'2.3 Input_Main_Questionnaire'!$H$28</f>
        <v>0</v>
      </c>
      <c r="BG145" s="373">
        <f ca="1">-(1-BG$140)*'2.3 Input_Main_Questionnaire'!$H$52*'2.3 Input_Main_Questionnaire'!$H$28</f>
        <v>0</v>
      </c>
      <c r="BH145" s="373">
        <f ca="1">-(1-BH$140)*'2.3 Input_Main_Questionnaire'!$H$52*'2.3 Input_Main_Questionnaire'!$H$28</f>
        <v>0</v>
      </c>
      <c r="BI145" s="373">
        <f ca="1">-(1-BI$140)*'2.3 Input_Main_Questionnaire'!$H$52*'2.3 Input_Main_Questionnaire'!$H$28</f>
        <v>0</v>
      </c>
      <c r="BJ145" s="373">
        <f ca="1">-(1-BJ$140)*'2.3 Input_Main_Questionnaire'!$H$52*'2.3 Input_Main_Questionnaire'!$H$28</f>
        <v>0</v>
      </c>
      <c r="BK145" s="373">
        <f ca="1">-(1-BK$140)*'2.3 Input_Main_Questionnaire'!$H$52*'2.3 Input_Main_Questionnaire'!$H$28</f>
        <v>0</v>
      </c>
      <c r="BL145" s="381"/>
      <c r="BM145" s="381"/>
      <c r="BN145" s="381"/>
      <c r="BO145" s="381"/>
      <c r="BP145" s="381"/>
      <c r="BQ145" s="381"/>
      <c r="BR145" s="381"/>
      <c r="BS145" s="381"/>
      <c r="BT145" s="381"/>
      <c r="BU145" s="381"/>
    </row>
    <row r="146" spans="1:73">
      <c r="A146" s="6"/>
      <c r="B146" s="108"/>
      <c r="C146" s="1"/>
      <c r="D146" s="37"/>
      <c r="E146" s="1"/>
      <c r="F146" s="1"/>
      <c r="G146" s="3"/>
      <c r="H146" s="3"/>
      <c r="I146" s="3"/>
      <c r="J146" s="3"/>
      <c r="K146" s="3"/>
      <c r="L146" s="3"/>
      <c r="M146" s="3"/>
      <c r="N146" s="3"/>
      <c r="O146" s="1"/>
      <c r="P146" s="1"/>
      <c r="Q146" s="1"/>
      <c r="R146" s="162"/>
      <c r="S146" s="1"/>
      <c r="T146" s="103"/>
      <c r="U146" s="103"/>
      <c r="V146" s="103" t="str">
        <f>$H$10</f>
        <v>Lecturer assistant/Research assistant (Academic)</v>
      </c>
      <c r="W146" s="373">
        <f ca="1">-(1-W$140)*'2.3 Input_Main_Questionnaire'!$H$52*'2.3 Input_Main_Questionnaire'!$I$28</f>
        <v>-1.1272499999999821E-2</v>
      </c>
      <c r="X146" s="373">
        <f ca="1">-(1-X$140)*'2.3 Input_Main_Questionnaire'!$H$52*'2.3 Input_Main_Questionnaire'!$I$28</f>
        <v>-1.3234016367363645E-3</v>
      </c>
      <c r="Y146" s="373">
        <f ca="1">-(1-Y$140)*'2.3 Input_Main_Questionnaire'!$H$52*'2.3 Input_Main_Questionnaire'!$I$28</f>
        <v>-4.6560135458845314E-5</v>
      </c>
      <c r="Z146" s="373">
        <f ca="1">-(1-Z$140)*'2.3 Input_Main_Questionnaire'!$H$52*'2.3 Input_Main_Questionnaire'!$I$28</f>
        <v>-1.5029999999981658E-6</v>
      </c>
      <c r="AA146" s="373">
        <f ca="1">-(1-AA$140)*'2.3 Input_Main_Questionnaire'!$H$52*'2.3 Input_Main_Questionnaire'!$I$28</f>
        <v>0</v>
      </c>
      <c r="AB146" s="373">
        <f ca="1">-(1-AB$140)*'2.3 Input_Main_Questionnaire'!$H$52*'2.3 Input_Main_Questionnaire'!$I$28</f>
        <v>0</v>
      </c>
      <c r="AC146" s="373">
        <f ca="1">-(1-AC$140)*'2.3 Input_Main_Questionnaire'!$H$52*'2.3 Input_Main_Questionnaire'!$I$28</f>
        <v>0</v>
      </c>
      <c r="AD146" s="373">
        <f ca="1">-(1-AD$140)*'2.3 Input_Main_Questionnaire'!$H$52*'2.3 Input_Main_Questionnaire'!$I$28</f>
        <v>0</v>
      </c>
      <c r="AE146" s="373">
        <f ca="1">-(1-AE$140)*'2.3 Input_Main_Questionnaire'!$H$52*'2.3 Input_Main_Questionnaire'!$I$28</f>
        <v>0</v>
      </c>
      <c r="AF146" s="373">
        <f ca="1">-(1-AF$140)*'2.3 Input_Main_Questionnaire'!$H$52*'2.3 Input_Main_Questionnaire'!$I$28</f>
        <v>0</v>
      </c>
      <c r="AG146" s="373">
        <f ca="1">-(1-AG$140)*'2.3 Input_Main_Questionnaire'!$H$52*'2.3 Input_Main_Questionnaire'!$I$28</f>
        <v>0</v>
      </c>
      <c r="AH146" s="373">
        <f ca="1">-(1-AH$140)*'2.3 Input_Main_Questionnaire'!$H$52*'2.3 Input_Main_Questionnaire'!$I$28</f>
        <v>0</v>
      </c>
      <c r="AI146" s="373">
        <f ca="1">-(1-AI$140)*'2.3 Input_Main_Questionnaire'!$H$52*'2.3 Input_Main_Questionnaire'!$I$28</f>
        <v>0</v>
      </c>
      <c r="AJ146" s="373">
        <f ca="1">-(1-AJ$140)*'2.3 Input_Main_Questionnaire'!$H$52*'2.3 Input_Main_Questionnaire'!$I$28</f>
        <v>0</v>
      </c>
      <c r="AK146" s="373">
        <f ca="1">-(1-AK$140)*'2.3 Input_Main_Questionnaire'!$H$52*'2.3 Input_Main_Questionnaire'!$I$28</f>
        <v>0</v>
      </c>
      <c r="AL146" s="373">
        <f ca="1">-(1-AL$140)*'2.3 Input_Main_Questionnaire'!$H$52*'2.3 Input_Main_Questionnaire'!$I$28</f>
        <v>0</v>
      </c>
      <c r="AM146" s="373">
        <f ca="1">-(1-AM$140)*'2.3 Input_Main_Questionnaire'!$H$52*'2.3 Input_Main_Questionnaire'!$I$28</f>
        <v>0</v>
      </c>
      <c r="AN146" s="373">
        <f ca="1">-(1-AN$140)*'2.3 Input_Main_Questionnaire'!$H$52*'2.3 Input_Main_Questionnaire'!$I$28</f>
        <v>0</v>
      </c>
      <c r="AO146" s="373">
        <f ca="1">-(1-AO$140)*'2.3 Input_Main_Questionnaire'!$H$52*'2.3 Input_Main_Questionnaire'!$I$28</f>
        <v>0</v>
      </c>
      <c r="AP146" s="373">
        <f ca="1">-(1-AP$140)*'2.3 Input_Main_Questionnaire'!$H$52*'2.3 Input_Main_Questionnaire'!$I$28</f>
        <v>0</v>
      </c>
      <c r="AQ146" s="373">
        <f ca="1">-(1-AQ$140)*'2.3 Input_Main_Questionnaire'!$H$52*'2.3 Input_Main_Questionnaire'!$I$28</f>
        <v>0</v>
      </c>
      <c r="AR146" s="373">
        <f ca="1">-(1-AR$140)*'2.3 Input_Main_Questionnaire'!$H$52*'2.3 Input_Main_Questionnaire'!$I$28</f>
        <v>0</v>
      </c>
      <c r="AS146" s="373">
        <f ca="1">-(1-AS$140)*'2.3 Input_Main_Questionnaire'!$H$52*'2.3 Input_Main_Questionnaire'!$I$28</f>
        <v>0</v>
      </c>
      <c r="AT146" s="373">
        <f ca="1">-(1-AT$140)*'2.3 Input_Main_Questionnaire'!$H$52*'2.3 Input_Main_Questionnaire'!$I$28</f>
        <v>0</v>
      </c>
      <c r="AU146" s="373">
        <f ca="1">-(1-AU$140)*'2.3 Input_Main_Questionnaire'!$H$52*'2.3 Input_Main_Questionnaire'!$I$28</f>
        <v>0</v>
      </c>
      <c r="AV146" s="373">
        <f ca="1">-(1-AV$140)*'2.3 Input_Main_Questionnaire'!$H$52*'2.3 Input_Main_Questionnaire'!$I$28</f>
        <v>0</v>
      </c>
      <c r="AW146" s="373">
        <f ca="1">-(1-AW$140)*'2.3 Input_Main_Questionnaire'!$H$52*'2.3 Input_Main_Questionnaire'!$I$28</f>
        <v>0</v>
      </c>
      <c r="AX146" s="373">
        <f ca="1">-(1-AX$140)*'2.3 Input_Main_Questionnaire'!$H$52*'2.3 Input_Main_Questionnaire'!$I$28</f>
        <v>0</v>
      </c>
      <c r="AY146" s="373">
        <f ca="1">-(1-AY$140)*'2.3 Input_Main_Questionnaire'!$H$52*'2.3 Input_Main_Questionnaire'!$I$28</f>
        <v>0</v>
      </c>
      <c r="AZ146" s="373">
        <f ca="1">-(1-AZ$140)*'2.3 Input_Main_Questionnaire'!$H$52*'2.3 Input_Main_Questionnaire'!$I$28</f>
        <v>0</v>
      </c>
      <c r="BA146" s="373">
        <f ca="1">-(1-BA$140)*'2.3 Input_Main_Questionnaire'!$H$52*'2.3 Input_Main_Questionnaire'!$I$28</f>
        <v>0</v>
      </c>
      <c r="BB146" s="373">
        <f ca="1">-(1-BB$140)*'2.3 Input_Main_Questionnaire'!$H$52*'2.3 Input_Main_Questionnaire'!$I$28</f>
        <v>0</v>
      </c>
      <c r="BC146" s="373">
        <f ca="1">-(1-BC$140)*'2.3 Input_Main_Questionnaire'!$H$52*'2.3 Input_Main_Questionnaire'!$I$28</f>
        <v>0</v>
      </c>
      <c r="BD146" s="373">
        <f ca="1">-(1-BD$140)*'2.3 Input_Main_Questionnaire'!$H$52*'2.3 Input_Main_Questionnaire'!$I$28</f>
        <v>0</v>
      </c>
      <c r="BE146" s="373">
        <f ca="1">-(1-BE$140)*'2.3 Input_Main_Questionnaire'!$H$52*'2.3 Input_Main_Questionnaire'!$I$28</f>
        <v>0</v>
      </c>
      <c r="BF146" s="373">
        <f ca="1">-(1-BF$140)*'2.3 Input_Main_Questionnaire'!$H$52*'2.3 Input_Main_Questionnaire'!$I$28</f>
        <v>0</v>
      </c>
      <c r="BG146" s="373">
        <f ca="1">-(1-BG$140)*'2.3 Input_Main_Questionnaire'!$H$52*'2.3 Input_Main_Questionnaire'!$I$28</f>
        <v>0</v>
      </c>
      <c r="BH146" s="373">
        <f ca="1">-(1-BH$140)*'2.3 Input_Main_Questionnaire'!$H$52*'2.3 Input_Main_Questionnaire'!$I$28</f>
        <v>0</v>
      </c>
      <c r="BI146" s="373">
        <f ca="1">-(1-BI$140)*'2.3 Input_Main_Questionnaire'!$H$52*'2.3 Input_Main_Questionnaire'!$I$28</f>
        <v>0</v>
      </c>
      <c r="BJ146" s="373">
        <f ca="1">-(1-BJ$140)*'2.3 Input_Main_Questionnaire'!$H$52*'2.3 Input_Main_Questionnaire'!$I$28</f>
        <v>0</v>
      </c>
      <c r="BK146" s="373">
        <f ca="1">-(1-BK$140)*'2.3 Input_Main_Questionnaire'!$H$52*'2.3 Input_Main_Questionnaire'!$I$28</f>
        <v>0</v>
      </c>
      <c r="BL146" s="381"/>
      <c r="BM146" s="381"/>
      <c r="BN146" s="381"/>
      <c r="BO146" s="381"/>
      <c r="BP146" s="381"/>
      <c r="BQ146" s="381"/>
      <c r="BR146" s="381"/>
      <c r="BS146" s="381"/>
      <c r="BT146" s="381"/>
      <c r="BU146" s="381"/>
    </row>
    <row r="147" spans="1:73">
      <c r="A147" s="6"/>
      <c r="B147" s="108"/>
      <c r="C147" s="1"/>
      <c r="D147" s="37"/>
      <c r="E147" s="1"/>
      <c r="F147" s="1"/>
      <c r="G147" s="3"/>
      <c r="H147" s="3"/>
      <c r="I147" s="3"/>
      <c r="J147" s="3"/>
      <c r="K147" s="3"/>
      <c r="L147" s="3"/>
      <c r="M147" s="3"/>
      <c r="N147" s="3"/>
      <c r="O147" s="1"/>
      <c r="P147" s="1"/>
      <c r="Q147" s="1"/>
      <c r="R147" s="162"/>
      <c r="S147" s="1"/>
      <c r="T147" s="103"/>
      <c r="U147" s="103"/>
      <c r="V147" s="103" t="str">
        <f>$I$10</f>
        <v>Lecturer/Researcher (Academic)</v>
      </c>
      <c r="W147" s="373">
        <f ca="1">-(1-W$140)*'2.3 Input_Main_Questionnaire'!$H$52*'2.3 Input_Main_Questionnaire'!$J$28</f>
        <v>-1.8157499999999709E-2</v>
      </c>
      <c r="X147" s="373">
        <f ca="1">-(1-X$140)*'2.3 Input_Main_Questionnaire'!$H$52*'2.3 Input_Main_Questionnaire'!$J$28</f>
        <v>-2.1317068280364195E-3</v>
      </c>
      <c r="Y147" s="373">
        <f ca="1">-(1-Y$140)*'2.3 Input_Main_Questionnaire'!$H$52*'2.3 Input_Main_Questionnaire'!$J$28</f>
        <v>-7.4998062505565207E-5</v>
      </c>
      <c r="Z147" s="373">
        <f ca="1">-(1-Z$140)*'2.3 Input_Main_Questionnaire'!$H$52*'2.3 Input_Main_Questionnaire'!$J$28</f>
        <v>-2.4209999999970453E-6</v>
      </c>
      <c r="AA147" s="373">
        <f ca="1">-(1-AA$140)*'2.3 Input_Main_Questionnaire'!$H$52*'2.3 Input_Main_Questionnaire'!$J$28</f>
        <v>0</v>
      </c>
      <c r="AB147" s="373">
        <f ca="1">-(1-AB$140)*'2.3 Input_Main_Questionnaire'!$H$52*'2.3 Input_Main_Questionnaire'!$J$28</f>
        <v>0</v>
      </c>
      <c r="AC147" s="373">
        <f ca="1">-(1-AC$140)*'2.3 Input_Main_Questionnaire'!$H$52*'2.3 Input_Main_Questionnaire'!$J$28</f>
        <v>0</v>
      </c>
      <c r="AD147" s="373">
        <f ca="1">-(1-AD$140)*'2.3 Input_Main_Questionnaire'!$H$52*'2.3 Input_Main_Questionnaire'!$J$28</f>
        <v>0</v>
      </c>
      <c r="AE147" s="373">
        <f ca="1">-(1-AE$140)*'2.3 Input_Main_Questionnaire'!$H$52*'2.3 Input_Main_Questionnaire'!$J$28</f>
        <v>0</v>
      </c>
      <c r="AF147" s="373">
        <f ca="1">-(1-AF$140)*'2.3 Input_Main_Questionnaire'!$H$52*'2.3 Input_Main_Questionnaire'!$J$28</f>
        <v>0</v>
      </c>
      <c r="AG147" s="373">
        <f ca="1">-(1-AG$140)*'2.3 Input_Main_Questionnaire'!$H$52*'2.3 Input_Main_Questionnaire'!$J$28</f>
        <v>0</v>
      </c>
      <c r="AH147" s="373">
        <f ca="1">-(1-AH$140)*'2.3 Input_Main_Questionnaire'!$H$52*'2.3 Input_Main_Questionnaire'!$J$28</f>
        <v>0</v>
      </c>
      <c r="AI147" s="373">
        <f ca="1">-(1-AI$140)*'2.3 Input_Main_Questionnaire'!$H$52*'2.3 Input_Main_Questionnaire'!$J$28</f>
        <v>0</v>
      </c>
      <c r="AJ147" s="373">
        <f ca="1">-(1-AJ$140)*'2.3 Input_Main_Questionnaire'!$H$52*'2.3 Input_Main_Questionnaire'!$J$28</f>
        <v>0</v>
      </c>
      <c r="AK147" s="373">
        <f ca="1">-(1-AK$140)*'2.3 Input_Main_Questionnaire'!$H$52*'2.3 Input_Main_Questionnaire'!$J$28</f>
        <v>0</v>
      </c>
      <c r="AL147" s="373">
        <f ca="1">-(1-AL$140)*'2.3 Input_Main_Questionnaire'!$H$52*'2.3 Input_Main_Questionnaire'!$J$28</f>
        <v>0</v>
      </c>
      <c r="AM147" s="373">
        <f ca="1">-(1-AM$140)*'2.3 Input_Main_Questionnaire'!$H$52*'2.3 Input_Main_Questionnaire'!$J$28</f>
        <v>0</v>
      </c>
      <c r="AN147" s="373">
        <f ca="1">-(1-AN$140)*'2.3 Input_Main_Questionnaire'!$H$52*'2.3 Input_Main_Questionnaire'!$J$28</f>
        <v>0</v>
      </c>
      <c r="AO147" s="373">
        <f ca="1">-(1-AO$140)*'2.3 Input_Main_Questionnaire'!$H$52*'2.3 Input_Main_Questionnaire'!$J$28</f>
        <v>0</v>
      </c>
      <c r="AP147" s="373">
        <f ca="1">-(1-AP$140)*'2.3 Input_Main_Questionnaire'!$H$52*'2.3 Input_Main_Questionnaire'!$J$28</f>
        <v>0</v>
      </c>
      <c r="AQ147" s="373">
        <f ca="1">-(1-AQ$140)*'2.3 Input_Main_Questionnaire'!$H$52*'2.3 Input_Main_Questionnaire'!$J$28</f>
        <v>0</v>
      </c>
      <c r="AR147" s="373">
        <f ca="1">-(1-AR$140)*'2.3 Input_Main_Questionnaire'!$H$52*'2.3 Input_Main_Questionnaire'!$J$28</f>
        <v>0</v>
      </c>
      <c r="AS147" s="373">
        <f ca="1">-(1-AS$140)*'2.3 Input_Main_Questionnaire'!$H$52*'2.3 Input_Main_Questionnaire'!$J$28</f>
        <v>0</v>
      </c>
      <c r="AT147" s="373">
        <f ca="1">-(1-AT$140)*'2.3 Input_Main_Questionnaire'!$H$52*'2.3 Input_Main_Questionnaire'!$J$28</f>
        <v>0</v>
      </c>
      <c r="AU147" s="373">
        <f ca="1">-(1-AU$140)*'2.3 Input_Main_Questionnaire'!$H$52*'2.3 Input_Main_Questionnaire'!$J$28</f>
        <v>0</v>
      </c>
      <c r="AV147" s="373">
        <f ca="1">-(1-AV$140)*'2.3 Input_Main_Questionnaire'!$H$52*'2.3 Input_Main_Questionnaire'!$J$28</f>
        <v>0</v>
      </c>
      <c r="AW147" s="373">
        <f ca="1">-(1-AW$140)*'2.3 Input_Main_Questionnaire'!$H$52*'2.3 Input_Main_Questionnaire'!$J$28</f>
        <v>0</v>
      </c>
      <c r="AX147" s="373">
        <f ca="1">-(1-AX$140)*'2.3 Input_Main_Questionnaire'!$H$52*'2.3 Input_Main_Questionnaire'!$J$28</f>
        <v>0</v>
      </c>
      <c r="AY147" s="373">
        <f ca="1">-(1-AY$140)*'2.3 Input_Main_Questionnaire'!$H$52*'2.3 Input_Main_Questionnaire'!$J$28</f>
        <v>0</v>
      </c>
      <c r="AZ147" s="373">
        <f ca="1">-(1-AZ$140)*'2.3 Input_Main_Questionnaire'!$H$52*'2.3 Input_Main_Questionnaire'!$J$28</f>
        <v>0</v>
      </c>
      <c r="BA147" s="373">
        <f ca="1">-(1-BA$140)*'2.3 Input_Main_Questionnaire'!$H$52*'2.3 Input_Main_Questionnaire'!$J$28</f>
        <v>0</v>
      </c>
      <c r="BB147" s="373">
        <f ca="1">-(1-BB$140)*'2.3 Input_Main_Questionnaire'!$H$52*'2.3 Input_Main_Questionnaire'!$J$28</f>
        <v>0</v>
      </c>
      <c r="BC147" s="373">
        <f ca="1">-(1-BC$140)*'2.3 Input_Main_Questionnaire'!$H$52*'2.3 Input_Main_Questionnaire'!$J$28</f>
        <v>0</v>
      </c>
      <c r="BD147" s="373">
        <f ca="1">-(1-BD$140)*'2.3 Input_Main_Questionnaire'!$H$52*'2.3 Input_Main_Questionnaire'!$J$28</f>
        <v>0</v>
      </c>
      <c r="BE147" s="373">
        <f ca="1">-(1-BE$140)*'2.3 Input_Main_Questionnaire'!$H$52*'2.3 Input_Main_Questionnaire'!$J$28</f>
        <v>0</v>
      </c>
      <c r="BF147" s="373">
        <f ca="1">-(1-BF$140)*'2.3 Input_Main_Questionnaire'!$H$52*'2.3 Input_Main_Questionnaire'!$J$28</f>
        <v>0</v>
      </c>
      <c r="BG147" s="373">
        <f ca="1">-(1-BG$140)*'2.3 Input_Main_Questionnaire'!$H$52*'2.3 Input_Main_Questionnaire'!$J$28</f>
        <v>0</v>
      </c>
      <c r="BH147" s="373">
        <f ca="1">-(1-BH$140)*'2.3 Input_Main_Questionnaire'!$H$52*'2.3 Input_Main_Questionnaire'!$J$28</f>
        <v>0</v>
      </c>
      <c r="BI147" s="373">
        <f ca="1">-(1-BI$140)*'2.3 Input_Main_Questionnaire'!$H$52*'2.3 Input_Main_Questionnaire'!$J$28</f>
        <v>0</v>
      </c>
      <c r="BJ147" s="373">
        <f ca="1">-(1-BJ$140)*'2.3 Input_Main_Questionnaire'!$H$52*'2.3 Input_Main_Questionnaire'!$J$28</f>
        <v>0</v>
      </c>
      <c r="BK147" s="373">
        <f ca="1">-(1-BK$140)*'2.3 Input_Main_Questionnaire'!$H$52*'2.3 Input_Main_Questionnaire'!$J$28</f>
        <v>0</v>
      </c>
      <c r="BL147" s="381"/>
      <c r="BM147" s="381"/>
      <c r="BN147" s="381"/>
      <c r="BO147" s="381"/>
      <c r="BP147" s="381"/>
      <c r="BQ147" s="381"/>
      <c r="BR147" s="381"/>
      <c r="BS147" s="381"/>
      <c r="BT147" s="381"/>
      <c r="BU147" s="381"/>
    </row>
    <row r="148" spans="1:73">
      <c r="A148" s="6"/>
      <c r="B148" s="108"/>
      <c r="C148" s="1"/>
      <c r="D148" s="37"/>
      <c r="E148" s="1"/>
      <c r="F148" s="1"/>
      <c r="G148" s="3"/>
      <c r="H148" s="3"/>
      <c r="I148" s="3"/>
      <c r="J148" s="3"/>
      <c r="K148" s="3"/>
      <c r="L148" s="3"/>
      <c r="M148" s="3"/>
      <c r="N148" s="3"/>
      <c r="O148" s="1"/>
      <c r="P148" s="1"/>
      <c r="Q148" s="1"/>
      <c r="R148" s="162"/>
      <c r="S148" s="1"/>
      <c r="T148" s="103"/>
      <c r="U148" s="103"/>
      <c r="V148" s="103" t="str">
        <f>$J$10</f>
        <v>Other</v>
      </c>
      <c r="W148" s="373">
        <f ca="1">-(1-W$140)*'2.3 Input_Main_Questionnaire'!$H$52*'2.3 Input_Main_Questionnaire'!$K$28</f>
        <v>-1.0754999999999829E-2</v>
      </c>
      <c r="X148" s="373">
        <f ca="1">-(1-X$140)*'2.3 Input_Main_Questionnaire'!$H$52*'2.3 Input_Main_Questionnaire'!$K$28</f>
        <v>-1.2626466713772102E-3</v>
      </c>
      <c r="Y148" s="373">
        <f ca="1">-(1-Y$140)*'2.3 Input_Main_Questionnaire'!$H$52*'2.3 Input_Main_Questionnaire'!$K$28</f>
        <v>-4.4422644210235655E-5</v>
      </c>
      <c r="Z148" s="373">
        <f ca="1">-(1-Z$140)*'2.3 Input_Main_Questionnaire'!$H$52*'2.3 Input_Main_Questionnaire'!$K$28</f>
        <v>-1.43399999999825E-6</v>
      </c>
      <c r="AA148" s="373">
        <f ca="1">-(1-AA$140)*'2.3 Input_Main_Questionnaire'!$H$52*'2.3 Input_Main_Questionnaire'!$K$28</f>
        <v>0</v>
      </c>
      <c r="AB148" s="373">
        <f ca="1">-(1-AB$140)*'2.3 Input_Main_Questionnaire'!$H$52*'2.3 Input_Main_Questionnaire'!$K$28</f>
        <v>0</v>
      </c>
      <c r="AC148" s="373">
        <f ca="1">-(1-AC$140)*'2.3 Input_Main_Questionnaire'!$H$52*'2.3 Input_Main_Questionnaire'!$K$28</f>
        <v>0</v>
      </c>
      <c r="AD148" s="373">
        <f ca="1">-(1-AD$140)*'2.3 Input_Main_Questionnaire'!$H$52*'2.3 Input_Main_Questionnaire'!$K$28</f>
        <v>0</v>
      </c>
      <c r="AE148" s="373">
        <f ca="1">-(1-AE$140)*'2.3 Input_Main_Questionnaire'!$H$52*'2.3 Input_Main_Questionnaire'!$K$28</f>
        <v>0</v>
      </c>
      <c r="AF148" s="373">
        <f ca="1">-(1-AF$140)*'2.3 Input_Main_Questionnaire'!$H$52*'2.3 Input_Main_Questionnaire'!$K$28</f>
        <v>0</v>
      </c>
      <c r="AG148" s="373">
        <f ca="1">-(1-AG$140)*'2.3 Input_Main_Questionnaire'!$H$52*'2.3 Input_Main_Questionnaire'!$K$28</f>
        <v>0</v>
      </c>
      <c r="AH148" s="373">
        <f ca="1">-(1-AH$140)*'2.3 Input_Main_Questionnaire'!$H$52*'2.3 Input_Main_Questionnaire'!$K$28</f>
        <v>0</v>
      </c>
      <c r="AI148" s="373">
        <f ca="1">-(1-AI$140)*'2.3 Input_Main_Questionnaire'!$H$52*'2.3 Input_Main_Questionnaire'!$K$28</f>
        <v>0</v>
      </c>
      <c r="AJ148" s="373">
        <f ca="1">-(1-AJ$140)*'2.3 Input_Main_Questionnaire'!$H$52*'2.3 Input_Main_Questionnaire'!$K$28</f>
        <v>0</v>
      </c>
      <c r="AK148" s="373">
        <f ca="1">-(1-AK$140)*'2.3 Input_Main_Questionnaire'!$H$52*'2.3 Input_Main_Questionnaire'!$K$28</f>
        <v>0</v>
      </c>
      <c r="AL148" s="373">
        <f ca="1">-(1-AL$140)*'2.3 Input_Main_Questionnaire'!$H$52*'2.3 Input_Main_Questionnaire'!$K$28</f>
        <v>0</v>
      </c>
      <c r="AM148" s="373">
        <f ca="1">-(1-AM$140)*'2.3 Input_Main_Questionnaire'!$H$52*'2.3 Input_Main_Questionnaire'!$K$28</f>
        <v>0</v>
      </c>
      <c r="AN148" s="373">
        <f ca="1">-(1-AN$140)*'2.3 Input_Main_Questionnaire'!$H$52*'2.3 Input_Main_Questionnaire'!$K$28</f>
        <v>0</v>
      </c>
      <c r="AO148" s="373">
        <f ca="1">-(1-AO$140)*'2.3 Input_Main_Questionnaire'!$H$52*'2.3 Input_Main_Questionnaire'!$K$28</f>
        <v>0</v>
      </c>
      <c r="AP148" s="373">
        <f ca="1">-(1-AP$140)*'2.3 Input_Main_Questionnaire'!$H$52*'2.3 Input_Main_Questionnaire'!$K$28</f>
        <v>0</v>
      </c>
      <c r="AQ148" s="373">
        <f ca="1">-(1-AQ$140)*'2.3 Input_Main_Questionnaire'!$H$52*'2.3 Input_Main_Questionnaire'!$K$28</f>
        <v>0</v>
      </c>
      <c r="AR148" s="373">
        <f ca="1">-(1-AR$140)*'2.3 Input_Main_Questionnaire'!$H$52*'2.3 Input_Main_Questionnaire'!$K$28</f>
        <v>0</v>
      </c>
      <c r="AS148" s="373">
        <f ca="1">-(1-AS$140)*'2.3 Input_Main_Questionnaire'!$H$52*'2.3 Input_Main_Questionnaire'!$K$28</f>
        <v>0</v>
      </c>
      <c r="AT148" s="373">
        <f ca="1">-(1-AT$140)*'2.3 Input_Main_Questionnaire'!$H$52*'2.3 Input_Main_Questionnaire'!$K$28</f>
        <v>0</v>
      </c>
      <c r="AU148" s="373">
        <f ca="1">-(1-AU$140)*'2.3 Input_Main_Questionnaire'!$H$52*'2.3 Input_Main_Questionnaire'!$K$28</f>
        <v>0</v>
      </c>
      <c r="AV148" s="373">
        <f ca="1">-(1-AV$140)*'2.3 Input_Main_Questionnaire'!$H$52*'2.3 Input_Main_Questionnaire'!$K$28</f>
        <v>0</v>
      </c>
      <c r="AW148" s="373">
        <f ca="1">-(1-AW$140)*'2.3 Input_Main_Questionnaire'!$H$52*'2.3 Input_Main_Questionnaire'!$K$28</f>
        <v>0</v>
      </c>
      <c r="AX148" s="373">
        <f ca="1">-(1-AX$140)*'2.3 Input_Main_Questionnaire'!$H$52*'2.3 Input_Main_Questionnaire'!$K$28</f>
        <v>0</v>
      </c>
      <c r="AY148" s="373">
        <f ca="1">-(1-AY$140)*'2.3 Input_Main_Questionnaire'!$H$52*'2.3 Input_Main_Questionnaire'!$K$28</f>
        <v>0</v>
      </c>
      <c r="AZ148" s="373">
        <f ca="1">-(1-AZ$140)*'2.3 Input_Main_Questionnaire'!$H$52*'2.3 Input_Main_Questionnaire'!$K$28</f>
        <v>0</v>
      </c>
      <c r="BA148" s="373">
        <f ca="1">-(1-BA$140)*'2.3 Input_Main_Questionnaire'!$H$52*'2.3 Input_Main_Questionnaire'!$K$28</f>
        <v>0</v>
      </c>
      <c r="BB148" s="373">
        <f ca="1">-(1-BB$140)*'2.3 Input_Main_Questionnaire'!$H$52*'2.3 Input_Main_Questionnaire'!$K$28</f>
        <v>0</v>
      </c>
      <c r="BC148" s="373">
        <f ca="1">-(1-BC$140)*'2.3 Input_Main_Questionnaire'!$H$52*'2.3 Input_Main_Questionnaire'!$K$28</f>
        <v>0</v>
      </c>
      <c r="BD148" s="373">
        <f ca="1">-(1-BD$140)*'2.3 Input_Main_Questionnaire'!$H$52*'2.3 Input_Main_Questionnaire'!$K$28</f>
        <v>0</v>
      </c>
      <c r="BE148" s="373">
        <f ca="1">-(1-BE$140)*'2.3 Input_Main_Questionnaire'!$H$52*'2.3 Input_Main_Questionnaire'!$K$28</f>
        <v>0</v>
      </c>
      <c r="BF148" s="373">
        <f ca="1">-(1-BF$140)*'2.3 Input_Main_Questionnaire'!$H$52*'2.3 Input_Main_Questionnaire'!$K$28</f>
        <v>0</v>
      </c>
      <c r="BG148" s="373">
        <f ca="1">-(1-BG$140)*'2.3 Input_Main_Questionnaire'!$H$52*'2.3 Input_Main_Questionnaire'!$K$28</f>
        <v>0</v>
      </c>
      <c r="BH148" s="373">
        <f ca="1">-(1-BH$140)*'2.3 Input_Main_Questionnaire'!$H$52*'2.3 Input_Main_Questionnaire'!$K$28</f>
        <v>0</v>
      </c>
      <c r="BI148" s="373">
        <f ca="1">-(1-BI$140)*'2.3 Input_Main_Questionnaire'!$H$52*'2.3 Input_Main_Questionnaire'!$K$28</f>
        <v>0</v>
      </c>
      <c r="BJ148" s="373">
        <f ca="1">-(1-BJ$140)*'2.3 Input_Main_Questionnaire'!$H$52*'2.3 Input_Main_Questionnaire'!$K$28</f>
        <v>0</v>
      </c>
      <c r="BK148" s="373">
        <f ca="1">-(1-BK$140)*'2.3 Input_Main_Questionnaire'!$H$52*'2.3 Input_Main_Questionnaire'!$K$28</f>
        <v>0</v>
      </c>
      <c r="BL148" s="381"/>
      <c r="BM148" s="381"/>
      <c r="BN148" s="381"/>
      <c r="BO148" s="381"/>
      <c r="BP148" s="381"/>
      <c r="BQ148" s="381"/>
      <c r="BR148" s="381"/>
      <c r="BS148" s="381"/>
      <c r="BT148" s="381"/>
      <c r="BU148" s="381"/>
    </row>
    <row r="149" spans="1:73">
      <c r="A149" s="6"/>
      <c r="B149" s="108"/>
      <c r="C149" s="1"/>
      <c r="D149" s="37"/>
      <c r="E149" s="1"/>
      <c r="F149" s="1"/>
      <c r="G149" s="3"/>
      <c r="H149" s="3"/>
      <c r="I149" s="3"/>
      <c r="J149" s="3"/>
      <c r="K149" s="3"/>
      <c r="L149" s="3"/>
      <c r="M149" s="3"/>
      <c r="N149" s="3"/>
      <c r="O149" s="1"/>
      <c r="P149" s="1"/>
      <c r="Q149" s="1"/>
      <c r="R149" s="162"/>
      <c r="S149" s="1"/>
      <c r="T149" s="103"/>
      <c r="U149" s="103"/>
      <c r="V149" s="103" t="str">
        <f>$K$10</f>
        <v>Profile 5</v>
      </c>
      <c r="W149" s="373">
        <f ca="1">-(1-W$140)*'2.3 Input_Main_Questionnaire'!$H$52*'2.3 Input_Main_Questionnaire'!$L$28</f>
        <v>-1.25887499999998E-2</v>
      </c>
      <c r="X149" s="373">
        <f ca="1">-(1-X$140)*'2.3 Input_Main_Questionnaire'!$H$52*'2.3 Input_Main_Questionnaire'!$L$28</f>
        <v>-1.4779305703672575E-3</v>
      </c>
      <c r="Y149" s="373">
        <f ca="1">-(1-Y$140)*'2.3 Input_Main_Questionnaire'!$H$52*'2.3 Input_Main_Questionnaire'!$L$28</f>
        <v>-5.1996797982482943E-5</v>
      </c>
      <c r="Z149" s="373">
        <f ca="1">-(1-Z$140)*'2.3 Input_Main_Questionnaire'!$H$52*'2.3 Input_Main_Questionnaire'!$L$28</f>
        <v>-1.6784999999979516E-6</v>
      </c>
      <c r="AA149" s="373">
        <f ca="1">-(1-AA$140)*'2.3 Input_Main_Questionnaire'!$H$52*'2.3 Input_Main_Questionnaire'!$L$28</f>
        <v>0</v>
      </c>
      <c r="AB149" s="373">
        <f ca="1">-(1-AB$140)*'2.3 Input_Main_Questionnaire'!$H$52*'2.3 Input_Main_Questionnaire'!$L$28</f>
        <v>0</v>
      </c>
      <c r="AC149" s="373">
        <f ca="1">-(1-AC$140)*'2.3 Input_Main_Questionnaire'!$H$52*'2.3 Input_Main_Questionnaire'!$L$28</f>
        <v>0</v>
      </c>
      <c r="AD149" s="373">
        <f ca="1">-(1-AD$140)*'2.3 Input_Main_Questionnaire'!$H$52*'2.3 Input_Main_Questionnaire'!$L$28</f>
        <v>0</v>
      </c>
      <c r="AE149" s="373">
        <f ca="1">-(1-AE$140)*'2.3 Input_Main_Questionnaire'!$H$52*'2.3 Input_Main_Questionnaire'!$L$28</f>
        <v>0</v>
      </c>
      <c r="AF149" s="373">
        <f ca="1">-(1-AF$140)*'2.3 Input_Main_Questionnaire'!$H$52*'2.3 Input_Main_Questionnaire'!$L$28</f>
        <v>0</v>
      </c>
      <c r="AG149" s="373">
        <f ca="1">-(1-AG$140)*'2.3 Input_Main_Questionnaire'!$H$52*'2.3 Input_Main_Questionnaire'!$L$28</f>
        <v>0</v>
      </c>
      <c r="AH149" s="373">
        <f ca="1">-(1-AH$140)*'2.3 Input_Main_Questionnaire'!$H$52*'2.3 Input_Main_Questionnaire'!$L$28</f>
        <v>0</v>
      </c>
      <c r="AI149" s="373">
        <f ca="1">-(1-AI$140)*'2.3 Input_Main_Questionnaire'!$H$52*'2.3 Input_Main_Questionnaire'!$L$28</f>
        <v>0</v>
      </c>
      <c r="AJ149" s="373">
        <f ca="1">-(1-AJ$140)*'2.3 Input_Main_Questionnaire'!$H$52*'2.3 Input_Main_Questionnaire'!$L$28</f>
        <v>0</v>
      </c>
      <c r="AK149" s="373">
        <f ca="1">-(1-AK$140)*'2.3 Input_Main_Questionnaire'!$H$52*'2.3 Input_Main_Questionnaire'!$L$28</f>
        <v>0</v>
      </c>
      <c r="AL149" s="373">
        <f ca="1">-(1-AL$140)*'2.3 Input_Main_Questionnaire'!$H$52*'2.3 Input_Main_Questionnaire'!$L$28</f>
        <v>0</v>
      </c>
      <c r="AM149" s="373">
        <f ca="1">-(1-AM$140)*'2.3 Input_Main_Questionnaire'!$H$52*'2.3 Input_Main_Questionnaire'!$L$28</f>
        <v>0</v>
      </c>
      <c r="AN149" s="373">
        <f ca="1">-(1-AN$140)*'2.3 Input_Main_Questionnaire'!$H$52*'2.3 Input_Main_Questionnaire'!$L$28</f>
        <v>0</v>
      </c>
      <c r="AO149" s="373">
        <f ca="1">-(1-AO$140)*'2.3 Input_Main_Questionnaire'!$H$52*'2.3 Input_Main_Questionnaire'!$L$28</f>
        <v>0</v>
      </c>
      <c r="AP149" s="373">
        <f ca="1">-(1-AP$140)*'2.3 Input_Main_Questionnaire'!$H$52*'2.3 Input_Main_Questionnaire'!$L$28</f>
        <v>0</v>
      </c>
      <c r="AQ149" s="373">
        <f ca="1">-(1-AQ$140)*'2.3 Input_Main_Questionnaire'!$H$52*'2.3 Input_Main_Questionnaire'!$L$28</f>
        <v>0</v>
      </c>
      <c r="AR149" s="373">
        <f ca="1">-(1-AR$140)*'2.3 Input_Main_Questionnaire'!$H$52*'2.3 Input_Main_Questionnaire'!$L$28</f>
        <v>0</v>
      </c>
      <c r="AS149" s="373">
        <f ca="1">-(1-AS$140)*'2.3 Input_Main_Questionnaire'!$H$52*'2.3 Input_Main_Questionnaire'!$L$28</f>
        <v>0</v>
      </c>
      <c r="AT149" s="373">
        <f ca="1">-(1-AT$140)*'2.3 Input_Main_Questionnaire'!$H$52*'2.3 Input_Main_Questionnaire'!$L$28</f>
        <v>0</v>
      </c>
      <c r="AU149" s="373">
        <f ca="1">-(1-AU$140)*'2.3 Input_Main_Questionnaire'!$H$52*'2.3 Input_Main_Questionnaire'!$L$28</f>
        <v>0</v>
      </c>
      <c r="AV149" s="373">
        <f ca="1">-(1-AV$140)*'2.3 Input_Main_Questionnaire'!$H$52*'2.3 Input_Main_Questionnaire'!$L$28</f>
        <v>0</v>
      </c>
      <c r="AW149" s="373">
        <f ca="1">-(1-AW$140)*'2.3 Input_Main_Questionnaire'!$H$52*'2.3 Input_Main_Questionnaire'!$L$28</f>
        <v>0</v>
      </c>
      <c r="AX149" s="373">
        <f ca="1">-(1-AX$140)*'2.3 Input_Main_Questionnaire'!$H$52*'2.3 Input_Main_Questionnaire'!$L$28</f>
        <v>0</v>
      </c>
      <c r="AY149" s="373">
        <f ca="1">-(1-AY$140)*'2.3 Input_Main_Questionnaire'!$H$52*'2.3 Input_Main_Questionnaire'!$L$28</f>
        <v>0</v>
      </c>
      <c r="AZ149" s="373">
        <f ca="1">-(1-AZ$140)*'2.3 Input_Main_Questionnaire'!$H$52*'2.3 Input_Main_Questionnaire'!$L$28</f>
        <v>0</v>
      </c>
      <c r="BA149" s="373">
        <f ca="1">-(1-BA$140)*'2.3 Input_Main_Questionnaire'!$H$52*'2.3 Input_Main_Questionnaire'!$L$28</f>
        <v>0</v>
      </c>
      <c r="BB149" s="373">
        <f ca="1">-(1-BB$140)*'2.3 Input_Main_Questionnaire'!$H$52*'2.3 Input_Main_Questionnaire'!$L$28</f>
        <v>0</v>
      </c>
      <c r="BC149" s="373">
        <f ca="1">-(1-BC$140)*'2.3 Input_Main_Questionnaire'!$H$52*'2.3 Input_Main_Questionnaire'!$L$28</f>
        <v>0</v>
      </c>
      <c r="BD149" s="373">
        <f ca="1">-(1-BD$140)*'2.3 Input_Main_Questionnaire'!$H$52*'2.3 Input_Main_Questionnaire'!$L$28</f>
        <v>0</v>
      </c>
      <c r="BE149" s="373">
        <f ca="1">-(1-BE$140)*'2.3 Input_Main_Questionnaire'!$H$52*'2.3 Input_Main_Questionnaire'!$L$28</f>
        <v>0</v>
      </c>
      <c r="BF149" s="373">
        <f ca="1">-(1-BF$140)*'2.3 Input_Main_Questionnaire'!$H$52*'2.3 Input_Main_Questionnaire'!$L$28</f>
        <v>0</v>
      </c>
      <c r="BG149" s="373">
        <f ca="1">-(1-BG$140)*'2.3 Input_Main_Questionnaire'!$H$52*'2.3 Input_Main_Questionnaire'!$L$28</f>
        <v>0</v>
      </c>
      <c r="BH149" s="373">
        <f ca="1">-(1-BH$140)*'2.3 Input_Main_Questionnaire'!$H$52*'2.3 Input_Main_Questionnaire'!$L$28</f>
        <v>0</v>
      </c>
      <c r="BI149" s="373">
        <f ca="1">-(1-BI$140)*'2.3 Input_Main_Questionnaire'!$H$52*'2.3 Input_Main_Questionnaire'!$L$28</f>
        <v>0</v>
      </c>
      <c r="BJ149" s="373">
        <f ca="1">-(1-BJ$140)*'2.3 Input_Main_Questionnaire'!$H$52*'2.3 Input_Main_Questionnaire'!$L$28</f>
        <v>0</v>
      </c>
      <c r="BK149" s="373">
        <f ca="1">-(1-BK$140)*'2.3 Input_Main_Questionnaire'!$H$52*'2.3 Input_Main_Questionnaire'!$L$28</f>
        <v>0</v>
      </c>
      <c r="BL149" s="381"/>
      <c r="BM149" s="381"/>
      <c r="BN149" s="381"/>
      <c r="BO149" s="381"/>
      <c r="BP149" s="381"/>
      <c r="BQ149" s="381"/>
      <c r="BR149" s="381"/>
      <c r="BS149" s="381"/>
      <c r="BT149" s="381"/>
      <c r="BU149" s="381"/>
    </row>
    <row r="150" spans="1:73">
      <c r="A150" s="6"/>
      <c r="B150" s="108"/>
      <c r="C150" s="1"/>
      <c r="D150" s="37"/>
      <c r="E150" s="1"/>
      <c r="F150" s="1"/>
      <c r="G150" s="3"/>
      <c r="H150" s="3"/>
      <c r="I150" s="3"/>
      <c r="J150" s="3"/>
      <c r="K150" s="3"/>
      <c r="L150" s="3"/>
      <c r="M150" s="3"/>
      <c r="N150" s="3"/>
      <c r="O150" s="1"/>
      <c r="P150" s="1"/>
      <c r="Q150" s="1"/>
      <c r="R150" s="162"/>
      <c r="S150" s="1"/>
      <c r="T150" s="103"/>
      <c r="U150" s="103"/>
      <c r="V150" s="103" t="str">
        <f>$L$10</f>
        <v>Profile 6</v>
      </c>
      <c r="W150" s="373">
        <f ca="1">-(1-W$140)*'2.3 Input_Main_Questionnaire'!$H$52*'2.3 Input_Main_Questionnaire'!$M$28</f>
        <v>-1.25887499999998E-2</v>
      </c>
      <c r="X150" s="373">
        <f ca="1">-(1-X$140)*'2.3 Input_Main_Questionnaire'!$H$52*'2.3 Input_Main_Questionnaire'!$M$28</f>
        <v>-1.4779305703672575E-3</v>
      </c>
      <c r="Y150" s="373">
        <f ca="1">-(1-Y$140)*'2.3 Input_Main_Questionnaire'!$H$52*'2.3 Input_Main_Questionnaire'!$M$28</f>
        <v>-5.1996797982482943E-5</v>
      </c>
      <c r="Z150" s="373">
        <f ca="1">-(1-Z$140)*'2.3 Input_Main_Questionnaire'!$H$52*'2.3 Input_Main_Questionnaire'!$M$28</f>
        <v>-1.6784999999979516E-6</v>
      </c>
      <c r="AA150" s="373">
        <f ca="1">-(1-AA$140)*'2.3 Input_Main_Questionnaire'!$H$52*'2.3 Input_Main_Questionnaire'!$M$28</f>
        <v>0</v>
      </c>
      <c r="AB150" s="373">
        <f ca="1">-(1-AB$140)*'2.3 Input_Main_Questionnaire'!$H$52*'2.3 Input_Main_Questionnaire'!$M$28</f>
        <v>0</v>
      </c>
      <c r="AC150" s="373">
        <f ca="1">-(1-AC$140)*'2.3 Input_Main_Questionnaire'!$H$52*'2.3 Input_Main_Questionnaire'!$M$28</f>
        <v>0</v>
      </c>
      <c r="AD150" s="373">
        <f ca="1">-(1-AD$140)*'2.3 Input_Main_Questionnaire'!$H$52*'2.3 Input_Main_Questionnaire'!$M$28</f>
        <v>0</v>
      </c>
      <c r="AE150" s="373">
        <f ca="1">-(1-AE$140)*'2.3 Input_Main_Questionnaire'!$H$52*'2.3 Input_Main_Questionnaire'!$M$28</f>
        <v>0</v>
      </c>
      <c r="AF150" s="373">
        <f ca="1">-(1-AF$140)*'2.3 Input_Main_Questionnaire'!$H$52*'2.3 Input_Main_Questionnaire'!$M$28</f>
        <v>0</v>
      </c>
      <c r="AG150" s="373">
        <f ca="1">-(1-AG$140)*'2.3 Input_Main_Questionnaire'!$H$52*'2.3 Input_Main_Questionnaire'!$M$28</f>
        <v>0</v>
      </c>
      <c r="AH150" s="373">
        <f ca="1">-(1-AH$140)*'2.3 Input_Main_Questionnaire'!$H$52*'2.3 Input_Main_Questionnaire'!$M$28</f>
        <v>0</v>
      </c>
      <c r="AI150" s="373">
        <f ca="1">-(1-AI$140)*'2.3 Input_Main_Questionnaire'!$H$52*'2.3 Input_Main_Questionnaire'!$M$28</f>
        <v>0</v>
      </c>
      <c r="AJ150" s="373">
        <f ca="1">-(1-AJ$140)*'2.3 Input_Main_Questionnaire'!$H$52*'2.3 Input_Main_Questionnaire'!$M$28</f>
        <v>0</v>
      </c>
      <c r="AK150" s="373">
        <f ca="1">-(1-AK$140)*'2.3 Input_Main_Questionnaire'!$H$52*'2.3 Input_Main_Questionnaire'!$M$28</f>
        <v>0</v>
      </c>
      <c r="AL150" s="373">
        <f ca="1">-(1-AL$140)*'2.3 Input_Main_Questionnaire'!$H$52*'2.3 Input_Main_Questionnaire'!$M$28</f>
        <v>0</v>
      </c>
      <c r="AM150" s="373">
        <f ca="1">-(1-AM$140)*'2.3 Input_Main_Questionnaire'!$H$52*'2.3 Input_Main_Questionnaire'!$M$28</f>
        <v>0</v>
      </c>
      <c r="AN150" s="373">
        <f ca="1">-(1-AN$140)*'2.3 Input_Main_Questionnaire'!$H$52*'2.3 Input_Main_Questionnaire'!$M$28</f>
        <v>0</v>
      </c>
      <c r="AO150" s="373">
        <f ca="1">-(1-AO$140)*'2.3 Input_Main_Questionnaire'!$H$52*'2.3 Input_Main_Questionnaire'!$M$28</f>
        <v>0</v>
      </c>
      <c r="AP150" s="373">
        <f ca="1">-(1-AP$140)*'2.3 Input_Main_Questionnaire'!$H$52*'2.3 Input_Main_Questionnaire'!$M$28</f>
        <v>0</v>
      </c>
      <c r="AQ150" s="373">
        <f ca="1">-(1-AQ$140)*'2.3 Input_Main_Questionnaire'!$H$52*'2.3 Input_Main_Questionnaire'!$M$28</f>
        <v>0</v>
      </c>
      <c r="AR150" s="373">
        <f ca="1">-(1-AR$140)*'2.3 Input_Main_Questionnaire'!$H$52*'2.3 Input_Main_Questionnaire'!$M$28</f>
        <v>0</v>
      </c>
      <c r="AS150" s="373">
        <f ca="1">-(1-AS$140)*'2.3 Input_Main_Questionnaire'!$H$52*'2.3 Input_Main_Questionnaire'!$M$28</f>
        <v>0</v>
      </c>
      <c r="AT150" s="373">
        <f ca="1">-(1-AT$140)*'2.3 Input_Main_Questionnaire'!$H$52*'2.3 Input_Main_Questionnaire'!$M$28</f>
        <v>0</v>
      </c>
      <c r="AU150" s="373">
        <f ca="1">-(1-AU$140)*'2.3 Input_Main_Questionnaire'!$H$52*'2.3 Input_Main_Questionnaire'!$M$28</f>
        <v>0</v>
      </c>
      <c r="AV150" s="373">
        <f ca="1">-(1-AV$140)*'2.3 Input_Main_Questionnaire'!$H$52*'2.3 Input_Main_Questionnaire'!$M$28</f>
        <v>0</v>
      </c>
      <c r="AW150" s="373">
        <f ca="1">-(1-AW$140)*'2.3 Input_Main_Questionnaire'!$H$52*'2.3 Input_Main_Questionnaire'!$M$28</f>
        <v>0</v>
      </c>
      <c r="AX150" s="373">
        <f ca="1">-(1-AX$140)*'2.3 Input_Main_Questionnaire'!$H$52*'2.3 Input_Main_Questionnaire'!$M$28</f>
        <v>0</v>
      </c>
      <c r="AY150" s="373">
        <f ca="1">-(1-AY$140)*'2.3 Input_Main_Questionnaire'!$H$52*'2.3 Input_Main_Questionnaire'!$M$28</f>
        <v>0</v>
      </c>
      <c r="AZ150" s="373">
        <f ca="1">-(1-AZ$140)*'2.3 Input_Main_Questionnaire'!$H$52*'2.3 Input_Main_Questionnaire'!$M$28</f>
        <v>0</v>
      </c>
      <c r="BA150" s="373">
        <f ca="1">-(1-BA$140)*'2.3 Input_Main_Questionnaire'!$H$52*'2.3 Input_Main_Questionnaire'!$M$28</f>
        <v>0</v>
      </c>
      <c r="BB150" s="373">
        <f ca="1">-(1-BB$140)*'2.3 Input_Main_Questionnaire'!$H$52*'2.3 Input_Main_Questionnaire'!$M$28</f>
        <v>0</v>
      </c>
      <c r="BC150" s="373">
        <f ca="1">-(1-BC$140)*'2.3 Input_Main_Questionnaire'!$H$52*'2.3 Input_Main_Questionnaire'!$M$28</f>
        <v>0</v>
      </c>
      <c r="BD150" s="373">
        <f ca="1">-(1-BD$140)*'2.3 Input_Main_Questionnaire'!$H$52*'2.3 Input_Main_Questionnaire'!$M$28</f>
        <v>0</v>
      </c>
      <c r="BE150" s="373">
        <f ca="1">-(1-BE$140)*'2.3 Input_Main_Questionnaire'!$H$52*'2.3 Input_Main_Questionnaire'!$M$28</f>
        <v>0</v>
      </c>
      <c r="BF150" s="373">
        <f ca="1">-(1-BF$140)*'2.3 Input_Main_Questionnaire'!$H$52*'2.3 Input_Main_Questionnaire'!$M$28</f>
        <v>0</v>
      </c>
      <c r="BG150" s="373">
        <f ca="1">-(1-BG$140)*'2.3 Input_Main_Questionnaire'!$H$52*'2.3 Input_Main_Questionnaire'!$M$28</f>
        <v>0</v>
      </c>
      <c r="BH150" s="373">
        <f ca="1">-(1-BH$140)*'2.3 Input_Main_Questionnaire'!$H$52*'2.3 Input_Main_Questionnaire'!$M$28</f>
        <v>0</v>
      </c>
      <c r="BI150" s="373">
        <f ca="1">-(1-BI$140)*'2.3 Input_Main_Questionnaire'!$H$52*'2.3 Input_Main_Questionnaire'!$M$28</f>
        <v>0</v>
      </c>
      <c r="BJ150" s="373">
        <f ca="1">-(1-BJ$140)*'2.3 Input_Main_Questionnaire'!$H$52*'2.3 Input_Main_Questionnaire'!$M$28</f>
        <v>0</v>
      </c>
      <c r="BK150" s="373">
        <f ca="1">-(1-BK$140)*'2.3 Input_Main_Questionnaire'!$H$52*'2.3 Input_Main_Questionnaire'!$M$28</f>
        <v>0</v>
      </c>
      <c r="BL150" s="381"/>
      <c r="BM150" s="381"/>
      <c r="BN150" s="381"/>
      <c r="BO150" s="381"/>
      <c r="BP150" s="381"/>
      <c r="BQ150" s="381"/>
      <c r="BR150" s="381"/>
      <c r="BS150" s="381"/>
      <c r="BT150" s="381"/>
      <c r="BU150" s="381"/>
    </row>
    <row r="151" spans="1:73">
      <c r="A151" s="6"/>
      <c r="B151" s="108"/>
      <c r="C151" s="1"/>
      <c r="D151" s="37"/>
      <c r="E151" s="1"/>
      <c r="F151" s="1"/>
      <c r="G151" s="3"/>
      <c r="H151" s="3"/>
      <c r="I151" s="3"/>
      <c r="J151" s="3"/>
      <c r="K151" s="3"/>
      <c r="L151" s="3"/>
      <c r="M151" s="3"/>
      <c r="N151" s="3"/>
      <c r="O151" s="1"/>
      <c r="P151" s="1"/>
      <c r="Q151" s="1"/>
      <c r="R151" s="162"/>
      <c r="S151" s="1"/>
      <c r="T151" s="103"/>
      <c r="U151" s="103"/>
      <c r="V151" s="103" t="str">
        <f>$M$10</f>
        <v>Profile 7</v>
      </c>
      <c r="W151" s="373">
        <f ca="1">-(1-W$140)*'2.3 Input_Main_Questionnaire'!$H$52*'2.3 Input_Main_Questionnaire'!$N$28</f>
        <v>-1.25887499999998E-2</v>
      </c>
      <c r="X151" s="373">
        <f ca="1">-(1-X$140)*'2.3 Input_Main_Questionnaire'!$H$52*'2.3 Input_Main_Questionnaire'!$N$28</f>
        <v>-1.4779305703672575E-3</v>
      </c>
      <c r="Y151" s="373">
        <f ca="1">-(1-Y$140)*'2.3 Input_Main_Questionnaire'!$H$52*'2.3 Input_Main_Questionnaire'!$N$28</f>
        <v>-5.1996797982482943E-5</v>
      </c>
      <c r="Z151" s="373">
        <f ca="1">-(1-Z$140)*'2.3 Input_Main_Questionnaire'!$H$52*'2.3 Input_Main_Questionnaire'!$N$28</f>
        <v>-1.6784999999979516E-6</v>
      </c>
      <c r="AA151" s="373">
        <f ca="1">-(1-AA$140)*'2.3 Input_Main_Questionnaire'!$H$52*'2.3 Input_Main_Questionnaire'!$N$28</f>
        <v>0</v>
      </c>
      <c r="AB151" s="373">
        <f ca="1">-(1-AB$140)*'2.3 Input_Main_Questionnaire'!$H$52*'2.3 Input_Main_Questionnaire'!$N$28</f>
        <v>0</v>
      </c>
      <c r="AC151" s="373">
        <f ca="1">-(1-AC$140)*'2.3 Input_Main_Questionnaire'!$H$52*'2.3 Input_Main_Questionnaire'!$N$28</f>
        <v>0</v>
      </c>
      <c r="AD151" s="373">
        <f ca="1">-(1-AD$140)*'2.3 Input_Main_Questionnaire'!$H$52*'2.3 Input_Main_Questionnaire'!$N$28</f>
        <v>0</v>
      </c>
      <c r="AE151" s="373">
        <f ca="1">-(1-AE$140)*'2.3 Input_Main_Questionnaire'!$H$52*'2.3 Input_Main_Questionnaire'!$N$28</f>
        <v>0</v>
      </c>
      <c r="AF151" s="373">
        <f ca="1">-(1-AF$140)*'2.3 Input_Main_Questionnaire'!$H$52*'2.3 Input_Main_Questionnaire'!$N$28</f>
        <v>0</v>
      </c>
      <c r="AG151" s="373">
        <f ca="1">-(1-AG$140)*'2.3 Input_Main_Questionnaire'!$H$52*'2.3 Input_Main_Questionnaire'!$N$28</f>
        <v>0</v>
      </c>
      <c r="AH151" s="373">
        <f ca="1">-(1-AH$140)*'2.3 Input_Main_Questionnaire'!$H$52*'2.3 Input_Main_Questionnaire'!$N$28</f>
        <v>0</v>
      </c>
      <c r="AI151" s="373">
        <f ca="1">-(1-AI$140)*'2.3 Input_Main_Questionnaire'!$H$52*'2.3 Input_Main_Questionnaire'!$N$28</f>
        <v>0</v>
      </c>
      <c r="AJ151" s="373">
        <f ca="1">-(1-AJ$140)*'2.3 Input_Main_Questionnaire'!$H$52*'2.3 Input_Main_Questionnaire'!$N$28</f>
        <v>0</v>
      </c>
      <c r="AK151" s="373">
        <f ca="1">-(1-AK$140)*'2.3 Input_Main_Questionnaire'!$H$52*'2.3 Input_Main_Questionnaire'!$N$28</f>
        <v>0</v>
      </c>
      <c r="AL151" s="373">
        <f ca="1">-(1-AL$140)*'2.3 Input_Main_Questionnaire'!$H$52*'2.3 Input_Main_Questionnaire'!$N$28</f>
        <v>0</v>
      </c>
      <c r="AM151" s="373">
        <f ca="1">-(1-AM$140)*'2.3 Input_Main_Questionnaire'!$H$52*'2.3 Input_Main_Questionnaire'!$N$28</f>
        <v>0</v>
      </c>
      <c r="AN151" s="373">
        <f ca="1">-(1-AN$140)*'2.3 Input_Main_Questionnaire'!$H$52*'2.3 Input_Main_Questionnaire'!$N$28</f>
        <v>0</v>
      </c>
      <c r="AO151" s="373">
        <f ca="1">-(1-AO$140)*'2.3 Input_Main_Questionnaire'!$H$52*'2.3 Input_Main_Questionnaire'!$N$28</f>
        <v>0</v>
      </c>
      <c r="AP151" s="373">
        <f ca="1">-(1-AP$140)*'2.3 Input_Main_Questionnaire'!$H$52*'2.3 Input_Main_Questionnaire'!$N$28</f>
        <v>0</v>
      </c>
      <c r="AQ151" s="373">
        <f ca="1">-(1-AQ$140)*'2.3 Input_Main_Questionnaire'!$H$52*'2.3 Input_Main_Questionnaire'!$N$28</f>
        <v>0</v>
      </c>
      <c r="AR151" s="373">
        <f ca="1">-(1-AR$140)*'2.3 Input_Main_Questionnaire'!$H$52*'2.3 Input_Main_Questionnaire'!$N$28</f>
        <v>0</v>
      </c>
      <c r="AS151" s="373">
        <f ca="1">-(1-AS$140)*'2.3 Input_Main_Questionnaire'!$H$52*'2.3 Input_Main_Questionnaire'!$N$28</f>
        <v>0</v>
      </c>
      <c r="AT151" s="373">
        <f ca="1">-(1-AT$140)*'2.3 Input_Main_Questionnaire'!$H$52*'2.3 Input_Main_Questionnaire'!$N$28</f>
        <v>0</v>
      </c>
      <c r="AU151" s="373">
        <f ca="1">-(1-AU$140)*'2.3 Input_Main_Questionnaire'!$H$52*'2.3 Input_Main_Questionnaire'!$N$28</f>
        <v>0</v>
      </c>
      <c r="AV151" s="373">
        <f ca="1">-(1-AV$140)*'2.3 Input_Main_Questionnaire'!$H$52*'2.3 Input_Main_Questionnaire'!$N$28</f>
        <v>0</v>
      </c>
      <c r="AW151" s="373">
        <f ca="1">-(1-AW$140)*'2.3 Input_Main_Questionnaire'!$H$52*'2.3 Input_Main_Questionnaire'!$N$28</f>
        <v>0</v>
      </c>
      <c r="AX151" s="373">
        <f ca="1">-(1-AX$140)*'2.3 Input_Main_Questionnaire'!$H$52*'2.3 Input_Main_Questionnaire'!$N$28</f>
        <v>0</v>
      </c>
      <c r="AY151" s="373">
        <f ca="1">-(1-AY$140)*'2.3 Input_Main_Questionnaire'!$H$52*'2.3 Input_Main_Questionnaire'!$N$28</f>
        <v>0</v>
      </c>
      <c r="AZ151" s="373">
        <f ca="1">-(1-AZ$140)*'2.3 Input_Main_Questionnaire'!$H$52*'2.3 Input_Main_Questionnaire'!$N$28</f>
        <v>0</v>
      </c>
      <c r="BA151" s="373">
        <f ca="1">-(1-BA$140)*'2.3 Input_Main_Questionnaire'!$H$52*'2.3 Input_Main_Questionnaire'!$N$28</f>
        <v>0</v>
      </c>
      <c r="BB151" s="373">
        <f ca="1">-(1-BB$140)*'2.3 Input_Main_Questionnaire'!$H$52*'2.3 Input_Main_Questionnaire'!$N$28</f>
        <v>0</v>
      </c>
      <c r="BC151" s="373">
        <f ca="1">-(1-BC$140)*'2.3 Input_Main_Questionnaire'!$H$52*'2.3 Input_Main_Questionnaire'!$N$28</f>
        <v>0</v>
      </c>
      <c r="BD151" s="373">
        <f ca="1">-(1-BD$140)*'2.3 Input_Main_Questionnaire'!$H$52*'2.3 Input_Main_Questionnaire'!$N$28</f>
        <v>0</v>
      </c>
      <c r="BE151" s="373">
        <f ca="1">-(1-BE$140)*'2.3 Input_Main_Questionnaire'!$H$52*'2.3 Input_Main_Questionnaire'!$N$28</f>
        <v>0</v>
      </c>
      <c r="BF151" s="373">
        <f ca="1">-(1-BF$140)*'2.3 Input_Main_Questionnaire'!$H$52*'2.3 Input_Main_Questionnaire'!$N$28</f>
        <v>0</v>
      </c>
      <c r="BG151" s="373">
        <f ca="1">-(1-BG$140)*'2.3 Input_Main_Questionnaire'!$H$52*'2.3 Input_Main_Questionnaire'!$N$28</f>
        <v>0</v>
      </c>
      <c r="BH151" s="373">
        <f ca="1">-(1-BH$140)*'2.3 Input_Main_Questionnaire'!$H$52*'2.3 Input_Main_Questionnaire'!$N$28</f>
        <v>0</v>
      </c>
      <c r="BI151" s="373">
        <f ca="1">-(1-BI$140)*'2.3 Input_Main_Questionnaire'!$H$52*'2.3 Input_Main_Questionnaire'!$N$28</f>
        <v>0</v>
      </c>
      <c r="BJ151" s="373">
        <f ca="1">-(1-BJ$140)*'2.3 Input_Main_Questionnaire'!$H$52*'2.3 Input_Main_Questionnaire'!$N$28</f>
        <v>0</v>
      </c>
      <c r="BK151" s="373">
        <f ca="1">-(1-BK$140)*'2.3 Input_Main_Questionnaire'!$H$52*'2.3 Input_Main_Questionnaire'!$N$28</f>
        <v>0</v>
      </c>
      <c r="BL151" s="381"/>
      <c r="BM151" s="381"/>
      <c r="BN151" s="381"/>
      <c r="BO151" s="381"/>
      <c r="BP151" s="381"/>
      <c r="BQ151" s="381"/>
      <c r="BR151" s="381"/>
      <c r="BS151" s="381"/>
      <c r="BT151" s="381"/>
      <c r="BU151" s="381"/>
    </row>
    <row r="152" spans="1:73">
      <c r="A152" s="6"/>
      <c r="B152" s="108"/>
      <c r="C152" s="1"/>
      <c r="D152" s="37"/>
      <c r="E152" s="1"/>
      <c r="F152" s="1"/>
      <c r="G152" s="3"/>
      <c r="H152" s="3"/>
      <c r="I152" s="3"/>
      <c r="J152" s="3"/>
      <c r="K152" s="3"/>
      <c r="L152" s="3"/>
      <c r="M152" s="3"/>
      <c r="N152" s="3"/>
      <c r="O152" s="1"/>
      <c r="P152" s="1"/>
      <c r="Q152" s="1"/>
      <c r="R152" s="162"/>
      <c r="S152" s="1"/>
      <c r="T152" s="103"/>
      <c r="U152" s="103"/>
      <c r="V152" s="103" t="str">
        <f>$N$10</f>
        <v>Profile 8</v>
      </c>
      <c r="W152" s="373">
        <f ca="1">-(1-W$140)*'2.3 Input_Main_Questionnaire'!$H$52*'2.3 Input_Main_Questionnaire'!$O$28</f>
        <v>-1.25887499999998E-2</v>
      </c>
      <c r="X152" s="373">
        <f ca="1">-(1-X$140)*'2.3 Input_Main_Questionnaire'!$H$52*'2.3 Input_Main_Questionnaire'!$O$28</f>
        <v>-1.4779305703672575E-3</v>
      </c>
      <c r="Y152" s="373">
        <f ca="1">-(1-Y$140)*'2.3 Input_Main_Questionnaire'!$H$52*'2.3 Input_Main_Questionnaire'!$O$28</f>
        <v>-5.1996797982482943E-5</v>
      </c>
      <c r="Z152" s="373">
        <f ca="1">-(1-Z$140)*'2.3 Input_Main_Questionnaire'!$H$52*'2.3 Input_Main_Questionnaire'!$O$28</f>
        <v>-1.6784999999979516E-6</v>
      </c>
      <c r="AA152" s="373">
        <f ca="1">-(1-AA$140)*'2.3 Input_Main_Questionnaire'!$H$52*'2.3 Input_Main_Questionnaire'!$O$28</f>
        <v>0</v>
      </c>
      <c r="AB152" s="373">
        <f ca="1">-(1-AB$140)*'2.3 Input_Main_Questionnaire'!$H$52*'2.3 Input_Main_Questionnaire'!$O$28</f>
        <v>0</v>
      </c>
      <c r="AC152" s="373">
        <f ca="1">-(1-AC$140)*'2.3 Input_Main_Questionnaire'!$H$52*'2.3 Input_Main_Questionnaire'!$O$28</f>
        <v>0</v>
      </c>
      <c r="AD152" s="373">
        <f ca="1">-(1-AD$140)*'2.3 Input_Main_Questionnaire'!$H$52*'2.3 Input_Main_Questionnaire'!$O$28</f>
        <v>0</v>
      </c>
      <c r="AE152" s="373">
        <f ca="1">-(1-AE$140)*'2.3 Input_Main_Questionnaire'!$H$52*'2.3 Input_Main_Questionnaire'!$O$28</f>
        <v>0</v>
      </c>
      <c r="AF152" s="373">
        <f ca="1">-(1-AF$140)*'2.3 Input_Main_Questionnaire'!$H$52*'2.3 Input_Main_Questionnaire'!$O$28</f>
        <v>0</v>
      </c>
      <c r="AG152" s="373">
        <f ca="1">-(1-AG$140)*'2.3 Input_Main_Questionnaire'!$H$52*'2.3 Input_Main_Questionnaire'!$O$28</f>
        <v>0</v>
      </c>
      <c r="AH152" s="373">
        <f ca="1">-(1-AH$140)*'2.3 Input_Main_Questionnaire'!$H$52*'2.3 Input_Main_Questionnaire'!$O$28</f>
        <v>0</v>
      </c>
      <c r="AI152" s="373">
        <f ca="1">-(1-AI$140)*'2.3 Input_Main_Questionnaire'!$H$52*'2.3 Input_Main_Questionnaire'!$O$28</f>
        <v>0</v>
      </c>
      <c r="AJ152" s="373">
        <f ca="1">-(1-AJ$140)*'2.3 Input_Main_Questionnaire'!$H$52*'2.3 Input_Main_Questionnaire'!$O$28</f>
        <v>0</v>
      </c>
      <c r="AK152" s="373">
        <f ca="1">-(1-AK$140)*'2.3 Input_Main_Questionnaire'!$H$52*'2.3 Input_Main_Questionnaire'!$O$28</f>
        <v>0</v>
      </c>
      <c r="AL152" s="373">
        <f ca="1">-(1-AL$140)*'2.3 Input_Main_Questionnaire'!$H$52*'2.3 Input_Main_Questionnaire'!$O$28</f>
        <v>0</v>
      </c>
      <c r="AM152" s="373">
        <f ca="1">-(1-AM$140)*'2.3 Input_Main_Questionnaire'!$H$52*'2.3 Input_Main_Questionnaire'!$O$28</f>
        <v>0</v>
      </c>
      <c r="AN152" s="373">
        <f ca="1">-(1-AN$140)*'2.3 Input_Main_Questionnaire'!$H$52*'2.3 Input_Main_Questionnaire'!$O$28</f>
        <v>0</v>
      </c>
      <c r="AO152" s="373">
        <f ca="1">-(1-AO$140)*'2.3 Input_Main_Questionnaire'!$H$52*'2.3 Input_Main_Questionnaire'!$O$28</f>
        <v>0</v>
      </c>
      <c r="AP152" s="373">
        <f ca="1">-(1-AP$140)*'2.3 Input_Main_Questionnaire'!$H$52*'2.3 Input_Main_Questionnaire'!$O$28</f>
        <v>0</v>
      </c>
      <c r="AQ152" s="373">
        <f ca="1">-(1-AQ$140)*'2.3 Input_Main_Questionnaire'!$H$52*'2.3 Input_Main_Questionnaire'!$O$28</f>
        <v>0</v>
      </c>
      <c r="AR152" s="373">
        <f ca="1">-(1-AR$140)*'2.3 Input_Main_Questionnaire'!$H$52*'2.3 Input_Main_Questionnaire'!$O$28</f>
        <v>0</v>
      </c>
      <c r="AS152" s="373">
        <f ca="1">-(1-AS$140)*'2.3 Input_Main_Questionnaire'!$H$52*'2.3 Input_Main_Questionnaire'!$O$28</f>
        <v>0</v>
      </c>
      <c r="AT152" s="373">
        <f ca="1">-(1-AT$140)*'2.3 Input_Main_Questionnaire'!$H$52*'2.3 Input_Main_Questionnaire'!$O$28</f>
        <v>0</v>
      </c>
      <c r="AU152" s="373">
        <f ca="1">-(1-AU$140)*'2.3 Input_Main_Questionnaire'!$H$52*'2.3 Input_Main_Questionnaire'!$O$28</f>
        <v>0</v>
      </c>
      <c r="AV152" s="373">
        <f ca="1">-(1-AV$140)*'2.3 Input_Main_Questionnaire'!$H$52*'2.3 Input_Main_Questionnaire'!$O$28</f>
        <v>0</v>
      </c>
      <c r="AW152" s="373">
        <f ca="1">-(1-AW$140)*'2.3 Input_Main_Questionnaire'!$H$52*'2.3 Input_Main_Questionnaire'!$O$28</f>
        <v>0</v>
      </c>
      <c r="AX152" s="373">
        <f ca="1">-(1-AX$140)*'2.3 Input_Main_Questionnaire'!$H$52*'2.3 Input_Main_Questionnaire'!$O$28</f>
        <v>0</v>
      </c>
      <c r="AY152" s="373">
        <f ca="1">-(1-AY$140)*'2.3 Input_Main_Questionnaire'!$H$52*'2.3 Input_Main_Questionnaire'!$O$28</f>
        <v>0</v>
      </c>
      <c r="AZ152" s="373">
        <f ca="1">-(1-AZ$140)*'2.3 Input_Main_Questionnaire'!$H$52*'2.3 Input_Main_Questionnaire'!$O$28</f>
        <v>0</v>
      </c>
      <c r="BA152" s="373">
        <f ca="1">-(1-BA$140)*'2.3 Input_Main_Questionnaire'!$H$52*'2.3 Input_Main_Questionnaire'!$O$28</f>
        <v>0</v>
      </c>
      <c r="BB152" s="373">
        <f ca="1">-(1-BB$140)*'2.3 Input_Main_Questionnaire'!$H$52*'2.3 Input_Main_Questionnaire'!$O$28</f>
        <v>0</v>
      </c>
      <c r="BC152" s="373">
        <f ca="1">-(1-BC$140)*'2.3 Input_Main_Questionnaire'!$H$52*'2.3 Input_Main_Questionnaire'!$O$28</f>
        <v>0</v>
      </c>
      <c r="BD152" s="373">
        <f ca="1">-(1-BD$140)*'2.3 Input_Main_Questionnaire'!$H$52*'2.3 Input_Main_Questionnaire'!$O$28</f>
        <v>0</v>
      </c>
      <c r="BE152" s="373">
        <f ca="1">-(1-BE$140)*'2.3 Input_Main_Questionnaire'!$H$52*'2.3 Input_Main_Questionnaire'!$O$28</f>
        <v>0</v>
      </c>
      <c r="BF152" s="373">
        <f ca="1">-(1-BF$140)*'2.3 Input_Main_Questionnaire'!$H$52*'2.3 Input_Main_Questionnaire'!$O$28</f>
        <v>0</v>
      </c>
      <c r="BG152" s="373">
        <f ca="1">-(1-BG$140)*'2.3 Input_Main_Questionnaire'!$H$52*'2.3 Input_Main_Questionnaire'!$O$28</f>
        <v>0</v>
      </c>
      <c r="BH152" s="373">
        <f ca="1">-(1-BH$140)*'2.3 Input_Main_Questionnaire'!$H$52*'2.3 Input_Main_Questionnaire'!$O$28</f>
        <v>0</v>
      </c>
      <c r="BI152" s="373">
        <f ca="1">-(1-BI$140)*'2.3 Input_Main_Questionnaire'!$H$52*'2.3 Input_Main_Questionnaire'!$O$28</f>
        <v>0</v>
      </c>
      <c r="BJ152" s="373">
        <f ca="1">-(1-BJ$140)*'2.3 Input_Main_Questionnaire'!$H$52*'2.3 Input_Main_Questionnaire'!$O$28</f>
        <v>0</v>
      </c>
      <c r="BK152" s="373">
        <f ca="1">-(1-BK$140)*'2.3 Input_Main_Questionnaire'!$H$52*'2.3 Input_Main_Questionnaire'!$O$28</f>
        <v>0</v>
      </c>
      <c r="BL152" s="381"/>
      <c r="BM152" s="381"/>
      <c r="BN152" s="381"/>
      <c r="BO152" s="381"/>
      <c r="BP152" s="381"/>
      <c r="BQ152" s="381"/>
      <c r="BR152" s="381"/>
      <c r="BS152" s="381"/>
      <c r="BT152" s="381"/>
      <c r="BU152" s="381"/>
    </row>
    <row r="153" spans="1:73">
      <c r="A153" s="6"/>
      <c r="B153" s="108"/>
      <c r="C153" s="1"/>
      <c r="D153" s="1"/>
      <c r="E153" s="1"/>
      <c r="F153" s="12"/>
      <c r="G153" s="3"/>
      <c r="H153" s="3"/>
      <c r="I153" s="3"/>
      <c r="J153" s="3"/>
      <c r="K153" s="3"/>
      <c r="L153" s="3"/>
      <c r="M153" s="3"/>
      <c r="N153" s="3"/>
      <c r="O153" s="1"/>
      <c r="P153" s="1"/>
      <c r="Q153" s="1"/>
      <c r="R153" s="162"/>
      <c r="S153" s="1"/>
      <c r="T153" s="103"/>
      <c r="U153" s="9" t="s">
        <v>29</v>
      </c>
      <c r="V153" s="103"/>
      <c r="W153" s="98"/>
      <c r="X153" s="98"/>
      <c r="Y153" s="98"/>
      <c r="Z153" s="98"/>
      <c r="AA153" s="98"/>
      <c r="AB153" s="98"/>
      <c r="AC153" s="98"/>
      <c r="AD153" s="98"/>
      <c r="AE153" s="98"/>
      <c r="AF153" s="98"/>
      <c r="AG153" s="98"/>
      <c r="AH153" s="98"/>
      <c r="AI153" s="98"/>
      <c r="AJ153" s="98"/>
      <c r="AK153" s="98"/>
      <c r="AL153" s="98"/>
      <c r="AM153" s="98"/>
      <c r="AN153" s="98"/>
      <c r="AO153" s="98"/>
      <c r="AP153" s="98"/>
      <c r="AQ153" s="98"/>
      <c r="AR153" s="98"/>
      <c r="AS153" s="98"/>
      <c r="AT153" s="98"/>
      <c r="AU153" s="98"/>
      <c r="AV153" s="98"/>
      <c r="AW153" s="98"/>
      <c r="AX153" s="98"/>
      <c r="AY153" s="98"/>
      <c r="AZ153" s="98"/>
      <c r="BA153" s="98"/>
      <c r="BB153" s="98"/>
      <c r="BC153" s="98"/>
      <c r="BD153" s="98"/>
      <c r="BE153" s="98"/>
      <c r="BF153" s="98"/>
      <c r="BG153" s="98"/>
      <c r="BH153" s="98"/>
      <c r="BI153" s="98"/>
      <c r="BJ153" s="98"/>
      <c r="BK153" s="98"/>
      <c r="BL153" s="99"/>
      <c r="BM153" s="99"/>
      <c r="BN153" s="99"/>
      <c r="BO153" s="99"/>
      <c r="BP153" s="99"/>
      <c r="BQ153" s="99"/>
      <c r="BR153" s="99"/>
      <c r="BS153" s="99"/>
      <c r="BT153" s="99"/>
      <c r="BU153" s="99"/>
    </row>
    <row r="154" spans="1:73">
      <c r="A154" s="6"/>
      <c r="B154" s="108"/>
      <c r="C154" s="1"/>
      <c r="D154" s="1"/>
      <c r="E154" s="1"/>
      <c r="F154" s="12"/>
      <c r="G154" s="3"/>
      <c r="H154" s="3"/>
      <c r="I154" s="3"/>
      <c r="J154" s="3"/>
      <c r="K154" s="3"/>
      <c r="L154" s="3"/>
      <c r="M154" s="3"/>
      <c r="N154" s="3"/>
      <c r="O154" s="1"/>
      <c r="P154" s="1"/>
      <c r="Q154" s="1"/>
      <c r="R154" s="162"/>
      <c r="S154" s="1"/>
      <c r="T154" s="103"/>
      <c r="U154" s="103"/>
      <c r="V154" s="103"/>
      <c r="W154" s="98"/>
      <c r="X154" s="98"/>
      <c r="Y154" s="98"/>
      <c r="Z154" s="98"/>
      <c r="AA154" s="98"/>
      <c r="AB154" s="98"/>
      <c r="AC154" s="98"/>
      <c r="AD154" s="98"/>
      <c r="AE154" s="98"/>
      <c r="AF154" s="98"/>
      <c r="AG154" s="98"/>
      <c r="AH154" s="98"/>
      <c r="AI154" s="98"/>
      <c r="AJ154" s="98"/>
      <c r="AK154" s="98"/>
      <c r="AL154" s="98"/>
      <c r="AM154" s="98"/>
      <c r="AN154" s="98"/>
      <c r="AO154" s="98"/>
      <c r="AP154" s="98"/>
      <c r="AQ154" s="98"/>
      <c r="AR154" s="98"/>
      <c r="AS154" s="98"/>
      <c r="AT154" s="98"/>
      <c r="AU154" s="98"/>
      <c r="AV154" s="98"/>
      <c r="AW154" s="98"/>
      <c r="AX154" s="98"/>
      <c r="AY154" s="98"/>
      <c r="AZ154" s="98"/>
      <c r="BA154" s="98"/>
      <c r="BB154" s="98"/>
      <c r="BC154" s="98"/>
      <c r="BD154" s="98"/>
      <c r="BE154" s="98"/>
      <c r="BF154" s="98"/>
      <c r="BG154" s="98"/>
      <c r="BH154" s="98"/>
      <c r="BI154" s="98"/>
      <c r="BJ154" s="98"/>
      <c r="BK154" s="98"/>
      <c r="BL154" s="99"/>
      <c r="BM154" s="99"/>
      <c r="BN154" s="99"/>
      <c r="BO154" s="99"/>
      <c r="BP154" s="99"/>
      <c r="BQ154" s="99"/>
      <c r="BR154" s="99"/>
      <c r="BS154" s="99"/>
      <c r="BT154" s="99"/>
      <c r="BU154" s="99"/>
    </row>
    <row r="155" spans="1:73">
      <c r="A155" s="6"/>
      <c r="B155" s="97" t="s">
        <v>906</v>
      </c>
      <c r="C155" s="1"/>
      <c r="D155" s="44" t="str">
        <f>"Inputs on: "&amp;'2.3 Input_Main_Questionnaire'!F29</f>
        <v>Inputs on: Creation and collection of the data</v>
      </c>
      <c r="E155" s="45"/>
      <c r="F155" s="45"/>
      <c r="G155" s="142"/>
      <c r="H155" s="142"/>
      <c r="I155" s="142"/>
      <c r="J155" s="142"/>
      <c r="K155" s="142"/>
      <c r="L155" s="142"/>
      <c r="M155" s="142"/>
      <c r="N155" s="142"/>
      <c r="O155" s="1"/>
      <c r="P155" s="1"/>
      <c r="Q155" s="1"/>
      <c r="R155" s="162"/>
      <c r="S155" s="1"/>
      <c r="T155" s="103"/>
      <c r="U155" s="103"/>
      <c r="V155" s="103"/>
      <c r="W155" s="98"/>
      <c r="X155" s="98"/>
      <c r="Y155" s="98"/>
      <c r="Z155" s="98"/>
      <c r="AA155" s="98"/>
      <c r="AB155" s="98"/>
      <c r="AC155" s="98"/>
      <c r="AD155" s="98"/>
      <c r="AE155" s="98"/>
      <c r="AF155" s="98"/>
      <c r="AG155" s="98"/>
      <c r="AH155" s="98"/>
      <c r="AI155" s="98"/>
      <c r="AJ155" s="98"/>
      <c r="AK155" s="98"/>
      <c r="AL155" s="98"/>
      <c r="AM155" s="98"/>
      <c r="AN155" s="98"/>
      <c r="AO155" s="98"/>
      <c r="AP155" s="98"/>
      <c r="AQ155" s="98"/>
      <c r="AR155" s="98"/>
      <c r="AS155" s="98"/>
      <c r="AT155" s="98"/>
      <c r="AU155" s="98"/>
      <c r="AV155" s="98"/>
      <c r="AW155" s="98"/>
      <c r="AX155" s="98"/>
      <c r="AY155" s="98"/>
      <c r="AZ155" s="98"/>
      <c r="BA155" s="98"/>
      <c r="BB155" s="98"/>
      <c r="BC155" s="98"/>
      <c r="BD155" s="98"/>
      <c r="BE155" s="98"/>
      <c r="BF155" s="98"/>
      <c r="BG155" s="98"/>
      <c r="BH155" s="98"/>
      <c r="BI155" s="98"/>
      <c r="BJ155" s="98"/>
      <c r="BK155" s="98"/>
      <c r="BL155" s="99"/>
      <c r="BM155" s="99"/>
      <c r="BN155" s="99"/>
      <c r="BO155" s="99"/>
      <c r="BP155" s="99"/>
      <c r="BQ155" s="99"/>
      <c r="BR155" s="99"/>
      <c r="BS155" s="99"/>
      <c r="BT155" s="99"/>
      <c r="BU155" s="99"/>
    </row>
    <row r="156" spans="1:73" ht="5.25" customHeight="1">
      <c r="A156" s="6"/>
      <c r="B156" s="108"/>
      <c r="C156" s="1"/>
      <c r="D156" s="12"/>
      <c r="E156" s="1"/>
      <c r="F156" s="1"/>
      <c r="G156" s="3"/>
      <c r="H156" s="3"/>
      <c r="I156" s="3"/>
      <c r="J156" s="3"/>
      <c r="K156" s="3"/>
      <c r="L156" s="3"/>
      <c r="M156" s="3"/>
      <c r="N156" s="3"/>
      <c r="O156" s="1"/>
      <c r="P156" s="1"/>
      <c r="Q156" s="1"/>
      <c r="R156" s="162"/>
      <c r="S156" s="1"/>
      <c r="T156" s="6"/>
      <c r="U156" s="6"/>
      <c r="V156" s="6"/>
      <c r="W156" s="81"/>
      <c r="X156" s="81"/>
      <c r="Y156" s="81"/>
      <c r="Z156" s="81"/>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6"/>
      <c r="BM156" s="6"/>
      <c r="BN156" s="6"/>
      <c r="BO156" s="6"/>
      <c r="BP156" s="6"/>
      <c r="BQ156" s="6"/>
      <c r="BR156" s="6"/>
      <c r="BS156" s="6"/>
      <c r="BT156" s="6"/>
      <c r="BU156" s="6"/>
    </row>
    <row r="157" spans="1:73">
      <c r="A157" s="6"/>
      <c r="B157" s="97" t="s">
        <v>907</v>
      </c>
      <c r="C157" s="1"/>
      <c r="D157" s="12"/>
      <c r="E157" s="1"/>
      <c r="F157" s="1"/>
      <c r="G157" s="1"/>
      <c r="H157" s="1"/>
      <c r="I157" s="1"/>
      <c r="J157" s="1"/>
      <c r="K157" s="3"/>
      <c r="L157" s="3"/>
      <c r="M157" s="3"/>
      <c r="N157" s="3"/>
      <c r="O157" s="1"/>
      <c r="P157" s="1"/>
      <c r="Q157" s="1"/>
      <c r="R157" s="162"/>
      <c r="S157" s="1"/>
      <c r="T157" s="103"/>
      <c r="U157" s="103"/>
      <c r="V157" s="103"/>
      <c r="W157" s="98"/>
      <c r="X157" s="98"/>
      <c r="Y157" s="98"/>
      <c r="Z157" s="98"/>
      <c r="AA157" s="98"/>
      <c r="AB157" s="98"/>
      <c r="AC157" s="98"/>
      <c r="AD157" s="98"/>
      <c r="AE157" s="98"/>
      <c r="AF157" s="98"/>
      <c r="AG157" s="98"/>
      <c r="AH157" s="98"/>
      <c r="AI157" s="98"/>
      <c r="AJ157" s="98"/>
      <c r="AK157" s="98"/>
      <c r="AL157" s="98"/>
      <c r="AM157" s="98"/>
      <c r="AN157" s="98"/>
      <c r="AO157" s="98"/>
      <c r="AP157" s="98"/>
      <c r="AQ157" s="98"/>
      <c r="AR157" s="98"/>
      <c r="AS157" s="98"/>
      <c r="AT157" s="98"/>
      <c r="AU157" s="98"/>
      <c r="AV157" s="98"/>
      <c r="AW157" s="98"/>
      <c r="AX157" s="98"/>
      <c r="AY157" s="98"/>
      <c r="AZ157" s="98"/>
      <c r="BA157" s="98"/>
      <c r="BB157" s="98"/>
      <c r="BC157" s="98"/>
      <c r="BD157" s="98"/>
      <c r="BE157" s="98"/>
      <c r="BF157" s="98"/>
      <c r="BG157" s="98"/>
      <c r="BH157" s="98"/>
      <c r="BI157" s="98"/>
      <c r="BJ157" s="98"/>
      <c r="BK157" s="98"/>
      <c r="BL157" s="99"/>
      <c r="BM157" s="99"/>
      <c r="BN157" s="99"/>
      <c r="BO157" s="99"/>
      <c r="BP157" s="99"/>
      <c r="BQ157" s="99"/>
      <c r="BR157" s="99"/>
      <c r="BS157" s="99"/>
      <c r="BT157" s="99"/>
      <c r="BU157" s="99"/>
    </row>
    <row r="158" spans="1:73">
      <c r="A158" s="6"/>
      <c r="B158" s="108"/>
      <c r="C158" s="1"/>
      <c r="D158" s="12"/>
      <c r="E158" s="1"/>
      <c r="F158" s="1"/>
      <c r="G158" s="1175" t="s">
        <v>908</v>
      </c>
      <c r="H158" s="1174"/>
      <c r="I158" s="1175" t="s">
        <v>909</v>
      </c>
      <c r="J158" s="1174"/>
      <c r="K158" s="3"/>
      <c r="L158" s="3"/>
      <c r="M158" s="3"/>
      <c r="N158" s="3"/>
      <c r="O158" s="1"/>
      <c r="P158" s="1"/>
      <c r="Q158" s="1"/>
      <c r="R158" s="162"/>
      <c r="S158" s="1"/>
      <c r="T158" s="103"/>
      <c r="U158" s="103"/>
      <c r="V158" s="103"/>
      <c r="W158" s="98"/>
      <c r="X158" s="98"/>
      <c r="Y158" s="98"/>
      <c r="Z158" s="98"/>
      <c r="AA158" s="98"/>
      <c r="AB158" s="98"/>
      <c r="AC158" s="98"/>
      <c r="AD158" s="98"/>
      <c r="AE158" s="98"/>
      <c r="AF158" s="98"/>
      <c r="AG158" s="98"/>
      <c r="AH158" s="98"/>
      <c r="AI158" s="98"/>
      <c r="AJ158" s="98"/>
      <c r="AK158" s="98"/>
      <c r="AL158" s="98"/>
      <c r="AM158" s="98"/>
      <c r="AN158" s="98"/>
      <c r="AO158" s="98"/>
      <c r="AP158" s="98"/>
      <c r="AQ158" s="98"/>
      <c r="AR158" s="98"/>
      <c r="AS158" s="98"/>
      <c r="AT158" s="98"/>
      <c r="AU158" s="98"/>
      <c r="AV158" s="98"/>
      <c r="AW158" s="98"/>
      <c r="AX158" s="98"/>
      <c r="AY158" s="98"/>
      <c r="AZ158" s="98"/>
      <c r="BA158" s="98"/>
      <c r="BB158" s="98"/>
      <c r="BC158" s="98"/>
      <c r="BD158" s="98"/>
      <c r="BE158" s="98"/>
      <c r="BF158" s="98"/>
      <c r="BG158" s="98"/>
      <c r="BH158" s="98"/>
      <c r="BI158" s="98"/>
      <c r="BJ158" s="98"/>
      <c r="BK158" s="98"/>
      <c r="BL158" s="99"/>
      <c r="BM158" s="99"/>
      <c r="BN158" s="99"/>
      <c r="BO158" s="99"/>
      <c r="BP158" s="99"/>
      <c r="BQ158" s="99"/>
      <c r="BR158" s="99"/>
      <c r="BS158" s="99"/>
      <c r="BT158" s="99"/>
      <c r="BU158" s="99"/>
    </row>
    <row r="159" spans="1:73">
      <c r="A159" s="6"/>
      <c r="B159" s="108"/>
      <c r="C159" s="1"/>
      <c r="D159" s="12"/>
      <c r="E159" s="1"/>
      <c r="F159" s="1"/>
      <c r="G159" s="50" t="s">
        <v>389</v>
      </c>
      <c r="H159" s="50" t="s">
        <v>910</v>
      </c>
      <c r="I159" s="50" t="s">
        <v>246</v>
      </c>
      <c r="J159" s="50" t="s">
        <v>449</v>
      </c>
      <c r="K159" s="6"/>
      <c r="L159" s="3"/>
      <c r="M159" s="3"/>
      <c r="N159" s="3"/>
      <c r="O159" s="1"/>
      <c r="P159" s="1"/>
      <c r="Q159" s="1"/>
      <c r="R159" s="162"/>
      <c r="S159" s="1"/>
      <c r="T159" s="6"/>
      <c r="U159" s="6"/>
      <c r="V159" s="6"/>
      <c r="W159" s="81"/>
      <c r="X159" s="81"/>
      <c r="Y159" s="81"/>
      <c r="Z159" s="81"/>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6"/>
      <c r="BM159" s="6"/>
      <c r="BN159" s="6"/>
      <c r="BO159" s="6"/>
      <c r="BP159" s="6"/>
      <c r="BQ159" s="6"/>
      <c r="BR159" s="6"/>
      <c r="BS159" s="6"/>
      <c r="BT159" s="6"/>
      <c r="BU159" s="6"/>
    </row>
    <row r="160" spans="1:73">
      <c r="A160" s="6"/>
      <c r="B160" s="108"/>
      <c r="C160" s="1"/>
      <c r="D160" s="49" t="s">
        <v>289</v>
      </c>
      <c r="E160" s="1" t="str">
        <f>'2.3 Input_Main_Questionnaire'!F72</f>
        <v>No metadata at all</v>
      </c>
      <c r="F160" s="1"/>
      <c r="G160" s="408">
        <f>'2.3 Input_Main_Questionnaire'!H86</f>
        <v>0.1</v>
      </c>
      <c r="H160" s="408">
        <f>'2.3 Input_Main_Questionnaire'!H72</f>
        <v>0.25</v>
      </c>
      <c r="I160" s="409">
        <v>0</v>
      </c>
      <c r="J160" s="410">
        <v>0</v>
      </c>
      <c r="K160" s="6"/>
      <c r="L160" s="3"/>
      <c r="M160" s="3"/>
      <c r="N160" s="3"/>
      <c r="O160" s="1173"/>
      <c r="P160" s="1174"/>
      <c r="Q160" s="1"/>
      <c r="R160" s="162"/>
      <c r="S160" s="1"/>
      <c r="T160" s="6"/>
      <c r="U160" s="6"/>
      <c r="V160" s="6"/>
      <c r="W160" s="81"/>
      <c r="X160" s="81"/>
      <c r="Y160" s="81"/>
      <c r="Z160" s="81"/>
      <c r="AA160" s="81"/>
      <c r="AB160" s="81"/>
      <c r="AC160" s="81"/>
      <c r="AD160" s="81"/>
      <c r="AE160" s="81"/>
      <c r="AF160" s="81"/>
      <c r="AG160" s="81"/>
      <c r="AH160" s="81"/>
      <c r="AI160" s="81"/>
      <c r="AJ160" s="81"/>
      <c r="AK160" s="81"/>
      <c r="AL160" s="81"/>
      <c r="AM160" s="81"/>
      <c r="AN160" s="81"/>
      <c r="AO160" s="81"/>
      <c r="AP160" s="81"/>
      <c r="AQ160" s="81"/>
      <c r="AR160" s="81"/>
      <c r="AS160" s="81"/>
      <c r="AT160" s="81"/>
      <c r="AU160" s="81"/>
      <c r="AV160" s="81"/>
      <c r="AW160" s="81"/>
      <c r="AX160" s="81"/>
      <c r="AY160" s="81"/>
      <c r="AZ160" s="81"/>
      <c r="BA160" s="81"/>
      <c r="BB160" s="81"/>
      <c r="BC160" s="81"/>
      <c r="BD160" s="81"/>
      <c r="BE160" s="81"/>
      <c r="BF160" s="81"/>
      <c r="BG160" s="81"/>
      <c r="BH160" s="81"/>
      <c r="BI160" s="81"/>
      <c r="BJ160" s="81"/>
      <c r="BK160" s="81"/>
      <c r="BL160" s="6"/>
      <c r="BM160" s="6"/>
      <c r="BN160" s="6"/>
      <c r="BO160" s="6"/>
      <c r="BP160" s="6"/>
      <c r="BQ160" s="6"/>
      <c r="BR160" s="6"/>
      <c r="BS160" s="6"/>
      <c r="BT160" s="6"/>
      <c r="BU160" s="6"/>
    </row>
    <row r="161" spans="1:73">
      <c r="A161" s="6"/>
      <c r="B161" s="108"/>
      <c r="C161" s="1"/>
      <c r="D161" s="49" t="s">
        <v>289</v>
      </c>
      <c r="E161" s="1" t="str">
        <f>'2.3 Input_Main_Questionnaire'!F73</f>
        <v>No metadata standards</v>
      </c>
      <c r="F161" s="1"/>
      <c r="G161" s="408">
        <f>'2.3 Input_Main_Questionnaire'!H87</f>
        <v>0.25</v>
      </c>
      <c r="H161" s="408">
        <f>'2.3 Input_Main_Questionnaire'!H73</f>
        <v>0.15</v>
      </c>
      <c r="I161" s="412">
        <v>0</v>
      </c>
      <c r="J161" s="413">
        <v>0</v>
      </c>
      <c r="K161" s="6"/>
      <c r="L161" s="3"/>
      <c r="M161" s="3"/>
      <c r="N161" s="3"/>
      <c r="O161" s="1173"/>
      <c r="P161" s="1174"/>
      <c r="Q161" s="1"/>
      <c r="R161" s="162"/>
      <c r="S161" s="1"/>
      <c r="T161" s="6"/>
      <c r="U161" s="6"/>
      <c r="V161" s="6"/>
      <c r="W161" s="81"/>
      <c r="X161" s="81"/>
      <c r="Y161" s="81"/>
      <c r="Z161" s="81"/>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1"/>
      <c r="BE161" s="81"/>
      <c r="BF161" s="81"/>
      <c r="BG161" s="81"/>
      <c r="BH161" s="81"/>
      <c r="BI161" s="81"/>
      <c r="BJ161" s="81"/>
      <c r="BK161" s="81"/>
      <c r="BL161" s="6"/>
      <c r="BM161" s="6"/>
      <c r="BN161" s="6"/>
      <c r="BO161" s="6"/>
      <c r="BP161" s="6"/>
      <c r="BQ161" s="6"/>
      <c r="BR161" s="6"/>
      <c r="BS161" s="6"/>
      <c r="BT161" s="6"/>
      <c r="BU161" s="6"/>
    </row>
    <row r="162" spans="1:73">
      <c r="A162" s="6"/>
      <c r="B162" s="108"/>
      <c r="C162" s="1"/>
      <c r="D162" s="49" t="s">
        <v>289</v>
      </c>
      <c r="E162" s="1" t="str">
        <f>'2.3 Input_Main_Questionnaire'!F74</f>
        <v>Local metadata standards</v>
      </c>
      <c r="F162" s="1"/>
      <c r="G162" s="408">
        <f>'2.3 Input_Main_Questionnaire'!H88</f>
        <v>0.3</v>
      </c>
      <c r="H162" s="408">
        <f>'2.3 Input_Main_Questionnaire'!H74</f>
        <v>0.08</v>
      </c>
      <c r="I162" s="412">
        <v>0</v>
      </c>
      <c r="J162" s="413">
        <v>0</v>
      </c>
      <c r="K162" s="6"/>
      <c r="L162" s="3"/>
      <c r="M162" s="3"/>
      <c r="N162" s="3"/>
      <c r="O162" s="1173"/>
      <c r="P162" s="1174"/>
      <c r="Q162" s="1"/>
      <c r="R162" s="162"/>
      <c r="S162" s="1"/>
      <c r="T162" s="6"/>
      <c r="U162" s="6"/>
      <c r="V162" s="6"/>
      <c r="W162" s="81"/>
      <c r="X162" s="81"/>
      <c r="Y162" s="81"/>
      <c r="Z162" s="81"/>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6"/>
      <c r="BM162" s="6"/>
      <c r="BN162" s="6"/>
      <c r="BO162" s="6"/>
      <c r="BP162" s="6"/>
      <c r="BQ162" s="6"/>
      <c r="BR162" s="6"/>
      <c r="BS162" s="6"/>
      <c r="BT162" s="6"/>
      <c r="BU162" s="6"/>
    </row>
    <row r="163" spans="1:73">
      <c r="A163" s="6"/>
      <c r="B163" s="108"/>
      <c r="C163" s="1"/>
      <c r="D163" s="49" t="s">
        <v>289</v>
      </c>
      <c r="E163" s="1" t="str">
        <f>'2.3 Input_Main_Questionnaire'!F75</f>
        <v>Recognized metadata standard</v>
      </c>
      <c r="F163" s="1"/>
      <c r="G163" s="408">
        <f>'2.3 Input_Main_Questionnaire'!H89</f>
        <v>0.2</v>
      </c>
      <c r="H163" s="408">
        <f>'2.3 Input_Main_Questionnaire'!H75</f>
        <v>0.05</v>
      </c>
      <c r="I163" s="412">
        <f>1-I164</f>
        <v>0.75</v>
      </c>
      <c r="J163" s="413">
        <f t="shared" ref="J163:J164" si="43">H163/G163*I163</f>
        <v>0.1875</v>
      </c>
      <c r="K163" s="6"/>
      <c r="L163" s="3"/>
      <c r="M163" s="3"/>
      <c r="N163" s="3"/>
      <c r="O163" s="1173"/>
      <c r="P163" s="1174"/>
      <c r="Q163" s="1"/>
      <c r="R163" s="162"/>
      <c r="S163" s="1"/>
      <c r="T163" s="6"/>
      <c r="U163" s="6"/>
      <c r="V163" s="6"/>
      <c r="W163" s="81"/>
      <c r="X163" s="81"/>
      <c r="Y163" s="81"/>
      <c r="Z163" s="81"/>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81"/>
      <c r="BK163" s="81"/>
      <c r="BL163" s="6"/>
      <c r="BM163" s="6"/>
      <c r="BN163" s="6"/>
      <c r="BO163" s="6"/>
      <c r="BP163" s="6"/>
      <c r="BQ163" s="6"/>
      <c r="BR163" s="6"/>
      <c r="BS163" s="6"/>
      <c r="BT163" s="6"/>
      <c r="BU163" s="6"/>
    </row>
    <row r="164" spans="1:73" ht="18.600000000000001" customHeight="1" thickBot="1">
      <c r="A164" s="6"/>
      <c r="B164" s="108"/>
      <c r="C164" s="1"/>
      <c r="D164" s="49" t="s">
        <v>289</v>
      </c>
      <c r="E164" s="1" t="str">
        <f>'2.3 Input_Main_Questionnaire'!F76</f>
        <v>Recognized metadata standard with machine-readable formats</v>
      </c>
      <c r="F164" s="1"/>
      <c r="G164" s="408">
        <f>'2.3 Input_Main_Questionnaire'!H90</f>
        <v>0.15</v>
      </c>
      <c r="H164" s="408">
        <f>'2.3 Input_Main_Questionnaire'!H76</f>
        <v>0.02</v>
      </c>
      <c r="I164" s="414">
        <f>'2.3 Input_Main_Questionnaire'!H100</f>
        <v>0.25</v>
      </c>
      <c r="J164" s="415">
        <f t="shared" si="43"/>
        <v>3.3333333333333333E-2</v>
      </c>
      <c r="K164" s="6"/>
      <c r="L164" s="3"/>
      <c r="M164" s="3"/>
      <c r="N164" s="3"/>
      <c r="O164" s="1"/>
      <c r="P164" s="1"/>
      <c r="Q164" s="1"/>
      <c r="R164" s="162"/>
      <c r="S164" s="1"/>
      <c r="T164" s="103"/>
      <c r="V164" s="103"/>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34"/>
      <c r="BR164" s="134"/>
      <c r="BS164" s="134"/>
      <c r="BT164" s="134"/>
      <c r="BU164" s="134"/>
    </row>
    <row r="165" spans="1:73" s="94" customFormat="1" ht="18.600000000000001" hidden="1" customHeight="1">
      <c r="A165" s="54"/>
      <c r="B165" s="583"/>
      <c r="C165" s="325"/>
      <c r="D165" s="49"/>
      <c r="E165" s="325"/>
      <c r="F165" s="325"/>
      <c r="G165" s="189"/>
      <c r="H165" s="54"/>
      <c r="I165" s="54"/>
      <c r="J165" s="54"/>
      <c r="K165" s="54"/>
      <c r="L165" s="43"/>
      <c r="M165" s="43"/>
      <c r="N165" s="43"/>
      <c r="O165" s="325"/>
      <c r="P165" s="325"/>
      <c r="Q165" s="325"/>
      <c r="R165" s="253"/>
      <c r="S165" s="325"/>
      <c r="T165" s="647"/>
      <c r="U165" s="9" t="s">
        <v>5</v>
      </c>
      <c r="V165" s="647"/>
      <c r="W165" s="346"/>
      <c r="X165" s="346"/>
      <c r="Y165" s="346"/>
      <c r="Z165" s="346"/>
      <c r="AA165" s="346"/>
      <c r="AB165" s="346"/>
      <c r="AC165" s="346"/>
      <c r="AD165" s="346"/>
      <c r="AE165" s="346"/>
      <c r="AF165" s="346"/>
      <c r="AG165" s="346"/>
      <c r="AH165" s="346"/>
      <c r="AI165" s="346"/>
      <c r="AJ165" s="346"/>
      <c r="AK165" s="346"/>
      <c r="AL165" s="346"/>
      <c r="AM165" s="346"/>
      <c r="AN165" s="346"/>
      <c r="AO165" s="346"/>
      <c r="AP165" s="346"/>
      <c r="AQ165" s="346"/>
      <c r="AR165" s="346"/>
      <c r="AS165" s="346"/>
      <c r="AT165" s="346"/>
      <c r="AU165" s="346"/>
      <c r="AV165" s="346"/>
      <c r="AW165" s="346"/>
      <c r="AX165" s="346"/>
      <c r="AY165" s="346"/>
      <c r="AZ165" s="346"/>
      <c r="BA165" s="346"/>
      <c r="BB165" s="346"/>
      <c r="BC165" s="346"/>
      <c r="BD165" s="346"/>
      <c r="BE165" s="346"/>
      <c r="BF165" s="346"/>
      <c r="BG165" s="346"/>
      <c r="BH165" s="346"/>
      <c r="BI165" s="346"/>
      <c r="BJ165" s="346"/>
      <c r="BK165" s="346"/>
      <c r="BL165" s="346"/>
      <c r="BM165" s="346"/>
      <c r="BN165" s="346"/>
      <c r="BO165" s="346"/>
      <c r="BP165" s="346"/>
      <c r="BQ165" s="346"/>
      <c r="BR165" s="346"/>
      <c r="BS165" s="346"/>
      <c r="BT165" s="346"/>
      <c r="BU165" s="346"/>
    </row>
    <row r="166" spans="1:73" hidden="1">
      <c r="A166" s="6"/>
      <c r="B166" s="108"/>
      <c r="C166" s="1"/>
      <c r="D166" s="12"/>
      <c r="E166" s="1"/>
      <c r="F166" s="1"/>
      <c r="G166" s="183"/>
      <c r="H166" s="6"/>
      <c r="I166" s="6"/>
      <c r="J166" s="6"/>
      <c r="K166" s="6"/>
      <c r="L166" s="3"/>
      <c r="M166" s="3"/>
      <c r="N166" s="3"/>
      <c r="O166" s="1"/>
      <c r="P166" s="1"/>
      <c r="Q166" s="1"/>
      <c r="R166" s="162"/>
      <c r="S166" s="1"/>
      <c r="T166" s="103"/>
      <c r="U166" s="103"/>
      <c r="V166" s="103"/>
      <c r="W166" s="134">
        <f>Growth!B20</f>
        <v>2018</v>
      </c>
      <c r="X166" s="134">
        <f t="shared" ref="X166:BK166" si="44">W166+1</f>
        <v>2019</v>
      </c>
      <c r="Y166" s="134">
        <f t="shared" si="44"/>
        <v>2020</v>
      </c>
      <c r="Z166" s="134">
        <f t="shared" si="44"/>
        <v>2021</v>
      </c>
      <c r="AA166" s="134">
        <f t="shared" si="44"/>
        <v>2022</v>
      </c>
      <c r="AB166" s="134">
        <f t="shared" si="44"/>
        <v>2023</v>
      </c>
      <c r="AC166" s="134">
        <f t="shared" si="44"/>
        <v>2024</v>
      </c>
      <c r="AD166" s="134">
        <f t="shared" si="44"/>
        <v>2025</v>
      </c>
      <c r="AE166" s="134">
        <f t="shared" si="44"/>
        <v>2026</v>
      </c>
      <c r="AF166" s="134">
        <f t="shared" si="44"/>
        <v>2027</v>
      </c>
      <c r="AG166" s="134">
        <f t="shared" si="44"/>
        <v>2028</v>
      </c>
      <c r="AH166" s="134">
        <f t="shared" si="44"/>
        <v>2029</v>
      </c>
      <c r="AI166" s="134">
        <f t="shared" si="44"/>
        <v>2030</v>
      </c>
      <c r="AJ166" s="134">
        <f t="shared" si="44"/>
        <v>2031</v>
      </c>
      <c r="AK166" s="134">
        <f t="shared" si="44"/>
        <v>2032</v>
      </c>
      <c r="AL166" s="134">
        <f t="shared" si="44"/>
        <v>2033</v>
      </c>
      <c r="AM166" s="134">
        <f t="shared" si="44"/>
        <v>2034</v>
      </c>
      <c r="AN166" s="134">
        <f t="shared" si="44"/>
        <v>2035</v>
      </c>
      <c r="AO166" s="134">
        <f t="shared" si="44"/>
        <v>2036</v>
      </c>
      <c r="AP166" s="134">
        <f t="shared" si="44"/>
        <v>2037</v>
      </c>
      <c r="AQ166" s="134">
        <f t="shared" si="44"/>
        <v>2038</v>
      </c>
      <c r="AR166" s="134">
        <f t="shared" si="44"/>
        <v>2039</v>
      </c>
      <c r="AS166" s="134">
        <f t="shared" si="44"/>
        <v>2040</v>
      </c>
      <c r="AT166" s="134">
        <f t="shared" si="44"/>
        <v>2041</v>
      </c>
      <c r="AU166" s="134">
        <f t="shared" si="44"/>
        <v>2042</v>
      </c>
      <c r="AV166" s="134">
        <f t="shared" si="44"/>
        <v>2043</v>
      </c>
      <c r="AW166" s="134">
        <f t="shared" si="44"/>
        <v>2044</v>
      </c>
      <c r="AX166" s="134">
        <f t="shared" si="44"/>
        <v>2045</v>
      </c>
      <c r="AY166" s="134">
        <f t="shared" si="44"/>
        <v>2046</v>
      </c>
      <c r="AZ166" s="134">
        <f t="shared" si="44"/>
        <v>2047</v>
      </c>
      <c r="BA166" s="134">
        <f t="shared" si="44"/>
        <v>2048</v>
      </c>
      <c r="BB166" s="134">
        <f t="shared" si="44"/>
        <v>2049</v>
      </c>
      <c r="BC166" s="134">
        <f t="shared" si="44"/>
        <v>2050</v>
      </c>
      <c r="BD166" s="134">
        <f t="shared" si="44"/>
        <v>2051</v>
      </c>
      <c r="BE166" s="134">
        <f t="shared" si="44"/>
        <v>2052</v>
      </c>
      <c r="BF166" s="134">
        <f t="shared" si="44"/>
        <v>2053</v>
      </c>
      <c r="BG166" s="134">
        <f t="shared" si="44"/>
        <v>2054</v>
      </c>
      <c r="BH166" s="134">
        <f t="shared" si="44"/>
        <v>2055</v>
      </c>
      <c r="BI166" s="134">
        <f t="shared" si="44"/>
        <v>2056</v>
      </c>
      <c r="BJ166" s="134">
        <f t="shared" si="44"/>
        <v>2057</v>
      </c>
      <c r="BK166" s="134">
        <f t="shared" si="44"/>
        <v>2058</v>
      </c>
      <c r="BL166" s="134"/>
      <c r="BM166" s="134"/>
      <c r="BN166" s="134"/>
      <c r="BO166" s="134"/>
      <c r="BP166" s="134"/>
      <c r="BQ166" s="134"/>
      <c r="BR166" s="134"/>
      <c r="BS166" s="134"/>
      <c r="BT166" s="134"/>
      <c r="BU166" s="134"/>
    </row>
    <row r="167" spans="1:73" hidden="1">
      <c r="A167" s="6"/>
      <c r="B167" s="108"/>
      <c r="C167" s="1"/>
      <c r="D167" s="12"/>
      <c r="E167" s="1"/>
      <c r="F167" s="1"/>
      <c r="G167" s="183"/>
      <c r="H167" s="6"/>
      <c r="I167" s="6"/>
      <c r="J167" s="6"/>
      <c r="K167" s="6"/>
      <c r="L167" s="3"/>
      <c r="M167" s="3"/>
      <c r="N167" s="3"/>
      <c r="O167" s="1"/>
      <c r="P167" s="1"/>
      <c r="Q167" s="1"/>
      <c r="R167" s="162"/>
      <c r="S167" s="1"/>
      <c r="T167" s="103"/>
      <c r="U167" s="103"/>
      <c r="V167" s="103"/>
      <c r="W167" s="134">
        <v>3</v>
      </c>
      <c r="X167" s="134">
        <v>4</v>
      </c>
      <c r="Y167" s="134">
        <v>5</v>
      </c>
      <c r="Z167" s="134">
        <v>6</v>
      </c>
      <c r="AA167" s="134">
        <v>7</v>
      </c>
      <c r="AB167" s="134">
        <v>8</v>
      </c>
      <c r="AC167" s="134">
        <v>9</v>
      </c>
      <c r="AD167" s="134">
        <v>10</v>
      </c>
      <c r="AE167" s="134">
        <v>11</v>
      </c>
      <c r="AF167" s="134">
        <v>12</v>
      </c>
      <c r="AG167" s="134">
        <v>13</v>
      </c>
      <c r="AH167" s="134">
        <v>14</v>
      </c>
      <c r="AI167" s="134">
        <v>15</v>
      </c>
      <c r="AJ167" s="134">
        <v>16</v>
      </c>
      <c r="AK167" s="134">
        <v>17</v>
      </c>
      <c r="AL167" s="134">
        <v>18</v>
      </c>
      <c r="AM167" s="134">
        <v>19</v>
      </c>
      <c r="AN167" s="134">
        <v>20</v>
      </c>
      <c r="AO167" s="134">
        <v>21</v>
      </c>
      <c r="AP167" s="134">
        <v>22</v>
      </c>
      <c r="AQ167" s="134">
        <v>23</v>
      </c>
      <c r="AR167" s="134">
        <v>24</v>
      </c>
      <c r="AS167" s="134">
        <v>25</v>
      </c>
      <c r="AT167" s="134">
        <v>26</v>
      </c>
      <c r="AU167" s="134">
        <v>27</v>
      </c>
      <c r="AV167" s="134">
        <v>28</v>
      </c>
      <c r="AW167" s="134">
        <v>29</v>
      </c>
      <c r="AX167" s="134">
        <v>30</v>
      </c>
      <c r="AY167" s="134">
        <v>31</v>
      </c>
      <c r="AZ167" s="134">
        <v>32</v>
      </c>
      <c r="BA167" s="134">
        <v>33</v>
      </c>
      <c r="BB167" s="134">
        <v>34</v>
      </c>
      <c r="BC167" s="134">
        <v>35</v>
      </c>
      <c r="BD167" s="134">
        <v>36</v>
      </c>
      <c r="BE167" s="134">
        <v>37</v>
      </c>
      <c r="BF167" s="134">
        <v>38</v>
      </c>
      <c r="BG167" s="134">
        <v>39</v>
      </c>
      <c r="BH167" s="134">
        <v>40</v>
      </c>
      <c r="BI167" s="134">
        <v>41</v>
      </c>
      <c r="BJ167" s="134">
        <v>42</v>
      </c>
      <c r="BK167" s="134">
        <v>43</v>
      </c>
      <c r="BL167" s="134"/>
      <c r="BM167" s="134"/>
      <c r="BN167" s="134"/>
      <c r="BO167" s="134"/>
      <c r="BP167" s="134"/>
      <c r="BQ167" s="134"/>
      <c r="BR167" s="134"/>
      <c r="BS167" s="134"/>
      <c r="BT167" s="134"/>
      <c r="BU167" s="134"/>
    </row>
    <row r="168" spans="1:73" hidden="1">
      <c r="A168" s="6"/>
      <c r="B168" s="108"/>
      <c r="C168" s="1"/>
      <c r="D168" s="12"/>
      <c r="E168" s="1"/>
      <c r="F168" s="1"/>
      <c r="G168" s="183"/>
      <c r="H168" s="6"/>
      <c r="I168" s="6"/>
      <c r="J168" s="6"/>
      <c r="K168" s="6"/>
      <c r="L168" s="3"/>
      <c r="M168" s="3"/>
      <c r="N168" s="3"/>
      <c r="O168" s="1"/>
      <c r="P168" s="1"/>
      <c r="Q168" s="1"/>
      <c r="R168" s="162"/>
      <c r="S168" s="1"/>
      <c r="T168" s="101" t="s">
        <v>200</v>
      </c>
      <c r="U168" s="101" t="s">
        <v>289</v>
      </c>
      <c r="V168" s="101" t="str">
        <f>E160</f>
        <v>No metadata at all</v>
      </c>
      <c r="W168" s="416">
        <f ca="1">IF($G$160=0%,0%, IF(W$166&gt;='2.2 Input_General_Information'!$H$20,$G$160 * VLOOKUP(W$631,Growth!$B$128:$L$170, 11, FALSE),))</f>
        <v>9.9990000000000009E-2</v>
      </c>
      <c r="X168" s="416">
        <f ca="1">IF($G$160=0%,0%, IF(X$166&gt;='2.2 Input_General_Information'!$H$20,$G$160 * VLOOKUP(X$631,Growth!$B$128:$L$170, 11, FALSE),))</f>
        <v>9.9984152074245658E-2</v>
      </c>
      <c r="Y168" s="416">
        <f ca="1">IF($G$160=0%,0%, IF(Y$166&gt;='2.2 Input_General_Information'!$H$20,$G$160 * VLOOKUP(Y$631,Growth!$B$128:$L$170, 11, FALSE),))</f>
        <v>9.9974885183896745E-2</v>
      </c>
      <c r="Z168" s="416">
        <f ca="1">IF($G$160=0%,0%, IF(Z$166&gt;='2.2 Input_General_Information'!$H$20,$G$160 * VLOOKUP(Z$631,Growth!$B$128:$L$170, 11, FALSE),))</f>
        <v>9.9960201744038593E-2</v>
      </c>
      <c r="AA168" s="416">
        <f ca="1">IF($G$160=0%,0%, IF(AA$166&gt;='2.2 Input_General_Information'!$H$20,$G$160 * VLOOKUP(AA$631,Growth!$B$128:$L$170, 11, FALSE),))</f>
        <v>9.9936939009417441E-2</v>
      </c>
      <c r="AB168" s="416">
        <f ca="1">IF($G$160=0%,0%, IF(AB$166&gt;='2.2 Input_General_Information'!$H$20,$G$160 * VLOOKUP(AB$631,Growth!$B$128:$L$170, 11, FALSE),))</f>
        <v>9.9900092414422992E-2</v>
      </c>
      <c r="AC168" s="416">
        <f ca="1">IF($G$160=0%,0%, IF(AC$166&gt;='2.2 Input_General_Information'!$H$20,$G$160 * VLOOKUP(AC$631,Growth!$B$128:$L$170, 11, FALSE),))</f>
        <v>9.9841750411811564E-2</v>
      </c>
      <c r="AD168" s="416">
        <f ca="1">IF($G$160=0%,0%, IF(AD$166&gt;='2.2 Input_General_Information'!$H$20,$G$160 * VLOOKUP(AD$631,Growth!$B$128:$L$170, 11, FALSE),))</f>
        <v>9.9749424486388294E-2</v>
      </c>
      <c r="AE168" s="416">
        <f ca="1">IF($G$160=0%,0%, IF(AE$166&gt;='2.2 Input_General_Information'!$H$20,$G$160 * VLOOKUP(AE$631,Growth!$B$128:$L$170, 11, FALSE),))</f>
        <v>9.9603447738821627E-2</v>
      </c>
      <c r="AF168" s="416">
        <f ca="1">IF($G$160=0%,0%, IF(AF$166&gt;='2.2 Input_General_Information'!$H$20,$G$160 * VLOOKUP(AF$631,Growth!$B$128:$L$170, 11, FALSE),))</f>
        <v>9.9372964494366181E-2</v>
      </c>
      <c r="AG168" s="416">
        <f ca="1">IF($G$160=0%,0%, IF(AG$166&gt;='2.2 Input_General_Information'!$H$20,$G$160 * VLOOKUP(AG$631,Growth!$B$128:$L$170, 11, FALSE),))</f>
        <v>9.9009851971644192E-2</v>
      </c>
      <c r="AH168" s="416">
        <f ca="1">IF($G$160=0%,0%, IF(AH$166&gt;='2.2 Input_General_Information'!$H$20,$G$160 * VLOOKUP(AH$631,Growth!$B$128:$L$170, 11, FALSE),))</f>
        <v>9.8439764658727488E-2</v>
      </c>
      <c r="AI168" s="416">
        <f ca="1">IF($G$160=0%,0%, IF(AI$166&gt;='2.2 Input_General_Information'!$H$20,$G$160 * VLOOKUP(AI$631,Growth!$B$128:$L$170, 11, FALSE),))</f>
        <v>9.7549567626556047E-2</v>
      </c>
      <c r="AJ168" s="416">
        <f ca="1">IF($G$160=0%,0%, IF(AJ$166&gt;='2.2 Input_General_Information'!$H$20,$G$160 * VLOOKUP(AJ$631,Growth!$B$128:$L$170, 11, FALSE),))</f>
        <v>9.6171220730980431E-2</v>
      </c>
      <c r="AK168" s="416">
        <f ca="1">IF($G$160=0%,0%, IF(AK$166&gt;='2.2 Input_General_Information'!$H$20,$G$160 * VLOOKUP(AK$631,Growth!$B$128:$L$170, 11, FALSE),))</f>
        <v>9.4064738193906511E-2</v>
      </c>
      <c r="AL168" s="416">
        <f ca="1">IF($G$160=0%,0%, IF(AL$166&gt;='2.2 Input_General_Information'!$H$20,$G$160 * VLOOKUP(AL$631,Growth!$B$128:$L$170, 11, FALSE),))</f>
        <v>9.0908884285073502E-2</v>
      </c>
      <c r="AM168" s="416">
        <f ca="1">IF($G$160=0%,0%, IF(AM$166&gt;='2.2 Input_General_Information'!$H$20,$G$160 * VLOOKUP(AM$631,Growth!$B$128:$L$170, 11, FALSE),))</f>
        <v>8.6319074944621751E-2</v>
      </c>
      <c r="AN168" s="416">
        <f ca="1">IF($G$160=0%,0%, IF(AN$166&gt;='2.2 Input_General_Information'!$H$20,$G$160 * VLOOKUP(AN$631,Growth!$B$128:$L$170, 11, FALSE),))</f>
        <v>7.9923758412427104E-2</v>
      </c>
      <c r="AO168" s="416">
        <f ca="1">IF($G$160=0%,0%, IF(AO$166&gt;='2.2 Input_General_Information'!$H$20,$G$160 * VLOOKUP(AO$631,Growth!$B$128:$L$170, 11, FALSE),))</f>
        <v>7.1525071428036588E-2</v>
      </c>
      <c r="AP168" s="416">
        <f ca="1">IF($G$160=0%,0%, IF(AP$166&gt;='2.2 Input_General_Information'!$H$20,$G$160 * VLOOKUP(AP$631,Growth!$B$128:$L$170, 11, FALSE),))</f>
        <v>6.1313563409277405E-2</v>
      </c>
      <c r="AQ168" s="416">
        <f ca="1">IF($G$160=0%,0%, IF(AQ$166&gt;='2.2 Input_General_Information'!$H$20,$G$160 * VLOOKUP(AQ$631,Growth!$B$128:$L$170, 11, FALSE),))</f>
        <v>4.9999999999989532E-2</v>
      </c>
      <c r="AR168" s="416">
        <f ca="1">IF($G$160=0%,0%, IF(AR$166&gt;='2.2 Input_General_Information'!$H$20,$G$160 * VLOOKUP(AR$631,Growth!$B$128:$L$170, 11, FALSE),))</f>
        <v>3.8686436590702727E-2</v>
      </c>
      <c r="AS168" s="416">
        <f ca="1">IF($G$160=0%,0%, IF(AS$166&gt;='2.2 Input_General_Information'!$H$20,$G$160 * VLOOKUP(AS$631,Growth!$B$128:$L$170, 11, FALSE),))</f>
        <v>2.8474928571946358E-2</v>
      </c>
      <c r="AT168" s="416">
        <f ca="1">IF($G$160=0%,0%, IF(AT$166&gt;='2.2 Input_General_Information'!$H$20,$G$160 * VLOOKUP(AT$631,Growth!$B$128:$L$170, 11, FALSE),))</f>
        <v>2.0076241587559454E-2</v>
      </c>
      <c r="AU168" s="416">
        <f ca="1">IF($G$160=0%,0%, IF(AU$166&gt;='2.2 Input_General_Information'!$H$20,$G$160 * VLOOKUP(AU$631,Growth!$B$128:$L$170, 11, FALSE),))</f>
        <v>1.3680925055368366E-2</v>
      </c>
      <c r="AV168" s="416">
        <f ca="1">IF($G$160=0%,0%, IF(AV$166&gt;='2.2 Input_General_Information'!$H$20,$G$160 * VLOOKUP(AV$631,Growth!$B$128:$L$170, 11, FALSE),))</f>
        <v>9.0911157149195839E-3</v>
      </c>
      <c r="AW168" s="416">
        <f ca="1">IF($G$160=0%,0%, IF(AW$166&gt;='2.2 Input_General_Information'!$H$20,$G$160 * VLOOKUP(AW$631,Growth!$B$128:$L$170, 11, FALSE),))</f>
        <v>5.9352618060888101E-3</v>
      </c>
      <c r="AX168" s="416">
        <f ca="1">IF($G$160=0%,0%, IF(AX$166&gt;='2.2 Input_General_Information'!$H$20,$G$160 * VLOOKUP(AX$631,Growth!$B$128:$L$170, 11, FALSE),))</f>
        <v>3.8287792690165027E-3</v>
      </c>
      <c r="AY168" s="416">
        <f ca="1">IF($G$160=0%,0%, IF(AY$166&gt;='2.2 Input_General_Information'!$H$20,$G$160 * VLOOKUP(AY$631,Growth!$B$128:$L$170, 11, FALSE),))</f>
        <v>2.4504323734419464E-3</v>
      </c>
      <c r="AZ168" s="416">
        <f ca="1">IF($G$160=0%,0%, IF(AZ$166&gt;='2.2 Input_General_Information'!$H$20,$G$160 * VLOOKUP(AZ$631,Growth!$B$128:$L$170, 11, FALSE),))</f>
        <v>1.5602353412712323E-3</v>
      </c>
      <c r="BA168" s="416">
        <f ca="1">IF($G$160=0%,0%, IF(BA$166&gt;='2.2 Input_General_Information'!$H$20,$G$160 * VLOOKUP(BA$631,Growth!$B$128:$L$170, 11, FALSE),))</f>
        <v>9.9014802835498692E-4</v>
      </c>
      <c r="BB168" s="416">
        <f ca="1">IF($G$160=0%,0%, IF(BB$166&gt;='2.2 Input_General_Information'!$H$20,$G$160 * VLOOKUP(BB$631,Growth!$B$128:$L$170, 11, FALSE),))</f>
        <v>6.2703550563329995E-4</v>
      </c>
      <c r="BC168" s="416">
        <f ca="1">IF($G$160=0%,0%, IF(BC$166&gt;='2.2 Input_General_Information'!$H$20,$G$160 * VLOOKUP(BC$631,Growth!$B$128:$L$170, 11, FALSE),))</f>
        <v>3.9655226117805146E-4</v>
      </c>
      <c r="BD168" s="416">
        <f ca="1">IF($G$160=0%,0%, IF(BD$166&gt;='2.2 Input_General_Information'!$H$20,$G$160 * VLOOKUP(BD$631,Growth!$B$128:$L$170, 11, FALSE),))</f>
        <v>2.5057551361149514E-4</v>
      </c>
      <c r="BE168" s="416">
        <f ca="1">IF($G$160=0%,0%, IF(BE$166&gt;='2.2 Input_General_Information'!$H$20,$G$160 * VLOOKUP(BE$631,Growth!$B$128:$L$170, 11, FALSE),))</f>
        <v>1.5824958818829728E-4</v>
      </c>
      <c r="BF168" s="416">
        <f ca="1">IF($G$160=0%,0%, IF(BF$166&gt;='2.2 Input_General_Information'!$H$20,$G$160 * VLOOKUP(BF$631,Growth!$B$128:$L$170, 11, FALSE),))</f>
        <v>9.9907585576941582E-5</v>
      </c>
      <c r="BG168" s="416">
        <f ca="1">IF($G$160=0%,0%, IF(BG$166&gt;='2.2 Input_General_Information'!$H$20,$G$160 * VLOOKUP(BG$631,Growth!$B$128:$L$170, 11, FALSE),))</f>
        <v>6.306099058251968E-5</v>
      </c>
      <c r="BH168" s="416">
        <f ca="1">IF($G$160=0%,0%, IF(BH$166&gt;='2.2 Input_General_Information'!$H$20,$G$160 * VLOOKUP(BH$631,Growth!$B$128:$L$170, 11, FALSE),))</f>
        <v>3.9798255961376322E-5</v>
      </c>
      <c r="BI168" s="416">
        <f ca="1">IF($G$160=0%,0%, IF(BI$166&gt;='2.2 Input_General_Information'!$H$20,$G$160 * VLOOKUP(BI$631,Growth!$B$128:$L$170, 11, FALSE),))</f>
        <v>2.5114816103255501E-5</v>
      </c>
      <c r="BJ168" s="416">
        <f ca="1">IF($G$160=0%,0%, IF(BJ$166&gt;='2.2 Input_General_Information'!$H$20,$G$160 * VLOOKUP(BJ$631,Growth!$B$128:$L$170, 11, FALSE),))</f>
        <v>1.584792575434202E-5</v>
      </c>
      <c r="BK168" s="416">
        <f ca="1">IF($G$160=0%,0%, IF(BK$166&gt;='2.2 Input_General_Information'!$H$20,$G$160 * VLOOKUP(BK$631,Growth!$B$128:$L$170, 11, FALSE),))</f>
        <v>9.9999999999877968E-6</v>
      </c>
      <c r="BL168" s="416"/>
      <c r="BM168" s="416"/>
      <c r="BN168" s="416"/>
      <c r="BO168" s="416"/>
      <c r="BP168" s="416"/>
      <c r="BQ168" s="416"/>
      <c r="BR168" s="416"/>
      <c r="BS168" s="416"/>
      <c r="BT168" s="416"/>
      <c r="BU168" s="416"/>
    </row>
    <row r="169" spans="1:73" hidden="1">
      <c r="A169" s="6"/>
      <c r="B169" s="108"/>
      <c r="C169" s="1"/>
      <c r="D169" s="12"/>
      <c r="E169" s="1"/>
      <c r="F169" s="1"/>
      <c r="G169" s="183"/>
      <c r="H169" s="6"/>
      <c r="I169" s="6"/>
      <c r="J169" s="6"/>
      <c r="K169" s="6"/>
      <c r="L169" s="3"/>
      <c r="M169" s="3"/>
      <c r="N169" s="3"/>
      <c r="O169" s="1"/>
      <c r="P169" s="1"/>
      <c r="Q169" s="1"/>
      <c r="R169" s="162"/>
      <c r="S169" s="1"/>
      <c r="T169" s="101" t="s">
        <v>200</v>
      </c>
      <c r="U169" s="101" t="s">
        <v>289</v>
      </c>
      <c r="V169" s="101" t="str">
        <f>E161</f>
        <v>No metadata standards</v>
      </c>
      <c r="W169" s="416">
        <f ca="1">IF($G$161=0%,0%, IF(W$166&gt;='2.2 Input_General_Information'!$H$20,$G$161 * VLOOKUP(W$631,Growth!$B$128:$L$170, 11, FALSE),))</f>
        <v>0.249975</v>
      </c>
      <c r="X169" s="416">
        <f ca="1">IF($G$161=0%,0%, IF(X$166&gt;='2.2 Input_General_Information'!$H$20,$G$161 * VLOOKUP(X$631,Growth!$B$128:$L$170, 11, FALSE),))</f>
        <v>0.24996038018561412</v>
      </c>
      <c r="Y169" s="416">
        <f ca="1">IF($G$161=0%,0%, IF(Y$166&gt;='2.2 Input_General_Information'!$H$20,$G$161 * VLOOKUP(Y$631,Growth!$B$128:$L$170, 11, FALSE),))</f>
        <v>0.24993721295974183</v>
      </c>
      <c r="Z169" s="416">
        <f ca="1">IF($G$161=0%,0%, IF(Z$166&gt;='2.2 Input_General_Information'!$H$20,$G$161 * VLOOKUP(Z$631,Growth!$B$128:$L$170, 11, FALSE),))</f>
        <v>0.24990050436009648</v>
      </c>
      <c r="AA169" s="416">
        <f ca="1">IF($G$161=0%,0%, IF(AA$166&gt;='2.2 Input_General_Information'!$H$20,$G$161 * VLOOKUP(AA$631,Growth!$B$128:$L$170, 11, FALSE),))</f>
        <v>0.24984234752354359</v>
      </c>
      <c r="AB169" s="416">
        <f ca="1">IF($G$161=0%,0%, IF(AB$166&gt;='2.2 Input_General_Information'!$H$20,$G$161 * VLOOKUP(AB$631,Growth!$B$128:$L$170, 11, FALSE),))</f>
        <v>0.24975023103605745</v>
      </c>
      <c r="AC169" s="416">
        <f ca="1">IF($G$161=0%,0%, IF(AC$166&gt;='2.2 Input_General_Information'!$H$20,$G$161 * VLOOKUP(AC$631,Growth!$B$128:$L$170, 11, FALSE),))</f>
        <v>0.2496043760295289</v>
      </c>
      <c r="AD169" s="416">
        <f ca="1">IF($G$161=0%,0%, IF(AD$166&gt;='2.2 Input_General_Information'!$H$20,$G$161 * VLOOKUP(AD$631,Growth!$B$128:$L$170, 11, FALSE),))</f>
        <v>0.24937356121597071</v>
      </c>
      <c r="AE169" s="416">
        <f ca="1">IF($G$161=0%,0%, IF(AE$166&gt;='2.2 Input_General_Information'!$H$20,$G$161 * VLOOKUP(AE$631,Growth!$B$128:$L$170, 11, FALSE),))</f>
        <v>0.24900861934705407</v>
      </c>
      <c r="AF169" s="416">
        <f ca="1">IF($G$161=0%,0%, IF(AF$166&gt;='2.2 Input_General_Information'!$H$20,$G$161 * VLOOKUP(AF$631,Growth!$B$128:$L$170, 11, FALSE),))</f>
        <v>0.24843241123591545</v>
      </c>
      <c r="AG169" s="416">
        <f ca="1">IF($G$161=0%,0%, IF(AG$166&gt;='2.2 Input_General_Information'!$H$20,$G$161 * VLOOKUP(AG$631,Growth!$B$128:$L$170, 11, FALSE),))</f>
        <v>0.24752462992911045</v>
      </c>
      <c r="AH169" s="416">
        <f ca="1">IF($G$161=0%,0%, IF(AH$166&gt;='2.2 Input_General_Information'!$H$20,$G$161 * VLOOKUP(AH$631,Growth!$B$128:$L$170, 11, FALSE),))</f>
        <v>0.2460994116468187</v>
      </c>
      <c r="AI169" s="416">
        <f ca="1">IF($G$161=0%,0%, IF(AI$166&gt;='2.2 Input_General_Information'!$H$20,$G$161 * VLOOKUP(AI$631,Growth!$B$128:$L$170, 11, FALSE),))</f>
        <v>0.24387391906639011</v>
      </c>
      <c r="AJ169" s="416">
        <f ca="1">IF($G$161=0%,0%, IF(AJ$166&gt;='2.2 Input_General_Information'!$H$20,$G$161 * VLOOKUP(AJ$631,Growth!$B$128:$L$170, 11, FALSE),))</f>
        <v>0.24042805182745106</v>
      </c>
      <c r="AK169" s="416">
        <f ca="1">IF($G$161=0%,0%, IF(AK$166&gt;='2.2 Input_General_Information'!$H$20,$G$161 * VLOOKUP(AK$631,Growth!$B$128:$L$170, 11, FALSE),))</f>
        <v>0.23516184548476626</v>
      </c>
      <c r="AL169" s="416">
        <f ca="1">IF($G$161=0%,0%, IF(AL$166&gt;='2.2 Input_General_Information'!$H$20,$G$161 * VLOOKUP(AL$631,Growth!$B$128:$L$170, 11, FALSE),))</f>
        <v>0.22727221071268375</v>
      </c>
      <c r="AM169" s="416">
        <f ca="1">IF($G$161=0%,0%, IF(AM$166&gt;='2.2 Input_General_Information'!$H$20,$G$161 * VLOOKUP(AM$631,Growth!$B$128:$L$170, 11, FALSE),))</f>
        <v>0.21579768736155436</v>
      </c>
      <c r="AN169" s="416">
        <f ca="1">IF($G$161=0%,0%, IF(AN$166&gt;='2.2 Input_General_Information'!$H$20,$G$161 * VLOOKUP(AN$631,Growth!$B$128:$L$170, 11, FALSE),))</f>
        <v>0.19980939603106776</v>
      </c>
      <c r="AO169" s="416">
        <f ca="1">IF($G$161=0%,0%, IF(AO$166&gt;='2.2 Input_General_Information'!$H$20,$G$161 * VLOOKUP(AO$631,Growth!$B$128:$L$170, 11, FALSE),))</f>
        <v>0.17881267857009145</v>
      </c>
      <c r="AP169" s="416">
        <f ca="1">IF($G$161=0%,0%, IF(AP$166&gt;='2.2 Input_General_Information'!$H$20,$G$161 * VLOOKUP(AP$631,Growth!$B$128:$L$170, 11, FALSE),))</f>
        <v>0.15328390852319351</v>
      </c>
      <c r="AQ169" s="416">
        <f ca="1">IF($G$161=0%,0%, IF(AQ$166&gt;='2.2 Input_General_Information'!$H$20,$G$161 * VLOOKUP(AQ$631,Growth!$B$128:$L$170, 11, FALSE),))</f>
        <v>0.12499999999997383</v>
      </c>
      <c r="AR169" s="416">
        <f ca="1">IF($G$161=0%,0%, IF(AR$166&gt;='2.2 Input_General_Information'!$H$20,$G$161 * VLOOKUP(AR$631,Growth!$B$128:$L$170, 11, FALSE),))</f>
        <v>9.6716091476756805E-2</v>
      </c>
      <c r="AS169" s="416">
        <f ca="1">IF($G$161=0%,0%, IF(AS$166&gt;='2.2 Input_General_Information'!$H$20,$G$161 * VLOOKUP(AS$631,Growth!$B$128:$L$170, 11, FALSE),))</f>
        <v>7.1187321429865891E-2</v>
      </c>
      <c r="AT169" s="416">
        <f ca="1">IF($G$161=0%,0%, IF(AT$166&gt;='2.2 Input_General_Information'!$H$20,$G$161 * VLOOKUP(AT$631,Growth!$B$128:$L$170, 11, FALSE),))</f>
        <v>5.0190603968898628E-2</v>
      </c>
      <c r="AU169" s="416">
        <f ca="1">IF($G$161=0%,0%, IF(AU$166&gt;='2.2 Input_General_Information'!$H$20,$G$161 * VLOOKUP(AU$631,Growth!$B$128:$L$170, 11, FALSE),))</f>
        <v>3.4202312638420912E-2</v>
      </c>
      <c r="AV169" s="416">
        <f ca="1">IF($G$161=0%,0%, IF(AV$166&gt;='2.2 Input_General_Information'!$H$20,$G$161 * VLOOKUP(AV$631,Growth!$B$128:$L$170, 11, FALSE),))</f>
        <v>2.2727789287298961E-2</v>
      </c>
      <c r="AW169" s="416">
        <f ca="1">IF($G$161=0%,0%, IF(AW$166&gt;='2.2 Input_General_Information'!$H$20,$G$161 * VLOOKUP(AW$631,Growth!$B$128:$L$170, 11, FALSE),))</f>
        <v>1.4838154515222024E-2</v>
      </c>
      <c r="AX169" s="416">
        <f ca="1">IF($G$161=0%,0%, IF(AX$166&gt;='2.2 Input_General_Information'!$H$20,$G$161 * VLOOKUP(AX$631,Growth!$B$128:$L$170, 11, FALSE),))</f>
        <v>9.5719481725412559E-3</v>
      </c>
      <c r="AY169" s="416">
        <f ca="1">IF($G$161=0%,0%, IF(AY$166&gt;='2.2 Input_General_Information'!$H$20,$G$161 * VLOOKUP(AY$631,Growth!$B$128:$L$170, 11, FALSE),))</f>
        <v>6.1260809336048661E-3</v>
      </c>
      <c r="AZ169" s="416">
        <f ca="1">IF($G$161=0%,0%, IF(AZ$166&gt;='2.2 Input_General_Information'!$H$20,$G$161 * VLOOKUP(AZ$631,Growth!$B$128:$L$170, 11, FALSE),))</f>
        <v>3.9005883531780805E-3</v>
      </c>
      <c r="BA169" s="416">
        <f ca="1">IF($G$161=0%,0%, IF(BA$166&gt;='2.2 Input_General_Information'!$H$20,$G$161 * VLOOKUP(BA$631,Growth!$B$128:$L$170, 11, FALSE),))</f>
        <v>2.4753700708874671E-3</v>
      </c>
      <c r="BB169" s="416">
        <f ca="1">IF($G$161=0%,0%, IF(BB$166&gt;='2.2 Input_General_Information'!$H$20,$G$161 * VLOOKUP(BB$631,Growth!$B$128:$L$170, 11, FALSE),))</f>
        <v>1.5675887640832498E-3</v>
      </c>
      <c r="BC169" s="416">
        <f ca="1">IF($G$161=0%,0%, IF(BC$166&gt;='2.2 Input_General_Information'!$H$20,$G$161 * VLOOKUP(BC$631,Growth!$B$128:$L$170, 11, FALSE),))</f>
        <v>9.9138065294512856E-4</v>
      </c>
      <c r="BD169" s="416">
        <f ca="1">IF($G$161=0%,0%, IF(BD$166&gt;='2.2 Input_General_Information'!$H$20,$G$161 * VLOOKUP(BD$631,Growth!$B$128:$L$170, 11, FALSE),))</f>
        <v>6.2643878402873776E-4</v>
      </c>
      <c r="BE169" s="416">
        <f ca="1">IF($G$161=0%,0%, IF(BE$166&gt;='2.2 Input_General_Information'!$H$20,$G$161 * VLOOKUP(BE$631,Growth!$B$128:$L$170, 11, FALSE),))</f>
        <v>3.9562397047074316E-4</v>
      </c>
      <c r="BF169" s="416">
        <f ca="1">IF($G$161=0%,0%, IF(BF$166&gt;='2.2 Input_General_Information'!$H$20,$G$161 * VLOOKUP(BF$631,Growth!$B$128:$L$170, 11, FALSE),))</f>
        <v>2.4976896394235393E-4</v>
      </c>
      <c r="BG169" s="416">
        <f ca="1">IF($G$161=0%,0%, IF(BG$166&gt;='2.2 Input_General_Information'!$H$20,$G$161 * VLOOKUP(BG$631,Growth!$B$128:$L$170, 11, FALSE),))</f>
        <v>1.5765247645629921E-4</v>
      </c>
      <c r="BH169" s="416">
        <f ca="1">IF($G$161=0%,0%, IF(BH$166&gt;='2.2 Input_General_Information'!$H$20,$G$161 * VLOOKUP(BH$631,Growth!$B$128:$L$170, 11, FALSE),))</f>
        <v>9.9495639903440791E-5</v>
      </c>
      <c r="BI169" s="416">
        <f ca="1">IF($G$161=0%,0%, IF(BI$166&gt;='2.2 Input_General_Information'!$H$20,$G$161 * VLOOKUP(BI$631,Growth!$B$128:$L$170, 11, FALSE),))</f>
        <v>6.2787040258138749E-5</v>
      </c>
      <c r="BJ169" s="416">
        <f ca="1">IF($G$161=0%,0%, IF(BJ$166&gt;='2.2 Input_General_Information'!$H$20,$G$161 * VLOOKUP(BJ$631,Growth!$B$128:$L$170, 11, FALSE),))</f>
        <v>3.9619814385855046E-5</v>
      </c>
      <c r="BK169" s="416">
        <f ca="1">IF($G$161=0%,0%, IF(BK$166&gt;='2.2 Input_General_Information'!$H$20,$G$161 * VLOOKUP(BK$631,Growth!$B$128:$L$170, 11, FALSE),))</f>
        <v>2.4999999999969491E-5</v>
      </c>
      <c r="BL169" s="416"/>
      <c r="BM169" s="416"/>
      <c r="BN169" s="416"/>
      <c r="BO169" s="416"/>
      <c r="BP169" s="416"/>
      <c r="BQ169" s="416"/>
      <c r="BR169" s="416"/>
      <c r="BS169" s="416"/>
      <c r="BT169" s="416"/>
      <c r="BU169" s="416"/>
    </row>
    <row r="170" spans="1:73" hidden="1">
      <c r="A170" s="6"/>
      <c r="B170" s="108"/>
      <c r="C170" s="1"/>
      <c r="D170" s="12"/>
      <c r="E170" s="1"/>
      <c r="F170" s="1"/>
      <c r="G170" s="183"/>
      <c r="H170" s="6"/>
      <c r="I170" s="6"/>
      <c r="J170" s="6"/>
      <c r="K170" s="6"/>
      <c r="L170" s="3"/>
      <c r="M170" s="3"/>
      <c r="N170" s="3"/>
      <c r="O170" s="1"/>
      <c r="P170" s="1"/>
      <c r="Q170" s="1"/>
      <c r="R170" s="162"/>
      <c r="S170" s="1"/>
      <c r="T170" s="101" t="s">
        <v>200</v>
      </c>
      <c r="U170" s="101" t="s">
        <v>289</v>
      </c>
      <c r="V170" s="101" t="str">
        <f>E162</f>
        <v>Local metadata standards</v>
      </c>
      <c r="W170" s="416">
        <f ca="1">IF($G$162=0%,0%, IF(W$166&gt;='2.2 Input_General_Information'!$H$20,$G$162 * VLOOKUP(W$631,Growth!$B$128:$L$170, 11, FALSE),))</f>
        <v>0.29997000000000001</v>
      </c>
      <c r="X170" s="416">
        <f ca="1">IF($G$162=0%,0%, IF(X$166&gt;='2.2 Input_General_Information'!$H$20,$G$162 * VLOOKUP(X$631,Growth!$B$128:$L$170, 11, FALSE),))</f>
        <v>0.29995245622273692</v>
      </c>
      <c r="Y170" s="416">
        <f ca="1">IF($G$162=0%,0%, IF(Y$166&gt;='2.2 Input_General_Information'!$H$20,$G$162 * VLOOKUP(Y$631,Growth!$B$128:$L$170, 11, FALSE),))</f>
        <v>0.29992465555169018</v>
      </c>
      <c r="Z170" s="416">
        <f ca="1">IF($G$162=0%,0%, IF(Z$166&gt;='2.2 Input_General_Information'!$H$20,$G$162 * VLOOKUP(Z$631,Growth!$B$128:$L$170, 11, FALSE),))</f>
        <v>0.29988060523211574</v>
      </c>
      <c r="AA170" s="416">
        <f ca="1">IF($G$162=0%,0%, IF(AA$166&gt;='2.2 Input_General_Information'!$H$20,$G$162 * VLOOKUP(AA$631,Growth!$B$128:$L$170, 11, FALSE),))</f>
        <v>0.2998108170282523</v>
      </c>
      <c r="AB170" s="416">
        <f ca="1">IF($G$162=0%,0%, IF(AB$166&gt;='2.2 Input_General_Information'!$H$20,$G$162 * VLOOKUP(AB$631,Growth!$B$128:$L$170, 11, FALSE),))</f>
        <v>0.29970027724326892</v>
      </c>
      <c r="AC170" s="416">
        <f ca="1">IF($G$162=0%,0%, IF(AC$166&gt;='2.2 Input_General_Information'!$H$20,$G$162 * VLOOKUP(AC$631,Growth!$B$128:$L$170, 11, FALSE),))</f>
        <v>0.29952525123543466</v>
      </c>
      <c r="AD170" s="416">
        <f ca="1">IF($G$162=0%,0%, IF(AD$166&gt;='2.2 Input_General_Information'!$H$20,$G$162 * VLOOKUP(AD$631,Growth!$B$128:$L$170, 11, FALSE),))</f>
        <v>0.29924827345916483</v>
      </c>
      <c r="AE170" s="416">
        <f ca="1">IF($G$162=0%,0%, IF(AE$166&gt;='2.2 Input_General_Information'!$H$20,$G$162 * VLOOKUP(AE$631,Growth!$B$128:$L$170, 11, FALSE),))</f>
        <v>0.29881034321646488</v>
      </c>
      <c r="AF170" s="416">
        <f ca="1">IF($G$162=0%,0%, IF(AF$166&gt;='2.2 Input_General_Information'!$H$20,$G$162 * VLOOKUP(AF$631,Growth!$B$128:$L$170, 11, FALSE),))</f>
        <v>0.2981188934830985</v>
      </c>
      <c r="AG170" s="416">
        <f ca="1">IF($G$162=0%,0%, IF(AG$166&gt;='2.2 Input_General_Information'!$H$20,$G$162 * VLOOKUP(AG$631,Growth!$B$128:$L$170, 11, FALSE),))</f>
        <v>0.29702955591493252</v>
      </c>
      <c r="AH170" s="416">
        <f ca="1">IF($G$162=0%,0%, IF(AH$166&gt;='2.2 Input_General_Information'!$H$20,$G$162 * VLOOKUP(AH$631,Growth!$B$128:$L$170, 11, FALSE),))</f>
        <v>0.29531929397618245</v>
      </c>
      <c r="AI170" s="416">
        <f ca="1">IF($G$162=0%,0%, IF(AI$166&gt;='2.2 Input_General_Information'!$H$20,$G$162 * VLOOKUP(AI$631,Growth!$B$128:$L$170, 11, FALSE),))</f>
        <v>0.2926487028796681</v>
      </c>
      <c r="AJ170" s="416">
        <f ca="1">IF($G$162=0%,0%, IF(AJ$166&gt;='2.2 Input_General_Information'!$H$20,$G$162 * VLOOKUP(AJ$631,Growth!$B$128:$L$170, 11, FALSE),))</f>
        <v>0.28851366219294128</v>
      </c>
      <c r="AK170" s="416">
        <f ca="1">IF($G$162=0%,0%, IF(AK$166&gt;='2.2 Input_General_Information'!$H$20,$G$162 * VLOOKUP(AK$631,Growth!$B$128:$L$170, 11, FALSE),))</f>
        <v>0.2821942145817195</v>
      </c>
      <c r="AL170" s="416">
        <f ca="1">IF($G$162=0%,0%, IF(AL$166&gt;='2.2 Input_General_Information'!$H$20,$G$162 * VLOOKUP(AL$631,Growth!$B$128:$L$170, 11, FALSE),))</f>
        <v>0.27272665285522046</v>
      </c>
      <c r="AM170" s="416">
        <f ca="1">IF($G$162=0%,0%, IF(AM$166&gt;='2.2 Input_General_Information'!$H$20,$G$162 * VLOOKUP(AM$631,Growth!$B$128:$L$170, 11, FALSE),))</f>
        <v>0.25895722483386524</v>
      </c>
      <c r="AN170" s="416">
        <f ca="1">IF($G$162=0%,0%, IF(AN$166&gt;='2.2 Input_General_Information'!$H$20,$G$162 * VLOOKUP(AN$631,Growth!$B$128:$L$170, 11, FALSE),))</f>
        <v>0.23977127523728131</v>
      </c>
      <c r="AO170" s="416">
        <f ca="1">IF($G$162=0%,0%, IF(AO$166&gt;='2.2 Input_General_Information'!$H$20,$G$162 * VLOOKUP(AO$631,Growth!$B$128:$L$170, 11, FALSE),))</f>
        <v>0.21457521428410972</v>
      </c>
      <c r="AP170" s="416">
        <f ca="1">IF($G$162=0%,0%, IF(AP$166&gt;='2.2 Input_General_Information'!$H$20,$G$162 * VLOOKUP(AP$631,Growth!$B$128:$L$170, 11, FALSE),))</f>
        <v>0.18394069022783222</v>
      </c>
      <c r="AQ170" s="416">
        <f ca="1">IF($G$162=0%,0%, IF(AQ$166&gt;='2.2 Input_General_Information'!$H$20,$G$162 * VLOOKUP(AQ$631,Growth!$B$128:$L$170, 11, FALSE),))</f>
        <v>0.14999999999996858</v>
      </c>
      <c r="AR170" s="416">
        <f ca="1">IF($G$162=0%,0%, IF(AR$166&gt;='2.2 Input_General_Information'!$H$20,$G$162 * VLOOKUP(AR$631,Growth!$B$128:$L$170, 11, FALSE),))</f>
        <v>0.11605930977210815</v>
      </c>
      <c r="AS170" s="416">
        <f ca="1">IF($G$162=0%,0%, IF(AS$166&gt;='2.2 Input_General_Information'!$H$20,$G$162 * VLOOKUP(AS$631,Growth!$B$128:$L$170, 11, FALSE),))</f>
        <v>8.5424785715839072E-2</v>
      </c>
      <c r="AT170" s="416">
        <f ca="1">IF($G$162=0%,0%, IF(AT$166&gt;='2.2 Input_General_Information'!$H$20,$G$162 * VLOOKUP(AT$631,Growth!$B$128:$L$170, 11, FALSE),))</f>
        <v>6.0228724762678348E-2</v>
      </c>
      <c r="AU170" s="416">
        <f ca="1">IF($G$162=0%,0%, IF(AU$166&gt;='2.2 Input_General_Information'!$H$20,$G$162 * VLOOKUP(AU$631,Growth!$B$128:$L$170, 11, FALSE),))</f>
        <v>4.1042775166105092E-2</v>
      </c>
      <c r="AV170" s="416">
        <f ca="1">IF($G$162=0%,0%, IF(AV$166&gt;='2.2 Input_General_Information'!$H$20,$G$162 * VLOOKUP(AV$631,Growth!$B$128:$L$170, 11, FALSE),))</f>
        <v>2.7273347144758753E-2</v>
      </c>
      <c r="AW170" s="416">
        <f ca="1">IF($G$162=0%,0%, IF(AW$166&gt;='2.2 Input_General_Information'!$H$20,$G$162 * VLOOKUP(AW$631,Growth!$B$128:$L$170, 11, FALSE),))</f>
        <v>1.7805785418266429E-2</v>
      </c>
      <c r="AX170" s="416">
        <f ca="1">IF($G$162=0%,0%, IF(AX$166&gt;='2.2 Input_General_Information'!$H$20,$G$162 * VLOOKUP(AX$631,Growth!$B$128:$L$170, 11, FALSE),))</f>
        <v>1.1486337807049506E-2</v>
      </c>
      <c r="AY170" s="416">
        <f ca="1">IF($G$162=0%,0%, IF(AY$166&gt;='2.2 Input_General_Information'!$H$20,$G$162 * VLOOKUP(AY$631,Growth!$B$128:$L$170, 11, FALSE),))</f>
        <v>7.3512971203258393E-3</v>
      </c>
      <c r="AZ170" s="416">
        <f ca="1">IF($G$162=0%,0%, IF(AZ$166&gt;='2.2 Input_General_Information'!$H$20,$G$162 * VLOOKUP(AZ$631,Growth!$B$128:$L$170, 11, FALSE),))</f>
        <v>4.6807060238136964E-3</v>
      </c>
      <c r="BA170" s="416">
        <f ca="1">IF($G$162=0%,0%, IF(BA$166&gt;='2.2 Input_General_Information'!$H$20,$G$162 * VLOOKUP(BA$631,Growth!$B$128:$L$170, 11, FALSE),))</f>
        <v>2.9704440850649603E-3</v>
      </c>
      <c r="BB170" s="416">
        <f ca="1">IF($G$162=0%,0%, IF(BB$166&gt;='2.2 Input_General_Information'!$H$20,$G$162 * VLOOKUP(BB$631,Growth!$B$128:$L$170, 11, FALSE),))</f>
        <v>1.8811065168998996E-3</v>
      </c>
      <c r="BC170" s="416">
        <f ca="1">IF($G$162=0%,0%, IF(BC$166&gt;='2.2 Input_General_Information'!$H$20,$G$162 * VLOOKUP(BC$631,Growth!$B$128:$L$170, 11, FALSE),))</f>
        <v>1.1896567835341543E-3</v>
      </c>
      <c r="BD170" s="416">
        <f ca="1">IF($G$162=0%,0%, IF(BD$166&gt;='2.2 Input_General_Information'!$H$20,$G$162 * VLOOKUP(BD$631,Growth!$B$128:$L$170, 11, FALSE),))</f>
        <v>7.5172654083448525E-4</v>
      </c>
      <c r="BE170" s="416">
        <f ca="1">IF($G$162=0%,0%, IF(BE$166&gt;='2.2 Input_General_Information'!$H$20,$G$162 * VLOOKUP(BE$631,Growth!$B$128:$L$170, 11, FALSE),))</f>
        <v>4.7474876456489175E-4</v>
      </c>
      <c r="BF170" s="416">
        <f ca="1">IF($G$162=0%,0%, IF(BF$166&gt;='2.2 Input_General_Information'!$H$20,$G$162 * VLOOKUP(BF$631,Growth!$B$128:$L$170, 11, FALSE),))</f>
        <v>2.9972275673082469E-4</v>
      </c>
      <c r="BG170" s="416">
        <f ca="1">IF($G$162=0%,0%, IF(BG$166&gt;='2.2 Input_General_Information'!$H$20,$G$162 * VLOOKUP(BG$631,Growth!$B$128:$L$170, 11, FALSE),))</f>
        <v>1.8918297174755905E-4</v>
      </c>
      <c r="BH170" s="416">
        <f ca="1">IF($G$162=0%,0%, IF(BH$166&gt;='2.2 Input_General_Information'!$H$20,$G$162 * VLOOKUP(BH$631,Growth!$B$128:$L$170, 11, FALSE),))</f>
        <v>1.1939476788412894E-4</v>
      </c>
      <c r="BI170" s="416">
        <f ca="1">IF($G$162=0%,0%, IF(BI$166&gt;='2.2 Input_General_Information'!$H$20,$G$162 * VLOOKUP(BI$631,Growth!$B$128:$L$170, 11, FALSE),))</f>
        <v>7.5344448309766496E-5</v>
      </c>
      <c r="BJ170" s="416">
        <f ca="1">IF($G$162=0%,0%, IF(BJ$166&gt;='2.2 Input_General_Information'!$H$20,$G$162 * VLOOKUP(BJ$631,Growth!$B$128:$L$170, 11, FALSE),))</f>
        <v>4.7543777263026052E-5</v>
      </c>
      <c r="BK170" s="416">
        <f ca="1">IF($G$162=0%,0%, IF(BK$166&gt;='2.2 Input_General_Information'!$H$20,$G$162 * VLOOKUP(BK$631,Growth!$B$128:$L$170, 11, FALSE),))</f>
        <v>2.9999999999963389E-5</v>
      </c>
      <c r="BL170" s="416"/>
      <c r="BM170" s="416"/>
      <c r="BN170" s="416"/>
      <c r="BO170" s="416"/>
      <c r="BP170" s="416"/>
      <c r="BQ170" s="416"/>
      <c r="BR170" s="416"/>
      <c r="BS170" s="416"/>
      <c r="BT170" s="416"/>
      <c r="BU170" s="416"/>
    </row>
    <row r="171" spans="1:73" hidden="1">
      <c r="A171" s="6"/>
      <c r="B171" s="108"/>
      <c r="C171" s="1"/>
      <c r="D171" s="12"/>
      <c r="E171" s="1"/>
      <c r="F171" s="1"/>
      <c r="G171" s="183"/>
      <c r="H171" s="6"/>
      <c r="I171" s="6"/>
      <c r="J171" s="6"/>
      <c r="K171" s="6"/>
      <c r="L171" s="3"/>
      <c r="M171" s="3"/>
      <c r="N171" s="3"/>
      <c r="O171" s="1"/>
      <c r="P171" s="1"/>
      <c r="Q171" s="1"/>
      <c r="R171" s="162"/>
      <c r="S171" s="1"/>
      <c r="T171" s="101" t="s">
        <v>200</v>
      </c>
      <c r="U171" s="372" t="s">
        <v>866</v>
      </c>
      <c r="V171" s="101" t="str">
        <f>E163</f>
        <v>Recognized metadata standard</v>
      </c>
      <c r="W171" s="416">
        <f ca="1">IF($G$163=100%,100%, IF(W$166&gt;='2.2 Input_General_Information'!$H$20,HLOOKUP($G$163, Growth!$F$195:$F$237, W167, FALSE),))</f>
        <v>0.19999999999999982</v>
      </c>
      <c r="X171" s="416">
        <f ca="1">IF($G$163=100%,100%, IF(X$166&gt;='2.2 Input_General_Information'!$H$20,HLOOKUP($G$163, Growth!$F$195:$F$237, X167, FALSE),))</f>
        <v>0.21012506945777501</v>
      </c>
      <c r="Y171" s="416">
        <f ca="1">IF($G$163=100%,100%, IF(Y$166&gt;='2.2 Input_General_Information'!$H$20,HLOOKUP($G$163, Growth!$F$195:$F$237, Y167, FALSE),))</f>
        <v>0.22062136502671478</v>
      </c>
      <c r="Z171" s="416">
        <f ca="1">IF($G$163=100%,100%, IF(Z$166&gt;='2.2 Input_General_Information'!$H$20,HLOOKUP($G$163, Growth!$F$195:$F$237, Z167, FALSE),))</f>
        <v>0.23148831648219942</v>
      </c>
      <c r="AA171" s="416">
        <f ca="1">IF($G$163=100%,100%, IF(AA$166&gt;='2.2 Input_General_Information'!$H$20,HLOOKUP($G$163, Growth!$F$195:$F$237, AA167, FALSE),))</f>
        <v>0.24272383320835647</v>
      </c>
      <c r="AB171" s="416">
        <f ca="1">IF($G$163=100%,100%, IF(AB$166&gt;='2.2 Input_General_Information'!$H$20,HLOOKUP($G$163, Growth!$F$195:$F$237, AB167, FALSE),))</f>
        <v>0.25432421143632283</v>
      </c>
      <c r="AC171" s="416">
        <f ca="1">IF($G$163=100%,100%, IF(AC$166&gt;='2.2 Input_General_Information'!$H$20,HLOOKUP($G$163, Growth!$F$195:$F$237, AC167, FALSE),))</f>
        <v>0.2662840509361889</v>
      </c>
      <c r="AD171" s="416">
        <f ca="1">IF($G$163=100%,100%, IF(AD$166&gt;='2.2 Input_General_Information'!$H$20,HLOOKUP($G$163, Growth!$F$195:$F$237, AD167, FALSE),))</f>
        <v>0.27859618331017777</v>
      </c>
      <c r="AE171" s="416">
        <f ca="1">IF($G$163=100%,100%, IF(AE$166&gt;='2.2 Input_General_Information'!$H$20,HLOOKUP($G$163, Growth!$F$195:$F$237, AE167, FALSE),))</f>
        <v>0.29125161402744271</v>
      </c>
      <c r="AF171" s="416">
        <f ca="1">IF($G$163=100%,100%, IF(AF$166&gt;='2.2 Input_General_Information'!$H$20,HLOOKUP($G$163, Growth!$F$195:$F$237, AF167, FALSE),))</f>
        <v>0.30423948027649705</v>
      </c>
      <c r="AG171" s="416">
        <f ca="1">IF($G$163=100%,100%, IF(AG$166&gt;='2.2 Input_General_Information'!$H$20,HLOOKUP($G$163, Growth!$F$195:$F$237, AG167, FALSE),))</f>
        <v>0.3175470265845477</v>
      </c>
      <c r="AH171" s="416">
        <f ca="1">IF($G$163=100%,100%, IF(AH$166&gt;='2.2 Input_General_Information'!$H$20,HLOOKUP($G$163, Growth!$F$195:$F$237, AH167, FALSE),))</f>
        <v>0.33115959996055777</v>
      </c>
      <c r="AI171" s="416">
        <f ca="1">IF($G$163=100%,100%, IF(AI$166&gt;='2.2 Input_General_Information'!$H$20,HLOOKUP($G$163, Growth!$F$195:$F$237, AI167, FALSE),))</f>
        <v>0.34506066605965807</v>
      </c>
      <c r="AJ171" s="416">
        <f ca="1">IF($G$163=100%,100%, IF(AJ$166&gt;='2.2 Input_General_Information'!$H$20,HLOOKUP($G$163, Growth!$F$195:$F$237, AJ167, FALSE),))</f>
        <v>0.35923184754215542</v>
      </c>
      <c r="AK171" s="416">
        <f ca="1">IF($G$163=100%,100%, IF(AK$166&gt;='2.2 Input_General_Information'!$H$20,HLOOKUP($G$163, Growth!$F$195:$F$237, AK167, FALSE),))</f>
        <v>0.37365298541535741</v>
      </c>
      <c r="AL171" s="416">
        <f ca="1">IF($G$163=100%,100%, IF(AL$166&gt;='2.2 Input_General_Information'!$H$20,HLOOKUP($G$163, Growth!$F$195:$F$237, AL167, FALSE),))</f>
        <v>0.38830222370829032</v>
      </c>
      <c r="AM171" s="416">
        <f ca="1">IF($G$163=100%,100%, IF(AM$166&gt;='2.2 Input_General_Information'!$H$20,HLOOKUP($G$163, Growth!$F$195:$F$237, AM167, FALSE),))</f>
        <v>0.40315611734869766</v>
      </c>
      <c r="AN171" s="416">
        <f ca="1">IF($G$163=100%,100%, IF(AN$166&gt;='2.2 Input_General_Information'!$H$20,HLOOKUP($G$163, Growth!$F$195:$F$237, AN167, FALSE),))</f>
        <v>0.41818976260178198</v>
      </c>
      <c r="AO171" s="416">
        <f ca="1">IF($G$163=100%,100%, IF(AO$166&gt;='2.2 Input_General_Information'!$H$20,HLOOKUP($G$163, Growth!$F$195:$F$237, AO167, FALSE),))</f>
        <v>0.43337694890672873</v>
      </c>
      <c r="AP171" s="416">
        <f ca="1">IF($G$163=100%,100%, IF(AP$166&gt;='2.2 Input_General_Information'!$H$20,HLOOKUP($G$163, Growth!$F$195:$F$237, AP167, FALSE),))</f>
        <v>0.44869033042755441</v>
      </c>
      <c r="AQ171" s="416">
        <f ca="1">IF($G$163=100%,100%, IF(AQ$166&gt;='2.2 Input_General_Information'!$H$20,HLOOKUP($G$163, Growth!$F$195:$F$237, AQ167, FALSE),))</f>
        <v>0.46410161513775439</v>
      </c>
      <c r="AR171" s="416">
        <f ca="1">IF($G$163=100%,100%, IF(AR$166&gt;='2.2 Input_General_Information'!$H$20,HLOOKUP($G$163, Growth!$F$195:$F$237, AR167, FALSE),))</f>
        <v>0.47958176880215514</v>
      </c>
      <c r="AS171" s="416">
        <f ca="1">IF($G$163=100%,100%, IF(AS$166&gt;='2.2 Input_General_Information'!$H$20,HLOOKUP($G$163, Growth!$F$195:$F$237, AS167, FALSE),))</f>
        <v>0.49510123082206059</v>
      </c>
      <c r="AT171" s="416">
        <f ca="1">IF($G$163=100%,100%, IF(AT$166&gt;='2.2 Input_General_Information'!$H$20,HLOOKUP($G$163, Growth!$F$195:$F$237, AT167, FALSE),))</f>
        <v>0.51063013858718731</v>
      </c>
      <c r="AU171" s="416">
        <f ca="1">IF($G$163=100%,100%, IF(AU$166&gt;='2.2 Input_General_Information'!$H$20,HLOOKUP($G$163, Growth!$F$195:$F$237, AU167, FALSE),))</f>
        <v>0.52613855674327925</v>
      </c>
      <c r="AV171" s="416">
        <f ca="1">IF($G$163=100%,100%, IF(AV$166&gt;='2.2 Input_General_Information'!$H$20,HLOOKUP($G$163, Growth!$F$195:$F$237, AV167, FALSE),))</f>
        <v>0.54159670764750423</v>
      </c>
      <c r="AW171" s="416">
        <f ca="1">IF($G$163=100%,100%, IF(AW$166&gt;='2.2 Input_General_Information'!$H$20,HLOOKUP($G$163, Growth!$F$195:$F$237, AW167, FALSE),))</f>
        <v>0.55697519925054861</v>
      </c>
      <c r="AX171" s="416">
        <f ca="1">IF($G$163=100%,100%, IF(AX$166&gt;='2.2 Input_General_Information'!$H$20,HLOOKUP($G$163, Growth!$F$195:$F$237, AX167, FALSE),))</f>
        <v>0.57224524671615684</v>
      </c>
      <c r="AY171" s="416">
        <f ca="1">IF($G$163=100%,100%, IF(AY$166&gt;='2.2 Input_General_Information'!$H$20,HLOOKUP($G$163, Growth!$F$195:$F$237, AY167, FALSE),))</f>
        <v>0.58737888426265772</v>
      </c>
      <c r="AZ171" s="416">
        <f ca="1">IF($G$163=100%,100%, IF(AZ$166&gt;='2.2 Input_General_Information'!$H$20,HLOOKUP($G$163, Growth!$F$195:$F$237, AZ167, FALSE),))</f>
        <v>0.60234916397943927</v>
      </c>
      <c r="BA171" s="416">
        <f ca="1">IF($G$163=100%,100%, IF(BA$166&gt;='2.2 Input_General_Information'!$H$20,HLOOKUP($G$163, Growth!$F$195:$F$237, BA167, FALSE),))</f>
        <v>0.61713033872322676</v>
      </c>
      <c r="BB171" s="416">
        <f ca="1">IF($G$163=100%,100%, IF(BB$166&gt;='2.2 Input_General_Information'!$H$20,HLOOKUP($G$163, Growth!$F$195:$F$237, BB167, FALSE),))</f>
        <v>0.63169802661998498</v>
      </c>
      <c r="BC171" s="416">
        <f ca="1">IF($G$163=100%,100%, IF(BC$166&gt;='2.2 Input_General_Information'!$H$20,HLOOKUP($G$163, Growth!$F$195:$F$237, BC167, FALSE),))</f>
        <v>0.64602935517161042</v>
      </c>
      <c r="BD171" s="416">
        <f ca="1">IF($G$163=100%,100%, IF(BD$166&gt;='2.2 Input_General_Information'!$H$20,HLOOKUP($G$163, Growth!$F$195:$F$237, BD167, FALSE),))</f>
        <v>0.66010308347410052</v>
      </c>
      <c r="BE171" s="416">
        <f ca="1">IF($G$163=100%,100%, IF(BE$166&gt;='2.2 Input_General_Information'!$H$20,HLOOKUP($G$163, Growth!$F$195:$F$237, BE167, FALSE),))</f>
        <v>0.67389970157694479</v>
      </c>
      <c r="BF171" s="416">
        <f ca="1">IF($G$163=100%,100%, IF(BF$166&gt;='2.2 Input_General_Information'!$H$20,HLOOKUP($G$163, Growth!$F$195:$F$237, BF167, FALSE),))</f>
        <v>0.68740150653388643</v>
      </c>
      <c r="BG171" s="416">
        <f ca="1">IF($G$163=100%,100%, IF(BG$166&gt;='2.2 Input_General_Information'!$H$20,HLOOKUP($G$163, Growth!$F$195:$F$237, BG167, FALSE),))</f>
        <v>0.70059265519604197</v>
      </c>
      <c r="BH171" s="416">
        <f ca="1">IF($G$163=100%,100%, IF(BH$166&gt;='2.2 Input_General_Information'!$H$20,HLOOKUP($G$163, Growth!$F$195:$F$237, BH167, FALSE),))</f>
        <v>0.71345919426476767</v>
      </c>
      <c r="BI171" s="416">
        <f ca="1">IF($G$163=100%,100%, IF(BI$166&gt;='2.2 Input_General_Information'!$H$20,HLOOKUP($G$163, Growth!$F$195:$F$237, BI167, FALSE),))</f>
        <v>0.72598906854126899</v>
      </c>
      <c r="BJ171" s="416">
        <f ca="1">IF($G$163=100%,100%, IF(BJ$166&gt;='2.2 Input_General_Information'!$H$20,HLOOKUP($G$163, Growth!$F$195:$F$237, BJ167, FALSE),))</f>
        <v>0.73817210867330141</v>
      </c>
      <c r="BK171" s="416">
        <f ca="1">IF($G$163=100%,100%, IF(BK$166&gt;='2.2 Input_General_Information'!$H$20,HLOOKUP($G$163, Growth!$F$195:$F$237, BK167, FALSE),))</f>
        <v>0.74999999999999989</v>
      </c>
      <c r="BL171" s="416"/>
      <c r="BM171" s="416"/>
      <c r="BN171" s="416"/>
      <c r="BO171" s="416"/>
      <c r="BP171" s="416"/>
      <c r="BQ171" s="416"/>
      <c r="BR171" s="416"/>
      <c r="BS171" s="416"/>
      <c r="BT171" s="416"/>
      <c r="BU171" s="416"/>
    </row>
    <row r="172" spans="1:73" hidden="1">
      <c r="A172" s="6"/>
      <c r="B172" s="108"/>
      <c r="C172" s="1"/>
      <c r="D172" s="12"/>
      <c r="E172" s="1"/>
      <c r="F172" s="1"/>
      <c r="G172" s="183"/>
      <c r="H172" s="6"/>
      <c r="I172" s="6"/>
      <c r="J172" s="6"/>
      <c r="K172" s="6"/>
      <c r="L172" s="3"/>
      <c r="M172" s="3"/>
      <c r="N172" s="3"/>
      <c r="O172" s="1"/>
      <c r="P172" s="1"/>
      <c r="Q172" s="1"/>
      <c r="R172" s="162"/>
      <c r="S172" s="1"/>
      <c r="T172" s="101" t="s">
        <v>200</v>
      </c>
      <c r="U172" s="372" t="s">
        <v>866</v>
      </c>
      <c r="V172" s="101" t="str">
        <f>E164</f>
        <v>Recognized metadata standard with machine-readable formats</v>
      </c>
      <c r="W172" s="469">
        <f ca="1">IF($G$164=100%,100%, IF(W$166&gt;='2.2 Input_General_Information'!$H$20,HLOOKUP($G$164, Growth!$U$195:$U$237, W167, FALSE),))</f>
        <v>0.15000000000000047</v>
      </c>
      <c r="X172" s="469">
        <f ca="1">IF($G$164=100%,100%, IF(X$166&gt;='2.2 Input_General_Information'!$H$20,HLOOKUP($G$164, Growth!$U$195:$U$237, X167, FALSE),))</f>
        <v>0.15203851538695581</v>
      </c>
      <c r="Y172" s="469">
        <f ca="1">IF($G$164=100%,100%, IF(Y$166&gt;='2.2 Input_General_Information'!$H$20,HLOOKUP($G$164, Growth!$U$195:$U$237, Y167, FALSE),))</f>
        <v>0.1540997119107797</v>
      </c>
      <c r="Z172" s="469">
        <f ca="1">IF($G$164=100%,100%, IF(Z$166&gt;='2.2 Input_General_Information'!$H$20,HLOOKUP($G$164, Growth!$U$195:$U$237, Z167, FALSE),))</f>
        <v>0.15618370532776168</v>
      </c>
      <c r="AA172" s="469">
        <f ca="1">IF($G$164=100%,100%, IF(AA$166&gt;='2.2 Input_General_Information'!$H$20,HLOOKUP($G$164, Growth!$U$195:$U$237, AA167, FALSE),))</f>
        <v>0.1582906081422458</v>
      </c>
      <c r="AB172" s="469">
        <f ca="1">IF($G$164=100%,100%, IF(AB$166&gt;='2.2 Input_General_Information'!$H$20,HLOOKUP($G$164, Growth!$U$195:$U$237, AB167, FALSE),))</f>
        <v>0.16042052949069727</v>
      </c>
      <c r="AC172" s="469">
        <f ca="1">IF($G$164=100%,100%, IF(AC$166&gt;='2.2 Input_General_Information'!$H$20,HLOOKUP($G$164, Growth!$U$195:$U$237, AC167, FALSE),))</f>
        <v>0.16257357502481143</v>
      </c>
      <c r="AD172" s="469">
        <f ca="1">IF($G$164=100%,100%, IF(AD$166&gt;='2.2 Input_General_Information'!$H$20,HLOOKUP($G$164, Growth!$U$195:$U$237, AD167, FALSE),))</f>
        <v>0.16474984679373583</v>
      </c>
      <c r="AE172" s="469">
        <f ca="1">IF($G$164=100%,100%, IF(AE$166&gt;='2.2 Input_General_Information'!$H$20,HLOOKUP($G$164, Growth!$U$195:$U$237, AE167, FALSE),))</f>
        <v>0.16694944312547944</v>
      </c>
      <c r="AF172" s="469">
        <f ca="1">IF($G$164=100%,100%, IF(AF$166&gt;='2.2 Input_General_Information'!$H$20,HLOOKUP($G$164, Growth!$U$195:$U$237, AF167, FALSE),))</f>
        <v>0.16917245850758608</v>
      </c>
      <c r="AG172" s="469">
        <f ca="1">IF($G$164=100%,100%, IF(AG$166&gt;='2.2 Input_General_Information'!$H$20,HLOOKUP($G$164, Growth!$U$195:$U$237, AG167, FALSE),))</f>
        <v>0.17141898346715398</v>
      </c>
      <c r="AH172" s="469">
        <f ca="1">IF($G$164=100%,100%, IF(AH$166&gt;='2.2 Input_General_Information'!$H$20,HLOOKUP($G$164, Growth!$U$195:$U$237, AH167, FALSE),))</f>
        <v>0.17368910445028521</v>
      </c>
      <c r="AI172" s="469">
        <f ca="1">IF($G$164=100%,100%, IF(AI$166&gt;='2.2 Input_General_Information'!$H$20,HLOOKUP($G$164, Growth!$U$195:$U$237, AI167, FALSE),))</f>
        <v>0.17598290370105327</v>
      </c>
      <c r="AJ172" s="469">
        <f ca="1">IF($G$164=100%,100%, IF(AJ$166&gt;='2.2 Input_General_Information'!$H$20,HLOOKUP($G$164, Growth!$U$195:$U$237, AJ167, FALSE),))</f>
        <v>0.17830045914008008</v>
      </c>
      <c r="AK172" s="469">
        <f ca="1">IF($G$164=100%,100%, IF(AK$166&gt;='2.2 Input_General_Information'!$H$20,HLOOKUP($G$164, Growth!$U$195:$U$237, AK167, FALSE),))</f>
        <v>0.18064184424281779</v>
      </c>
      <c r="AL172" s="469">
        <f ca="1">IF($G$164=100%,100%, IF(AL$166&gt;='2.2 Input_General_Information'!$H$20,HLOOKUP($G$164, Growth!$U$195:$U$237, AL167, FALSE),))</f>
        <v>0.18300712791763285</v>
      </c>
      <c r="AM172" s="469">
        <f ca="1">IF($G$164=100%,100%, IF(AM$166&gt;='2.2 Input_General_Information'!$H$20,HLOOKUP($G$164, Growth!$U$195:$U$237, AM167, FALSE),))</f>
        <v>0.18539637438379539</v>
      </c>
      <c r="AN172" s="469">
        <f ca="1">IF($G$164=100%,100%, IF(AN$166&gt;='2.2 Input_General_Information'!$H$20,HLOOKUP($G$164, Growth!$U$195:$U$237, AN167, FALSE),))</f>
        <v>0.187809643049478</v>
      </c>
      <c r="AO172" s="469">
        <f ca="1">IF($G$164=100%,100%, IF(AO$166&gt;='2.2 Input_General_Information'!$H$20,HLOOKUP($G$164, Growth!$U$195:$U$237, AO167, FALSE),))</f>
        <v>0.19024698838987322</v>
      </c>
      <c r="AP172" s="469">
        <f ca="1">IF($G$164=100%,100%, IF(AP$166&gt;='2.2 Input_General_Information'!$H$20,HLOOKUP($G$164, Growth!$U$195:$U$237, AP167, FALSE),))</f>
        <v>0.19270845982554141</v>
      </c>
      <c r="AQ172" s="469">
        <f ca="1">IF($G$164=100%,100%, IF(AQ$166&gt;='2.2 Input_General_Information'!$H$20,HLOOKUP($G$164, Growth!$U$195:$U$237, AQ167, FALSE),))</f>
        <v>0.19519410160110431</v>
      </c>
      <c r="AR172" s="469">
        <f ca="1">IF($G$164=100%,100%, IF(AR$166&gt;='2.2 Input_General_Information'!$H$20,HLOOKUP($G$164, Growth!$U$195:$U$237, AR167, FALSE),))</f>
        <v>0.19770395266440269</v>
      </c>
      <c r="AS172" s="469">
        <f ca="1">IF($G$164=100%,100%, IF(AS$166&gt;='2.2 Input_General_Information'!$H$20,HLOOKUP($G$164, Growth!$U$195:$U$237, AS167, FALSE),))</f>
        <v>0.2002380465462392</v>
      </c>
      <c r="AT172" s="469">
        <f ca="1">IF($G$164=100%,100%, IF(AT$166&gt;='2.2 Input_General_Information'!$H$20,HLOOKUP($G$164, Growth!$U$195:$U$237, AT167, FALSE),))</f>
        <v>0.20279641124083245</v>
      </c>
      <c r="AU172" s="469">
        <f ca="1">IF($G$164=100%,100%, IF(AU$166&gt;='2.2 Input_General_Information'!$H$20,HLOOKUP($G$164, Growth!$U$195:$U$237, AU167, FALSE),))</f>
        <v>0.20537906908710787</v>
      </c>
      <c r="AV172" s="469">
        <f ca="1">IF($G$164=100%,100%, IF(AV$166&gt;='2.2 Input_General_Information'!$H$20,HLOOKUP($G$164, Growth!$U$195:$U$237, AV167, FALSE),))</f>
        <v>0.20798603665095805</v>
      </c>
      <c r="AW172" s="469">
        <f ca="1">IF($G$164=100%,100%, IF(AW$166&gt;='2.2 Input_General_Information'!$H$20,HLOOKUP($G$164, Growth!$U$195:$U$237, AW167, FALSE),))</f>
        <v>0.21061732460860394</v>
      </c>
      <c r="AX172" s="469">
        <f ca="1">IF($G$164=100%,100%, IF(AX$166&gt;='2.2 Input_General_Information'!$H$20,HLOOKUP($G$164, Growth!$U$195:$U$237, AX167, FALSE),))</f>
        <v>0.21327293763119437</v>
      </c>
      <c r="AY172" s="469">
        <f ca="1">IF($G$164=100%,100%, IF(AY$166&gt;='2.2 Input_General_Information'!$H$20,HLOOKUP($G$164, Growth!$U$195:$U$237, AY167, FALSE),))</f>
        <v>0.21595287427078147</v>
      </c>
      <c r="AZ172" s="469">
        <f ca="1">IF($G$164=100%,100%, IF(AZ$166&gt;='2.2 Input_General_Information'!$H$20,HLOOKUP($G$164, Growth!$U$195:$U$237, AZ167, FALSE),))</f>
        <v>0.21865712684781333</v>
      </c>
      <c r="BA172" s="469">
        <f ca="1">IF($G$164=100%,100%, IF(BA$166&gt;='2.2 Input_General_Information'!$H$20,HLOOKUP($G$164, Growth!$U$195:$U$237, BA167, FALSE),))</f>
        <v>0.22138568134028672</v>
      </c>
      <c r="BB172" s="469">
        <f ca="1">IF($G$164=100%,100%, IF(BB$166&gt;='2.2 Input_General_Information'!$H$20,HLOOKUP($G$164, Growth!$U$195:$U$237, BB167, FALSE),))</f>
        <v>0.22413851727470577</v>
      </c>
      <c r="BC172" s="469">
        <f ca="1">IF($G$164=100%,100%, IF(BC$166&gt;='2.2 Input_General_Information'!$H$20,HLOOKUP($G$164, Growth!$U$195:$U$237, BC167, FALSE),))</f>
        <v>0.22691560761899329</v>
      </c>
      <c r="BD172" s="469">
        <f ca="1">IF($G$164=100%,100%, IF(BD$166&gt;='2.2 Input_General_Information'!$H$20,HLOOKUP($G$164, Growth!$U$195:$U$237, BD167, FALSE),))</f>
        <v>0.22971691867750366</v>
      </c>
      <c r="BE172" s="469">
        <f ca="1">IF($G$164=100%,100%, IF(BE$166&gt;='2.2 Input_General_Information'!$H$20,HLOOKUP($G$164, Growth!$U$195:$U$237, BE167, FALSE),))</f>
        <v>0.23254240998828876</v>
      </c>
      <c r="BF172" s="469">
        <f ca="1">IF($G$164=100%,100%, IF(BF$166&gt;='2.2 Input_General_Information'!$H$20,HLOOKUP($G$164, Growth!$U$195:$U$237, BF167, FALSE),))</f>
        <v>0.23539203422276769</v>
      </c>
      <c r="BG172" s="469">
        <f ca="1">IF($G$164=100%,100%, IF(BG$166&gt;='2.2 Input_General_Information'!$H$20,HLOOKUP($G$164, Growth!$U$195:$U$237, BG167, FALSE),))</f>
        <v>0.23826573708795448</v>
      </c>
      <c r="BH172" s="469">
        <f ca="1">IF($G$164=100%,100%, IF(BH$166&gt;='2.2 Input_General_Information'!$H$20,HLOOKUP($G$164, Growth!$U$195:$U$237, BH167, FALSE),))</f>
        <v>0.24116345723139745</v>
      </c>
      <c r="BI172" s="469">
        <f ca="1">IF($G$164=100%,100%, IF(BI$166&gt;='2.2 Input_General_Information'!$H$20,HLOOKUP($G$164, Growth!$U$195:$U$237, BI167, FALSE),))</f>
        <v>0.24408512614898537</v>
      </c>
      <c r="BJ172" s="469">
        <f ca="1">IF($G$164=100%,100%, IF(BJ$166&gt;='2.2 Input_General_Information'!$H$20,HLOOKUP($G$164, Growth!$U$195:$U$237, BJ167, FALSE),))</f>
        <v>0.24703066809577567</v>
      </c>
      <c r="BK172" s="469">
        <f ca="1">IF($G$164=100%,100%, IF(BK$166&gt;='2.2 Input_General_Information'!$H$20,HLOOKUP($G$164, Growth!$U$195:$U$237, BK167, FALSE),))</f>
        <v>0.25000000000000067</v>
      </c>
      <c r="BL172" s="469"/>
      <c r="BM172" s="469"/>
      <c r="BN172" s="469"/>
      <c r="BO172" s="469"/>
      <c r="BP172" s="469"/>
      <c r="BQ172" s="469"/>
      <c r="BR172" s="469"/>
      <c r="BS172" s="469"/>
      <c r="BT172" s="469"/>
      <c r="BU172" s="469"/>
    </row>
    <row r="173" spans="1:73" hidden="1">
      <c r="A173" s="6"/>
      <c r="B173" s="108"/>
      <c r="C173" s="1"/>
      <c r="D173" s="12"/>
      <c r="E173" s="1"/>
      <c r="F173" s="1"/>
      <c r="G173" s="183"/>
      <c r="H173" s="6"/>
      <c r="I173" s="6"/>
      <c r="J173" s="6"/>
      <c r="K173" s="6"/>
      <c r="L173" s="3"/>
      <c r="M173" s="3"/>
      <c r="N173" s="3"/>
      <c r="O173" s="1"/>
      <c r="P173" s="1"/>
      <c r="Q173" s="1"/>
      <c r="R173" s="162"/>
      <c r="S173" s="1"/>
      <c r="T173" s="101"/>
      <c r="U173" s="101"/>
      <c r="V173" s="101"/>
      <c r="W173" s="469"/>
      <c r="X173" s="469"/>
      <c r="Y173" s="469"/>
      <c r="Z173" s="469"/>
      <c r="AA173" s="469"/>
      <c r="AB173" s="469"/>
      <c r="AC173" s="469"/>
      <c r="AD173" s="469"/>
      <c r="AE173" s="469"/>
      <c r="AF173" s="469"/>
      <c r="AG173" s="469"/>
      <c r="AH173" s="469"/>
      <c r="AI173" s="469"/>
      <c r="AJ173" s="469"/>
      <c r="AK173" s="469"/>
      <c r="AL173" s="469"/>
      <c r="AM173" s="469"/>
      <c r="AN173" s="469"/>
      <c r="AO173" s="469"/>
      <c r="AP173" s="469"/>
      <c r="AQ173" s="469"/>
      <c r="AR173" s="469"/>
      <c r="AS173" s="469"/>
      <c r="AT173" s="469"/>
      <c r="AU173" s="469"/>
      <c r="AV173" s="469"/>
      <c r="AW173" s="469"/>
      <c r="AX173" s="469"/>
      <c r="AY173" s="469"/>
      <c r="AZ173" s="469"/>
      <c r="BA173" s="469"/>
      <c r="BB173" s="469"/>
      <c r="BC173" s="469"/>
      <c r="BD173" s="469"/>
      <c r="BE173" s="469"/>
      <c r="BF173" s="469"/>
      <c r="BG173" s="469"/>
      <c r="BH173" s="469"/>
      <c r="BI173" s="469"/>
      <c r="BJ173" s="469"/>
      <c r="BK173" s="469"/>
      <c r="BL173" s="469"/>
      <c r="BM173" s="469"/>
      <c r="BN173" s="469"/>
      <c r="BO173" s="469"/>
      <c r="BP173" s="469"/>
      <c r="BQ173" s="469"/>
      <c r="BR173" s="469"/>
      <c r="BS173" s="469"/>
      <c r="BT173" s="469"/>
      <c r="BU173" s="469"/>
    </row>
    <row r="174" spans="1:73" hidden="1">
      <c r="A174" s="6"/>
      <c r="B174" s="108"/>
      <c r="C174" s="1"/>
      <c r="D174" s="12"/>
      <c r="E174" s="1"/>
      <c r="F174" s="1"/>
      <c r="G174" s="183"/>
      <c r="H174" s="6"/>
      <c r="I174" s="6"/>
      <c r="J174" s="6"/>
      <c r="K174" s="6"/>
      <c r="L174" s="3"/>
      <c r="M174" s="3"/>
      <c r="N174" s="3"/>
      <c r="O174" s="1"/>
      <c r="P174" s="1"/>
      <c r="Q174" s="1"/>
      <c r="R174" s="162"/>
      <c r="S174" s="1"/>
      <c r="T174" s="101"/>
      <c r="U174" s="101"/>
      <c r="V174" s="101" t="s">
        <v>932</v>
      </c>
      <c r="W174" s="469">
        <f ca="1">IF(W$166&gt;='2.2 Input_General_Information'!$H$20,SUM(W168:W172),)</f>
        <v>0.99993500000000035</v>
      </c>
      <c r="X174" s="469">
        <f ca="1">IF(X$166&gt;='2.2 Input_General_Information'!$H$20,SUM(X168:X172),)</f>
        <v>1.0120605733273276</v>
      </c>
      <c r="Y174" s="469">
        <f ca="1">IF(Y$166&gt;='2.2 Input_General_Information'!$H$20,SUM(Y168:Y172),)</f>
        <v>1.0245578306328231</v>
      </c>
      <c r="Z174" s="469">
        <f ca="1">IF(Z$166&gt;='2.2 Input_General_Information'!$H$20,SUM(Z168:Z172),)</f>
        <v>1.0374133331462119</v>
      </c>
      <c r="AA174" s="469">
        <f ca="1">IF(AA$166&gt;='2.2 Input_General_Information'!$H$20,SUM(AA168:AA172),)</f>
        <v>1.0506045449118155</v>
      </c>
      <c r="AB174" s="469">
        <f ca="1">IF(AB$166&gt;='2.2 Input_General_Information'!$H$20,SUM(AB168:AB172),)</f>
        <v>1.0640953416207695</v>
      </c>
      <c r="AC174" s="469">
        <f ca="1">IF(AC$166&gt;='2.2 Input_General_Information'!$H$20,SUM(AC168:AC172),)</f>
        <v>1.0778290036377756</v>
      </c>
      <c r="AD174" s="469">
        <f ca="1">IF(AD$166&gt;='2.2 Input_General_Information'!$H$20,SUM(AD168:AD172),)</f>
        <v>1.0917172892654374</v>
      </c>
      <c r="AE174" s="469">
        <f ca="1">IF(AE$166&gt;='2.2 Input_General_Information'!$H$20,SUM(AE168:AE172),)</f>
        <v>1.1056234674552625</v>
      </c>
      <c r="AF174" s="469">
        <f ca="1">IF(AF$166&gt;='2.2 Input_General_Information'!$H$20,SUM(AF168:AF172),)</f>
        <v>1.1193362079974634</v>
      </c>
      <c r="AG174" s="469">
        <f ca="1">IF(AG$166&gt;='2.2 Input_General_Information'!$H$20,SUM(AG168:AG172),)</f>
        <v>1.1325300478673888</v>
      </c>
      <c r="AH174" s="469">
        <f ca="1">IF(AH$166&gt;='2.2 Input_General_Information'!$H$20,SUM(AH168:AH172),)</f>
        <v>1.1447071746925717</v>
      </c>
      <c r="AI174" s="469">
        <f ca="1">IF(AI$166&gt;='2.2 Input_General_Information'!$H$20,SUM(AI168:AI172),)</f>
        <v>1.1551157593333254</v>
      </c>
      <c r="AJ174" s="469">
        <f ca="1">IF(AJ$166&gt;='2.2 Input_General_Information'!$H$20,SUM(AJ168:AJ172),)</f>
        <v>1.1626452414336081</v>
      </c>
      <c r="AK174" s="469">
        <f ca="1">IF(AK$166&gt;='2.2 Input_General_Information'!$H$20,SUM(AK168:AK172),)</f>
        <v>1.1657156279185674</v>
      </c>
      <c r="AL174" s="469">
        <f ca="1">IF(AL$166&gt;='2.2 Input_General_Information'!$H$20,SUM(AL168:AL172),)</f>
        <v>1.162217099478901</v>
      </c>
      <c r="AM174" s="469">
        <f ca="1">IF(AM$166&gt;='2.2 Input_General_Information'!$H$20,SUM(AM168:AM172),)</f>
        <v>1.1496264788725346</v>
      </c>
      <c r="AN174" s="469">
        <f ca="1">IF(AN$166&gt;='2.2 Input_General_Information'!$H$20,SUM(AN168:AN172),)</f>
        <v>1.1255038353320361</v>
      </c>
      <c r="AO174" s="469">
        <f ca="1">IF(AO$166&gt;='2.2 Input_General_Information'!$H$20,SUM(AO168:AO172),)</f>
        <v>1.0885369015788398</v>
      </c>
      <c r="AP174" s="469">
        <f ca="1">IF(AP$166&gt;='2.2 Input_General_Information'!$H$20,SUM(AP168:AP172),)</f>
        <v>1.0399369524133988</v>
      </c>
      <c r="AQ174" s="469">
        <f ca="1">IF(AQ$166&gt;='2.2 Input_General_Information'!$H$20,SUM(AQ168:AQ172),)</f>
        <v>0.98429571673879057</v>
      </c>
      <c r="AR174" s="469">
        <f ca="1">IF(AR$166&gt;='2.2 Input_General_Information'!$H$20,SUM(AR168:AR172),)</f>
        <v>0.9287475593061254</v>
      </c>
      <c r="AS174" s="469">
        <f ca="1">IF(AS$166&gt;='2.2 Input_General_Information'!$H$20,SUM(AS168:AS172),)</f>
        <v>0.8804263130859511</v>
      </c>
      <c r="AT174" s="469">
        <f ca="1">IF(AT$166&gt;='2.2 Input_General_Information'!$H$20,SUM(AT168:AT172),)</f>
        <v>0.84392212014715628</v>
      </c>
      <c r="AU174" s="469">
        <f ca="1">IF(AU$166&gt;='2.2 Input_General_Information'!$H$20,SUM(AU168:AU172),)</f>
        <v>0.82044363869028147</v>
      </c>
      <c r="AV174" s="469">
        <f ca="1">IF(AV$166&gt;='2.2 Input_General_Information'!$H$20,SUM(AV168:AV172),)</f>
        <v>0.80867499644543961</v>
      </c>
      <c r="AW174" s="469">
        <f ca="1">IF(AW$166&gt;='2.2 Input_General_Information'!$H$20,SUM(AW168:AW172),)</f>
        <v>0.80617172559872985</v>
      </c>
      <c r="AX174" s="469">
        <f ca="1">IF(AX$166&gt;='2.2 Input_General_Information'!$H$20,SUM(AX168:AX172),)</f>
        <v>0.8104052495959585</v>
      </c>
      <c r="AY174" s="469">
        <f ca="1">IF(AY$166&gt;='2.2 Input_General_Information'!$H$20,SUM(AY168:AY172),)</f>
        <v>0.81925956896081187</v>
      </c>
      <c r="AZ174" s="469">
        <f ca="1">IF(AZ$166&gt;='2.2 Input_General_Information'!$H$20,SUM(AZ168:AZ172),)</f>
        <v>0.83114782054551561</v>
      </c>
      <c r="BA174" s="469">
        <f ca="1">IF(BA$166&gt;='2.2 Input_General_Information'!$H$20,SUM(BA168:BA172),)</f>
        <v>0.84495198224782087</v>
      </c>
      <c r="BB174" s="469">
        <f ca="1">IF(BB$166&gt;='2.2 Input_General_Information'!$H$20,SUM(BB168:BB172),)</f>
        <v>0.85991227468130726</v>
      </c>
      <c r="BC174" s="469">
        <f ca="1">IF(BC$166&gt;='2.2 Input_General_Information'!$H$20,SUM(BC168:BC172),)</f>
        <v>0.87552255248826105</v>
      </c>
      <c r="BD174" s="469">
        <f ca="1">IF(BD$166&gt;='2.2 Input_General_Information'!$H$20,SUM(BD168:BD172),)</f>
        <v>0.89144874299007892</v>
      </c>
      <c r="BE174" s="469">
        <f ca="1">IF(BE$166&gt;='2.2 Input_General_Information'!$H$20,SUM(BE168:BE172),)</f>
        <v>0.90747073388845756</v>
      </c>
      <c r="BF174" s="469">
        <f ca="1">IF(BF$166&gt;='2.2 Input_General_Information'!$H$20,SUM(BF168:BF172),)</f>
        <v>0.92344294006290417</v>
      </c>
      <c r="BG174" s="469">
        <f ca="1">IF(BG$166&gt;='2.2 Input_General_Information'!$H$20,SUM(BG168:BG172),)</f>
        <v>0.9392682887227829</v>
      </c>
      <c r="BH174" s="469">
        <f ca="1">IF(BH$166&gt;='2.2 Input_General_Information'!$H$20,SUM(BH168:BH172),)</f>
        <v>0.95488134015991399</v>
      </c>
      <c r="BI174" s="469">
        <f ca="1">IF(BI$166&gt;='2.2 Input_General_Information'!$H$20,SUM(BI168:BI172),)</f>
        <v>0.97023744099492548</v>
      </c>
      <c r="BJ174" s="469">
        <f ca="1">IF(BJ$166&gt;='2.2 Input_General_Information'!$H$20,SUM(BJ168:BJ172),)</f>
        <v>0.9853057882864803</v>
      </c>
      <c r="BK174" s="469">
        <f ca="1">IF(BK$166&gt;='2.2 Input_General_Information'!$H$20,SUM(BK168:BK172),)</f>
        <v>1.0000650000000004</v>
      </c>
      <c r="BL174" s="469"/>
      <c r="BM174" s="469"/>
      <c r="BN174" s="469"/>
      <c r="BO174" s="469"/>
      <c r="BP174" s="469"/>
      <c r="BQ174" s="469"/>
      <c r="BR174" s="469"/>
      <c r="BS174" s="469"/>
      <c r="BT174" s="469"/>
      <c r="BU174" s="469"/>
    </row>
    <row r="175" spans="1:73" hidden="1">
      <c r="A175" s="6"/>
      <c r="B175" s="108"/>
      <c r="C175" s="1"/>
      <c r="D175" s="12"/>
      <c r="E175" s="1"/>
      <c r="F175" s="1"/>
      <c r="G175" s="183"/>
      <c r="H175" s="6"/>
      <c r="I175" s="6"/>
      <c r="J175" s="6"/>
      <c r="K175" s="6"/>
      <c r="L175" s="3"/>
      <c r="M175" s="3"/>
      <c r="N175" s="3"/>
      <c r="O175" s="1"/>
      <c r="P175" s="1"/>
      <c r="Q175" s="1"/>
      <c r="R175" s="162"/>
      <c r="S175" s="1"/>
      <c r="T175" s="101" t="s">
        <v>936</v>
      </c>
      <c r="U175" s="101"/>
      <c r="V175" s="101" t="str">
        <f t="shared" ref="V175:V179" si="45">V168</f>
        <v>No metadata at all</v>
      </c>
      <c r="W175" s="469">
        <f ca="1">IF(W$166&gt;='2.2 Input_General_Information'!$H$20,W168/W$174,)</f>
        <v>9.999649977248519E-2</v>
      </c>
      <c r="X175" s="469">
        <f ca="1">IF(X$166&gt;='2.2 Input_General_Information'!$H$20,X168/X$174,)</f>
        <v>9.879265600232813E-2</v>
      </c>
      <c r="Y175" s="469">
        <f ca="1">IF(Y$166&gt;='2.2 Input_General_Information'!$H$20,Y168/Y$174,)</f>
        <v>9.7578567255834428E-2</v>
      </c>
      <c r="Z175" s="469">
        <f ca="1">IF(Z$166&gt;='2.2 Input_General_Information'!$H$20,Z168/Z$174,)</f>
        <v>9.6355231372325462E-2</v>
      </c>
      <c r="AA175" s="469">
        <f ca="1">IF(AA$166&gt;='2.2 Input_General_Information'!$H$20,AA168/AA$174,)</f>
        <v>9.5123269258087811E-2</v>
      </c>
      <c r="AB175" s="469">
        <f ca="1">IF(AB$166&gt;='2.2 Input_General_Information'!$H$20,AB168/AB$174,)</f>
        <v>9.3882651776541801E-2</v>
      </c>
      <c r="AC175" s="469">
        <f ca="1">IF(AC$166&gt;='2.2 Input_General_Information'!$H$20,AC168/AC$174,)</f>
        <v>9.2632272906774768E-2</v>
      </c>
      <c r="AD175" s="469">
        <f ca="1">IF(AD$166&gt;='2.2 Input_General_Information'!$H$20,AD168/AD$174,)</f>
        <v>9.1369281651209125E-2</v>
      </c>
      <c r="AE175" s="469">
        <f ca="1">IF(AE$166&gt;='2.2 Input_General_Information'!$H$20,AE168/AE$174,)</f>
        <v>9.0088036904708638E-2</v>
      </c>
      <c r="AF175" s="469">
        <f ca="1">IF(AF$166&gt;='2.2 Input_General_Information'!$H$20,AF168/AF$174,)</f>
        <v>8.8778477623044402E-2</v>
      </c>
      <c r="AG175" s="469">
        <f ca="1">IF(AG$166&gt;='2.2 Input_General_Information'!$H$20,AG168/AG$174,)</f>
        <v>8.7423598303713657E-2</v>
      </c>
      <c r="AH175" s="469">
        <f ca="1">IF(AH$166&gt;='2.2 Input_General_Information'!$H$20,AH168/AH$174,)</f>
        <v>8.5995586325529033E-2</v>
      </c>
      <c r="AI175" s="469">
        <f ca="1">IF(AI$166&gt;='2.2 Input_General_Information'!$H$20,AI168/AI$174,)</f>
        <v>8.4450036144305338E-2</v>
      </c>
      <c r="AJ175" s="469">
        <f ca="1">IF(AJ$166&gt;='2.2 Input_General_Information'!$H$20,AJ168/AJ$174,)</f>
        <v>8.2717597168673579E-2</v>
      </c>
      <c r="AK175" s="469">
        <f ca="1">IF(AK$166&gt;='2.2 Input_General_Information'!$H$20,AK168/AK$174,)</f>
        <v>8.0692697207691136E-2</v>
      </c>
      <c r="AL175" s="469">
        <f ca="1">IF(AL$166&gt;='2.2 Input_General_Information'!$H$20,AL168/AL$174,)</f>
        <v>7.8220226088425299E-2</v>
      </c>
      <c r="AM175" s="469">
        <f ca="1">IF(AM$166&gt;='2.2 Input_General_Information'!$H$20,AM168/AM$174,)</f>
        <v>7.5084452673077673E-2</v>
      </c>
      <c r="AN175" s="469">
        <f ca="1">IF(AN$166&gt;='2.2 Input_General_Information'!$H$20,AN168/AN$174,)</f>
        <v>7.1011538036073157E-2</v>
      </c>
      <c r="AO175" s="469">
        <f ca="1">IF(AO$166&gt;='2.2 Input_General_Information'!$H$20,AO168/AO$174,)</f>
        <v>6.5707530286106902E-2</v>
      </c>
      <c r="AP175" s="469">
        <f ca="1">IF(AP$166&gt;='2.2 Input_General_Information'!$H$20,AP168/AP$174,)</f>
        <v>5.8958923679926951E-2</v>
      </c>
      <c r="AQ175" s="469">
        <f ca="1">IF(AQ$166&gt;='2.2 Input_General_Information'!$H$20,AQ168/AQ$174,)</f>
        <v>5.0797742131451724E-2</v>
      </c>
      <c r="AR175" s="469">
        <f ca="1">IF(AR$166&gt;='2.2 Input_General_Information'!$H$20,AR168/AR$174,)</f>
        <v>4.1654415350071736E-2</v>
      </c>
      <c r="AS175" s="469">
        <f ca="1">IF(AS$166&gt;='2.2 Input_General_Information'!$H$20,AS168/AS$174,)</f>
        <v>3.2342205302951357E-2</v>
      </c>
      <c r="AT175" s="469">
        <f ca="1">IF(AT$166&gt;='2.2 Input_General_Information'!$H$20,AT168/AT$174,)</f>
        <v>2.3789211241504987E-2</v>
      </c>
      <c r="AU175" s="469">
        <f ca="1">IF(AU$166&gt;='2.2 Input_General_Information'!$H$20,AU168/AU$174,)</f>
        <v>1.6675033372442215E-2</v>
      </c>
      <c r="AV175" s="469">
        <f ca="1">IF(AV$166&gt;='2.2 Input_General_Information'!$H$20,AV168/AV$174,)</f>
        <v>1.1241989371354269E-2</v>
      </c>
      <c r="AW175" s="469">
        <f ca="1">IF(AW$166&gt;='2.2 Input_General_Information'!$H$20,AW168/AW$174,)</f>
        <v>7.3622797942718638E-3</v>
      </c>
      <c r="AX175" s="469">
        <f ca="1">IF(AX$166&gt;='2.2 Input_General_Information'!$H$20,AX168/AX$174,)</f>
        <v>4.7245242684760573E-3</v>
      </c>
      <c r="AY175" s="469">
        <f ca="1">IF(AY$166&gt;='2.2 Input_General_Information'!$H$20,AY168/AY$174,)</f>
        <v>2.9910329598593429E-3</v>
      </c>
      <c r="AZ175" s="469">
        <f ca="1">IF(AZ$166&gt;='2.2 Input_General_Information'!$H$20,AZ168/AZ$174,)</f>
        <v>1.8772055977325276E-3</v>
      </c>
      <c r="BA175" s="469">
        <f ca="1">IF(BA$166&gt;='2.2 Input_General_Information'!$H$20,BA168/BA$174,)</f>
        <v>1.1718394052652576E-3</v>
      </c>
      <c r="BB175" s="469">
        <f ca="1">IF(BB$166&gt;='2.2 Input_General_Information'!$H$20,BB168/BB$174,)</f>
        <v>7.2918543448596081E-4</v>
      </c>
      <c r="BC175" s="469">
        <f ca="1">IF(BC$166&gt;='2.2 Input_General_Information'!$H$20,BC168/BC$174,)</f>
        <v>4.5293209187020732E-4</v>
      </c>
      <c r="BD175" s="469">
        <f ca="1">IF(BD$166&gt;='2.2 Input_General_Information'!$H$20,BD168/BD$174,)</f>
        <v>2.810879656086787E-4</v>
      </c>
      <c r="BE175" s="469">
        <f ca="1">IF(BE$166&gt;='2.2 Input_General_Information'!$H$20,BE168/BE$174,)</f>
        <v>1.743853352826127E-4</v>
      </c>
      <c r="BF175" s="469">
        <f ca="1">IF(BF$166&gt;='2.2 Input_General_Information'!$H$20,BF168/BF$174,)</f>
        <v>1.0819031825630283E-4</v>
      </c>
      <c r="BG175" s="469">
        <f ca="1">IF(BG$166&gt;='2.2 Input_General_Information'!$H$20,BG168/BG$174,)</f>
        <v>6.7138421832882298E-5</v>
      </c>
      <c r="BH175" s="469">
        <f ca="1">IF(BH$166&gt;='2.2 Input_General_Information'!$H$20,BH168/BH$174,)</f>
        <v>4.1678745083353823E-5</v>
      </c>
      <c r="BI175" s="469">
        <f ca="1">IF(BI$166&gt;='2.2 Input_General_Information'!$H$20,BI168/BI$174,)</f>
        <v>2.5885226689975629E-5</v>
      </c>
      <c r="BJ175" s="469">
        <f ca="1">IF(BJ$166&gt;='2.2 Input_General_Information'!$H$20,BJ168/BJ$174,)</f>
        <v>1.6084271444200827E-5</v>
      </c>
      <c r="BK175" s="469">
        <f ca="1">IF(BK$166&gt;='2.2 Input_General_Information'!$H$20,BK168/BK$174,)</f>
        <v>9.9993500422350476E-6</v>
      </c>
      <c r="BL175" s="469"/>
      <c r="BM175" s="469"/>
      <c r="BN175" s="469"/>
      <c r="BO175" s="469"/>
      <c r="BP175" s="469"/>
      <c r="BQ175" s="469"/>
      <c r="BR175" s="469"/>
      <c r="BS175" s="469"/>
      <c r="BT175" s="469"/>
      <c r="BU175" s="469"/>
    </row>
    <row r="176" spans="1:73" hidden="1">
      <c r="A176" s="6"/>
      <c r="B176" s="108"/>
      <c r="C176" s="1"/>
      <c r="D176" s="12"/>
      <c r="E176" s="1"/>
      <c r="F176" s="1"/>
      <c r="G176" s="183"/>
      <c r="H176" s="6"/>
      <c r="I176" s="6"/>
      <c r="J176" s="6"/>
      <c r="K176" s="6"/>
      <c r="L176" s="3"/>
      <c r="M176" s="3"/>
      <c r="N176" s="3"/>
      <c r="O176" s="1"/>
      <c r="P176" s="1"/>
      <c r="Q176" s="1"/>
      <c r="R176" s="162"/>
      <c r="S176" s="1"/>
      <c r="T176" s="101" t="s">
        <v>936</v>
      </c>
      <c r="U176" s="101"/>
      <c r="V176" s="101" t="str">
        <f t="shared" si="45"/>
        <v>No metadata standards</v>
      </c>
      <c r="W176" s="469">
        <f ca="1">IF(W$166&gt;='2.2 Input_General_Information'!$H$20,W169/W$174,)</f>
        <v>0.24999124943121295</v>
      </c>
      <c r="X176" s="469">
        <f ca="1">IF(X$166&gt;='2.2 Input_General_Information'!$H$20,X169/X$174,)</f>
        <v>0.24698164000582029</v>
      </c>
      <c r="Y176" s="469">
        <f ca="1">IF(Y$166&gt;='2.2 Input_General_Information'!$H$20,Y169/Y$174,)</f>
        <v>0.24394641813958604</v>
      </c>
      <c r="Z176" s="469">
        <f ca="1">IF(Z$166&gt;='2.2 Input_General_Information'!$H$20,Z169/Z$174,)</f>
        <v>0.24088807843081364</v>
      </c>
      <c r="AA176" s="469">
        <f ca="1">IF(AA$166&gt;='2.2 Input_General_Information'!$H$20,AA169/AA$174,)</f>
        <v>0.23780817314521951</v>
      </c>
      <c r="AB176" s="469">
        <f ca="1">IF(AB$166&gt;='2.2 Input_General_Information'!$H$20,AB169/AB$174,)</f>
        <v>0.23470662944135448</v>
      </c>
      <c r="AC176" s="469">
        <f ca="1">IF(AC$166&gt;='2.2 Input_General_Information'!$H$20,AC169/AC$174,)</f>
        <v>0.23158068226693693</v>
      </c>
      <c r="AD176" s="469">
        <f ca="1">IF(AD$166&gt;='2.2 Input_General_Information'!$H$20,AD169/AD$174,)</f>
        <v>0.22842320412802278</v>
      </c>
      <c r="AE176" s="469">
        <f ca="1">IF(AE$166&gt;='2.2 Input_General_Information'!$H$20,AE169/AE$174,)</f>
        <v>0.22522009226177162</v>
      </c>
      <c r="AF176" s="469">
        <f ca="1">IF(AF$166&gt;='2.2 Input_General_Information'!$H$20,AF169/AF$174,)</f>
        <v>0.22194619405761101</v>
      </c>
      <c r="AG176" s="469">
        <f ca="1">IF(AG$166&gt;='2.2 Input_General_Information'!$H$20,AG169/AG$174,)</f>
        <v>0.21855899575928411</v>
      </c>
      <c r="AH176" s="469">
        <f ca="1">IF(AH$166&gt;='2.2 Input_General_Information'!$H$20,AH169/AH$174,)</f>
        <v>0.21498896581382257</v>
      </c>
      <c r="AI176" s="469">
        <f ca="1">IF(AI$166&gt;='2.2 Input_General_Information'!$H$20,AI169/AI$174,)</f>
        <v>0.21112509036076335</v>
      </c>
      <c r="AJ176" s="469">
        <f ca="1">IF(AJ$166&gt;='2.2 Input_General_Information'!$H$20,AJ169/AJ$174,)</f>
        <v>0.20679399292168393</v>
      </c>
      <c r="AK176" s="469">
        <f ca="1">IF(AK$166&gt;='2.2 Input_General_Information'!$H$20,AK169/AK$174,)</f>
        <v>0.20173174301922783</v>
      </c>
      <c r="AL176" s="469">
        <f ca="1">IF(AL$166&gt;='2.2 Input_General_Information'!$H$20,AL169/AL$174,)</f>
        <v>0.19555056522106323</v>
      </c>
      <c r="AM176" s="469">
        <f ca="1">IF(AM$166&gt;='2.2 Input_General_Information'!$H$20,AM169/AM$174,)</f>
        <v>0.18771113168269415</v>
      </c>
      <c r="AN176" s="469">
        <f ca="1">IF(AN$166&gt;='2.2 Input_General_Information'!$H$20,AN169/AN$174,)</f>
        <v>0.17752884509018291</v>
      </c>
      <c r="AO176" s="469">
        <f ca="1">IF(AO$166&gt;='2.2 Input_General_Information'!$H$20,AO169/AO$174,)</f>
        <v>0.16426882571526724</v>
      </c>
      <c r="AP176" s="469">
        <f ca="1">IF(AP$166&gt;='2.2 Input_General_Information'!$H$20,AP169/AP$174,)</f>
        <v>0.14739730919981739</v>
      </c>
      <c r="AQ176" s="469">
        <f ca="1">IF(AQ$166&gt;='2.2 Input_General_Information'!$H$20,AQ169/AQ$174,)</f>
        <v>0.12699435532862929</v>
      </c>
      <c r="AR176" s="469">
        <f ca="1">IF(AR$166&gt;='2.2 Input_General_Information'!$H$20,AR169/AR$174,)</f>
        <v>0.10413603837517932</v>
      </c>
      <c r="AS176" s="469">
        <f ca="1">IF(AS$166&gt;='2.2 Input_General_Information'!$H$20,AS169/AS$174,)</f>
        <v>8.0855513257378386E-2</v>
      </c>
      <c r="AT176" s="469">
        <f ca="1">IF(AT$166&gt;='2.2 Input_General_Information'!$H$20,AT169/AT$174,)</f>
        <v>5.9473028103762461E-2</v>
      </c>
      <c r="AU176" s="469">
        <f ca="1">IF(AU$166&gt;='2.2 Input_General_Information'!$H$20,AU169/AU$174,)</f>
        <v>4.1687583431105533E-2</v>
      </c>
      <c r="AV176" s="469">
        <f ca="1">IF(AV$166&gt;='2.2 Input_General_Information'!$H$20,AV169/AV$174,)</f>
        <v>2.8104973428385676E-2</v>
      </c>
      <c r="AW176" s="469">
        <f ca="1">IF(AW$166&gt;='2.2 Input_General_Information'!$H$20,AW169/AW$174,)</f>
        <v>1.8405699485679657E-2</v>
      </c>
      <c r="AX176" s="469">
        <f ca="1">IF(AX$166&gt;='2.2 Input_General_Information'!$H$20,AX169/AX$174,)</f>
        <v>1.1811310671190144E-2</v>
      </c>
      <c r="AY176" s="469">
        <f ca="1">IF(AY$166&gt;='2.2 Input_General_Information'!$H$20,AY169/AY$174,)</f>
        <v>7.4775823996483569E-3</v>
      </c>
      <c r="AZ176" s="469">
        <f ca="1">IF(AZ$166&gt;='2.2 Input_General_Information'!$H$20,AZ169/AZ$174,)</f>
        <v>4.6930139943313189E-3</v>
      </c>
      <c r="BA176" s="469">
        <f ca="1">IF(BA$166&gt;='2.2 Input_General_Information'!$H$20,BA169/BA$174,)</f>
        <v>2.9295985131631438E-3</v>
      </c>
      <c r="BB176" s="469">
        <f ca="1">IF(BB$166&gt;='2.2 Input_General_Information'!$H$20,BB169/BB$174,)</f>
        <v>1.8229635862149021E-3</v>
      </c>
      <c r="BC176" s="469">
        <f ca="1">IF(BC$166&gt;='2.2 Input_General_Information'!$H$20,BC169/BC$174,)</f>
        <v>1.1323302296755182E-3</v>
      </c>
      <c r="BD176" s="469">
        <f ca="1">IF(BD$166&gt;='2.2 Input_General_Information'!$H$20,BD169/BD$174,)</f>
        <v>7.0271991402169663E-4</v>
      </c>
      <c r="BE176" s="469">
        <f ca="1">IF(BE$166&gt;='2.2 Input_General_Information'!$H$20,BE169/BE$174,)</f>
        <v>4.3596333820653172E-4</v>
      </c>
      <c r="BF176" s="469">
        <f ca="1">IF(BF$166&gt;='2.2 Input_General_Information'!$H$20,BF169/BF$174,)</f>
        <v>2.7047579564075706E-4</v>
      </c>
      <c r="BG176" s="469">
        <f ca="1">IF(BG$166&gt;='2.2 Input_General_Information'!$H$20,BG169/BG$174,)</f>
        <v>1.6784605458220576E-4</v>
      </c>
      <c r="BH176" s="469">
        <f ca="1">IF(BH$166&gt;='2.2 Input_General_Information'!$H$20,BH169/BH$174,)</f>
        <v>1.0419686270838454E-4</v>
      </c>
      <c r="BI176" s="469">
        <f ca="1">IF(BI$166&gt;='2.2 Input_General_Information'!$H$20,BI169/BI$174,)</f>
        <v>6.4713066724939066E-5</v>
      </c>
      <c r="BJ176" s="469">
        <f ca="1">IF(BJ$166&gt;='2.2 Input_General_Information'!$H$20,BJ169/BJ$174,)</f>
        <v>4.0210678610502064E-5</v>
      </c>
      <c r="BK176" s="469">
        <f ca="1">IF(BK$166&gt;='2.2 Input_General_Information'!$H$20,BK169/BK$174,)</f>
        <v>2.4998375105587616E-5</v>
      </c>
      <c r="BL176" s="469"/>
      <c r="BM176" s="469"/>
      <c r="BN176" s="469"/>
      <c r="BO176" s="469"/>
      <c r="BP176" s="469"/>
      <c r="BQ176" s="469"/>
      <c r="BR176" s="469"/>
      <c r="BS176" s="469"/>
      <c r="BT176" s="469"/>
      <c r="BU176" s="469"/>
    </row>
    <row r="177" spans="1:73" hidden="1">
      <c r="A177" s="6"/>
      <c r="B177" s="108"/>
      <c r="C177" s="1"/>
      <c r="D177" s="12"/>
      <c r="E177" s="1"/>
      <c r="F177" s="1"/>
      <c r="G177" s="183"/>
      <c r="H177" s="6"/>
      <c r="I177" s="6"/>
      <c r="J177" s="6"/>
      <c r="K177" s="6"/>
      <c r="L177" s="3"/>
      <c r="M177" s="3"/>
      <c r="N177" s="3"/>
      <c r="O177" s="1"/>
      <c r="P177" s="1"/>
      <c r="Q177" s="1"/>
      <c r="R177" s="162"/>
      <c r="S177" s="1"/>
      <c r="T177" s="101" t="s">
        <v>936</v>
      </c>
      <c r="U177" s="101"/>
      <c r="V177" s="101" t="str">
        <f t="shared" si="45"/>
        <v>Local metadata standards</v>
      </c>
      <c r="W177" s="469">
        <f ca="1">IF(W$166&gt;='2.2 Input_General_Information'!$H$20,W170/W$174,)</f>
        <v>0.29998949931745555</v>
      </c>
      <c r="X177" s="469">
        <f ca="1">IF(X$166&gt;='2.2 Input_General_Information'!$H$20,X170/X$174,)</f>
        <v>0.29637796800698435</v>
      </c>
      <c r="Y177" s="469">
        <f ca="1">IF(Y$166&gt;='2.2 Input_General_Information'!$H$20,Y170/Y$174,)</f>
        <v>0.29273570176750319</v>
      </c>
      <c r="Z177" s="469">
        <f ca="1">IF(Z$166&gt;='2.2 Input_General_Information'!$H$20,Z170/Z$174,)</f>
        <v>0.2890656941169763</v>
      </c>
      <c r="AA177" s="469">
        <f ca="1">IF(AA$166&gt;='2.2 Input_General_Information'!$H$20,AA170/AA$174,)</f>
        <v>0.28536980777426341</v>
      </c>
      <c r="AB177" s="469">
        <f ca="1">IF(AB$166&gt;='2.2 Input_General_Information'!$H$20,AB170/AB$174,)</f>
        <v>0.28164795532962539</v>
      </c>
      <c r="AC177" s="469">
        <f ca="1">IF(AC$166&gt;='2.2 Input_General_Information'!$H$20,AC170/AC$174,)</f>
        <v>0.27789681872032429</v>
      </c>
      <c r="AD177" s="469">
        <f ca="1">IF(AD$166&gt;='2.2 Input_General_Information'!$H$20,AD170/AD$174,)</f>
        <v>0.27410784495362733</v>
      </c>
      <c r="AE177" s="469">
        <f ca="1">IF(AE$166&gt;='2.2 Input_General_Information'!$H$20,AE170/AE$174,)</f>
        <v>0.27026411071412593</v>
      </c>
      <c r="AF177" s="469">
        <f ca="1">IF(AF$166&gt;='2.2 Input_General_Information'!$H$20,AF170/AF$174,)</f>
        <v>0.26633543286913319</v>
      </c>
      <c r="AG177" s="469">
        <f ca="1">IF(AG$166&gt;='2.2 Input_General_Information'!$H$20,AG170/AG$174,)</f>
        <v>0.26227079491114091</v>
      </c>
      <c r="AH177" s="469">
        <f ca="1">IF(AH$166&gt;='2.2 Input_General_Information'!$H$20,AH170/AH$174,)</f>
        <v>0.25798675897658707</v>
      </c>
      <c r="AI177" s="469">
        <f ca="1">IF(AI$166&gt;='2.2 Input_General_Information'!$H$20,AI170/AI$174,)</f>
        <v>0.253350108432916</v>
      </c>
      <c r="AJ177" s="469">
        <f ca="1">IF(AJ$166&gt;='2.2 Input_General_Information'!$H$20,AJ170/AJ$174,)</f>
        <v>0.24815279150602071</v>
      </c>
      <c r="AK177" s="469">
        <f ca="1">IF(AK$166&gt;='2.2 Input_General_Information'!$H$20,AK170/AK$174,)</f>
        <v>0.24207809162307339</v>
      </c>
      <c r="AL177" s="469">
        <f ca="1">IF(AL$166&gt;='2.2 Input_General_Information'!$H$20,AL170/AL$174,)</f>
        <v>0.23466067826527584</v>
      </c>
      <c r="AM177" s="469">
        <f ca="1">IF(AM$166&gt;='2.2 Input_General_Information'!$H$20,AM170/AM$174,)</f>
        <v>0.22525335801923302</v>
      </c>
      <c r="AN177" s="469">
        <f ca="1">IF(AN$166&gt;='2.2 Input_General_Information'!$H$20,AN170/AN$174,)</f>
        <v>0.21303461410821947</v>
      </c>
      <c r="AO177" s="469">
        <f ca="1">IF(AO$166&gt;='2.2 Input_General_Information'!$H$20,AO170/AO$174,)</f>
        <v>0.19712259085832068</v>
      </c>
      <c r="AP177" s="469">
        <f ca="1">IF(AP$166&gt;='2.2 Input_General_Information'!$H$20,AP170/AP$174,)</f>
        <v>0.17687677103978086</v>
      </c>
      <c r="AQ177" s="469">
        <f ca="1">IF(AQ$166&gt;='2.2 Input_General_Information'!$H$20,AQ170/AQ$174,)</f>
        <v>0.15239322639435515</v>
      </c>
      <c r="AR177" s="469">
        <f ca="1">IF(AR$166&gt;='2.2 Input_General_Information'!$H$20,AR170/AR$174,)</f>
        <v>0.12496324605021517</v>
      </c>
      <c r="AS177" s="469">
        <f ca="1">IF(AS$166&gt;='2.2 Input_General_Information'!$H$20,AS170/AS$174,)</f>
        <v>9.7026615908854058E-2</v>
      </c>
      <c r="AT177" s="469">
        <f ca="1">IF(AT$166&gt;='2.2 Input_General_Information'!$H$20,AT170/AT$174,)</f>
        <v>7.1367633724514948E-2</v>
      </c>
      <c r="AU177" s="469">
        <f ca="1">IF(AU$166&gt;='2.2 Input_General_Information'!$H$20,AU170/AU$174,)</f>
        <v>5.0025100117326637E-2</v>
      </c>
      <c r="AV177" s="469">
        <f ca="1">IF(AV$166&gt;='2.2 Input_General_Information'!$H$20,AV170/AV$174,)</f>
        <v>3.372596811406281E-2</v>
      </c>
      <c r="AW177" s="469">
        <f ca="1">IF(AW$166&gt;='2.2 Input_General_Information'!$H$20,AW170/AW$174,)</f>
        <v>2.2086839382815589E-2</v>
      </c>
      <c r="AX177" s="469">
        <f ca="1">IF(AX$166&gt;='2.2 Input_General_Information'!$H$20,AX170/AX$174,)</f>
        <v>1.4173572805428171E-2</v>
      </c>
      <c r="AY177" s="469">
        <f ca="1">IF(AY$166&gt;='2.2 Input_General_Information'!$H$20,AY170/AY$174,)</f>
        <v>8.973098879578029E-3</v>
      </c>
      <c r="AZ177" s="469">
        <f ca="1">IF(AZ$166&gt;='2.2 Input_General_Information'!$H$20,AZ170/AZ$174,)</f>
        <v>5.6316167931975821E-3</v>
      </c>
      <c r="BA177" s="469">
        <f ca="1">IF(BA$166&gt;='2.2 Input_General_Information'!$H$20,BA170/BA$174,)</f>
        <v>3.5155182157957723E-3</v>
      </c>
      <c r="BB177" s="469">
        <f ca="1">IF(BB$166&gt;='2.2 Input_General_Information'!$H$20,BB170/BB$174,)</f>
        <v>2.1875563034578823E-3</v>
      </c>
      <c r="BC177" s="469">
        <f ca="1">IF(BC$166&gt;='2.2 Input_General_Information'!$H$20,BC170/BC$174,)</f>
        <v>1.3587962756106218E-3</v>
      </c>
      <c r="BD177" s="469">
        <f ca="1">IF(BD$166&gt;='2.2 Input_General_Information'!$H$20,BD170/BD$174,)</f>
        <v>8.4326389682603587E-4</v>
      </c>
      <c r="BE177" s="469">
        <f ca="1">IF(BE$166&gt;='2.2 Input_General_Information'!$H$20,BE170/BE$174,)</f>
        <v>5.2315600584783805E-4</v>
      </c>
      <c r="BF177" s="469">
        <f ca="1">IF(BF$166&gt;='2.2 Input_General_Information'!$H$20,BF170/BF$174,)</f>
        <v>3.2457095476890846E-4</v>
      </c>
      <c r="BG177" s="469">
        <f ca="1">IF(BG$166&gt;='2.2 Input_General_Information'!$H$20,BG170/BG$174,)</f>
        <v>2.0141526549864689E-4</v>
      </c>
      <c r="BH177" s="469">
        <f ca="1">IF(BH$166&gt;='2.2 Input_General_Information'!$H$20,BH170/BH$174,)</f>
        <v>1.2503623525006143E-4</v>
      </c>
      <c r="BI177" s="469">
        <f ca="1">IF(BI$166&gt;='2.2 Input_General_Information'!$H$20,BI170/BI$174,)</f>
        <v>7.7655680069926887E-5</v>
      </c>
      <c r="BJ177" s="469">
        <f ca="1">IF(BJ$166&gt;='2.2 Input_General_Information'!$H$20,BJ170/BJ$174,)</f>
        <v>4.8252814332602467E-5</v>
      </c>
      <c r="BK177" s="469">
        <f ca="1">IF(BK$166&gt;='2.2 Input_General_Information'!$H$20,BK170/BK$174,)</f>
        <v>2.9998050126705141E-5</v>
      </c>
      <c r="BL177" s="469"/>
      <c r="BM177" s="469"/>
      <c r="BN177" s="469"/>
      <c r="BO177" s="469"/>
      <c r="BP177" s="469"/>
      <c r="BQ177" s="469"/>
      <c r="BR177" s="469"/>
      <c r="BS177" s="469"/>
      <c r="BT177" s="469"/>
      <c r="BU177" s="469"/>
    </row>
    <row r="178" spans="1:73" hidden="1">
      <c r="A178" s="6"/>
      <c r="B178" s="108"/>
      <c r="C178" s="1"/>
      <c r="D178" s="12"/>
      <c r="E178" s="1"/>
      <c r="F178" s="1"/>
      <c r="G178" s="183"/>
      <c r="H178" s="6"/>
      <c r="I178" s="6"/>
      <c r="J178" s="6"/>
      <c r="K178" s="6"/>
      <c r="L178" s="3"/>
      <c r="M178" s="3"/>
      <c r="N178" s="3"/>
      <c r="O178" s="1"/>
      <c r="P178" s="1"/>
      <c r="Q178" s="1"/>
      <c r="R178" s="162"/>
      <c r="S178" s="1"/>
      <c r="T178" s="101" t="s">
        <v>936</v>
      </c>
      <c r="U178" s="101"/>
      <c r="V178" s="101" t="str">
        <f t="shared" si="45"/>
        <v>Recognized metadata standard</v>
      </c>
      <c r="W178" s="495">
        <f ca="1">IF(W$166&gt;='2.2 Input_General_Information'!$H$20,W171/W$174,)</f>
        <v>0.20001300084505466</v>
      </c>
      <c r="X178" s="495">
        <f ca="1">IF(X$166&gt;='2.2 Input_General_Information'!$H$20,X171/X$174,)</f>
        <v>0.20762104067244888</v>
      </c>
      <c r="Y178" s="469">
        <f ca="1">IF(Y$166&gt;='2.2 Input_General_Information'!$H$20,Y171/Y$174,)</f>
        <v>0.21533324760247738</v>
      </c>
      <c r="Z178" s="469">
        <f ca="1">IF(Z$166&gt;='2.2 Input_General_Information'!$H$20,Z171/Z$174,)</f>
        <v>0.22313990873835599</v>
      </c>
      <c r="AA178" s="469">
        <f ca="1">IF(AA$166&gt;='2.2 Input_General_Information'!$H$20,AA171/AA$174,)</f>
        <v>0.23103253682262526</v>
      </c>
      <c r="AB178" s="469">
        <f ca="1">IF(AB$166&gt;='2.2 Input_General_Information'!$H$20,AB171/AB$174,)</f>
        <v>0.23900509802904565</v>
      </c>
      <c r="AC178" s="469">
        <f ca="1">IF(AC$166&gt;='2.2 Input_General_Information'!$H$20,AC171/AC$174,)</f>
        <v>0.24705593376820892</v>
      </c>
      <c r="AD178" s="469">
        <f ca="1">IF(AD$166&gt;='2.2 Input_General_Information'!$H$20,AD171/AD$174,)</f>
        <v>0.25519077699834852</v>
      </c>
      <c r="AE178" s="469">
        <f ca="1">IF(AE$166&gt;='2.2 Input_General_Information'!$H$20,AE171/AE$174,)</f>
        <v>0.26342748919557263</v>
      </c>
      <c r="AF178" s="469">
        <f ca="1">IF(AF$166&gt;='2.2 Input_General_Information'!$H$20,AF171/AF$174,)</f>
        <v>0.27180348326334719</v>
      </c>
      <c r="AG178" s="469">
        <f ca="1">IF(AG$166&gt;='2.2 Input_General_Information'!$H$20,AG171/AG$174,)</f>
        <v>0.28038728613205871</v>
      </c>
      <c r="AH178" s="469">
        <f ca="1">IF(AH$166&gt;='2.2 Input_General_Information'!$H$20,AH171/AH$174,)</f>
        <v>0.28929634345088795</v>
      </c>
      <c r="AI178" s="469">
        <f ca="1">IF(AI$166&gt;='2.2 Input_General_Information'!$H$20,AI171/AI$174,)</f>
        <v>0.29872388396710098</v>
      </c>
      <c r="AJ178" s="469">
        <f ca="1">IF(AJ$166&gt;='2.2 Input_General_Information'!$H$20,AJ171/AJ$174,)</f>
        <v>0.30897803968061832</v>
      </c>
      <c r="AK178" s="469">
        <f ca="1">IF(AK$166&gt;='2.2 Input_General_Information'!$H$20,AK171/AK$174,)</f>
        <v>0.32053528018881411</v>
      </c>
      <c r="AL178" s="469">
        <f ca="1">IF(AL$166&gt;='2.2 Input_General_Information'!$H$20,AL171/AL$174,)</f>
        <v>0.33410472439477268</v>
      </c>
      <c r="AM178" s="469">
        <f ca="1">IF(AM$166&gt;='2.2 Input_General_Information'!$H$20,AM171/AM$174,)</f>
        <v>0.35068443947470856</v>
      </c>
      <c r="AN178" s="469">
        <f ca="1">IF(AN$166&gt;='2.2 Input_General_Information'!$H$20,AN171/AN$174,)</f>
        <v>0.37155782990149594</v>
      </c>
      <c r="AO178" s="469">
        <f ca="1">IF(AO$166&gt;='2.2 Input_General_Information'!$H$20,AO171/AO$174,)</f>
        <v>0.39812793510091254</v>
      </c>
      <c r="AP178" s="469">
        <f ca="1">IF(AP$166&gt;='2.2 Input_General_Information'!$H$20,AP171/AP$174,)</f>
        <v>0.43145916623721409</v>
      </c>
      <c r="AQ178" s="469">
        <f ca="1">IF(AQ$166&gt;='2.2 Input_General_Information'!$H$20,AQ171/AQ$174,)</f>
        <v>0.47150628337125666</v>
      </c>
      <c r="AR178" s="469">
        <f ca="1">IF(AR$166&gt;='2.2 Input_General_Information'!$H$20,AR171/AR$174,)</f>
        <v>0.51637472852198341</v>
      </c>
      <c r="AS178" s="469">
        <f ca="1">IF(AS$166&gt;='2.2 Input_General_Information'!$H$20,AS171/AS$174,)</f>
        <v>0.56234261000980168</v>
      </c>
      <c r="AT178" s="469">
        <f ca="1">IF(AT$166&gt;='2.2 Input_General_Information'!$H$20,AT171/AT$174,)</f>
        <v>0.60506784500227084</v>
      </c>
      <c r="AU178" s="469">
        <f ca="1">IF(AU$166&gt;='2.2 Input_General_Information'!$H$20,AU171/AU$174,)</f>
        <v>0.64128543623445322</v>
      </c>
      <c r="AV178" s="469">
        <f ca="1">IF(AV$166&gt;='2.2 Input_General_Information'!$H$20,AV171/AV$174,)</f>
        <v>0.66973346527110678</v>
      </c>
      <c r="AW178" s="469">
        <f ca="1">IF(AW$166&gt;='2.2 Input_General_Information'!$H$20,AW171/AW$174,)</f>
        <v>0.69088902719441414</v>
      </c>
      <c r="AX178" s="469">
        <f ca="1">IF(AX$166&gt;='2.2 Input_General_Information'!$H$20,AX171/AX$174,)</f>
        <v>0.70612233447581885</v>
      </c>
      <c r="AY178" s="469">
        <f ca="1">IF(AY$166&gt;='2.2 Input_General_Information'!$H$20,AY171/AY$174,)</f>
        <v>0.71696310487739223</v>
      </c>
      <c r="AZ178" s="469">
        <f ca="1">IF(AZ$166&gt;='2.2 Input_General_Information'!$H$20,AZ171/AZ$174,)</f>
        <v>0.72471965767063362</v>
      </c>
      <c r="BA178" s="469">
        <f ca="1">IF(BA$166&gt;='2.2 Input_General_Information'!$H$20,BA171/BA$174,)</f>
        <v>0.73037326580556505</v>
      </c>
      <c r="BB178" s="469">
        <f ca="1">IF(BB$166&gt;='2.2 Input_General_Information'!$H$20,BB171/BB$174,)</f>
        <v>0.73460752360361303</v>
      </c>
      <c r="BC178" s="469">
        <f ca="1">IF(BC$166&gt;='2.2 Input_General_Information'!$H$20,BC171/BC$174,)</f>
        <v>0.7378785998551104</v>
      </c>
      <c r="BD178" s="469">
        <f ca="1">IF(BD$166&gt;='2.2 Input_General_Information'!$H$20,BD171/BD$174,)</f>
        <v>0.7404834979743159</v>
      </c>
      <c r="BE178" s="469">
        <f ca="1">IF(BE$166&gt;='2.2 Input_General_Information'!$H$20,BE171/BE$174,)</f>
        <v>0.74261315148900187</v>
      </c>
      <c r="BF178" s="469">
        <f ca="1">IF(BF$166&gt;='2.2 Input_General_Information'!$H$20,BF171/BF$174,)</f>
        <v>0.74438980115767761</v>
      </c>
      <c r="BG178" s="469">
        <f ca="1">IF(BG$166&gt;='2.2 Input_General_Information'!$H$20,BG171/BG$174,)</f>
        <v>0.74589194973111239</v>
      </c>
      <c r="BH178" s="469">
        <f ca="1">IF(BH$166&gt;='2.2 Input_General_Information'!$H$20,BH171/BH$174,)</f>
        <v>0.74717052712045318</v>
      </c>
      <c r="BI178" s="469">
        <f ca="1">IF(BI$166&gt;='2.2 Input_General_Information'!$H$20,BI171/BI$174,)</f>
        <v>0.74825917643088158</v>
      </c>
      <c r="BJ178" s="469">
        <f ca="1">IF(BJ$166&gt;='2.2 Input_General_Information'!$H$20,BJ171/BJ$174,)</f>
        <v>0.74918072891567733</v>
      </c>
      <c r="BK178" s="469">
        <f ca="1">IF(BK$166&gt;='2.2 Input_General_Information'!$H$20,BK171/BK$174,)</f>
        <v>0.74995125316854361</v>
      </c>
      <c r="BL178" s="469"/>
      <c r="BM178" s="469"/>
      <c r="BN178" s="469"/>
      <c r="BO178" s="469"/>
      <c r="BP178" s="469"/>
      <c r="BQ178" s="469"/>
      <c r="BR178" s="469"/>
      <c r="BS178" s="469"/>
      <c r="BT178" s="469"/>
      <c r="BU178" s="469"/>
    </row>
    <row r="179" spans="1:73" hidden="1">
      <c r="A179" s="6"/>
      <c r="B179" s="108"/>
      <c r="C179" s="1"/>
      <c r="D179" s="12"/>
      <c r="E179" s="1"/>
      <c r="F179" s="1"/>
      <c r="G179" s="183"/>
      <c r="H179" s="6"/>
      <c r="I179" s="6"/>
      <c r="J179" s="6"/>
      <c r="K179" s="6"/>
      <c r="L179" s="3"/>
      <c r="M179" s="3"/>
      <c r="N179" s="3"/>
      <c r="O179" s="1"/>
      <c r="P179" s="1"/>
      <c r="Q179" s="1"/>
      <c r="R179" s="162"/>
      <c r="S179" s="1"/>
      <c r="T179" s="101" t="s">
        <v>936</v>
      </c>
      <c r="U179" s="101"/>
      <c r="V179" s="101" t="str">
        <f t="shared" si="45"/>
        <v>Recognized metadata standard with machine-readable formats</v>
      </c>
      <c r="W179" s="495">
        <f ca="1">IF(W$166&gt;='2.2 Input_General_Information'!$H$20,W172/W$174,)</f>
        <v>0.1500097506337916</v>
      </c>
      <c r="X179" s="495">
        <f ca="1">IF(X$166&gt;='2.2 Input_General_Information'!$H$20,X172/X$174,)</f>
        <v>0.15022669531241831</v>
      </c>
      <c r="Y179" s="495">
        <f ca="1">IF(Y$166&gt;='2.2 Input_General_Information'!$H$20,Y172/Y$174,)</f>
        <v>0.15040606523459907</v>
      </c>
      <c r="Z179" s="495">
        <f ca="1">IF(Z$166&gt;='2.2 Input_General_Information'!$H$20,Z172/Z$174,)</f>
        <v>0.15055108734152864</v>
      </c>
      <c r="AA179" s="495">
        <f ca="1">IF(AA$166&gt;='2.2 Input_General_Information'!$H$20,AA172/AA$174,)</f>
        <v>0.15066621299980404</v>
      </c>
      <c r="AB179" s="495">
        <f ca="1">IF(AB$166&gt;='2.2 Input_General_Information'!$H$20,AB172/AB$174,)</f>
        <v>0.15075766542343269</v>
      </c>
      <c r="AC179" s="495">
        <f ca="1">IF(AC$166&gt;='2.2 Input_General_Information'!$H$20,AC172/AC$174,)</f>
        <v>0.150834292337755</v>
      </c>
      <c r="AD179" s="495">
        <f ca="1">IF(AD$166&gt;='2.2 Input_General_Information'!$H$20,AD172/AD$174,)</f>
        <v>0.15090889226879228</v>
      </c>
      <c r="AE179" s="495">
        <f ca="1">IF(AE$166&gt;='2.2 Input_General_Information'!$H$20,AE172/AE$174,)</f>
        <v>0.15100027092382137</v>
      </c>
      <c r="AF179" s="495">
        <f ca="1">IF(AF$166&gt;='2.2 Input_General_Information'!$H$20,AF172/AF$174,)</f>
        <v>0.15113641218686411</v>
      </c>
      <c r="AG179" s="495">
        <f ca="1">IF(AG$166&gt;='2.2 Input_General_Information'!$H$20,AG172/AG$174,)</f>
        <v>0.15135932489380266</v>
      </c>
      <c r="AH179" s="495">
        <f ca="1">IF(AH$166&gt;='2.2 Input_General_Information'!$H$20,AH172/AH$174,)</f>
        <v>0.15173234543317338</v>
      </c>
      <c r="AI179" s="495">
        <f ca="1">IF(AI$166&gt;='2.2 Input_General_Information'!$H$20,AI172/AI$174,)</f>
        <v>0.15235088109491443</v>
      </c>
      <c r="AJ179" s="495">
        <f ca="1">IF(AJ$166&gt;='2.2 Input_General_Information'!$H$20,AJ172/AJ$174,)</f>
        <v>0.1533575787230036</v>
      </c>
      <c r="AK179" s="495">
        <f ca="1">IF(AK$166&gt;='2.2 Input_General_Information'!$H$20,AK172/AK$174,)</f>
        <v>0.15496218796119354</v>
      </c>
      <c r="AL179" s="495">
        <f ca="1">IF(AL$166&gt;='2.2 Input_General_Information'!$H$20,AL172/AL$174,)</f>
        <v>0.15746380603046289</v>
      </c>
      <c r="AM179" s="495">
        <f ca="1">IF(AM$166&gt;='2.2 Input_General_Information'!$H$20,AM172/AM$174,)</f>
        <v>0.16126661815028645</v>
      </c>
      <c r="AN179" s="495">
        <f ca="1">IF(AN$166&gt;='2.2 Input_General_Information'!$H$20,AN172/AN$174,)</f>
        <v>0.16686717286402855</v>
      </c>
      <c r="AO179" s="495">
        <f ca="1">IF(AO$166&gt;='2.2 Input_General_Information'!$H$20,AO172/AO$174,)</f>
        <v>0.17477311803939258</v>
      </c>
      <c r="AP179" s="495">
        <f ca="1">IF(AP$166&gt;='2.2 Input_General_Information'!$H$20,AP172/AP$174,)</f>
        <v>0.18530782984326091</v>
      </c>
      <c r="AQ179" s="495">
        <f ca="1">IF(AQ$166&gt;='2.2 Input_General_Information'!$H$20,AQ172/AQ$174,)</f>
        <v>0.1983083927743072</v>
      </c>
      <c r="AR179" s="495">
        <f ca="1">IF(AR$166&gt;='2.2 Input_General_Information'!$H$20,AR172/AR$174,)</f>
        <v>0.21287157170255055</v>
      </c>
      <c r="AS179" s="495">
        <f ca="1">IF(AS$166&gt;='2.2 Input_General_Information'!$H$20,AS172/AS$174,)</f>
        <v>0.22743305552101448</v>
      </c>
      <c r="AT179" s="495">
        <f ca="1">IF(AT$166&gt;='2.2 Input_General_Information'!$H$20,AT172/AT$174,)</f>
        <v>0.2403022819279467</v>
      </c>
      <c r="AU179" s="495">
        <f ca="1">IF(AU$166&gt;='2.2 Input_General_Information'!$H$20,AU172/AU$174,)</f>
        <v>0.25032684684467243</v>
      </c>
      <c r="AV179" s="495">
        <f ca="1">IF(AV$166&gt;='2.2 Input_General_Information'!$H$20,AV172/AV$174,)</f>
        <v>0.25719360381509043</v>
      </c>
      <c r="AW179" s="495">
        <f ca="1">IF(AW$166&gt;='2.2 Input_General_Information'!$H$20,AW172/AW$174,)</f>
        <v>0.26125615414281872</v>
      </c>
      <c r="AX179" s="495">
        <f ca="1">IF(AX$166&gt;='2.2 Input_General_Information'!$H$20,AX172/AX$174,)</f>
        <v>0.26316825777908676</v>
      </c>
      <c r="AY179" s="495">
        <f ca="1">IF(AY$166&gt;='2.2 Input_General_Information'!$H$20,AY172/AY$174,)</f>
        <v>0.26359518088352202</v>
      </c>
      <c r="AZ179" s="495">
        <f ca="1">IF(AZ$166&gt;='2.2 Input_General_Information'!$H$20,AZ172/AZ$174,)</f>
        <v>0.26307850594410498</v>
      </c>
      <c r="BA179" s="495">
        <f ca="1">IF(BA$166&gt;='2.2 Input_General_Information'!$H$20,BA172/BA$174,)</f>
        <v>0.26200977806021081</v>
      </c>
      <c r="BB179" s="495">
        <f ca="1">IF(BB$166&gt;='2.2 Input_General_Information'!$H$20,BB172/BB$174,)</f>
        <v>0.26065277107222817</v>
      </c>
      <c r="BC179" s="495">
        <f ca="1">IF(BC$166&gt;='2.2 Input_General_Information'!$H$20,BC172/BC$174,)</f>
        <v>0.25917734154773331</v>
      </c>
      <c r="BD179" s="495">
        <f ca="1">IF(BD$166&gt;='2.2 Input_General_Information'!$H$20,BD172/BD$174,)</f>
        <v>0.25768943024922769</v>
      </c>
      <c r="BE179" s="495">
        <f ca="1">IF(BE$166&gt;='2.2 Input_General_Information'!$H$20,BE172/BE$174,)</f>
        <v>0.2562533438316611</v>
      </c>
      <c r="BF179" s="495">
        <f ca="1">IF(BF$166&gt;='2.2 Input_General_Information'!$H$20,BF172/BF$174,)</f>
        <v>0.25490696177365652</v>
      </c>
      <c r="BG179" s="495">
        <f ca="1">IF(BG$166&gt;='2.2 Input_General_Information'!$H$20,BG172/BG$174,)</f>
        <v>0.25367165052697377</v>
      </c>
      <c r="BH179" s="495">
        <f ca="1">IF(BH$166&gt;='2.2 Input_General_Information'!$H$20,BH172/BH$174,)</f>
        <v>0.25255856103650515</v>
      </c>
      <c r="BI179" s="495">
        <f ca="1">IF(BI$166&gt;='2.2 Input_General_Information'!$H$20,BI172/BI$174,)</f>
        <v>0.25157256959563362</v>
      </c>
      <c r="BJ179" s="495">
        <f ca="1">IF(BJ$166&gt;='2.2 Input_General_Information'!$H$20,BJ172/BJ$174,)</f>
        <v>0.25071472331993533</v>
      </c>
      <c r="BK179" s="495">
        <f ca="1">IF(BK$166&gt;='2.2 Input_General_Information'!$H$20,BK172/BK$174,)</f>
        <v>0.2499837510561819</v>
      </c>
      <c r="BL179" s="469"/>
      <c r="BM179" s="469"/>
      <c r="BN179" s="469"/>
      <c r="BO179" s="469"/>
      <c r="BP179" s="469"/>
      <c r="BQ179" s="469"/>
      <c r="BR179" s="469"/>
      <c r="BS179" s="469"/>
      <c r="BT179" s="469"/>
      <c r="BU179" s="469"/>
    </row>
    <row r="180" spans="1:73" hidden="1">
      <c r="A180" s="6"/>
      <c r="B180" s="108"/>
      <c r="C180" s="1"/>
      <c r="D180" s="12"/>
      <c r="E180" s="1"/>
      <c r="F180" s="1"/>
      <c r="G180" s="183"/>
      <c r="H180" s="6"/>
      <c r="I180" s="6"/>
      <c r="J180" s="6"/>
      <c r="K180" s="6"/>
      <c r="L180" s="3"/>
      <c r="M180" s="3"/>
      <c r="N180" s="3"/>
      <c r="O180" s="1"/>
      <c r="P180" s="1"/>
      <c r="Q180" s="1"/>
      <c r="R180" s="162"/>
      <c r="S180" s="1"/>
      <c r="T180" s="101"/>
      <c r="U180" s="101"/>
      <c r="V180" s="101"/>
      <c r="W180" s="469"/>
      <c r="X180" s="469"/>
      <c r="Y180" s="134"/>
      <c r="Z180" s="469"/>
      <c r="AA180" s="469"/>
      <c r="AB180" s="469"/>
      <c r="AC180" s="469"/>
      <c r="AD180" s="469"/>
      <c r="AE180" s="469"/>
      <c r="AF180" s="469"/>
      <c r="AG180" s="469"/>
      <c r="AH180" s="469"/>
      <c r="AI180" s="469"/>
      <c r="AJ180" s="469"/>
      <c r="AK180" s="469"/>
      <c r="AL180" s="469"/>
      <c r="AM180" s="469"/>
      <c r="AN180" s="469"/>
      <c r="AO180" s="469"/>
      <c r="AP180" s="469"/>
      <c r="AQ180" s="469"/>
      <c r="AR180" s="469"/>
      <c r="AS180" s="469"/>
      <c r="AT180" s="469"/>
      <c r="AU180" s="469"/>
      <c r="AV180" s="469"/>
      <c r="AW180" s="469"/>
      <c r="AX180" s="469"/>
      <c r="AY180" s="469"/>
      <c r="AZ180" s="469"/>
      <c r="BA180" s="469"/>
      <c r="BB180" s="469"/>
      <c r="BC180" s="469"/>
      <c r="BD180" s="469"/>
      <c r="BE180" s="469"/>
      <c r="BF180" s="469"/>
      <c r="BG180" s="469"/>
      <c r="BH180" s="469"/>
      <c r="BI180" s="469"/>
      <c r="BJ180" s="469"/>
      <c r="BK180" s="469"/>
      <c r="BL180" s="469"/>
      <c r="BM180" s="469"/>
      <c r="BN180" s="469"/>
      <c r="BO180" s="469"/>
      <c r="BP180" s="469"/>
      <c r="BQ180" s="469"/>
      <c r="BR180" s="469"/>
      <c r="BS180" s="469"/>
      <c r="BT180" s="469"/>
      <c r="BU180" s="469"/>
    </row>
    <row r="181" spans="1:73" hidden="1">
      <c r="A181" s="6"/>
      <c r="B181" s="108"/>
      <c r="C181" s="1"/>
      <c r="D181" s="12"/>
      <c r="E181" s="1"/>
      <c r="F181" s="1"/>
      <c r="G181" s="183"/>
      <c r="H181" s="6"/>
      <c r="I181" s="6"/>
      <c r="J181" s="6"/>
      <c r="K181" s="6"/>
      <c r="L181" s="3"/>
      <c r="M181" s="3"/>
      <c r="N181" s="3"/>
      <c r="O181" s="1"/>
      <c r="P181" s="1"/>
      <c r="Q181" s="1"/>
      <c r="R181" s="162"/>
      <c r="S181" s="1"/>
      <c r="T181" s="101" t="s">
        <v>449</v>
      </c>
      <c r="U181" s="101"/>
      <c r="V181" s="101" t="str">
        <f>E160</f>
        <v>No metadata at all</v>
      </c>
      <c r="W181" s="469">
        <f ca="1">IF(W$166&lt;'2.2 Input_General_Information'!$H$20, ,IF(W$166='2.2 Input_General_Information'!$H$20,$H$160,V181/V175*W175))</f>
        <v>0.25</v>
      </c>
      <c r="X181" s="469">
        <f ca="1">IF(X$166&lt;'2.2 Input_General_Information'!$H$20, ,IF(X$166='2.2 Input_General_Information'!$H$20,$H$160,W181/W175*X175))</f>
        <v>0.2469902852277428</v>
      </c>
      <c r="Y181" s="469">
        <f ca="1">IF(Y$166&lt;'2.2 Input_General_Information'!$H$20, ,IF(Y$166='2.2 Input_General_Information'!$H$20,$H$160,X181/X175*Y175))</f>
        <v>0.24395495711811888</v>
      </c>
      <c r="Z181" s="469">
        <f ca="1">IF(Z$166&lt;'2.2 Input_General_Information'!$H$20, ,IF(Z$166='2.2 Input_General_Information'!$H$20,$H$160,Y181/Y175*Z175))</f>
        <v>0.24089651035675139</v>
      </c>
      <c r="AA181" s="469">
        <f ca="1">IF(AA$166&lt;'2.2 Input_General_Information'!$H$20, ,IF(AA$166='2.2 Input_General_Information'!$H$20,$H$160,Z181/Z175*AA175))</f>
        <v>0.23781649726369153</v>
      </c>
      <c r="AB181" s="469">
        <f ca="1">IF(AB$166&lt;'2.2 Input_General_Information'!$H$20, ,IF(AB$166='2.2 Input_General_Information'!$H$20,$H$160,AA181/AA175*AB175))</f>
        <v>0.23471484499494039</v>
      </c>
      <c r="AC181" s="469">
        <f ca="1">IF(AC$166&lt;'2.2 Input_General_Information'!$H$20, ,IF(AC$166='2.2 Input_General_Information'!$H$20,$H$160,AB181/AB175*AC175))</f>
        <v>0.23158878840142977</v>
      </c>
      <c r="AD181" s="469">
        <f ca="1">IF(AD$166&lt;'2.2 Input_General_Information'!$H$20, ,IF(AD$166='2.2 Input_General_Information'!$H$20,$H$160,AC181/AC175*AD175))</f>
        <v>0.22843119973972853</v>
      </c>
      <c r="AE181" s="469">
        <f ca="1">IF(AE$166&lt;'2.2 Input_General_Information'!$H$20, ,IF(AE$166='2.2 Input_General_Information'!$H$20,$H$160,AD181/AD175*AE175))</f>
        <v>0.22522797575334999</v>
      </c>
      <c r="AF181" s="469">
        <f ca="1">IF(AF$166&lt;'2.2 Input_General_Information'!$H$20, ,IF(AF$166='2.2 Input_General_Information'!$H$20,$H$160,AE181/AE175*AF175))</f>
        <v>0.22195396295129247</v>
      </c>
      <c r="AG181" s="469">
        <f ca="1">IF(AG$166&lt;'2.2 Input_General_Information'!$H$20, ,IF(AG$166='2.2 Input_General_Information'!$H$20,$H$160,AF181/AF175*AG175))</f>
        <v>0.21856664608916876</v>
      </c>
      <c r="AH181" s="469">
        <f ca="1">IF(AH$166&lt;'2.2 Input_General_Information'!$H$20, ,IF(AH$166='2.2 Input_General_Information'!$H$20,$H$160,AG181/AG175*AH175))</f>
        <v>0.21499649118016276</v>
      </c>
      <c r="AI181" s="469">
        <f ca="1">IF(AI$166&lt;'2.2 Input_General_Information'!$H$20, ,IF(AI$166='2.2 Input_General_Information'!$H$20,$H$160,AH181/AH175*AI175))</f>
        <v>0.21113248047793776</v>
      </c>
      <c r="AJ181" s="469">
        <f ca="1">IF(AJ$166&lt;'2.2 Input_General_Information'!$H$20, ,IF(AJ$166='2.2 Input_General_Information'!$H$20,$H$160,AI181/AI175*AJ175))</f>
        <v>0.20680123143528761</v>
      </c>
      <c r="AK181" s="469">
        <f ca="1">IF(AK$166&lt;'2.2 Input_General_Information'!$H$20, ,IF(AK$166='2.2 Input_General_Information'!$H$20,$H$160,AJ181/AJ175*AK175))</f>
        <v>0.20173880433636529</v>
      </c>
      <c r="AL181" s="469">
        <f ca="1">IF(AL$166&lt;'2.2 Input_General_Information'!$H$20, ,IF(AL$166='2.2 Input_General_Information'!$H$20,$H$160,AK181/AK175*AL175))</f>
        <v>0.19555741017534148</v>
      </c>
      <c r="AM181" s="469">
        <f ca="1">IF(AM$166&lt;'2.2 Input_General_Information'!$H$20, ,IF(AM$166='2.2 Input_General_Information'!$H$20,$H$160,AL181/AL175*AM175))</f>
        <v>0.1877177022293578</v>
      </c>
      <c r="AN181" s="469">
        <f ca="1">IF(AN$166&lt;'2.2 Input_General_Information'!$H$20, ,IF(AN$166='2.2 Input_General_Information'!$H$20,$H$160,AM181/AM175*AN175))</f>
        <v>0.17753505922117421</v>
      </c>
      <c r="AO181" s="469">
        <f ca="1">IF(AO$166&lt;'2.2 Input_General_Information'!$H$20, ,IF(AO$166='2.2 Input_General_Information'!$H$20,$H$160,AN181/AN175*AO175))</f>
        <v>0.16427457569916573</v>
      </c>
      <c r="AP181" s="469">
        <f ca="1">IF(AP$166&lt;'2.2 Input_General_Information'!$H$20, ,IF(AP$166='2.2 Input_General_Information'!$H$20,$H$160,AO181/AO175*AP175))</f>
        <v>0.1474024686215816</v>
      </c>
      <c r="AQ181" s="469">
        <f ca="1">IF(AQ$166&lt;'2.2 Input_General_Information'!$H$20, ,IF(AQ$166='2.2 Input_General_Information'!$H$20,$H$160,AP181/AP175*AQ175))</f>
        <v>0.12699880057559054</v>
      </c>
      <c r="AR181" s="469">
        <f ca="1">IF(AR$166&lt;'2.2 Input_General_Information'!$H$20, ,IF(AR$166='2.2 Input_General_Information'!$H$20,$H$160,AQ181/AQ175*AR175))</f>
        <v>0.10413968350103509</v>
      </c>
      <c r="AS181" s="469">
        <f ca="1">IF(AS$166&lt;'2.2 Input_General_Information'!$H$20, ,IF(AS$166='2.2 Input_General_Information'!$H$20,$H$160,AR181/AR175*AS175))</f>
        <v>8.0858343483365028E-2</v>
      </c>
      <c r="AT181" s="469">
        <f ca="1">IF(AT$166&lt;'2.2 Input_General_Information'!$H$20, ,IF(AT$166='2.2 Input_General_Information'!$H$20,$H$160,AS181/AS175*AT175))</f>
        <v>5.9475109867922531E-2</v>
      </c>
      <c r="AU181" s="469">
        <f ca="1">IF(AU$166&lt;'2.2 Input_General_Information'!$H$20, ,IF(AU$166='2.2 Input_General_Information'!$H$20,$H$160,AT181/AT175*AU175))</f>
        <v>4.1689042642446772E-2</v>
      </c>
      <c r="AV181" s="469">
        <f ca="1">IF(AV$166&lt;'2.2 Input_General_Information'!$H$20, ,IF(AV$166='2.2 Input_General_Information'!$H$20,$H$160,AU181/AU175*AV175))</f>
        <v>2.8105957200832921E-2</v>
      </c>
      <c r="AW181" s="469">
        <f ca="1">IF(AW$166&lt;'2.2 Input_General_Information'!$H$20, ,IF(AW$166='2.2 Input_General_Information'!$H$20,$H$160,AV181/AV175*AW175))</f>
        <v>1.8406343749588053E-2</v>
      </c>
      <c r="AX181" s="469">
        <f ca="1">IF(AX$166&lt;'2.2 Input_General_Information'!$H$20, ,IF(AX$166='2.2 Input_General_Information'!$H$20,$H$160,AW181/AW175*AX175))</f>
        <v>1.181172410840736E-2</v>
      </c>
      <c r="AY181" s="469">
        <f ca="1">IF(AY$166&lt;'2.2 Input_General_Information'!$H$20, ,IF(AY$166='2.2 Input_General_Information'!$H$20,$H$160,AX181/AX175*AY175))</f>
        <v>7.4778441412065031E-3</v>
      </c>
      <c r="AZ181" s="469">
        <f ca="1">IF(AZ$166&lt;'2.2 Input_General_Information'!$H$20, ,IF(AZ$166='2.2 Input_General_Information'!$H$20,$H$160,AY181/AY175*AZ175))</f>
        <v>4.6931782662483134E-3</v>
      </c>
      <c r="BA181" s="469">
        <f ca="1">IF(BA$166&lt;'2.2 Input_General_Information'!$H$20, ,IF(BA$166='2.2 Input_General_Information'!$H$20,$H$160,AZ181/AZ175*BA175))</f>
        <v>2.9297010593657257E-3</v>
      </c>
      <c r="BB181" s="469">
        <f ca="1">IF(BB$166&lt;'2.2 Input_General_Information'!$H$20, ,IF(BB$166='2.2 Input_General_Information'!$H$20,$H$160,BA181/BA175*BB175))</f>
        <v>1.8230273963214308E-3</v>
      </c>
      <c r="BC181" s="469">
        <f ca="1">IF(BC$166&lt;'2.2 Input_General_Information'!$H$20, ,IF(BC$166='2.2 Input_General_Information'!$H$20,$H$160,BB181/BB175*BC175))</f>
        <v>1.1323698651971095E-3</v>
      </c>
      <c r="BD181" s="469">
        <f ca="1">IF(BD$166&lt;'2.2 Input_General_Information'!$H$20, ,IF(BD$166='2.2 Input_General_Information'!$H$20,$H$160,BC181/BC175*BD175))</f>
        <v>7.0274451167845356E-4</v>
      </c>
      <c r="BE181" s="469">
        <f ca="1">IF(BE$166&lt;'2.2 Input_General_Information'!$H$20, ,IF(BE$166='2.2 Input_General_Information'!$H$20,$H$160,BD181/BD175*BE175))</f>
        <v>4.3597859844939345E-4</v>
      </c>
      <c r="BF181" s="469">
        <f ca="1">IF(BF$166&lt;'2.2 Input_General_Information'!$H$20, ,IF(BF$166='2.2 Input_General_Information'!$H$20,$H$160,BE181/BE175*BF175))</f>
        <v>2.7048526324036456E-4</v>
      </c>
      <c r="BG181" s="469">
        <f ca="1">IF(BG$166&lt;'2.2 Input_General_Information'!$H$20, ,IF(BG$166='2.2 Input_General_Information'!$H$20,$H$160,BF181/BF175*BG175))</f>
        <v>1.6785192978163615E-4</v>
      </c>
      <c r="BH181" s="469">
        <f ca="1">IF(BH$166&lt;'2.2 Input_General_Information'!$H$20, ,IF(BH$166='2.2 Input_General_Information'!$H$20,$H$160,BG181/BG175*BH175))</f>
        <v>1.0420050996330489E-4</v>
      </c>
      <c r="BI181" s="469">
        <f ca="1">IF(BI$166&lt;'2.2 Input_General_Information'!$H$20, ,IF(BI$166='2.2 Input_General_Information'!$H$20,$H$160,BH181/BH175*BI175))</f>
        <v>6.4715331908792855E-5</v>
      </c>
      <c r="BJ181" s="469">
        <f ca="1">IF(BJ$166&lt;'2.2 Input_General_Information'!$H$20, ,IF(BJ$166='2.2 Input_General_Information'!$H$20,$H$160,BI181/BI175*BJ175))</f>
        <v>4.0212086125004894E-5</v>
      </c>
      <c r="BK181" s="469">
        <f ca="1">IF(BK$166&lt;'2.2 Input_General_Information'!$H$20, ,IF(BK$166='2.2 Input_General_Information'!$H$20,$H$160,BJ181/BJ175*BK175))</f>
        <v>2.4999250136219384E-5</v>
      </c>
      <c r="BL181" s="469"/>
      <c r="BM181" s="469"/>
      <c r="BN181" s="469"/>
      <c r="BO181" s="469"/>
      <c r="BP181" s="469"/>
      <c r="BQ181" s="469"/>
      <c r="BR181" s="469"/>
      <c r="BS181" s="469"/>
      <c r="BT181" s="469"/>
      <c r="BU181" s="469"/>
    </row>
    <row r="182" spans="1:73" hidden="1">
      <c r="A182" s="6"/>
      <c r="B182" s="108"/>
      <c r="C182" s="1"/>
      <c r="D182" s="12"/>
      <c r="E182" s="1"/>
      <c r="F182" s="1"/>
      <c r="G182" s="183"/>
      <c r="H182" s="6"/>
      <c r="I182" s="6"/>
      <c r="J182" s="6"/>
      <c r="K182" s="6"/>
      <c r="L182" s="3"/>
      <c r="M182" s="3"/>
      <c r="N182" s="3"/>
      <c r="O182" s="1"/>
      <c r="P182" s="1"/>
      <c r="Q182" s="1"/>
      <c r="R182" s="162"/>
      <c r="S182" s="1"/>
      <c r="T182" s="101" t="s">
        <v>449</v>
      </c>
      <c r="U182" s="101"/>
      <c r="V182" s="101" t="str">
        <f>E161</f>
        <v>No metadata standards</v>
      </c>
      <c r="W182" s="469">
        <f ca="1">IF(W$166&lt;'2.2 Input_General_Information'!$H$20, ,IF(W$166='2.2 Input_General_Information'!$H$20,$H$161,V182/V176*W176))</f>
        <v>0.15</v>
      </c>
      <c r="X182" s="469">
        <f ca="1">IF(X$166&lt;'2.2 Input_General_Information'!$H$20, ,IF(X$166='2.2 Input_General_Information'!$H$20,$H$161,W182/W176*X176))</f>
        <v>0.14819417113664565</v>
      </c>
      <c r="Y182" s="469">
        <f ca="1">IF(Y$166&lt;'2.2 Input_General_Information'!$H$20, ,IF(Y$166='2.2 Input_General_Information'!$H$20,$H$161,X182/X176*Y176))</f>
        <v>0.14637297427087129</v>
      </c>
      <c r="Z182" s="469">
        <f ca="1">IF(Z$166&lt;'2.2 Input_General_Information'!$H$20, ,IF(Z$166='2.2 Input_General_Information'!$H$20,$H$161,Y182/Y176*Z176))</f>
        <v>0.14453790621405083</v>
      </c>
      <c r="AA182" s="469">
        <f ca="1">IF(AA$166&lt;'2.2 Input_General_Information'!$H$20, ,IF(AA$166='2.2 Input_General_Information'!$H$20,$H$161,Z182/Z176*AA176))</f>
        <v>0.14268989835821488</v>
      </c>
      <c r="AB182" s="469">
        <f ca="1">IF(AB$166&lt;'2.2 Input_General_Information'!$H$20, ,IF(AB$166='2.2 Input_General_Information'!$H$20,$H$161,AA182/AA176*AB176))</f>
        <v>0.14082890699696421</v>
      </c>
      <c r="AC182" s="469">
        <f ca="1">IF(AC$166&lt;'2.2 Input_General_Information'!$H$20, ,IF(AC$166='2.2 Input_General_Information'!$H$20,$H$161,AB182/AB176*AC176))</f>
        <v>0.13895327304085786</v>
      </c>
      <c r="AD182" s="469">
        <f ca="1">IF(AD$166&lt;'2.2 Input_General_Information'!$H$20, ,IF(AD$166='2.2 Input_General_Information'!$H$20,$H$161,AC182/AC176*AD176))</f>
        <v>0.13705871984383708</v>
      </c>
      <c r="AE182" s="469">
        <f ca="1">IF(AE$166&lt;'2.2 Input_General_Information'!$H$20, ,IF(AE$166='2.2 Input_General_Information'!$H$20,$H$161,AD182/AD176*AE176))</f>
        <v>0.13513678545200999</v>
      </c>
      <c r="AF182" s="469">
        <f ca="1">IF(AF$166&lt;'2.2 Input_General_Information'!$H$20, ,IF(AF$166='2.2 Input_General_Information'!$H$20,$H$161,AE182/AE176*AF176))</f>
        <v>0.13317237777077545</v>
      </c>
      <c r="AG182" s="469">
        <f ca="1">IF(AG$166&lt;'2.2 Input_General_Information'!$H$20, ,IF(AG$166='2.2 Input_General_Information'!$H$20,$H$161,AF182/AF176*AG176))</f>
        <v>0.13113998765350121</v>
      </c>
      <c r="AH182" s="469">
        <f ca="1">IF(AH$166&lt;'2.2 Input_General_Information'!$H$20, ,IF(AH$166='2.2 Input_General_Information'!$H$20,$H$161,AG182/AG176*AH176))</f>
        <v>0.12899789470809761</v>
      </c>
      <c r="AI182" s="469">
        <f ca="1">IF(AI$166&lt;'2.2 Input_General_Information'!$H$20, ,IF(AI$166='2.2 Input_General_Information'!$H$20,$H$161,AH182/AH176*AI176))</f>
        <v>0.12667948828676262</v>
      </c>
      <c r="AJ182" s="469">
        <f ca="1">IF(AJ$166&lt;'2.2 Input_General_Information'!$H$20, ,IF(AJ$166='2.2 Input_General_Information'!$H$20,$H$161,AI182/AI176*AJ176))</f>
        <v>0.12408073886117253</v>
      </c>
      <c r="AK182" s="469">
        <f ca="1">IF(AK$166&lt;'2.2 Input_General_Information'!$H$20, ,IF(AK$166='2.2 Input_General_Information'!$H$20,$H$161,AJ182/AJ176*AK176))</f>
        <v>0.12104328260181914</v>
      </c>
      <c r="AL182" s="469">
        <f ca="1">IF(AL$166&lt;'2.2 Input_General_Information'!$H$20, ,IF(AL$166='2.2 Input_General_Information'!$H$20,$H$161,AK182/AK176*AL176))</f>
        <v>0.11733444610520484</v>
      </c>
      <c r="AM182" s="469">
        <f ca="1">IF(AM$166&lt;'2.2 Input_General_Information'!$H$20, ,IF(AM$166='2.2 Input_General_Information'!$H$20,$H$161,AL182/AL176*AM176))</f>
        <v>0.11263062133761463</v>
      </c>
      <c r="AN182" s="469">
        <f ca="1">IF(AN$166&lt;'2.2 Input_General_Information'!$H$20, ,IF(AN$166='2.2 Input_General_Information'!$H$20,$H$161,AM182/AM176*AN176))</f>
        <v>0.10652103553270451</v>
      </c>
      <c r="AO182" s="469">
        <f ca="1">IF(AO$166&lt;'2.2 Input_General_Information'!$H$20, ,IF(AO$166='2.2 Input_General_Information'!$H$20,$H$161,AN182/AN176*AO176))</f>
        <v>9.8564745419499403E-2</v>
      </c>
      <c r="AP182" s="469">
        <f ca="1">IF(AP$166&lt;'2.2 Input_General_Information'!$H$20, ,IF(AP$166='2.2 Input_General_Information'!$H$20,$H$161,AO182/AO176*AP176))</f>
        <v>8.8441481172948935E-2</v>
      </c>
      <c r="AQ182" s="469">
        <f ca="1">IF(AQ$166&lt;'2.2 Input_General_Information'!$H$20, ,IF(AQ$166='2.2 Input_General_Information'!$H$20,$H$161,AP182/AP176*AQ176))</f>
        <v>7.6199280345354295E-2</v>
      </c>
      <c r="AR182" s="469">
        <f ca="1">IF(AR$166&lt;'2.2 Input_General_Information'!$H$20, ,IF(AR$166='2.2 Input_General_Information'!$H$20,$H$161,AQ182/AQ176*AR176))</f>
        <v>6.2483810100621019E-2</v>
      </c>
      <c r="AS182" s="469">
        <f ca="1">IF(AS$166&lt;'2.2 Input_General_Information'!$H$20, ,IF(AS$166='2.2 Input_General_Information'!$H$20,$H$161,AR182/AR176*AS176))</f>
        <v>4.8515006090018999E-2</v>
      </c>
      <c r="AT182" s="469">
        <f ca="1">IF(AT$166&lt;'2.2 Input_General_Information'!$H$20, ,IF(AT$166='2.2 Input_General_Information'!$H$20,$H$161,AS182/AS176*AT176))</f>
        <v>3.5685065920753503E-2</v>
      </c>
      <c r="AU182" s="469">
        <f ca="1">IF(AU$166&lt;'2.2 Input_General_Information'!$H$20, ,IF(AU$166='2.2 Input_General_Information'!$H$20,$H$161,AT182/AT176*AU176))</f>
        <v>2.5013425585468055E-2</v>
      </c>
      <c r="AV182" s="469">
        <f ca="1">IF(AV$166&lt;'2.2 Input_General_Information'!$H$20, ,IF(AV$166='2.2 Input_General_Information'!$H$20,$H$161,AU182/AU176*AV176))</f>
        <v>1.6863574320499747E-2</v>
      </c>
      <c r="AW182" s="469">
        <f ca="1">IF(AW$166&lt;'2.2 Input_General_Information'!$H$20, ,IF(AW$166='2.2 Input_General_Information'!$H$20,$H$161,AV182/AV176*AW176))</f>
        <v>1.1043806249752828E-2</v>
      </c>
      <c r="AX182" s="469">
        <f ca="1">IF(AX$166&lt;'2.2 Input_General_Information'!$H$20, ,IF(AX$166='2.2 Input_General_Information'!$H$20,$H$161,AW182/AW176*AX176))</f>
        <v>7.0870344650444143E-3</v>
      </c>
      <c r="AY182" s="469">
        <f ca="1">IF(AY$166&lt;'2.2 Input_General_Information'!$H$20, ,IF(AY$166='2.2 Input_General_Information'!$H$20,$H$161,AX182/AX176*AY176))</f>
        <v>4.4867064847238999E-3</v>
      </c>
      <c r="AZ182" s="469">
        <f ca="1">IF(AZ$166&lt;'2.2 Input_General_Information'!$H$20, ,IF(AZ$166='2.2 Input_General_Information'!$H$20,$H$161,AY182/AY176*AZ176))</f>
        <v>2.8159069597489873E-3</v>
      </c>
      <c r="BA182" s="469">
        <f ca="1">IF(BA$166&lt;'2.2 Input_General_Information'!$H$20, ,IF(BA$166='2.2 Input_General_Information'!$H$20,$H$161,AZ182/AZ176*BA176))</f>
        <v>1.7578206356194349E-3</v>
      </c>
      <c r="BB182" s="469">
        <f ca="1">IF(BB$166&lt;'2.2 Input_General_Information'!$H$20, ,IF(BB$166='2.2 Input_General_Information'!$H$20,$H$161,BA182/BA176*BB176))</f>
        <v>1.0938164377928582E-3</v>
      </c>
      <c r="BC182" s="469">
        <f ca="1">IF(BC$166&lt;'2.2 Input_General_Information'!$H$20, ,IF(BC$166='2.2 Input_General_Information'!$H$20,$H$161,BB182/BB176*BC176))</f>
        <v>6.7942191911826537E-4</v>
      </c>
      <c r="BD182" s="469">
        <f ca="1">IF(BD$166&lt;'2.2 Input_General_Information'!$H$20, ,IF(BD$166='2.2 Input_General_Information'!$H$20,$H$161,BC182/BC176*BD176))</f>
        <v>4.2164670700707183E-4</v>
      </c>
      <c r="BE182" s="469">
        <f ca="1">IF(BE$166&lt;'2.2 Input_General_Information'!$H$20, ,IF(BE$166='2.2 Input_General_Information'!$H$20,$H$161,BD182/BD176*BE176))</f>
        <v>2.6158715906963596E-4</v>
      </c>
      <c r="BF182" s="469">
        <f ca="1">IF(BF$166&lt;'2.2 Input_General_Information'!$H$20, ,IF(BF$166='2.2 Input_General_Information'!$H$20,$H$161,BE182/BE176*BF176))</f>
        <v>1.6229115794421867E-4</v>
      </c>
      <c r="BG182" s="469">
        <f ca="1">IF(BG$166&lt;'2.2 Input_General_Information'!$H$20, ,IF(BG$166='2.2 Input_General_Information'!$H$20,$H$161,BF182/BF176*BG176))</f>
        <v>1.0071115786898165E-4</v>
      </c>
      <c r="BH182" s="469">
        <f ca="1">IF(BH$166&lt;'2.2 Input_General_Information'!$H$20, ,IF(BH$166='2.2 Input_General_Information'!$H$20,$H$161,BG182/BG176*BH176))</f>
        <v>6.2520305977982891E-5</v>
      </c>
      <c r="BI182" s="469">
        <f ca="1">IF(BI$166&lt;'2.2 Input_General_Information'!$H$20, ,IF(BI$166='2.2 Input_General_Information'!$H$20,$H$161,BH182/BH176*BI176))</f>
        <v>3.8829199145275693E-5</v>
      </c>
      <c r="BJ182" s="469">
        <f ca="1">IF(BJ$166&lt;'2.2 Input_General_Information'!$H$20, ,IF(BJ$166='2.2 Input_General_Information'!$H$20,$H$161,BI182/BI176*BJ176))</f>
        <v>2.4127251675002929E-5</v>
      </c>
      <c r="BK182" s="469">
        <f ca="1">IF(BK$166&lt;'2.2 Input_General_Information'!$H$20, ,IF(BK$166='2.2 Input_General_Information'!$H$20,$H$161,BJ182/BJ176*BK176))</f>
        <v>1.4999550081731625E-5</v>
      </c>
      <c r="BL182" s="469"/>
      <c r="BM182" s="469"/>
      <c r="BN182" s="469"/>
      <c r="BO182" s="469"/>
      <c r="BP182" s="469"/>
      <c r="BQ182" s="469"/>
      <c r="BR182" s="469"/>
      <c r="BS182" s="469"/>
      <c r="BT182" s="469"/>
      <c r="BU182" s="469"/>
    </row>
    <row r="183" spans="1:73" hidden="1">
      <c r="A183" s="6"/>
      <c r="B183" s="108"/>
      <c r="C183" s="1"/>
      <c r="D183" s="12"/>
      <c r="E183" s="1"/>
      <c r="F183" s="1"/>
      <c r="G183" s="183"/>
      <c r="H183" s="6"/>
      <c r="I183" s="6"/>
      <c r="J183" s="6"/>
      <c r="K183" s="6"/>
      <c r="L183" s="3"/>
      <c r="M183" s="3"/>
      <c r="N183" s="3"/>
      <c r="O183" s="1"/>
      <c r="P183" s="1"/>
      <c r="Q183" s="1"/>
      <c r="R183" s="162"/>
      <c r="S183" s="1"/>
      <c r="T183" s="101" t="s">
        <v>449</v>
      </c>
      <c r="U183" s="101"/>
      <c r="V183" s="101" t="str">
        <f>E162</f>
        <v>Local metadata standards</v>
      </c>
      <c r="W183" s="469">
        <f ca="1">IF(W$166&lt;'2.2 Input_General_Information'!$H$20, ,IF(W$166='2.2 Input_General_Information'!$H$20,$H$162,V183/V177*W177))</f>
        <v>0.08</v>
      </c>
      <c r="X183" s="469">
        <f ca="1">IF(X$166&lt;'2.2 Input_General_Information'!$H$20, ,IF(X$166='2.2 Input_General_Information'!$H$20,$H$162,W183/W177*X177))</f>
        <v>7.9036891272877677E-2</v>
      </c>
      <c r="Y183" s="469">
        <f ca="1">IF(Y$166&lt;'2.2 Input_General_Information'!$H$20, ,IF(Y$166='2.2 Input_General_Information'!$H$20,$H$162,X183/X177*Y177))</f>
        <v>7.8065586277798013E-2</v>
      </c>
      <c r="Z183" s="469">
        <f ca="1">IF(Z$166&lt;'2.2 Input_General_Information'!$H$20, ,IF(Z$166='2.2 Input_General_Information'!$H$20,$H$162,Y183/Y177*Z177))</f>
        <v>7.7086883314160429E-2</v>
      </c>
      <c r="AA183" s="469">
        <f ca="1">IF(AA$166&lt;'2.2 Input_General_Information'!$H$20, ,IF(AA$166='2.2 Input_General_Information'!$H$20,$H$162,Z183/Z177*AA177))</f>
        <v>7.6101279124381277E-2</v>
      </c>
      <c r="AB183" s="469">
        <f ca="1">IF(AB$166&lt;'2.2 Input_General_Information'!$H$20, ,IF(AB$166='2.2 Input_General_Information'!$H$20,$H$162,AA183/AA177*AB177))</f>
        <v>7.5108750398380913E-2</v>
      </c>
      <c r="AC183" s="469">
        <f ca="1">IF(AC$166&lt;'2.2 Input_General_Information'!$H$20, ,IF(AC$166='2.2 Input_General_Information'!$H$20,$H$162,AB183/AB177*AC177))</f>
        <v>7.410841228845752E-2</v>
      </c>
      <c r="AD183" s="469">
        <f ca="1">IF(AD$166&lt;'2.2 Input_General_Information'!$H$20, ,IF(AD$166='2.2 Input_General_Information'!$H$20,$H$162,AC183/AC177*AD177))</f>
        <v>7.3097983916713113E-2</v>
      </c>
      <c r="AE183" s="469">
        <f ca="1">IF(AE$166&lt;'2.2 Input_General_Information'!$H$20, ,IF(AE$166='2.2 Input_General_Information'!$H$20,$H$162,AD183/AD177*AE177))</f>
        <v>7.2072952241071991E-2</v>
      </c>
      <c r="AF183" s="469">
        <f ca="1">IF(AF$166&lt;'2.2 Input_General_Information'!$H$20, ,IF(AF$166='2.2 Input_General_Information'!$H$20,$H$162,AE183/AE177*AF177))</f>
        <v>7.1025268144413581E-2</v>
      </c>
      <c r="AG183" s="469">
        <f ca="1">IF(AG$166&lt;'2.2 Input_General_Information'!$H$20, ,IF(AG$166='2.2 Input_General_Information'!$H$20,$H$162,AF183/AF177*AG177))</f>
        <v>6.9941326748533997E-2</v>
      </c>
      <c r="AH183" s="469">
        <f ca="1">IF(AH$166&lt;'2.2 Input_General_Information'!$H$20, ,IF(AH$166='2.2 Input_General_Information'!$H$20,$H$162,AG183/AG177*AH177))</f>
        <v>6.8798877177652082E-2</v>
      </c>
      <c r="AI183" s="469">
        <f ca="1">IF(AI$166&lt;'2.2 Input_General_Information'!$H$20, ,IF(AI$166='2.2 Input_General_Information'!$H$20,$H$162,AH183/AH177*AI177))</f>
        <v>6.756239375294007E-2</v>
      </c>
      <c r="AJ183" s="469">
        <f ca="1">IF(AJ$166&lt;'2.2 Input_General_Information'!$H$20, ,IF(AJ$166='2.2 Input_General_Information'!$H$20,$H$162,AI183/AI177*AJ177))</f>
        <v>6.6176394059292029E-2</v>
      </c>
      <c r="AK183" s="469">
        <f ca="1">IF(AK$166&lt;'2.2 Input_General_Information'!$H$20, ,IF(AK$166='2.2 Input_General_Information'!$H$20,$H$162,AJ183/AJ177*AK177))</f>
        <v>6.4556417387636886E-2</v>
      </c>
      <c r="AL183" s="469">
        <f ca="1">IF(AL$166&lt;'2.2 Input_General_Information'!$H$20, ,IF(AL$166='2.2 Input_General_Information'!$H$20,$H$162,AK183/AK177*AL177))</f>
        <v>6.2578371256109253E-2</v>
      </c>
      <c r="AM183" s="469">
        <f ca="1">IF(AM$166&lt;'2.2 Input_General_Information'!$H$20, ,IF(AM$166='2.2 Input_General_Information'!$H$20,$H$162,AL183/AL177*AM177))</f>
        <v>6.0069664713394491E-2</v>
      </c>
      <c r="AN183" s="469">
        <f ca="1">IF(AN$166&lt;'2.2 Input_General_Information'!$H$20, ,IF(AN$166='2.2 Input_General_Information'!$H$20,$H$162,AM183/AM177*AN177))</f>
        <v>5.6811218950775746E-2</v>
      </c>
      <c r="AO183" s="469">
        <f ca="1">IF(AO$166&lt;'2.2 Input_General_Information'!$H$20, ,IF(AO$166='2.2 Input_General_Information'!$H$20,$H$162,AN183/AN177*AO177))</f>
        <v>5.2567864223733024E-2</v>
      </c>
      <c r="AP183" s="469">
        <f ca="1">IF(AP$166&lt;'2.2 Input_General_Information'!$H$20, ,IF(AP$166='2.2 Input_General_Information'!$H$20,$H$162,AO183/AO177*AP177))</f>
        <v>4.716878995890611E-2</v>
      </c>
      <c r="AQ183" s="469">
        <f ca="1">IF(AQ$166&lt;'2.2 Input_General_Information'!$H$20, ,IF(AQ$166='2.2 Input_General_Information'!$H$20,$H$162,AP183/AP177*AQ177))</f>
        <v>4.0639616184188966E-2</v>
      </c>
      <c r="AR183" s="469">
        <f ca="1">IF(AR$166&lt;'2.2 Input_General_Information'!$H$20, ,IF(AR$166='2.2 Input_General_Information'!$H$20,$H$162,AQ183/AQ177*AR177))</f>
        <v>3.3324698720331218E-2</v>
      </c>
      <c r="AS183" s="469">
        <f ca="1">IF(AS$166&lt;'2.2 Input_General_Information'!$H$20, ,IF(AS$166='2.2 Input_General_Information'!$H$20,$H$162,AR183/AR177*AS177))</f>
        <v>2.5874669914676802E-2</v>
      </c>
      <c r="AT183" s="469">
        <f ca="1">IF(AT$166&lt;'2.2 Input_General_Information'!$H$20, ,IF(AT$166='2.2 Input_General_Information'!$H$20,$H$162,AS183/AS177*AT177))</f>
        <v>1.9032035157735206E-2</v>
      </c>
      <c r="AU183" s="469">
        <f ca="1">IF(AU$166&lt;'2.2 Input_General_Information'!$H$20, ,IF(AU$166='2.2 Input_General_Information'!$H$20,$H$162,AT183/AT177*AU177))</f>
        <v>1.3340493645582966E-2</v>
      </c>
      <c r="AV183" s="469">
        <f ca="1">IF(AV$166&lt;'2.2 Input_General_Information'!$H$20, ,IF(AV$166='2.2 Input_General_Information'!$H$20,$H$162,AU183/AU177*AV177))</f>
        <v>8.993906304266535E-3</v>
      </c>
      <c r="AW183" s="469">
        <f ca="1">IF(AW$166&lt;'2.2 Input_General_Information'!$H$20, ,IF(AW$166='2.2 Input_General_Information'!$H$20,$H$162,AV183/AV177*AW177))</f>
        <v>5.8900299998681767E-3</v>
      </c>
      <c r="AX183" s="469">
        <f ca="1">IF(AX$166&lt;'2.2 Input_General_Information'!$H$20, ,IF(AX$166='2.2 Input_General_Information'!$H$20,$H$162,AW183/AW177*AX177))</f>
        <v>3.7797517146903551E-3</v>
      </c>
      <c r="AY183" s="469">
        <f ca="1">IF(AY$166&lt;'2.2 Input_General_Information'!$H$20, ,IF(AY$166='2.2 Input_General_Information'!$H$20,$H$162,AX183/AX177*AY177))</f>
        <v>2.3929101251860809E-3</v>
      </c>
      <c r="AZ183" s="469">
        <f ca="1">IF(AZ$166&lt;'2.2 Input_General_Information'!$H$20, ,IF(AZ$166='2.2 Input_General_Information'!$H$20,$H$162,AY183/AY177*AZ177))</f>
        <v>1.5018170451994602E-3</v>
      </c>
      <c r="BA183" s="469">
        <f ca="1">IF(BA$166&lt;'2.2 Input_General_Information'!$H$20, ,IF(BA$166='2.2 Input_General_Information'!$H$20,$H$162,AZ183/AZ177*BA177))</f>
        <v>9.3750433899703208E-4</v>
      </c>
      <c r="BB183" s="469">
        <f ca="1">IF(BB$166&lt;'2.2 Input_General_Information'!$H$20, ,IF(BB$166='2.2 Input_General_Information'!$H$20,$H$162,BA183/BA177*BB177))</f>
        <v>5.8336876682285783E-4</v>
      </c>
      <c r="BC183" s="469">
        <f ca="1">IF(BC$166&lt;'2.2 Input_General_Information'!$H$20, ,IF(BC$166='2.2 Input_General_Information'!$H$20,$H$162,BB183/BB177*BC177))</f>
        <v>3.6235835686307497E-4</v>
      </c>
      <c r="BD183" s="469">
        <f ca="1">IF(BD$166&lt;'2.2 Input_General_Information'!$H$20, ,IF(BD$166='2.2 Input_General_Information'!$H$20,$H$162,BC183/BC177*BD177))</f>
        <v>2.2487824373710501E-4</v>
      </c>
      <c r="BE183" s="469">
        <f ca="1">IF(BE$166&lt;'2.2 Input_General_Information'!$H$20, ,IF(BE$166='2.2 Input_General_Information'!$H$20,$H$162,BD183/BD177*BE177))</f>
        <v>1.3951315150380586E-4</v>
      </c>
      <c r="BF183" s="469">
        <f ca="1">IF(BF$166&lt;'2.2 Input_General_Information'!$H$20, ,IF(BF$166='2.2 Input_General_Information'!$H$20,$H$162,BE183/BE177*BF177))</f>
        <v>8.6555284236916637E-5</v>
      </c>
      <c r="BG183" s="469">
        <f ca="1">IF(BG$166&lt;'2.2 Input_General_Information'!$H$20, ,IF(BG$166='2.2 Input_General_Information'!$H$20,$H$162,BF183/BF177*BG177))</f>
        <v>5.3712617530123557E-5</v>
      </c>
      <c r="BH183" s="469">
        <f ca="1">IF(BH$166&lt;'2.2 Input_General_Information'!$H$20, ,IF(BH$166='2.2 Input_General_Information'!$H$20,$H$162,BG183/BG177*BH177))</f>
        <v>3.3344163188257549E-5</v>
      </c>
      <c r="BI183" s="469">
        <f ca="1">IF(BI$166&lt;'2.2 Input_General_Information'!$H$20, ,IF(BI$166='2.2 Input_General_Information'!$H$20,$H$162,BH183/BH177*BI177))</f>
        <v>2.0708906210813711E-5</v>
      </c>
      <c r="BJ183" s="469">
        <f ca="1">IF(BJ$166&lt;'2.2 Input_General_Information'!$H$20, ,IF(BJ$166='2.2 Input_General_Information'!$H$20,$H$162,BI183/BI177*BJ177))</f>
        <v>1.2867867560001563E-5</v>
      </c>
      <c r="BK183" s="469">
        <f ca="1">IF(BK$166&lt;'2.2 Input_General_Information'!$H$20, ,IF(BK$166='2.2 Input_General_Information'!$H$20,$H$162,BJ183/BJ177*BK177))</f>
        <v>7.9997600435902024E-6</v>
      </c>
      <c r="BL183" s="469"/>
      <c r="BM183" s="469"/>
      <c r="BN183" s="469"/>
      <c r="BO183" s="469"/>
      <c r="BP183" s="469"/>
      <c r="BQ183" s="469"/>
      <c r="BR183" s="469"/>
      <c r="BS183" s="469"/>
      <c r="BT183" s="469"/>
      <c r="BU183" s="469"/>
    </row>
    <row r="184" spans="1:73" hidden="1">
      <c r="A184" s="6"/>
      <c r="B184" s="108"/>
      <c r="C184" s="1"/>
      <c r="D184" s="12"/>
      <c r="E184" s="1"/>
      <c r="F184" s="1"/>
      <c r="G184" s="183"/>
      <c r="H184" s="6"/>
      <c r="I184" s="6"/>
      <c r="J184" s="6"/>
      <c r="K184" s="6"/>
      <c r="L184" s="3"/>
      <c r="M184" s="3"/>
      <c r="N184" s="3"/>
      <c r="O184" s="1"/>
      <c r="P184" s="1"/>
      <c r="Q184" s="1"/>
      <c r="R184" s="162"/>
      <c r="S184" s="1"/>
      <c r="T184" s="101" t="s">
        <v>449</v>
      </c>
      <c r="U184" s="101"/>
      <c r="V184" s="101" t="str">
        <f>E163</f>
        <v>Recognized metadata standard</v>
      </c>
      <c r="W184" s="469">
        <f ca="1">IF(W$166&lt;'2.2 Input_General_Information'!$H$20, ,IF(W$166='2.2 Input_General_Information'!$H$20,$H$163,V184/V178*W178))</f>
        <v>0.05</v>
      </c>
      <c r="X184" s="469">
        <f ca="1">IF(X$166&lt;'2.2 Input_General_Information'!$H$20, ,IF(X$166='2.2 Input_General_Information'!$H$20,$H$163,W184/W178*X178))</f>
        <v>5.1901886326201366E-2</v>
      </c>
      <c r="Y184" s="469">
        <f ca="1">IF(Y$166&lt;'2.2 Input_General_Information'!$H$20, ,IF(Y$166='2.2 Input_General_Information'!$H$20,$H$163,X184/X178*Y178))</f>
        <v>5.3829812735345879E-2</v>
      </c>
      <c r="Z184" s="469">
        <f ca="1">IF(Z$166&lt;'2.2 Input_General_Information'!$H$20, ,IF(Z$166='2.2 Input_General_Information'!$H$20,$H$163,Y184/Y178*Z178))</f>
        <v>5.5781351161072072E-2</v>
      </c>
      <c r="AA184" s="469">
        <f ca="1">IF(AA$166&lt;'2.2 Input_General_Information'!$H$20, ,IF(AA$166='2.2 Input_General_Information'!$H$20,$H$163,Z184/Z178*AA178))</f>
        <v>5.7754379926933025E-2</v>
      </c>
      <c r="AB184" s="469">
        <f ca="1">IF(AB$166&lt;'2.2 Input_General_Information'!$H$20, ,IF(AB$166='2.2 Input_General_Information'!$H$20,$H$163,AA184/AA178*AB178))</f>
        <v>5.9747390674418525E-2</v>
      </c>
      <c r="AC184" s="469">
        <f ca="1">IF(AC$166&lt;'2.2 Input_General_Information'!$H$20, ,IF(AC$166='2.2 Input_General_Information'!$H$20,$H$163,AB184/AB178*AC178))</f>
        <v>6.1759968783128581E-2</v>
      </c>
      <c r="AD184" s="469">
        <f ca="1">IF(AD$166&lt;'2.2 Input_General_Information'!$H$20, ,IF(AD$166='2.2 Input_General_Information'!$H$20,$H$163,AC184/AC178*AD178))</f>
        <v>6.3793547399460998E-2</v>
      </c>
      <c r="AE184" s="469">
        <f ca="1">IF(AE$166&lt;'2.2 Input_General_Information'!$H$20, ,IF(AE$166='2.2 Input_General_Information'!$H$20,$H$163,AD184/AD178*AE178))</f>
        <v>6.5852591602193825E-2</v>
      </c>
      <c r="AF184" s="469">
        <f ca="1">IF(AF$166&lt;'2.2 Input_General_Information'!$H$20, ,IF(AF$166='2.2 Input_General_Information'!$H$20,$H$163,AE184/AE178*AF178))</f>
        <v>6.7946454009233867E-2</v>
      </c>
      <c r="AG184" s="469">
        <f ca="1">IF(AG$166&lt;'2.2 Input_General_Information'!$H$20, ,IF(AG$166='2.2 Input_General_Information'!$H$20,$H$163,AF184/AF178*AG178))</f>
        <v>7.0092265239615134E-2</v>
      </c>
      <c r="AH184" s="469">
        <f ca="1">IF(AH$166&lt;'2.2 Input_General_Information'!$H$20, ,IF(AH$166='2.2 Input_General_Information'!$H$20,$H$163,AG184/AG178*AH178))</f>
        <v>7.231938479714102E-2</v>
      </c>
      <c r="AI184" s="469">
        <f ca="1">IF(AI$166&lt;'2.2 Input_General_Information'!$H$20, ,IF(AI$166='2.2 Input_General_Information'!$H$20,$H$163,AH184/AH178*AI178))</f>
        <v>7.4676116728660896E-2</v>
      </c>
      <c r="AJ184" s="469">
        <f ca="1">IF(AJ$166&lt;'2.2 Input_General_Information'!$H$20, ,IF(AJ$166='2.2 Input_General_Information'!$H$20,$H$163,AI184/AI178*AJ178))</f>
        <v>7.7239489027009889E-2</v>
      </c>
      <c r="AK184" s="469">
        <f ca="1">IF(AK$166&lt;'2.2 Input_General_Information'!$H$20, ,IF(AK$166='2.2 Input_General_Information'!$H$20,$H$163,AJ184/AJ178*AK178))</f>
        <v>8.0128611348900591E-2</v>
      </c>
      <c r="AL184" s="469">
        <f ca="1">IF(AL$166&lt;'2.2 Input_General_Information'!$H$20, ,IF(AL$166='2.2 Input_General_Information'!$H$20,$H$163,AK184/AK178*AL178))</f>
        <v>8.3520751896921902E-2</v>
      </c>
      <c r="AM184" s="469">
        <f ca="1">IF(AM$166&lt;'2.2 Input_General_Information'!$H$20, ,IF(AM$166='2.2 Input_General_Information'!$H$20,$H$163,AL184/AL178*AM178))</f>
        <v>8.7665411246535832E-2</v>
      </c>
      <c r="AN184" s="469">
        <f ca="1">IF(AN$166&lt;'2.2 Input_General_Information'!$H$20, ,IF(AN$166='2.2 Input_General_Information'!$H$20,$H$163,AM184/AM178*AN178))</f>
        <v>9.2883419660638247E-2</v>
      </c>
      <c r="AO184" s="469">
        <f ca="1">IF(AO$166&lt;'2.2 Input_General_Information'!$H$20, ,IF(AO$166='2.2 Input_General_Information'!$H$20,$H$163,AN184/AN178*AO178))</f>
        <v>9.952551419628293E-2</v>
      </c>
      <c r="AP184" s="469">
        <f ca="1">IF(AP$166&lt;'2.2 Input_General_Information'!$H$20, ,IF(AP$166='2.2 Input_General_Information'!$H$20,$H$163,AO184/AO178*AP178))</f>
        <v>0.10785778034785236</v>
      </c>
      <c r="AQ184" s="469">
        <f ca="1">IF(AQ$166&lt;'2.2 Input_General_Information'!$H$20, ,IF(AQ$166='2.2 Input_General_Information'!$H$20,$H$163,AP184/AP178*AQ178))</f>
        <v>0.1178689088657096</v>
      </c>
      <c r="AR184" s="469">
        <f ca="1">IF(AR$166&lt;'2.2 Input_General_Information'!$H$20, ,IF(AR$166='2.2 Input_General_Information'!$H$20,$H$163,AQ184/AQ178*AR178))</f>
        <v>0.1290852910411576</v>
      </c>
      <c r="AS184" s="469">
        <f ca="1">IF(AS$166&lt;'2.2 Input_General_Information'!$H$20, ,IF(AS$166='2.2 Input_General_Information'!$H$20,$H$163,AR184/AR178*AS178))</f>
        <v>0.14057651443503802</v>
      </c>
      <c r="AT184" s="469">
        <f ca="1">IF(AT$166&lt;'2.2 Input_General_Information'!$H$20, ,IF(AT$166='2.2 Input_General_Information'!$H$20,$H$163,AS184/AS178*AT178))</f>
        <v>0.15125712889808671</v>
      </c>
      <c r="AU184" s="469">
        <f ca="1">IF(AU$166&lt;'2.2 Input_General_Information'!$H$20, ,IF(AU$166='2.2 Input_General_Information'!$H$20,$H$163,AT184/AT178*AU178))</f>
        <v>0.16031093817027481</v>
      </c>
      <c r="AV184" s="469">
        <f ca="1">IF(AV$166&lt;'2.2 Input_General_Information'!$H$20, ,IF(AV$166='2.2 Input_General_Information'!$H$20,$H$163,AU184/AU178*AV178))</f>
        <v>0.16742248314896635</v>
      </c>
      <c r="AW184" s="469">
        <f ca="1">IF(AW$166&lt;'2.2 Input_General_Information'!$H$20, ,IF(AW$166='2.2 Input_General_Information'!$H$20,$H$163,AV184/AV178*AW178))</f>
        <v>0.17271102985191195</v>
      </c>
      <c r="AX184" s="469">
        <f ca="1">IF(AX$166&lt;'2.2 Input_General_Information'!$H$20, ,IF(AX$166='2.2 Input_General_Information'!$H$20,$H$163,AW184/AW178*AX178))</f>
        <v>0.17651910913101981</v>
      </c>
      <c r="AY184" s="469">
        <f ca="1">IF(AY$166&lt;'2.2 Input_General_Information'!$H$20, ,IF(AY$166='2.2 Input_General_Information'!$H$20,$H$163,AX184/AX178*AY178))</f>
        <v>0.17922912556889414</v>
      </c>
      <c r="AZ184" s="469">
        <f ca="1">IF(AZ$166&lt;'2.2 Input_General_Information'!$H$20, ,IF(AZ$166='2.2 Input_General_Information'!$H$20,$H$163,AY184/AY178*AZ178))</f>
        <v>0.1811681377232216</v>
      </c>
      <c r="BA184" s="469">
        <f ca="1">IF(BA$166&lt;'2.2 Input_General_Information'!$H$20, ,IF(BA$166='2.2 Input_General_Information'!$H$20,$H$163,AZ184/AZ178*BA178))</f>
        <v>0.18258144788582228</v>
      </c>
      <c r="BB184" s="469">
        <f ca="1">IF(BB$166&lt;'2.2 Input_General_Information'!$H$20, ,IF(BB$166='2.2 Input_General_Information'!$H$20,$H$163,BA184/BA178*BB178))</f>
        <v>0.18363994352864507</v>
      </c>
      <c r="BC184" s="469">
        <f ca="1">IF(BC$166&lt;'2.2 Input_General_Information'!$H$20, ,IF(BC$166='2.2 Input_General_Information'!$H$20,$H$163,BB184/BB178*BC178))</f>
        <v>0.18445765943653034</v>
      </c>
      <c r="BD184" s="469">
        <f ca="1">IF(BD$166&lt;'2.2 Input_General_Information'!$H$20, ,IF(BD$166='2.2 Input_General_Information'!$H$20,$H$163,BC184/BC178*BD178))</f>
        <v>0.1851088416367373</v>
      </c>
      <c r="BE184" s="469">
        <f ca="1">IF(BE$166&lt;'2.2 Input_General_Information'!$H$20, ,IF(BE$166='2.2 Input_General_Information'!$H$20,$H$163,BD184/BD178*BE178))</f>
        <v>0.1856412204085392</v>
      </c>
      <c r="BF184" s="469">
        <f ca="1">IF(BF$166&lt;'2.2 Input_General_Information'!$H$20, ,IF(BF$166='2.2 Input_General_Information'!$H$20,$H$163,BE184/BE178*BF178))</f>
        <v>0.18608535395515102</v>
      </c>
      <c r="BG184" s="469">
        <f ca="1">IF(BG$166&lt;'2.2 Input_General_Information'!$H$20, ,IF(BG$166='2.2 Input_General_Information'!$H$20,$H$163,BF184/BF178*BG178))</f>
        <v>0.18646086668859541</v>
      </c>
      <c r="BH184" s="469">
        <f ca="1">IF(BH$166&lt;'2.2 Input_General_Information'!$H$20, ,IF(BH$166='2.2 Input_General_Information'!$H$20,$H$163,BG184/BG178*BH178))</f>
        <v>0.18678049025904803</v>
      </c>
      <c r="BI184" s="469">
        <f ca="1">IF(BI$166&lt;'2.2 Input_General_Information'!$H$20, ,IF(BI$166='2.2 Input_General_Information'!$H$20,$H$163,BH184/BH178*BI178))</f>
        <v>0.18705263489610383</v>
      </c>
      <c r="BJ184" s="469">
        <f ca="1">IF(BJ$166&lt;'2.2 Input_General_Information'!$H$20, ,IF(BJ$166='2.2 Input_General_Information'!$H$20,$H$163,BI184/BI178*BJ178))</f>
        <v>0.1872830080420749</v>
      </c>
      <c r="BK184" s="469">
        <f ca="1">IF(BK$166&lt;'2.2 Input_General_Information'!$H$20, ,IF(BK$166='2.2 Input_General_Information'!$H$20,$H$163,BJ184/BJ178*BK178))</f>
        <v>0.18747562658427236</v>
      </c>
      <c r="BL184" s="469"/>
      <c r="BM184" s="469"/>
      <c r="BN184" s="469"/>
      <c r="BO184" s="469"/>
      <c r="BP184" s="469"/>
      <c r="BQ184" s="469"/>
      <c r="BR184" s="469"/>
      <c r="BS184" s="469"/>
      <c r="BT184" s="469"/>
      <c r="BU184" s="469"/>
    </row>
    <row r="185" spans="1:73" hidden="1">
      <c r="A185" s="6"/>
      <c r="B185" s="6"/>
      <c r="C185" s="1"/>
      <c r="D185" s="12"/>
      <c r="E185" s="1"/>
      <c r="F185" s="1"/>
      <c r="G185" s="183"/>
      <c r="H185" s="6"/>
      <c r="I185" s="6"/>
      <c r="J185" s="6"/>
      <c r="K185" s="6"/>
      <c r="L185" s="3"/>
      <c r="M185" s="3"/>
      <c r="N185" s="3"/>
      <c r="O185" s="1"/>
      <c r="P185" s="1"/>
      <c r="Q185" s="1"/>
      <c r="R185" s="162"/>
      <c r="S185" s="1"/>
      <c r="T185" s="101" t="s">
        <v>449</v>
      </c>
      <c r="U185" s="101"/>
      <c r="V185" s="101" t="str">
        <f>E164</f>
        <v>Recognized metadata standard with machine-readable formats</v>
      </c>
      <c r="W185" s="469">
        <f ca="1">IF(W$166&lt;'2.2 Input_General_Information'!$H$20, ,IF(W$166='2.2 Input_General_Information'!$H$20,$H$164,V185/V179*W179))</f>
        <v>0.02</v>
      </c>
      <c r="X185" s="469">
        <f ca="1">IF(X$166&lt;'2.2 Input_General_Information'!$H$20, ,IF(X$166='2.2 Input_General_Information'!$H$20,$H$164,W185/W179*X179))</f>
        <v>2.0028924076963012E-2</v>
      </c>
      <c r="Y185" s="469">
        <f ca="1">IF(Y$166&lt;'2.2 Input_General_Information'!$H$20, ,IF(Y$166='2.2 Input_General_Information'!$H$20,$H$164,X185/X179*Y179))</f>
        <v>2.0052838512047789E-2</v>
      </c>
      <c r="Z185" s="469">
        <f ca="1">IF(Z$166&lt;'2.2 Input_General_Information'!$H$20, ,IF(Z$166='2.2 Input_General_Information'!$H$20,$H$164,Y185/Y179*Z179))</f>
        <v>2.0072173536113472E-2</v>
      </c>
      <c r="AA185" s="469">
        <f ca="1">IF(AA$166&lt;'2.2 Input_General_Information'!$H$20, ,IF(AA$166='2.2 Input_General_Information'!$H$20,$H$164,Z185/Z179*AA179))</f>
        <v>2.008752262612782E-2</v>
      </c>
      <c r="AB185" s="469">
        <f ca="1">IF(AB$166&lt;'2.2 Input_General_Information'!$H$20, ,IF(AB$166='2.2 Input_General_Information'!$H$20,$H$164,AA185/AA179*AB179))</f>
        <v>2.009971549002397E-2</v>
      </c>
      <c r="AC185" s="469">
        <f ca="1">IF(AC$166&lt;'2.2 Input_General_Information'!$H$20, ,IF(AC$166='2.2 Input_General_Information'!$H$20,$H$164,AB185/AB179*AC179))</f>
        <v>2.0109931747833685E-2</v>
      </c>
      <c r="AD185" s="469">
        <f ca="1">IF(AD$166&lt;'2.2 Input_General_Information'!$H$20, ,IF(AD$166='2.2 Input_General_Information'!$H$20,$H$164,AC185/AC179*AD179))</f>
        <v>2.0119877758772588E-2</v>
      </c>
      <c r="AE185" s="469">
        <f ca="1">IF(AE$166&lt;'2.2 Input_General_Information'!$H$20, ,IF(AE$166='2.2 Input_General_Information'!$H$20,$H$164,AD185/AD179*AE179))</f>
        <v>2.0132060787494788E-2</v>
      </c>
      <c r="AF185" s="469">
        <f ca="1">IF(AF$166&lt;'2.2 Input_General_Information'!$H$20, ,IF(AF$166='2.2 Input_General_Information'!$H$20,$H$164,AE185/AE179*AF179))</f>
        <v>2.0150211776009543E-2</v>
      </c>
      <c r="AG185" s="469">
        <f ca="1">IF(AG$166&lt;'2.2 Input_General_Information'!$H$20, ,IF(AG$166='2.2 Input_General_Information'!$H$20,$H$164,AF185/AF179*AG179))</f>
        <v>2.0179931538357888E-2</v>
      </c>
      <c r="AH185" s="469">
        <f ca="1">IF(AH$166&lt;'2.2 Input_General_Information'!$H$20, ,IF(AH$166='2.2 Input_General_Information'!$H$20,$H$164,AG185/AG179*AH179))</f>
        <v>2.0229664377429308E-2</v>
      </c>
      <c r="AI185" s="469">
        <f ca="1">IF(AI$166&lt;'2.2 Input_General_Information'!$H$20, ,IF(AI$166='2.2 Input_General_Information'!$H$20,$H$164,AH185/AH179*AI179))</f>
        <v>2.031213043835238E-2</v>
      </c>
      <c r="AJ185" s="469">
        <f ca="1">IF(AJ$166&lt;'2.2 Input_General_Information'!$H$20, ,IF(AJ$166='2.2 Input_General_Information'!$H$20,$H$164,AI185/AI179*AJ179))</f>
        <v>2.0446348064051493E-2</v>
      </c>
      <c r="AK185" s="469">
        <f ca="1">IF(AK$166&lt;'2.2 Input_General_Information'!$H$20, ,IF(AK$166='2.2 Input_General_Information'!$H$20,$H$164,AJ185/AJ179*AK179))</f>
        <v>2.066028205586342E-2</v>
      </c>
      <c r="AL185" s="469">
        <f ca="1">IF(AL$166&lt;'2.2 Input_General_Information'!$H$20, ,IF(AL$166='2.2 Input_General_Information'!$H$20,$H$164,AK185/AK179*AL179))</f>
        <v>2.0993809451076068E-2</v>
      </c>
      <c r="AM185" s="469">
        <f ca="1">IF(AM$166&lt;'2.2 Input_General_Information'!$H$20, ,IF(AM$166='2.2 Input_General_Information'!$H$20,$H$164,AL185/AL179*AM179))</f>
        <v>2.1500818109347501E-2</v>
      </c>
      <c r="AN185" s="469">
        <f ca="1">IF(AN$166&lt;'2.2 Input_General_Information'!$H$20, ,IF(AN$166='2.2 Input_General_Information'!$H$20,$H$164,AM185/AM179*AN179))</f>
        <v>2.2247510199705594E-2</v>
      </c>
      <c r="AO185" s="469">
        <f ca="1">IF(AO$166&lt;'2.2 Input_General_Information'!$H$20, ,IF(AO$166='2.2 Input_General_Information'!$H$20,$H$164,AN185/AN179*AO179))</f>
        <v>2.3301567704895939E-2</v>
      </c>
      <c r="AP185" s="469">
        <f ca="1">IF(AP$166&lt;'2.2 Input_General_Information'!$H$20, ,IF(AP$166='2.2 Input_General_Information'!$H$20,$H$164,AO185/AO179*AP179))</f>
        <v>2.4706104644576083E-2</v>
      </c>
      <c r="AQ185" s="469">
        <f ca="1">IF(AQ$166&lt;'2.2 Input_General_Information'!$H$20, ,IF(AQ$166='2.2 Input_General_Information'!$H$20,$H$164,AP185/AP179*AQ179))</f>
        <v>2.6439400363836848E-2</v>
      </c>
      <c r="AR185" s="469">
        <f ca="1">IF(AR$166&lt;'2.2 Input_General_Information'!$H$20, ,IF(AR$166='2.2 Input_General_Information'!$H$20,$H$164,AQ185/AQ179*AR179))</f>
        <v>2.8381031340051911E-2</v>
      </c>
      <c r="AS185" s="469">
        <f ca="1">IF(AS$166&lt;'2.2 Input_General_Information'!$H$20, ,IF(AS$166='2.2 Input_General_Information'!$H$20,$H$164,AR185/AR179*AS179))</f>
        <v>3.0322436316320669E-2</v>
      </c>
      <c r="AT185" s="469">
        <f ca="1">IF(AT$166&lt;'2.2 Input_General_Information'!$H$20, ,IF(AT$166='2.2 Input_General_Information'!$H$20,$H$164,AS185/AS179*AT179))</f>
        <v>3.2038221637282767E-2</v>
      </c>
      <c r="AU185" s="469">
        <f ca="1">IF(AU$166&lt;'2.2 Input_General_Information'!$H$20, ,IF(AU$166='2.2 Input_General_Information'!$H$20,$H$164,AT185/AT179*AU179))</f>
        <v>3.3374743413283579E-2</v>
      </c>
      <c r="AV185" s="469">
        <f ca="1">IF(AV$166&lt;'2.2 Input_General_Information'!$H$20, ,IF(AV$166='2.2 Input_General_Information'!$H$20,$H$164,AU185/AU179*AV179))</f>
        <v>3.4290251497445572E-2</v>
      </c>
      <c r="AW185" s="469">
        <f ca="1">IF(AW$166&lt;'2.2 Input_General_Information'!$H$20, ,IF(AW$166='2.2 Input_General_Information'!$H$20,$H$164,AV185/AV179*AW179))</f>
        <v>3.4831889665706502E-2</v>
      </c>
      <c r="AX185" s="469">
        <f ca="1">IF(AX$166&lt;'2.2 Input_General_Information'!$H$20, ,IF(AX$166='2.2 Input_General_Information'!$H$20,$H$164,AW185/AW179*AX179))</f>
        <v>3.5086820245644058E-2</v>
      </c>
      <c r="AY185" s="469">
        <f ca="1">IF(AY$166&lt;'2.2 Input_General_Information'!$H$20, ,IF(AY$166='2.2 Input_General_Information'!$H$20,$H$164,AX185/AX179*AY179))</f>
        <v>3.5143739626235189E-2</v>
      </c>
      <c r="AZ185" s="469">
        <f ca="1">IF(AZ$166&lt;'2.2 Input_General_Information'!$H$20, ,IF(AZ$166='2.2 Input_General_Information'!$H$20,$H$164,AY185/AY179*AZ179))</f>
        <v>3.5074854112162386E-2</v>
      </c>
      <c r="BA185" s="469">
        <f ca="1">IF(BA$166&lt;'2.2 Input_General_Information'!$H$20, ,IF(BA$166='2.2 Input_General_Information'!$H$20,$H$164,AZ185/AZ179*BA179))</f>
        <v>3.4932366323284829E-2</v>
      </c>
      <c r="BB185" s="469">
        <f ca="1">IF(BB$166&lt;'2.2 Input_General_Information'!$H$20, ,IF(BB$166='2.2 Input_General_Information'!$H$20,$H$164,BA185/BA179*BB179))</f>
        <v>3.4751443818947708E-2</v>
      </c>
      <c r="BC185" s="469">
        <f ca="1">IF(BC$166&lt;'2.2 Input_General_Information'!$H$20, ,IF(BC$166='2.2 Input_General_Information'!$H$20,$H$164,BB185/BB179*BC179))</f>
        <v>3.4554732669404273E-2</v>
      </c>
      <c r="BD185" s="469">
        <f ca="1">IF(BD$166&lt;'2.2 Input_General_Information'!$H$20, ,IF(BD$166='2.2 Input_General_Information'!$H$20,$H$164,BC185/BC179*BD179))</f>
        <v>3.4356357391501439E-2</v>
      </c>
      <c r="BE185" s="469">
        <f ca="1">IF(BE$166&lt;'2.2 Input_General_Information'!$H$20, ,IF(BE$166='2.2 Input_General_Information'!$H$20,$H$164,BD185/BD179*BE179))</f>
        <v>3.4164891648574849E-2</v>
      </c>
      <c r="BF185" s="469">
        <f ca="1">IF(BF$166&lt;'2.2 Input_General_Information'!$H$20, ,IF(BF$166='2.2 Input_General_Information'!$H$20,$H$164,BE185/BE179*BF179))</f>
        <v>3.3985385709485408E-2</v>
      </c>
      <c r="BG185" s="469">
        <f ca="1">IF(BG$166&lt;'2.2 Input_General_Information'!$H$20, ,IF(BG$166='2.2 Input_General_Information'!$H$20,$H$164,BF185/BF179*BG179))</f>
        <v>3.3820688249291846E-2</v>
      </c>
      <c r="BH185" s="469">
        <f ca="1">IF(BH$166&lt;'2.2 Input_General_Information'!$H$20, ,IF(BH$166='2.2 Input_General_Information'!$H$20,$H$164,BG185/BG179*BH179))</f>
        <v>3.3672285964004948E-2</v>
      </c>
      <c r="BI185" s="469">
        <f ca="1">IF(BI$166&lt;'2.2 Input_General_Information'!$H$20, ,IF(BI$166='2.2 Input_General_Information'!$H$20,$H$164,BH185/BH179*BI179))</f>
        <v>3.3540828983814566E-2</v>
      </c>
      <c r="BJ185" s="469">
        <f ca="1">IF(BJ$166&lt;'2.2 Input_General_Information'!$H$20, ,IF(BJ$166='2.2 Input_General_Information'!$H$20,$H$164,BI185/BI179*BJ179))</f>
        <v>3.3426456915055851E-2</v>
      </c>
      <c r="BK185" s="469">
        <f ca="1">IF(BK$166&lt;'2.2 Input_General_Information'!$H$20, ,IF(BK$166='2.2 Input_General_Information'!$H$20,$H$164,BJ185/BJ179*BK179))</f>
        <v>3.3329000281648341E-2</v>
      </c>
      <c r="BL185" s="469"/>
      <c r="BM185" s="469"/>
      <c r="BN185" s="469"/>
      <c r="BO185" s="469"/>
      <c r="BP185" s="469"/>
      <c r="BQ185" s="469"/>
      <c r="BR185" s="469"/>
      <c r="BS185" s="469"/>
      <c r="BT185" s="469"/>
      <c r="BU185" s="469"/>
    </row>
    <row r="186" spans="1:73" hidden="1">
      <c r="A186" s="6"/>
      <c r="B186" s="6"/>
      <c r="C186" s="1"/>
      <c r="D186" s="12"/>
      <c r="E186" s="1"/>
      <c r="F186" s="1"/>
      <c r="G186" s="183"/>
      <c r="H186" s="6"/>
      <c r="I186" s="6"/>
      <c r="J186" s="6"/>
      <c r="K186" s="6"/>
      <c r="L186" s="3"/>
      <c r="M186" s="3"/>
      <c r="N186" s="3"/>
      <c r="O186" s="1"/>
      <c r="P186" s="1"/>
      <c r="Q186" s="1"/>
      <c r="R186" s="162"/>
      <c r="S186" s="1"/>
      <c r="T186" s="101"/>
      <c r="U186" s="101"/>
      <c r="V186" s="537"/>
      <c r="W186" s="469"/>
      <c r="X186" s="469"/>
      <c r="Y186" s="469"/>
      <c r="Z186" s="469"/>
      <c r="AA186" s="469"/>
      <c r="AB186" s="469"/>
      <c r="AC186" s="469"/>
      <c r="AD186" s="469"/>
      <c r="AE186" s="469"/>
      <c r="AF186" s="469"/>
      <c r="AG186" s="469"/>
      <c r="AH186" s="469"/>
      <c r="AI186" s="469"/>
      <c r="AJ186" s="469"/>
      <c r="AK186" s="469"/>
      <c r="AL186" s="469"/>
      <c r="AM186" s="469"/>
      <c r="AN186" s="469"/>
      <c r="AO186" s="469"/>
      <c r="AP186" s="469"/>
      <c r="AQ186" s="469"/>
      <c r="AR186" s="469"/>
      <c r="AS186" s="469"/>
      <c r="AT186" s="469"/>
      <c r="AU186" s="469"/>
      <c r="AV186" s="469"/>
      <c r="AW186" s="469"/>
      <c r="AX186" s="469"/>
      <c r="AY186" s="469"/>
      <c r="AZ186" s="469"/>
      <c r="BA186" s="469"/>
      <c r="BB186" s="469"/>
      <c r="BC186" s="469"/>
      <c r="BD186" s="469"/>
      <c r="BE186" s="469"/>
      <c r="BF186" s="469"/>
      <c r="BG186" s="469"/>
      <c r="BH186" s="469"/>
      <c r="BI186" s="469"/>
      <c r="BJ186" s="469"/>
      <c r="BK186" s="469"/>
      <c r="BL186" s="469"/>
      <c r="BM186" s="469"/>
      <c r="BN186" s="469"/>
      <c r="BO186" s="469"/>
      <c r="BP186" s="469"/>
      <c r="BQ186" s="469"/>
      <c r="BR186" s="469"/>
      <c r="BS186" s="469"/>
      <c r="BT186" s="469"/>
      <c r="BU186" s="469"/>
    </row>
    <row r="187" spans="1:73" hidden="1">
      <c r="A187" s="6"/>
      <c r="B187" s="108"/>
      <c r="C187" s="1"/>
      <c r="D187" s="12"/>
      <c r="E187" s="1"/>
      <c r="F187" s="1"/>
      <c r="G187" s="183"/>
      <c r="H187" s="6"/>
      <c r="I187" s="6"/>
      <c r="J187" s="6"/>
      <c r="K187" s="6"/>
      <c r="L187" s="3"/>
      <c r="M187" s="3"/>
      <c r="N187" s="3"/>
      <c r="O187" s="1"/>
      <c r="P187" s="1"/>
      <c r="Q187" s="1"/>
      <c r="R187" s="162"/>
      <c r="S187" s="1"/>
      <c r="T187" s="101"/>
      <c r="U187" s="101"/>
      <c r="V187" s="537" t="str">
        <f>D190</f>
        <v>Time change on finding existing (meta)data</v>
      </c>
      <c r="W187" s="469">
        <f ca="1">IF(W$166&lt;'2.2 Input_General_Information'!$H$20, ,IF(W$166='2.2 Input_General_Information'!$H$20,0,SUM(V181:V185)-SUM(W181:W185)))</f>
        <v>0</v>
      </c>
      <c r="X187" s="469">
        <f ca="1">IF(X$166&lt;'2.2 Input_General_Information'!$H$20, ,IF(X$166='2.2 Input_General_Information'!$H$20,0,SUM(W181:W185)-SUM(X181:X185)))</f>
        <v>3.8478419595695534E-3</v>
      </c>
      <c r="Y187" s="469">
        <f ca="1">IF(Y$166&lt;'2.2 Input_General_Information'!$H$20, ,IF(Y$166='2.2 Input_General_Information'!$H$20,0,SUM(X181:X185)-SUM(Y181:Y185)))</f>
        <v>3.8759891262486468E-3</v>
      </c>
      <c r="Z187" s="469">
        <f ca="1">IF(Z$166&lt;'2.2 Input_General_Information'!$H$20, ,IF(Z$166='2.2 Input_General_Information'!$H$20,0,SUM(Y181:Y185)-SUM(Z181:Z185)))</f>
        <v>3.9013443320337071E-3</v>
      </c>
      <c r="AA187" s="469">
        <f ca="1">IF(AA$166&lt;'2.2 Input_General_Information'!$H$20, ,IF(AA$166='2.2 Input_General_Information'!$H$20,0,SUM(Z181:Z185)-SUM(AA181:AA185)))</f>
        <v>3.9252472827996376E-3</v>
      </c>
      <c r="AB187" s="469">
        <f ca="1">IF(AB$166&lt;'2.2 Input_General_Information'!$H$20, ,IF(AB$166='2.2 Input_General_Information'!$H$20,0,SUM(AA181:AA185)-SUM(AB181:AB185)))</f>
        <v>3.9499687446205023E-3</v>
      </c>
      <c r="AC187" s="469">
        <f ca="1">IF(AC$166&lt;'2.2 Input_General_Information'!$H$20, ,IF(AC$166='2.2 Input_General_Information'!$H$20,0,SUM(AB181:AB185)-SUM(AC181:AC185)))</f>
        <v>3.9792342930204949E-3</v>
      </c>
      <c r="AD187" s="469">
        <f ca="1">IF(AD$166&lt;'2.2 Input_General_Information'!$H$20, ,IF(AD$166='2.2 Input_General_Information'!$H$20,0,SUM(AC181:AC185)-SUM(AD181:AD185)))</f>
        <v>4.0190456031952149E-3</v>
      </c>
      <c r="AE187" s="469">
        <f ca="1">IF(AE$166&lt;'2.2 Input_General_Information'!$H$20, ,IF(AE$166='2.2 Input_General_Information'!$H$20,0,SUM(AD181:AD185)-SUM(AE181:AE185)))</f>
        <v>4.0789628223917296E-3</v>
      </c>
      <c r="AF187" s="469">
        <f ca="1">IF(AF$166&lt;'2.2 Input_General_Information'!$H$20, ,IF(AF$166='2.2 Input_General_Information'!$H$20,0,SUM(AE181:AE185)-SUM(AF181:AF185)))</f>
        <v>4.1740911843956008E-3</v>
      </c>
      <c r="AG187" s="469">
        <f ca="1">IF(AG$166&lt;'2.2 Input_General_Information'!$H$20, ,IF(AG$166='2.2 Input_General_Information'!$H$20,0,SUM(AF181:AF185)-SUM(AG181:AG185)))</f>
        <v>4.3281173825480135E-3</v>
      </c>
      <c r="AH187" s="469">
        <f ca="1">IF(AH$166&lt;'2.2 Input_General_Information'!$H$20, ,IF(AH$166='2.2 Input_General_Information'!$H$20,0,SUM(AG181:AG185)-SUM(AH181:AH185)))</f>
        <v>4.577845028694183E-3</v>
      </c>
      <c r="AI187" s="469">
        <f ca="1">IF(AI$166&lt;'2.2 Input_General_Information'!$H$20, ,IF(AI$166='2.2 Input_General_Information'!$H$20,0,SUM(AH181:AH185)-SUM(AI181:AI185)))</f>
        <v>4.9797025558290242E-3</v>
      </c>
      <c r="AJ187" s="469">
        <f ca="1">IF(AJ$166&lt;'2.2 Input_General_Information'!$H$20, ,IF(AJ$166='2.2 Input_General_Information'!$H$20,0,SUM(AI181:AI185)-SUM(AJ181:AJ185)))</f>
        <v>5.6184082378401556E-3</v>
      </c>
      <c r="AK187" s="469">
        <f ca="1">IF(AK$166&lt;'2.2 Input_General_Information'!$H$20, ,IF(AK$166='2.2 Input_General_Information'!$H$20,0,SUM(AJ181:AJ185)-SUM(AK181:AK185)))</f>
        <v>6.6168037162282478E-3</v>
      </c>
      <c r="AL187" s="469">
        <f ca="1">IF(AL$166&lt;'2.2 Input_General_Information'!$H$20, ,IF(AL$166='2.2 Input_General_Information'!$H$20,0,SUM(AK181:AK185)-SUM(AL181:AL185)))</f>
        <v>8.1426088459317647E-3</v>
      </c>
      <c r="AM187" s="469">
        <f ca="1">IF(AM$166&lt;'2.2 Input_General_Information'!$H$20, ,IF(AM$166='2.2 Input_General_Information'!$H$20,0,SUM(AL181:AL185)-SUM(AM181:AM185)))</f>
        <v>1.0400571248403323E-2</v>
      </c>
      <c r="AN187" s="469">
        <f ca="1">IF(AN$166&lt;'2.2 Input_General_Information'!$H$20, ,IF(AN$166='2.2 Input_General_Information'!$H$20,0,SUM(AM181:AM185)-SUM(AN181:AN185)))</f>
        <v>1.3585974071251949E-2</v>
      </c>
      <c r="AO187" s="469">
        <f ca="1">IF(AO$166&lt;'2.2 Input_General_Information'!$H$20, ,IF(AO$166='2.2 Input_General_Information'!$H$20,0,SUM(AN181:AN185)-SUM(AO181:AO185)))</f>
        <v>1.7763976321421238E-2</v>
      </c>
      <c r="AP187" s="469">
        <f ca="1">IF(AP$166&lt;'2.2 Input_General_Information'!$H$20, ,IF(AP$166='2.2 Input_General_Information'!$H$20,0,SUM(AO181:AO185)-SUM(AP181:AP185)))</f>
        <v>2.2657642497711961E-2</v>
      </c>
      <c r="AQ187" s="469">
        <f ca="1">IF(AQ$166&lt;'2.2 Input_General_Information'!$H$20, ,IF(AQ$166='2.2 Input_General_Information'!$H$20,0,SUM(AP181:AP185)-SUM(AQ181:AQ185)))</f>
        <v>2.7430618411184882E-2</v>
      </c>
      <c r="AR187" s="469">
        <f ca="1">IF(AR$166&lt;'2.2 Input_General_Information'!$H$20, ,IF(AR$166='2.2 Input_General_Information'!$H$20,0,SUM(AQ181:AQ185)-SUM(AR181:AR185)))</f>
        <v>3.0731491631483365E-2</v>
      </c>
      <c r="AS187" s="469">
        <f ca="1">IF(AS$166&lt;'2.2 Input_General_Information'!$H$20, ,IF(AS$166='2.2 Input_General_Information'!$H$20,0,SUM(AR181:AR185)-SUM(AS181:AS185)))</f>
        <v>3.1267544463777386E-2</v>
      </c>
      <c r="AT187" s="469">
        <f ca="1">IF(AT$166&lt;'2.2 Input_General_Information'!$H$20, ,IF(AT$166='2.2 Input_General_Information'!$H$20,0,SUM(AS181:AS185)-SUM(AT181:AT185)))</f>
        <v>2.8659408757638782E-2</v>
      </c>
      <c r="AU187" s="469">
        <f ca="1">IF(AU$166&lt;'2.2 Input_General_Information'!$H$20, ,IF(AU$166='2.2 Input_General_Information'!$H$20,0,SUM(AT181:AT185)-SUM(AU181:AU185)))</f>
        <v>2.3758918024724518E-2</v>
      </c>
      <c r="AV187" s="469">
        <f ca="1">IF(AV$166&lt;'2.2 Input_General_Information'!$H$20, ,IF(AV$166='2.2 Input_General_Information'!$H$20,0,SUM(AU181:AU185)-SUM(AV181:AV185)))</f>
        <v>1.8052470985045033E-2</v>
      </c>
      <c r="AW187" s="469">
        <f ca="1">IF(AW$166&lt;'2.2 Input_General_Information'!$H$20, ,IF(AW$166='2.2 Input_General_Information'!$H$20,0,SUM(AV181:AV185)-SUM(AW181:AW185)))</f>
        <v>1.2793072955183615E-2</v>
      </c>
      <c r="AX187" s="469">
        <f ca="1">IF(AX$166&lt;'2.2 Input_General_Information'!$H$20, ,IF(AX$166='2.2 Input_General_Information'!$H$20,0,SUM(AW181:AW185)-SUM(AX181:AX185)))</f>
        <v>8.5986598520215174E-3</v>
      </c>
      <c r="AY187" s="469">
        <f ca="1">IF(AY$166&lt;'2.2 Input_General_Information'!$H$20, ,IF(AY$166='2.2 Input_General_Information'!$H$20,0,SUM(AX181:AX185)-SUM(AY181:AY185)))</f>
        <v>5.554113718560183E-3</v>
      </c>
      <c r="AZ187" s="469">
        <f ca="1">IF(AZ$166&lt;'2.2 Input_General_Information'!$H$20, ,IF(AZ$166='2.2 Input_General_Information'!$H$20,0,SUM(AY181:AY185)-SUM(AZ181:AZ185)))</f>
        <v>3.4764318396650618E-3</v>
      </c>
      <c r="BA187" s="469">
        <f ca="1">IF(BA$166&lt;'2.2 Input_General_Information'!$H$20, ,IF(BA$166='2.2 Input_General_Information'!$H$20,0,SUM(AZ181:AZ185)-SUM(BA181:BA185)))</f>
        <v>2.1150538634914506E-3</v>
      </c>
      <c r="BB187" s="469">
        <f ca="1">IF(BB$166&lt;'2.2 Input_General_Information'!$H$20, ,IF(BB$166='2.2 Input_General_Information'!$H$20,0,SUM(BA181:BA185)-SUM(BB181:BB185)))</f>
        <v>1.2472402945593875E-3</v>
      </c>
      <c r="BC187" s="469">
        <f ca="1">IF(BC$166&lt;'2.2 Input_General_Information'!$H$20, ,IF(BC$166='2.2 Input_General_Information'!$H$20,0,SUM(BB181:BB185)-SUM(BC181:BC185)))</f>
        <v>7.0505770141687796E-4</v>
      </c>
      <c r="BD187" s="469">
        <f ca="1">IF(BD$166&lt;'2.2 Input_General_Information'!$H$20, ,IF(BD$166='2.2 Input_General_Information'!$H$20,0,SUM(BC181:BC185)-SUM(BD181:BD185)))</f>
        <v>3.7207375645165186E-4</v>
      </c>
      <c r="BE187" s="469">
        <f ca="1">IF(BE$166&lt;'2.2 Input_General_Information'!$H$20, ,IF(BE$166='2.2 Input_General_Information'!$H$20,0,SUM(BD181:BD185)-SUM(BE181:BE185)))</f>
        <v>1.7127752452450462E-4</v>
      </c>
      <c r="BF187" s="469">
        <f ca="1">IF(BF$166&lt;'2.2 Input_General_Information'!$H$20, ,IF(BF$166='2.2 Input_General_Information'!$H$20,0,SUM(BE181:BE185)-SUM(BF181:BF185)))</f>
        <v>5.3119596078954334E-5</v>
      </c>
      <c r="BG187" s="469">
        <f ca="1">IF(BG$166&lt;'2.2 Input_General_Information'!$H$20, ,IF(BG$166='2.2 Input_General_Information'!$H$20,0,SUM(BF181:BF185)-SUM(BG181:BG185)))</f>
        <v>-1.3759273010061079E-5</v>
      </c>
      <c r="BH187" s="469">
        <f ca="1">IF(BH$166&lt;'2.2 Input_General_Information'!$H$20, ,IF(BH$166='2.2 Input_General_Information'!$H$20,0,SUM(BG181:BG185)-SUM(BH181:BH185)))</f>
        <v>-4.9010559114548435E-5</v>
      </c>
      <c r="BI187" s="469">
        <f ca="1">IF(BI$166&lt;'2.2 Input_General_Information'!$H$20, ,IF(BI$166='2.2 Input_General_Information'!$H$20,0,SUM(BH181:BH185)-SUM(BI181:BI185)))</f>
        <v>-6.4876115000722656E-5</v>
      </c>
      <c r="BJ187" s="469">
        <f ca="1">IF(BJ$166&lt;'2.2 Input_General_Information'!$H$20, ,IF(BJ$166='2.2 Input_General_Information'!$H$20,0,SUM(BI181:BI185)-SUM(BJ181:BJ185)))</f>
        <v>-6.8954845307500623E-5</v>
      </c>
      <c r="BK187" s="469">
        <f ca="1">IF(BK$166&lt;'2.2 Input_General_Information'!$H$20, ,IF(BK$166='2.2 Input_General_Information'!$H$20,0,SUM(BJ181:BJ185)-SUM(BK181:BK185)))</f>
        <v>-6.5953263691492792E-5</v>
      </c>
      <c r="BL187" s="469"/>
      <c r="BM187" s="469"/>
      <c r="BN187" s="469"/>
      <c r="BO187" s="469"/>
      <c r="BP187" s="469"/>
      <c r="BQ187" s="469"/>
      <c r="BR187" s="469"/>
      <c r="BS187" s="469"/>
      <c r="BT187" s="469"/>
      <c r="BU187" s="469"/>
    </row>
    <row r="188" spans="1:73" hidden="1">
      <c r="A188" s="6"/>
      <c r="B188" s="108"/>
      <c r="C188" s="1"/>
      <c r="D188" s="12"/>
      <c r="E188" s="1"/>
      <c r="F188" s="1"/>
      <c r="G188" s="183"/>
      <c r="H188" s="6"/>
      <c r="I188" s="6"/>
      <c r="J188" s="6"/>
      <c r="K188" s="6"/>
      <c r="L188" s="3"/>
      <c r="M188" s="3"/>
      <c r="N188" s="3"/>
      <c r="O188" s="1"/>
      <c r="P188" s="1"/>
      <c r="Q188" s="1"/>
      <c r="R188" s="162"/>
      <c r="S188" s="1"/>
      <c r="T188" s="81"/>
      <c r="U188" s="9" t="s">
        <v>29</v>
      </c>
      <c r="V188" s="81"/>
      <c r="W188" s="469"/>
      <c r="X188" s="469"/>
      <c r="Y188" s="469"/>
      <c r="Z188" s="469"/>
      <c r="AA188" s="469"/>
      <c r="AB188" s="469"/>
      <c r="AC188" s="469"/>
      <c r="AD188" s="469"/>
      <c r="AE188" s="469"/>
      <c r="AF188" s="469"/>
      <c r="AG188" s="469"/>
      <c r="AH188" s="469"/>
      <c r="AI188" s="469"/>
      <c r="AJ188" s="469"/>
      <c r="AK188" s="469"/>
      <c r="AL188" s="469"/>
      <c r="AM188" s="469"/>
      <c r="AN188" s="469"/>
      <c r="AO188" s="469"/>
      <c r="AP188" s="469"/>
      <c r="AQ188" s="469"/>
      <c r="AR188" s="469"/>
      <c r="AS188" s="469"/>
      <c r="AT188" s="469"/>
      <c r="AU188" s="469"/>
      <c r="AV188" s="469"/>
      <c r="AW188" s="469"/>
      <c r="AX188" s="469"/>
      <c r="AY188" s="469"/>
      <c r="AZ188" s="469"/>
      <c r="BA188" s="469"/>
      <c r="BB188" s="469"/>
      <c r="BC188" s="469"/>
      <c r="BD188" s="469"/>
      <c r="BE188" s="469"/>
      <c r="BF188" s="469"/>
      <c r="BG188" s="469"/>
      <c r="BH188" s="469"/>
      <c r="BI188" s="469"/>
      <c r="BJ188" s="469"/>
      <c r="BK188" s="469"/>
      <c r="BL188" s="469"/>
      <c r="BM188" s="469"/>
      <c r="BN188" s="469"/>
      <c r="BO188" s="469"/>
      <c r="BP188" s="469"/>
      <c r="BQ188" s="469"/>
      <c r="BR188" s="469"/>
      <c r="BS188" s="469"/>
      <c r="BT188" s="469"/>
      <c r="BU188" s="469"/>
    </row>
    <row r="189" spans="1:73">
      <c r="A189" s="6"/>
      <c r="B189" s="97" t="s">
        <v>906</v>
      </c>
      <c r="C189" s="1"/>
      <c r="D189" s="12"/>
      <c r="E189" s="1"/>
      <c r="F189" s="1"/>
      <c r="G189" s="183"/>
      <c r="H189" s="6"/>
      <c r="I189" s="6"/>
      <c r="J189" s="6"/>
      <c r="K189" s="6"/>
      <c r="L189" s="3"/>
      <c r="M189" s="3"/>
      <c r="N189" s="3"/>
      <c r="O189" s="1"/>
      <c r="P189" s="1"/>
      <c r="Q189" s="1"/>
      <c r="R189" s="162"/>
      <c r="S189" s="1"/>
      <c r="T189" s="81"/>
      <c r="U189" s="81"/>
      <c r="V189" s="81"/>
      <c r="W189" s="469"/>
      <c r="X189" s="469"/>
      <c r="Y189" s="469"/>
      <c r="Z189" s="469"/>
      <c r="AA189" s="469"/>
      <c r="AB189" s="469"/>
      <c r="AC189" s="469"/>
      <c r="AD189" s="469"/>
      <c r="AE189" s="469"/>
      <c r="AF189" s="469"/>
      <c r="AG189" s="469"/>
      <c r="AH189" s="469"/>
      <c r="AI189" s="469"/>
      <c r="AJ189" s="469"/>
      <c r="AK189" s="469"/>
      <c r="AL189" s="469"/>
      <c r="AM189" s="469"/>
      <c r="AN189" s="469"/>
      <c r="AO189" s="469"/>
      <c r="AP189" s="469"/>
      <c r="AQ189" s="469"/>
      <c r="AR189" s="469"/>
      <c r="AS189" s="469"/>
      <c r="AT189" s="469"/>
      <c r="AU189" s="469"/>
      <c r="AV189" s="469"/>
      <c r="AW189" s="469"/>
      <c r="AX189" s="469"/>
      <c r="AY189" s="469"/>
      <c r="AZ189" s="469"/>
      <c r="BA189" s="469"/>
      <c r="BB189" s="469"/>
      <c r="BC189" s="469"/>
      <c r="BD189" s="469"/>
      <c r="BE189" s="469"/>
      <c r="BF189" s="469"/>
      <c r="BG189" s="469"/>
      <c r="BH189" s="469"/>
      <c r="BI189" s="469"/>
      <c r="BJ189" s="469"/>
      <c r="BK189" s="469"/>
      <c r="BL189" s="469"/>
      <c r="BM189" s="469"/>
      <c r="BN189" s="469"/>
      <c r="BO189" s="469"/>
      <c r="BP189" s="469"/>
      <c r="BQ189" s="469"/>
      <c r="BR189" s="469"/>
      <c r="BS189" s="469"/>
      <c r="BT189" s="469"/>
      <c r="BU189" s="469"/>
    </row>
    <row r="190" spans="1:73">
      <c r="A190" s="6"/>
      <c r="B190" s="97" t="s">
        <v>907</v>
      </c>
      <c r="C190" s="1"/>
      <c r="D190" s="12" t="s">
        <v>1002</v>
      </c>
      <c r="E190" s="1"/>
      <c r="F190" s="1"/>
      <c r="G190" s="538">
        <f>SUM(H160:H163)-SUM(J160:J163)</f>
        <v>0.34250000000000003</v>
      </c>
      <c r="H190" s="6"/>
      <c r="I190" s="6"/>
      <c r="J190" s="6"/>
      <c r="K190" s="6"/>
      <c r="L190" s="3"/>
      <c r="M190" s="3"/>
      <c r="N190" s="3"/>
      <c r="O190" s="1"/>
      <c r="P190" s="1"/>
      <c r="Q190" s="1"/>
      <c r="R190" s="162"/>
      <c r="S190" s="1"/>
      <c r="T190" s="6"/>
      <c r="U190" s="6"/>
      <c r="V190" s="6"/>
      <c r="W190" s="81"/>
      <c r="X190" s="81"/>
      <c r="Y190" s="81"/>
      <c r="Z190" s="81"/>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6"/>
      <c r="BM190" s="6"/>
      <c r="BN190" s="6"/>
      <c r="BO190" s="6"/>
      <c r="BP190" s="6"/>
      <c r="BQ190" s="6"/>
      <c r="BR190" s="6"/>
      <c r="BS190" s="6"/>
      <c r="BT190" s="6"/>
      <c r="BU190" s="6"/>
    </row>
    <row r="191" spans="1:73">
      <c r="A191" s="6"/>
      <c r="B191" s="108"/>
      <c r="C191" s="1"/>
      <c r="D191" s="12"/>
      <c r="E191" s="1"/>
      <c r="F191" s="1"/>
      <c r="G191" s="3"/>
      <c r="H191" s="6"/>
      <c r="I191" s="6"/>
      <c r="J191" s="6"/>
      <c r="K191" s="6"/>
      <c r="L191" s="43"/>
      <c r="M191" s="3"/>
      <c r="N191" s="3"/>
      <c r="O191" s="1"/>
      <c r="P191" s="1"/>
      <c r="Q191" s="1"/>
      <c r="R191" s="162"/>
      <c r="S191" s="1"/>
      <c r="T191" s="6"/>
      <c r="U191" s="6"/>
      <c r="V191" s="6"/>
      <c r="W191" s="81"/>
      <c r="X191" s="81"/>
      <c r="Y191" s="81"/>
      <c r="Z191" s="81"/>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c r="BG191" s="81"/>
      <c r="BH191" s="81"/>
      <c r="BI191" s="81"/>
      <c r="BJ191" s="81"/>
      <c r="BK191" s="81"/>
      <c r="BL191" s="6"/>
      <c r="BM191" s="6"/>
      <c r="BN191" s="6"/>
      <c r="BO191" s="6"/>
      <c r="BP191" s="6"/>
      <c r="BQ191" s="6"/>
      <c r="BR191" s="6"/>
      <c r="BS191" s="6"/>
      <c r="BT191" s="6"/>
      <c r="BU191" s="6"/>
    </row>
    <row r="192" spans="1:73">
      <c r="A192" s="6"/>
      <c r="B192" s="108"/>
      <c r="C192" s="1"/>
      <c r="D192" s="12"/>
      <c r="E192" s="1"/>
      <c r="F192" s="1"/>
      <c r="G192" s="1175" t="s">
        <v>908</v>
      </c>
      <c r="H192" s="1174"/>
      <c r="I192" s="1175" t="s">
        <v>909</v>
      </c>
      <c r="J192" s="1174"/>
      <c r="K192" s="3"/>
      <c r="L192" s="3"/>
      <c r="M192" s="3"/>
      <c r="N192" s="3"/>
      <c r="O192" s="1"/>
      <c r="P192" s="1"/>
      <c r="Q192" s="1"/>
      <c r="R192" s="162"/>
      <c r="S192" s="1"/>
      <c r="T192" s="103"/>
      <c r="U192" s="103"/>
      <c r="V192" s="103"/>
      <c r="W192" s="98"/>
      <c r="X192" s="98"/>
      <c r="Y192" s="98"/>
      <c r="Z192" s="98"/>
      <c r="AA192" s="98"/>
      <c r="AB192" s="98"/>
      <c r="AC192" s="98"/>
      <c r="AD192" s="98"/>
      <c r="AE192" s="98"/>
      <c r="AF192" s="98"/>
      <c r="AG192" s="98"/>
      <c r="AH192" s="98"/>
      <c r="AI192" s="98"/>
      <c r="AJ192" s="98"/>
      <c r="AK192" s="98"/>
      <c r="AL192" s="98"/>
      <c r="AM192" s="98"/>
      <c r="AN192" s="98"/>
      <c r="AO192" s="98"/>
      <c r="AP192" s="98"/>
      <c r="AQ192" s="98"/>
      <c r="AR192" s="98"/>
      <c r="AS192" s="98"/>
      <c r="AT192" s="98"/>
      <c r="AU192" s="98"/>
      <c r="AV192" s="98"/>
      <c r="AW192" s="98"/>
      <c r="AX192" s="98"/>
      <c r="AY192" s="98"/>
      <c r="AZ192" s="98"/>
      <c r="BA192" s="98"/>
      <c r="BB192" s="98"/>
      <c r="BC192" s="98"/>
      <c r="BD192" s="98"/>
      <c r="BE192" s="98"/>
      <c r="BF192" s="98"/>
      <c r="BG192" s="98"/>
      <c r="BH192" s="98"/>
      <c r="BI192" s="98"/>
      <c r="BJ192" s="98"/>
      <c r="BK192" s="98"/>
      <c r="BL192" s="99"/>
      <c r="BM192" s="99"/>
      <c r="BN192" s="99"/>
      <c r="BO192" s="99"/>
      <c r="BP192" s="99"/>
      <c r="BQ192" s="99"/>
      <c r="BR192" s="99"/>
      <c r="BS192" s="99"/>
      <c r="BT192" s="99"/>
      <c r="BU192" s="99"/>
    </row>
    <row r="193" spans="1:73">
      <c r="A193" s="6"/>
      <c r="B193" s="108"/>
      <c r="C193" s="1"/>
      <c r="D193" s="12"/>
      <c r="E193" s="1"/>
      <c r="F193" s="1"/>
      <c r="G193" s="50" t="s">
        <v>389</v>
      </c>
      <c r="H193" s="50" t="s">
        <v>910</v>
      </c>
      <c r="I193" s="50" t="s">
        <v>246</v>
      </c>
      <c r="J193" s="50" t="s">
        <v>449</v>
      </c>
      <c r="K193" s="6"/>
      <c r="L193" s="3"/>
      <c r="M193" s="3"/>
      <c r="N193" s="3"/>
      <c r="O193" s="1"/>
      <c r="P193" s="1"/>
      <c r="Q193" s="1"/>
      <c r="R193" s="162"/>
      <c r="S193" s="1"/>
      <c r="T193" s="6"/>
      <c r="U193" s="6"/>
      <c r="V193" s="6"/>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C193" s="81"/>
      <c r="BD193" s="81"/>
      <c r="BE193" s="81"/>
      <c r="BF193" s="81"/>
      <c r="BG193" s="81"/>
      <c r="BH193" s="81"/>
      <c r="BI193" s="81"/>
      <c r="BJ193" s="81"/>
      <c r="BK193" s="81"/>
      <c r="BL193" s="6"/>
      <c r="BM193" s="6"/>
      <c r="BN193" s="6"/>
      <c r="BO193" s="6"/>
      <c r="BP193" s="6"/>
      <c r="BQ193" s="6"/>
      <c r="BR193" s="6"/>
      <c r="BS193" s="6"/>
      <c r="BT193" s="6"/>
      <c r="BU193" s="6"/>
    </row>
    <row r="194" spans="1:73">
      <c r="A194" s="6"/>
      <c r="B194" s="108"/>
      <c r="C194" s="1"/>
      <c r="D194" s="49" t="s">
        <v>289</v>
      </c>
      <c r="E194" s="12" t="s">
        <v>335</v>
      </c>
      <c r="F194" s="1"/>
      <c r="G194" s="408">
        <f>'2.3 Input_Main_Questionnaire'!H94</f>
        <v>0.25</v>
      </c>
      <c r="H194" s="408">
        <f>'2.3 Input_Main_Questionnaire'!H78</f>
        <v>0.2</v>
      </c>
      <c r="I194" s="539">
        <v>0</v>
      </c>
      <c r="J194" s="540">
        <v>0</v>
      </c>
      <c r="K194" s="6"/>
      <c r="L194" s="3"/>
      <c r="M194" s="3"/>
      <c r="N194" s="3"/>
      <c r="O194" s="1173"/>
      <c r="P194" s="1174"/>
      <c r="Q194" s="1"/>
      <c r="R194" s="162"/>
      <c r="S194" s="1"/>
      <c r="T194" s="6"/>
      <c r="U194" s="6"/>
      <c r="V194" s="6"/>
      <c r="W194" s="81"/>
      <c r="X194" s="81"/>
      <c r="Y194" s="81"/>
      <c r="Z194" s="81"/>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1"/>
      <c r="BE194" s="81"/>
      <c r="BF194" s="81"/>
      <c r="BG194" s="81"/>
      <c r="BH194" s="81"/>
      <c r="BI194" s="81"/>
      <c r="BJ194" s="81"/>
      <c r="BK194" s="81"/>
      <c r="BL194" s="6"/>
      <c r="BM194" s="6"/>
      <c r="BN194" s="6"/>
      <c r="BO194" s="6"/>
      <c r="BP194" s="6"/>
      <c r="BQ194" s="6"/>
      <c r="BR194" s="6"/>
      <c r="BS194" s="6"/>
      <c r="BT194" s="6"/>
      <c r="BU194" s="6"/>
    </row>
    <row r="195" spans="1:73">
      <c r="A195" s="6"/>
      <c r="B195" s="108"/>
      <c r="C195" s="1"/>
      <c r="D195" s="49" t="s">
        <v>289</v>
      </c>
      <c r="E195" s="541" t="s">
        <v>336</v>
      </c>
      <c r="F195" s="1"/>
      <c r="G195" s="408">
        <f>'2.3 Input_Main_Questionnaire'!H95</f>
        <v>0.5</v>
      </c>
      <c r="H195" s="408">
        <f>'2.3 Input_Main_Questionnaire'!H79</f>
        <v>0.2</v>
      </c>
      <c r="I195" s="542">
        <v>0</v>
      </c>
      <c r="J195" s="543">
        <v>0</v>
      </c>
      <c r="K195" s="6"/>
      <c r="L195" s="3"/>
      <c r="M195" s="3"/>
      <c r="N195" s="3"/>
      <c r="O195" s="1173"/>
      <c r="P195" s="1174"/>
      <c r="Q195" s="1"/>
      <c r="R195" s="162"/>
      <c r="S195" s="1"/>
      <c r="T195" s="6"/>
      <c r="U195" s="6"/>
      <c r="V195" s="6"/>
      <c r="W195" s="81"/>
      <c r="X195" s="81"/>
      <c r="Y195" s="81"/>
      <c r="Z195" s="81"/>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6"/>
      <c r="BM195" s="6"/>
      <c r="BN195" s="6"/>
      <c r="BO195" s="6"/>
      <c r="BP195" s="6"/>
      <c r="BQ195" s="6"/>
      <c r="BR195" s="6"/>
      <c r="BS195" s="6"/>
      <c r="BT195" s="6"/>
      <c r="BU195" s="6"/>
    </row>
    <row r="196" spans="1:73">
      <c r="A196" s="6"/>
      <c r="B196" s="108"/>
      <c r="C196" s="1"/>
      <c r="D196" s="49" t="s">
        <v>289</v>
      </c>
      <c r="E196" s="541" t="s">
        <v>1003</v>
      </c>
      <c r="F196" s="1"/>
      <c r="G196" s="408">
        <f>'2.3 Input_Main_Questionnaire'!H96</f>
        <v>0.25</v>
      </c>
      <c r="H196" s="408">
        <f>'2.3 Input_Main_Questionnaire'!H80</f>
        <v>0.05</v>
      </c>
      <c r="I196" s="544">
        <v>1</v>
      </c>
      <c r="J196" s="545">
        <f>H196/G196*I196</f>
        <v>0.2</v>
      </c>
      <c r="K196" s="6"/>
      <c r="L196" s="3"/>
      <c r="M196" s="3"/>
      <c r="N196" s="3"/>
      <c r="O196" s="1173"/>
      <c r="P196" s="1174"/>
      <c r="Q196" s="1"/>
      <c r="R196" s="162"/>
      <c r="S196" s="1"/>
      <c r="T196" s="6"/>
      <c r="U196" s="6"/>
      <c r="V196" s="6"/>
      <c r="W196" s="81"/>
      <c r="X196" s="81"/>
      <c r="Y196" s="81"/>
      <c r="Z196" s="81"/>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c r="BG196" s="81"/>
      <c r="BH196" s="81"/>
      <c r="BI196" s="81"/>
      <c r="BJ196" s="81"/>
      <c r="BK196" s="81"/>
      <c r="BL196" s="6"/>
      <c r="BM196" s="6"/>
      <c r="BN196" s="6"/>
      <c r="BO196" s="6"/>
      <c r="BP196" s="6"/>
      <c r="BQ196" s="6"/>
      <c r="BR196" s="6"/>
      <c r="BS196" s="6"/>
      <c r="BT196" s="6"/>
      <c r="BU196" s="6"/>
    </row>
    <row r="197" spans="1:73" hidden="1">
      <c r="A197" s="6"/>
      <c r="B197" s="108"/>
      <c r="C197" s="1"/>
      <c r="D197" s="12"/>
      <c r="E197" s="1"/>
      <c r="F197" s="1"/>
      <c r="G197" s="183"/>
      <c r="H197" s="6"/>
      <c r="I197" s="6"/>
      <c r="J197" s="6"/>
      <c r="K197" s="6"/>
      <c r="L197" s="3"/>
      <c r="M197" s="3"/>
      <c r="N197" s="3"/>
      <c r="O197" s="1"/>
      <c r="P197" s="1"/>
      <c r="Q197" s="1"/>
      <c r="R197" s="162"/>
      <c r="S197" s="1"/>
      <c r="T197" s="103"/>
      <c r="U197" s="9" t="s">
        <v>5</v>
      </c>
      <c r="V197" s="103"/>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c r="AS197" s="134"/>
      <c r="AT197" s="134"/>
      <c r="AU197" s="134"/>
      <c r="AV197" s="134"/>
      <c r="AW197" s="134"/>
      <c r="AX197" s="134"/>
      <c r="AY197" s="134"/>
      <c r="AZ197" s="134"/>
      <c r="BA197" s="134"/>
      <c r="BB197" s="134"/>
      <c r="BC197" s="134"/>
      <c r="BD197" s="134"/>
      <c r="BE197" s="134"/>
      <c r="BF197" s="134"/>
      <c r="BG197" s="134"/>
      <c r="BH197" s="134"/>
      <c r="BI197" s="134"/>
      <c r="BJ197" s="134"/>
      <c r="BK197" s="134"/>
      <c r="BL197" s="134"/>
      <c r="BM197" s="134"/>
      <c r="BN197" s="134"/>
      <c r="BO197" s="134"/>
      <c r="BP197" s="134"/>
      <c r="BQ197" s="134"/>
      <c r="BR197" s="134"/>
      <c r="BS197" s="134"/>
      <c r="BT197" s="134"/>
      <c r="BU197" s="134"/>
    </row>
    <row r="198" spans="1:73" hidden="1">
      <c r="A198" s="6"/>
      <c r="B198" s="108"/>
      <c r="C198" s="1"/>
      <c r="D198" s="12"/>
      <c r="E198" s="1"/>
      <c r="F198" s="1"/>
      <c r="G198" s="183"/>
      <c r="H198" s="6"/>
      <c r="I198" s="6"/>
      <c r="J198" s="6"/>
      <c r="K198" s="6"/>
      <c r="L198" s="3"/>
      <c r="M198" s="3"/>
      <c r="N198" s="3"/>
      <c r="O198" s="1"/>
      <c r="P198" s="1"/>
      <c r="Q198" s="1"/>
      <c r="R198" s="162"/>
      <c r="S198" s="1"/>
      <c r="T198" s="103"/>
      <c r="U198" s="103"/>
      <c r="V198" s="103"/>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34"/>
      <c r="BR198" s="134"/>
      <c r="BS198" s="134"/>
      <c r="BT198" s="134"/>
      <c r="BU198" s="134"/>
    </row>
    <row r="199" spans="1:73" hidden="1">
      <c r="A199" s="6"/>
      <c r="B199" s="108"/>
      <c r="C199" s="1"/>
      <c r="D199" s="12"/>
      <c r="E199" s="1"/>
      <c r="F199" s="1"/>
      <c r="G199" s="183"/>
      <c r="H199" s="6"/>
      <c r="I199" s="6"/>
      <c r="J199" s="6"/>
      <c r="K199" s="6"/>
      <c r="L199" s="3"/>
      <c r="M199" s="3"/>
      <c r="N199" s="3"/>
      <c r="O199" s="1"/>
      <c r="P199" s="1"/>
      <c r="Q199" s="1"/>
      <c r="R199" s="162"/>
      <c r="S199" s="1"/>
      <c r="T199" s="101" t="s">
        <v>200</v>
      </c>
      <c r="U199" s="101" t="s">
        <v>289</v>
      </c>
      <c r="V199" s="101" t="str">
        <f t="shared" ref="V199:V201" si="46">E194</f>
        <v>No Identifier</v>
      </c>
      <c r="W199" s="416">
        <f ca="1">IF($G$194=0%,0%, IF(W$166&gt;='2.2 Input_General_Information'!$H$20,$G194 * VLOOKUP(W$631,Growth!$B$128:$L$170, 11, FALSE),))</f>
        <v>0.249975</v>
      </c>
      <c r="X199" s="416">
        <f ca="1">IF($G$194=0%,0%, IF(X$166&gt;='2.2 Input_General_Information'!$H$20,$G194 * VLOOKUP(X$631,Growth!$B$128:$L$170, 11, FALSE),))</f>
        <v>0.24996038018561412</v>
      </c>
      <c r="Y199" s="416">
        <f ca="1">IF($G$194=0%,0%, IF(Y$166&gt;='2.2 Input_General_Information'!$H$20,$G194 * VLOOKUP(Y$631,Growth!$B$128:$L$170, 11, FALSE),))</f>
        <v>0.24993721295974183</v>
      </c>
      <c r="Z199" s="416">
        <f ca="1">IF($G$194=0%,0%, IF(Z$166&gt;='2.2 Input_General_Information'!$H$20,$G194 * VLOOKUP(Z$631,Growth!$B$128:$L$170, 11, FALSE),))</f>
        <v>0.24990050436009648</v>
      </c>
      <c r="AA199" s="416">
        <f ca="1">IF($G$194=0%,0%, IF(AA$166&gt;='2.2 Input_General_Information'!$H$20,$G194 * VLOOKUP(AA$631,Growth!$B$128:$L$170, 11, FALSE),))</f>
        <v>0.24984234752354359</v>
      </c>
      <c r="AB199" s="416">
        <f ca="1">IF($G$194=0%,0%, IF(AB$166&gt;='2.2 Input_General_Information'!$H$20,$G194 * VLOOKUP(AB$631,Growth!$B$128:$L$170, 11, FALSE),))</f>
        <v>0.24975023103605745</v>
      </c>
      <c r="AC199" s="416">
        <f ca="1">IF($G$194=0%,0%, IF(AC$166&gt;='2.2 Input_General_Information'!$H$20,$G194 * VLOOKUP(AC$631,Growth!$B$128:$L$170, 11, FALSE),))</f>
        <v>0.2496043760295289</v>
      </c>
      <c r="AD199" s="416">
        <f ca="1">IF($G$194=0%,0%, IF(AD$166&gt;='2.2 Input_General_Information'!$H$20,$G194 * VLOOKUP(AD$631,Growth!$B$128:$L$170, 11, FALSE),))</f>
        <v>0.24937356121597071</v>
      </c>
      <c r="AE199" s="416">
        <f ca="1">IF($G$194=0%,0%, IF(AE$166&gt;='2.2 Input_General_Information'!$H$20,$G194 * VLOOKUP(AE$631,Growth!$B$128:$L$170, 11, FALSE),))</f>
        <v>0.24900861934705407</v>
      </c>
      <c r="AF199" s="416">
        <f ca="1">IF($G$194=0%,0%, IF(AF$166&gt;='2.2 Input_General_Information'!$H$20,$G194 * VLOOKUP(AF$631,Growth!$B$128:$L$170, 11, FALSE),))</f>
        <v>0.24843241123591545</v>
      </c>
      <c r="AG199" s="416">
        <f ca="1">IF($G$194=0%,0%, IF(AG$166&gt;='2.2 Input_General_Information'!$H$20,$G194 * VLOOKUP(AG$631,Growth!$B$128:$L$170, 11, FALSE),))</f>
        <v>0.24752462992911045</v>
      </c>
      <c r="AH199" s="416">
        <f ca="1">IF($G$194=0%,0%, IF(AH$166&gt;='2.2 Input_General_Information'!$H$20,$G194 * VLOOKUP(AH$631,Growth!$B$128:$L$170, 11, FALSE),))</f>
        <v>0.2460994116468187</v>
      </c>
      <c r="AI199" s="416">
        <f ca="1">IF($G$194=0%,0%, IF(AI$166&gt;='2.2 Input_General_Information'!$H$20,$G194 * VLOOKUP(AI$631,Growth!$B$128:$L$170, 11, FALSE),))</f>
        <v>0.24387391906639011</v>
      </c>
      <c r="AJ199" s="416">
        <f ca="1">IF($G$194=0%,0%, IF(AJ$166&gt;='2.2 Input_General_Information'!$H$20,$G194 * VLOOKUP(AJ$631,Growth!$B$128:$L$170, 11, FALSE),))</f>
        <v>0.24042805182745106</v>
      </c>
      <c r="AK199" s="416">
        <f ca="1">IF($G$194=0%,0%, IF(AK$166&gt;='2.2 Input_General_Information'!$H$20,$G194 * VLOOKUP(AK$631,Growth!$B$128:$L$170, 11, FALSE),))</f>
        <v>0.23516184548476626</v>
      </c>
      <c r="AL199" s="416">
        <f ca="1">IF($G$194=0%,0%, IF(AL$166&gt;='2.2 Input_General_Information'!$H$20,$G194 * VLOOKUP(AL$631,Growth!$B$128:$L$170, 11, FALSE),))</f>
        <v>0.22727221071268375</v>
      </c>
      <c r="AM199" s="416">
        <f ca="1">IF($G$194=0%,0%, IF(AM$166&gt;='2.2 Input_General_Information'!$H$20,$G194 * VLOOKUP(AM$631,Growth!$B$128:$L$170, 11, FALSE),))</f>
        <v>0.21579768736155436</v>
      </c>
      <c r="AN199" s="416">
        <f ca="1">IF($G$194=0%,0%, IF(AN$166&gt;='2.2 Input_General_Information'!$H$20,$G194 * VLOOKUP(AN$631,Growth!$B$128:$L$170, 11, FALSE),))</f>
        <v>0.19980939603106776</v>
      </c>
      <c r="AO199" s="416">
        <f ca="1">IF($G$194=0%,0%, IF(AO$166&gt;='2.2 Input_General_Information'!$H$20,$G194 * VLOOKUP(AO$631,Growth!$B$128:$L$170, 11, FALSE),))</f>
        <v>0.17881267857009145</v>
      </c>
      <c r="AP199" s="416">
        <f ca="1">IF($G$194=0%,0%, IF(AP$166&gt;='2.2 Input_General_Information'!$H$20,$G194 * VLOOKUP(AP$631,Growth!$B$128:$L$170, 11, FALSE),))</f>
        <v>0.15328390852319351</v>
      </c>
      <c r="AQ199" s="416">
        <f ca="1">IF($G$194=0%,0%, IF(AQ$166&gt;='2.2 Input_General_Information'!$H$20,$G194 * VLOOKUP(AQ$631,Growth!$B$128:$L$170, 11, FALSE),))</f>
        <v>0.12499999999997383</v>
      </c>
      <c r="AR199" s="416">
        <f ca="1">IF($G$194=0%,0%, IF(AR$166&gt;='2.2 Input_General_Information'!$H$20,$G194 * VLOOKUP(AR$631,Growth!$B$128:$L$170, 11, FALSE),))</f>
        <v>9.6716091476756805E-2</v>
      </c>
      <c r="AS199" s="416">
        <f ca="1">IF($G$194=0%,0%, IF(AS$166&gt;='2.2 Input_General_Information'!$H$20,$G194 * VLOOKUP(AS$631,Growth!$B$128:$L$170, 11, FALSE),))</f>
        <v>7.1187321429865891E-2</v>
      </c>
      <c r="AT199" s="416">
        <f ca="1">IF($G$194=0%,0%, IF(AT$166&gt;='2.2 Input_General_Information'!$H$20,$G194 * VLOOKUP(AT$631,Growth!$B$128:$L$170, 11, FALSE),))</f>
        <v>5.0190603968898628E-2</v>
      </c>
      <c r="AU199" s="416">
        <f ca="1">IF($G$194=0%,0%, IF(AU$166&gt;='2.2 Input_General_Information'!$H$20,$G194 * VLOOKUP(AU$631,Growth!$B$128:$L$170, 11, FALSE),))</f>
        <v>3.4202312638420912E-2</v>
      </c>
      <c r="AV199" s="416">
        <f ca="1">IF($G$194=0%,0%, IF(AV$166&gt;='2.2 Input_General_Information'!$H$20,$G194 * VLOOKUP(AV$631,Growth!$B$128:$L$170, 11, FALSE),))</f>
        <v>2.2727789287298961E-2</v>
      </c>
      <c r="AW199" s="416">
        <f ca="1">IF($G$194=0%,0%, IF(AW$166&gt;='2.2 Input_General_Information'!$H$20,$G194 * VLOOKUP(AW$631,Growth!$B$128:$L$170, 11, FALSE),))</f>
        <v>1.4838154515222024E-2</v>
      </c>
      <c r="AX199" s="416">
        <f ca="1">IF($G$194=0%,0%, IF(AX$166&gt;='2.2 Input_General_Information'!$H$20,$G194 * VLOOKUP(AX$631,Growth!$B$128:$L$170, 11, FALSE),))</f>
        <v>9.5719481725412559E-3</v>
      </c>
      <c r="AY199" s="416">
        <f ca="1">IF($G$194=0%,0%, IF(AY$166&gt;='2.2 Input_General_Information'!$H$20,$G194 * VLOOKUP(AY$631,Growth!$B$128:$L$170, 11, FALSE),))</f>
        <v>6.1260809336048661E-3</v>
      </c>
      <c r="AZ199" s="416">
        <f ca="1">IF($G$194=0%,0%, IF(AZ$166&gt;='2.2 Input_General_Information'!$H$20,$G194 * VLOOKUP(AZ$631,Growth!$B$128:$L$170, 11, FALSE),))</f>
        <v>3.9005883531780805E-3</v>
      </c>
      <c r="BA199" s="416">
        <f ca="1">IF($G$194=0%,0%, IF(BA$166&gt;='2.2 Input_General_Information'!$H$20,$G194 * VLOOKUP(BA$631,Growth!$B$128:$L$170, 11, FALSE),))</f>
        <v>2.4753700708874671E-3</v>
      </c>
      <c r="BB199" s="416">
        <f ca="1">IF($G$194=0%,0%, IF(BB$166&gt;='2.2 Input_General_Information'!$H$20,$G194 * VLOOKUP(BB$631,Growth!$B$128:$L$170, 11, FALSE),))</f>
        <v>1.5675887640832498E-3</v>
      </c>
      <c r="BC199" s="416">
        <f ca="1">IF($G$194=0%,0%, IF(BC$166&gt;='2.2 Input_General_Information'!$H$20,$G194 * VLOOKUP(BC$631,Growth!$B$128:$L$170, 11, FALSE),))</f>
        <v>9.9138065294512856E-4</v>
      </c>
      <c r="BD199" s="416">
        <f ca="1">IF($G$194=0%,0%, IF(BD$166&gt;='2.2 Input_General_Information'!$H$20,$G194 * VLOOKUP(BD$631,Growth!$B$128:$L$170, 11, FALSE),))</f>
        <v>6.2643878402873776E-4</v>
      </c>
      <c r="BE199" s="416">
        <f ca="1">IF($G$194=0%,0%, IF(BE$166&gt;='2.2 Input_General_Information'!$H$20,$G194 * VLOOKUP(BE$631,Growth!$B$128:$L$170, 11, FALSE),))</f>
        <v>3.9562397047074316E-4</v>
      </c>
      <c r="BF199" s="416">
        <f ca="1">IF($G$194=0%,0%, IF(BF$166&gt;='2.2 Input_General_Information'!$H$20,$G194 * VLOOKUP(BF$631,Growth!$B$128:$L$170, 11, FALSE),))</f>
        <v>2.4976896394235393E-4</v>
      </c>
      <c r="BG199" s="416">
        <f ca="1">IF($G$194=0%,0%, IF(BG$166&gt;='2.2 Input_General_Information'!$H$20,$G194 * VLOOKUP(BG$631,Growth!$B$128:$L$170, 11, FALSE),))</f>
        <v>1.5765247645629921E-4</v>
      </c>
      <c r="BH199" s="416">
        <f ca="1">IF($G$194=0%,0%, IF(BH$166&gt;='2.2 Input_General_Information'!$H$20,$G194 * VLOOKUP(BH$631,Growth!$B$128:$L$170, 11, FALSE),))</f>
        <v>9.9495639903440791E-5</v>
      </c>
      <c r="BI199" s="416">
        <f ca="1">IF($G$194=0%,0%, IF(BI$166&gt;='2.2 Input_General_Information'!$H$20,$G194 * VLOOKUP(BI$631,Growth!$B$128:$L$170, 11, FALSE),))</f>
        <v>6.2787040258138749E-5</v>
      </c>
      <c r="BJ199" s="416">
        <f ca="1">IF($G$194=0%,0%, IF(BJ$166&gt;='2.2 Input_General_Information'!$H$20,$G194 * VLOOKUP(BJ$631,Growth!$B$128:$L$170, 11, FALSE),))</f>
        <v>3.9619814385855046E-5</v>
      </c>
      <c r="BK199" s="416">
        <f ca="1">IF($G$194=0%,0%, IF(BK$166&gt;='2.2 Input_General_Information'!$H$20,$G194 * VLOOKUP(BK$631,Growth!$B$128:$L$170, 11, FALSE),))</f>
        <v>2.4999999999969491E-5</v>
      </c>
      <c r="BL199" s="416"/>
      <c r="BM199" s="416"/>
      <c r="BN199" s="416"/>
      <c r="BO199" s="416"/>
      <c r="BP199" s="416"/>
      <c r="BQ199" s="416"/>
      <c r="BR199" s="416"/>
      <c r="BS199" s="416"/>
      <c r="BT199" s="416"/>
      <c r="BU199" s="416"/>
    </row>
    <row r="200" spans="1:73" hidden="1">
      <c r="A200" s="6"/>
      <c r="B200" s="108"/>
      <c r="C200" s="1"/>
      <c r="D200" s="12"/>
      <c r="E200" s="1"/>
      <c r="F200" s="1"/>
      <c r="G200" s="183"/>
      <c r="H200" s="6"/>
      <c r="I200" s="6"/>
      <c r="J200" s="6"/>
      <c r="K200" s="6"/>
      <c r="L200" s="3"/>
      <c r="M200" s="3"/>
      <c r="N200" s="3"/>
      <c r="O200" s="1"/>
      <c r="P200" s="1"/>
      <c r="Q200" s="1"/>
      <c r="R200" s="162"/>
      <c r="S200" s="1"/>
      <c r="T200" s="101" t="s">
        <v>200</v>
      </c>
      <c r="U200" s="101" t="s">
        <v>289</v>
      </c>
      <c r="V200" s="101" t="str">
        <f t="shared" si="46"/>
        <v>Local PIDs</v>
      </c>
      <c r="W200" s="416">
        <f ca="1">IF($G$195=0%,0%, IF(W$166&gt;='2.2 Input_General_Information'!$H$20,$G195 * VLOOKUP(W$631,Growth!$B$128:$L$170, 11, FALSE),))</f>
        <v>0.49995000000000001</v>
      </c>
      <c r="X200" s="416">
        <f ca="1">IF($G$195=0%,0%, IF(X$166&gt;='2.2 Input_General_Information'!$H$20,$G195 * VLOOKUP(X$631,Growth!$B$128:$L$170, 11, FALSE),))</f>
        <v>0.49992076037122823</v>
      </c>
      <c r="Y200" s="416">
        <f ca="1">IF($G$195=0%,0%, IF(Y$166&gt;='2.2 Input_General_Information'!$H$20,$G195 * VLOOKUP(Y$631,Growth!$B$128:$L$170, 11, FALSE),))</f>
        <v>0.49987442591948367</v>
      </c>
      <c r="Z200" s="416">
        <f ca="1">IF($G$195=0%,0%, IF(Z$166&gt;='2.2 Input_General_Information'!$H$20,$G195 * VLOOKUP(Z$631,Growth!$B$128:$L$170, 11, FALSE),))</f>
        <v>0.49980100872019295</v>
      </c>
      <c r="AA200" s="416">
        <f ca="1">IF($G$195=0%,0%, IF(AA$166&gt;='2.2 Input_General_Information'!$H$20,$G195 * VLOOKUP(AA$631,Growth!$B$128:$L$170, 11, FALSE),))</f>
        <v>0.49968469504708718</v>
      </c>
      <c r="AB200" s="416">
        <f ca="1">IF($G$195=0%,0%, IF(AB$166&gt;='2.2 Input_General_Information'!$H$20,$G195 * VLOOKUP(AB$631,Growth!$B$128:$L$170, 11, FALSE),))</f>
        <v>0.4995004620721149</v>
      </c>
      <c r="AC200" s="416">
        <f ca="1">IF($G$195=0%,0%, IF(AC$166&gt;='2.2 Input_General_Information'!$H$20,$G195 * VLOOKUP(AC$631,Growth!$B$128:$L$170, 11, FALSE),))</f>
        <v>0.49920875205905779</v>
      </c>
      <c r="AD200" s="416">
        <f ca="1">IF($G$195=0%,0%, IF(AD$166&gt;='2.2 Input_General_Information'!$H$20,$G195 * VLOOKUP(AD$631,Growth!$B$128:$L$170, 11, FALSE),))</f>
        <v>0.49874712243194141</v>
      </c>
      <c r="AE200" s="416">
        <f ca="1">IF($G$195=0%,0%, IF(AE$166&gt;='2.2 Input_General_Information'!$H$20,$G195 * VLOOKUP(AE$631,Growth!$B$128:$L$170, 11, FALSE),))</f>
        <v>0.49801723869410813</v>
      </c>
      <c r="AF200" s="416">
        <f ca="1">IF($G$195=0%,0%, IF(AF$166&gt;='2.2 Input_General_Information'!$H$20,$G195 * VLOOKUP(AF$631,Growth!$B$128:$L$170, 11, FALSE),))</f>
        <v>0.49686482247183089</v>
      </c>
      <c r="AG200" s="416">
        <f ca="1">IF($G$195=0%,0%, IF(AG$166&gt;='2.2 Input_General_Information'!$H$20,$G195 * VLOOKUP(AG$631,Growth!$B$128:$L$170, 11, FALSE),))</f>
        <v>0.4950492598582209</v>
      </c>
      <c r="AH200" s="416">
        <f ca="1">IF($G$195=0%,0%, IF(AH$166&gt;='2.2 Input_General_Information'!$H$20,$G195 * VLOOKUP(AH$631,Growth!$B$128:$L$170, 11, FALSE),))</f>
        <v>0.4921988232936374</v>
      </c>
      <c r="AI200" s="416">
        <f ca="1">IF($G$195=0%,0%, IF(AI$166&gt;='2.2 Input_General_Information'!$H$20,$G195 * VLOOKUP(AI$631,Growth!$B$128:$L$170, 11, FALSE),))</f>
        <v>0.48774783813278022</v>
      </c>
      <c r="AJ200" s="416">
        <f ca="1">IF($G$195=0%,0%, IF(AJ$166&gt;='2.2 Input_General_Information'!$H$20,$G195 * VLOOKUP(AJ$631,Growth!$B$128:$L$170, 11, FALSE),))</f>
        <v>0.48085610365490211</v>
      </c>
      <c r="AK200" s="416">
        <f ca="1">IF($G$195=0%,0%, IF(AK$166&gt;='2.2 Input_General_Information'!$H$20,$G195 * VLOOKUP(AK$631,Growth!$B$128:$L$170, 11, FALSE),))</f>
        <v>0.47032369096953253</v>
      </c>
      <c r="AL200" s="416">
        <f ca="1">IF($G$195=0%,0%, IF(AL$166&gt;='2.2 Input_General_Information'!$H$20,$G195 * VLOOKUP(AL$631,Growth!$B$128:$L$170, 11, FALSE),))</f>
        <v>0.4545444214253675</v>
      </c>
      <c r="AM200" s="416">
        <f ca="1">IF($G$195=0%,0%, IF(AM$166&gt;='2.2 Input_General_Information'!$H$20,$G195 * VLOOKUP(AM$631,Growth!$B$128:$L$170, 11, FALSE),))</f>
        <v>0.43159537472310872</v>
      </c>
      <c r="AN200" s="416">
        <f ca="1">IF($G$195=0%,0%, IF(AN$166&gt;='2.2 Input_General_Information'!$H$20,$G195 * VLOOKUP(AN$631,Growth!$B$128:$L$170, 11, FALSE),))</f>
        <v>0.39961879206213552</v>
      </c>
      <c r="AO200" s="416">
        <f ca="1">IF($G$195=0%,0%, IF(AO$166&gt;='2.2 Input_General_Information'!$H$20,$G195 * VLOOKUP(AO$631,Growth!$B$128:$L$170, 11, FALSE),))</f>
        <v>0.3576253571401829</v>
      </c>
      <c r="AP200" s="416">
        <f ca="1">IF($G$195=0%,0%, IF(AP$166&gt;='2.2 Input_General_Information'!$H$20,$G195 * VLOOKUP(AP$631,Growth!$B$128:$L$170, 11, FALSE),))</f>
        <v>0.30656781704638703</v>
      </c>
      <c r="AQ200" s="416">
        <f ca="1">IF($G$195=0%,0%, IF(AQ$166&gt;='2.2 Input_General_Information'!$H$20,$G195 * VLOOKUP(AQ$631,Growth!$B$128:$L$170, 11, FALSE),))</f>
        <v>0.24999999999994765</v>
      </c>
      <c r="AR200" s="416">
        <f ca="1">IF($G$195=0%,0%, IF(AR$166&gt;='2.2 Input_General_Information'!$H$20,$G195 * VLOOKUP(AR$631,Growth!$B$128:$L$170, 11, FALSE),))</f>
        <v>0.19343218295351361</v>
      </c>
      <c r="AS200" s="416">
        <f ca="1">IF($G$195=0%,0%, IF(AS$166&gt;='2.2 Input_General_Information'!$H$20,$G195 * VLOOKUP(AS$631,Growth!$B$128:$L$170, 11, FALSE),))</f>
        <v>0.14237464285973178</v>
      </c>
      <c r="AT200" s="416">
        <f ca="1">IF($G$195=0%,0%, IF(AT$166&gt;='2.2 Input_General_Information'!$H$20,$G195 * VLOOKUP(AT$631,Growth!$B$128:$L$170, 11, FALSE),))</f>
        <v>0.10038120793779726</v>
      </c>
      <c r="AU200" s="416">
        <f ca="1">IF($G$195=0%,0%, IF(AU$166&gt;='2.2 Input_General_Information'!$H$20,$G195 * VLOOKUP(AU$631,Growth!$B$128:$L$170, 11, FALSE),))</f>
        <v>6.8404625276841824E-2</v>
      </c>
      <c r="AV200" s="416">
        <f ca="1">IF($G$195=0%,0%, IF(AV$166&gt;='2.2 Input_General_Information'!$H$20,$G195 * VLOOKUP(AV$631,Growth!$B$128:$L$170, 11, FALSE),))</f>
        <v>4.5455578574597921E-2</v>
      </c>
      <c r="AW200" s="416">
        <f ca="1">IF($G$195=0%,0%, IF(AW$166&gt;='2.2 Input_General_Information'!$H$20,$G195 * VLOOKUP(AW$631,Growth!$B$128:$L$170, 11, FALSE),))</f>
        <v>2.9676309030444048E-2</v>
      </c>
      <c r="AX200" s="416">
        <f ca="1">IF($G$195=0%,0%, IF(AX$166&gt;='2.2 Input_General_Information'!$H$20,$G195 * VLOOKUP(AX$631,Growth!$B$128:$L$170, 11, FALSE),))</f>
        <v>1.9143896345082512E-2</v>
      </c>
      <c r="AY200" s="416">
        <f ca="1">IF($G$195=0%,0%, IF(AY$166&gt;='2.2 Input_General_Information'!$H$20,$G195 * VLOOKUP(AY$631,Growth!$B$128:$L$170, 11, FALSE),))</f>
        <v>1.2252161867209732E-2</v>
      </c>
      <c r="AZ200" s="416">
        <f ca="1">IF($G$195=0%,0%, IF(AZ$166&gt;='2.2 Input_General_Information'!$H$20,$G195 * VLOOKUP(AZ$631,Growth!$B$128:$L$170, 11, FALSE),))</f>
        <v>7.801176706356161E-3</v>
      </c>
      <c r="BA200" s="416">
        <f ca="1">IF($G$195=0%,0%, IF(BA$166&gt;='2.2 Input_General_Information'!$H$20,$G195 * VLOOKUP(BA$631,Growth!$B$128:$L$170, 11, FALSE),))</f>
        <v>4.9507401417749342E-3</v>
      </c>
      <c r="BB200" s="416">
        <f ca="1">IF($G$195=0%,0%, IF(BB$166&gt;='2.2 Input_General_Information'!$H$20,$G195 * VLOOKUP(BB$631,Growth!$B$128:$L$170, 11, FALSE),))</f>
        <v>3.1351775281664995E-3</v>
      </c>
      <c r="BC200" s="416">
        <f ca="1">IF($G$195=0%,0%, IF(BC$166&gt;='2.2 Input_General_Information'!$H$20,$G195 * VLOOKUP(BC$631,Growth!$B$128:$L$170, 11, FALSE),))</f>
        <v>1.9827613058902571E-3</v>
      </c>
      <c r="BD200" s="416">
        <f ca="1">IF($G$195=0%,0%, IF(BD$166&gt;='2.2 Input_General_Information'!$H$20,$G195 * VLOOKUP(BD$631,Growth!$B$128:$L$170, 11, FALSE),))</f>
        <v>1.2528775680574755E-3</v>
      </c>
      <c r="BE200" s="416">
        <f ca="1">IF($G$195=0%,0%, IF(BE$166&gt;='2.2 Input_General_Information'!$H$20,$G195 * VLOOKUP(BE$631,Growth!$B$128:$L$170, 11, FALSE),))</f>
        <v>7.9124794094148632E-4</v>
      </c>
      <c r="BF200" s="416">
        <f ca="1">IF($G$195=0%,0%, IF(BF$166&gt;='2.2 Input_General_Information'!$H$20,$G195 * VLOOKUP(BF$631,Growth!$B$128:$L$170, 11, FALSE),))</f>
        <v>4.9953792788470786E-4</v>
      </c>
      <c r="BG200" s="416">
        <f ca="1">IF($G$195=0%,0%, IF(BG$166&gt;='2.2 Input_General_Information'!$H$20,$G195 * VLOOKUP(BG$631,Growth!$B$128:$L$170, 11, FALSE),))</f>
        <v>3.1530495291259841E-4</v>
      </c>
      <c r="BH200" s="416">
        <f ca="1">IF($G$195=0%,0%, IF(BH$166&gt;='2.2 Input_General_Information'!$H$20,$G195 * VLOOKUP(BH$631,Growth!$B$128:$L$170, 11, FALSE),))</f>
        <v>1.9899127980688158E-4</v>
      </c>
      <c r="BI200" s="416">
        <f ca="1">IF($G$195=0%,0%, IF(BI$166&gt;='2.2 Input_General_Information'!$H$20,$G195 * VLOOKUP(BI$631,Growth!$B$128:$L$170, 11, FALSE),))</f>
        <v>1.255740805162775E-4</v>
      </c>
      <c r="BJ200" s="416">
        <f ca="1">IF($G$195=0%,0%, IF(BJ$166&gt;='2.2 Input_General_Information'!$H$20,$G195 * VLOOKUP(BJ$631,Growth!$B$128:$L$170, 11, FALSE),))</f>
        <v>7.9239628771710091E-5</v>
      </c>
      <c r="BK200" s="416">
        <f ca="1">IF($G$195=0%,0%, IF(BK$166&gt;='2.2 Input_General_Information'!$H$20,$G195 * VLOOKUP(BK$631,Growth!$B$128:$L$170, 11, FALSE),))</f>
        <v>4.9999999999938982E-5</v>
      </c>
      <c r="BL200" s="416"/>
      <c r="BM200" s="416"/>
      <c r="BN200" s="416"/>
      <c r="BO200" s="416"/>
      <c r="BP200" s="416"/>
      <c r="BQ200" s="416"/>
      <c r="BR200" s="416"/>
      <c r="BS200" s="416"/>
      <c r="BT200" s="416"/>
      <c r="BU200" s="416"/>
    </row>
    <row r="201" spans="1:73" hidden="1">
      <c r="A201" s="6"/>
      <c r="B201" s="108"/>
      <c r="C201" s="1"/>
      <c r="D201" s="12"/>
      <c r="E201" s="1"/>
      <c r="F201" s="1"/>
      <c r="G201" s="183"/>
      <c r="H201" s="6"/>
      <c r="I201" s="6"/>
      <c r="J201" s="6"/>
      <c r="K201" s="6"/>
      <c r="L201" s="3"/>
      <c r="M201" s="3"/>
      <c r="N201" s="3"/>
      <c r="O201" s="1"/>
      <c r="P201" s="1"/>
      <c r="Q201" s="1"/>
      <c r="R201" s="162"/>
      <c r="S201" s="1"/>
      <c r="T201" s="101" t="s">
        <v>200</v>
      </c>
      <c r="U201" s="372" t="s">
        <v>866</v>
      </c>
      <c r="V201" s="101" t="str">
        <f t="shared" si="46"/>
        <v>Glocal standardised PIDs</v>
      </c>
      <c r="W201" s="416">
        <f ca="1">IF($G$196=100%,100%, IF(W$166&gt;='2.2 Input_General_Information'!$H$20,HLOOKUP($G$196, Growth!$I$195:$I$237, W167, FALSE),))</f>
        <v>0.25000000000000455</v>
      </c>
      <c r="X201" s="416">
        <f ca="1">IF($G$196=100%,100%, IF(X$166&gt;='2.2 Input_General_Information'!$H$20,HLOOKUP($G$196, Growth!$I$195:$I$237, X167, FALSE),))</f>
        <v>0.30134716812600559</v>
      </c>
      <c r="Y201" s="416">
        <f ca="1">IF($G$196=100%,100%, IF(Y$166&gt;='2.2 Input_General_Information'!$H$20,HLOOKUP($G$196, Growth!$I$195:$I$237, Y167, FALSE),))</f>
        <v>0.35820358246433642</v>
      </c>
      <c r="Z201" s="416">
        <f ca="1">IF($G$196=100%,100%, IF(Z$166&gt;='2.2 Input_General_Information'!$H$20,HLOOKUP($G$196, Growth!$I$195:$I$237, Z167, FALSE),))</f>
        <v>0.41934852265622719</v>
      </c>
      <c r="AA201" s="416">
        <f ca="1">IF($G$196=100%,100%, IF(AA$166&gt;='2.2 Input_General_Information'!$H$20,HLOOKUP($G$196, Growth!$I$195:$I$237, AA167, FALSE),))</f>
        <v>0.4830747133493738</v>
      </c>
      <c r="AB201" s="416">
        <f ca="1">IF($G$196=100%,100%, IF(AB$166&gt;='2.2 Input_General_Information'!$H$20,HLOOKUP($G$196, Growth!$I$195:$I$237, AB167, FALSE),))</f>
        <v>0.54735620426328058</v>
      </c>
      <c r="AC201" s="416">
        <f ca="1">IF($G$196=100%,100%, IF(AC$166&gt;='2.2 Input_General_Information'!$H$20,HLOOKUP($G$196, Growth!$I$195:$I$237, AC167, FALSE),))</f>
        <v>0.61009596261050103</v>
      </c>
      <c r="AD201" s="416">
        <f ca="1">IF($G$196=100%,100%, IF(AD$166&gt;='2.2 Input_General_Information'!$H$20,HLOOKUP($G$196, Growth!$I$195:$I$237, AD167, FALSE),))</f>
        <v>0.66939210443137886</v>
      </c>
      <c r="AE201" s="416">
        <f ca="1">IF($G$196=100%,100%, IF(AE$166&gt;='2.2 Input_General_Information'!$H$20,HLOOKUP($G$196, Growth!$I$195:$I$237, AE167, FALSE),))</f>
        <v>0.72375369208286655</v>
      </c>
      <c r="AF201" s="416">
        <f ca="1">IF($G$196=100%,100%, IF(AF$166&gt;='2.2 Input_General_Information'!$H$20,HLOOKUP($G$196, Growth!$I$195:$I$237, AF167, FALSE),))</f>
        <v>0.77221829840621981</v>
      </c>
      <c r="AG201" s="416">
        <f ca="1">IF($G$196=100%,100%, IF(AG$166&gt;='2.2 Input_General_Information'!$H$20,HLOOKUP($G$196, Growth!$I$195:$I$237, AG167, FALSE),))</f>
        <v>0.81436115816113352</v>
      </c>
      <c r="AH201" s="416">
        <f ca="1">IF($G$196=100%,100%, IF(AH$166&gt;='2.2 Input_General_Information'!$H$20,HLOOKUP($G$196, Growth!$I$195:$I$237, AH167, FALSE),))</f>
        <v>0.85021931270377626</v>
      </c>
      <c r="AI201" s="416">
        <f ca="1">IF($G$196=100%,100%, IF(AI$166&gt;='2.2 Input_General_Information'!$H$20,HLOOKUP($G$196, Growth!$I$195:$I$237, AI167, FALSE),))</f>
        <v>0.88017026463504044</v>
      </c>
      <c r="AJ201" s="416">
        <f ca="1">IF($G$196=100%,100%, IF(AJ$166&gt;='2.2 Input_General_Information'!$H$20,HLOOKUP($G$196, Growth!$I$195:$I$237, AJ167, FALSE),))</f>
        <v>0.90480265655229508</v>
      </c>
      <c r="AK201" s="416">
        <f ca="1">IF($G$196=100%,100%, IF(AK$166&gt;='2.2 Input_General_Information'!$H$20,HLOOKUP($G$196, Growth!$I$195:$I$237, AK167, FALSE),))</f>
        <v>0.92480416381826902</v>
      </c>
      <c r="AL201" s="416">
        <f ca="1">IF($G$196=100%,100%, IF(AL$166&gt;='2.2 Input_General_Information'!$H$20,HLOOKUP($G$196, Growth!$I$195:$I$237, AL167, FALSE),))</f>
        <v>0.9408778376199276</v>
      </c>
      <c r="AM201" s="416">
        <f ca="1">IF($G$196=100%,100%, IF(AM$166&gt;='2.2 Input_General_Information'!$H$20,HLOOKUP($G$196, Growth!$I$195:$I$237, AM167, FALSE),))</f>
        <v>0.95368770436304129</v>
      </c>
      <c r="AN201" s="416">
        <f ca="1">IF($G$196=100%,100%, IF(AN$166&gt;='2.2 Input_General_Information'!$H$20,HLOOKUP($G$196, Growth!$I$195:$I$237, AN167, FALSE),))</f>
        <v>0.96382878698159757</v>
      </c>
      <c r="AO201" s="416">
        <f ca="1">IF($G$196=100%,100%, IF(AO$166&gt;='2.2 Input_General_Information'!$H$20,HLOOKUP($G$196, Growth!$I$195:$I$237, AO167, FALSE),))</f>
        <v>0.97181488689789264</v>
      </c>
      <c r="AP201" s="416">
        <f ca="1">IF($G$196=100%,100%, IF(AP$166&gt;='2.2 Input_General_Information'!$H$20,HLOOKUP($G$196, Growth!$I$195:$I$237, AP167, FALSE),))</f>
        <v>0.97807787135323898</v>
      </c>
      <c r="AQ201" s="416">
        <f ca="1">IF($G$196=100%,100%, IF(AQ$166&gt;='2.2 Input_General_Information'!$H$20,HLOOKUP($G$196, Growth!$I$195:$I$237, AQ167, FALSE),))</f>
        <v>0.98297354739033016</v>
      </c>
      <c r="AR201" s="416">
        <f ca="1">IF($G$196=100%,100%, IF(AR$166&gt;='2.2 Input_General_Information'!$H$20,HLOOKUP($G$196, Growth!$I$195:$I$237, AR167, FALSE),))</f>
        <v>0.98679068073854503</v>
      </c>
      <c r="AS201" s="416">
        <f ca="1">IF($G$196=100%,100%, IF(AS$166&gt;='2.2 Input_General_Information'!$H$20,HLOOKUP($G$196, Growth!$I$195:$I$237, AS167, FALSE),))</f>
        <v>0.98976097092187487</v>
      </c>
      <c r="AT201" s="416">
        <f ca="1">IF($G$196=100%,100%, IF(AT$166&gt;='2.2 Input_General_Information'!$H$20,HLOOKUP($G$196, Growth!$I$195:$I$237, AT167, FALSE),))</f>
        <v>0.99206872034800186</v>
      </c>
      <c r="AU201" s="416">
        <f ca="1">IF($G$196=100%,100%, IF(AU$166&gt;='2.2 Input_General_Information'!$H$20,HLOOKUP($G$196, Growth!$I$195:$I$237, AU167, FALSE),))</f>
        <v>0.99385955875870302</v>
      </c>
      <c r="AV201" s="416">
        <f ca="1">IF($G$196=100%,100%, IF(AV$166&gt;='2.2 Input_General_Information'!$H$20,HLOOKUP($G$196, Growth!$I$195:$I$237, AV167, FALSE),))</f>
        <v>0.99524797280972555</v>
      </c>
      <c r="AW201" s="416">
        <f ca="1">IF($G$196=100%,100%, IF(AW$166&gt;='2.2 Input_General_Information'!$H$20,HLOOKUP($G$196, Growth!$I$195:$I$237, AW167, FALSE),))</f>
        <v>0.9963236140859173</v>
      </c>
      <c r="AX201" s="416">
        <f ca="1">IF($G$196=100%,100%, IF(AX$166&gt;='2.2 Input_General_Information'!$H$20,HLOOKUP($G$196, Growth!$I$195:$I$237, AX167, FALSE),))</f>
        <v>0.99715647508539018</v>
      </c>
      <c r="AY201" s="416">
        <f ca="1">IF($G$196=100%,100%, IF(AY$166&gt;='2.2 Input_General_Information'!$H$20,HLOOKUP($G$196, Growth!$I$195:$I$237, AY167, FALSE),))</f>
        <v>0.9978010733370235</v>
      </c>
      <c r="AZ201" s="416">
        <f ca="1">IF($G$196=100%,100%, IF(AZ$166&gt;='2.2 Input_General_Information'!$H$20,HLOOKUP($G$196, Growth!$I$195:$I$237, AZ167, FALSE),))</f>
        <v>0.99829979685297132</v>
      </c>
      <c r="BA201" s="416">
        <f ca="1">IF($G$196=100%,100%, IF(BA$166&gt;='2.2 Input_General_Information'!$H$20,HLOOKUP($G$196, Growth!$I$195:$I$237, BA167, FALSE),))</f>
        <v>0.99868555730648434</v>
      </c>
      <c r="BB201" s="416">
        <f ca="1">IF($G$196=100%,100%, IF(BB$166&gt;='2.2 Input_General_Information'!$H$20,HLOOKUP($G$196, Growth!$I$195:$I$237, BB167, FALSE),))</f>
        <v>0.9989838813495503</v>
      </c>
      <c r="BC201" s="416">
        <f ca="1">IF($G$196=100%,100%, IF(BC$166&gt;='2.2 Input_General_Information'!$H$20,HLOOKUP($G$196, Growth!$I$195:$I$237, BC167, FALSE),))</f>
        <v>0.99921455144288041</v>
      </c>
      <c r="BD201" s="416">
        <f ca="1">IF($G$196=100%,100%, IF(BD$166&gt;='2.2 Input_General_Information'!$H$20,HLOOKUP($G$196, Growth!$I$195:$I$237, BD167, FALSE),))</f>
        <v>0.99939288871515819</v>
      </c>
      <c r="BE201" s="416">
        <f ca="1">IF($G$196=100%,100%, IF(BE$166&gt;='2.2 Input_General_Information'!$H$20,HLOOKUP($G$196, Growth!$I$195:$I$237, BE167, FALSE),))</f>
        <v>0.99953075325799379</v>
      </c>
      <c r="BF201" s="416">
        <f ca="1">IF($G$196=100%,100%, IF(BF$166&gt;='2.2 Input_General_Information'!$H$20,HLOOKUP($G$196, Growth!$I$195:$I$237, BF167, FALSE),))</f>
        <v>0.99963732249273651</v>
      </c>
      <c r="BG201" s="416">
        <f ca="1">IF($G$196=100%,100%, IF(BG$166&gt;='2.2 Input_General_Information'!$H$20,HLOOKUP($G$196, Growth!$I$195:$I$237, BG167, FALSE),))</f>
        <v>0.99971969589217868</v>
      </c>
      <c r="BH201" s="416">
        <f ca="1">IF($G$196=100%,100%, IF(BH$166&gt;='2.2 Input_General_Information'!$H$20,HLOOKUP($G$196, Growth!$I$195:$I$237, BH167, FALSE),))</f>
        <v>0.9997833642263465</v>
      </c>
      <c r="BI201" s="416">
        <f ca="1">IF($G$196=100%,100%, IF(BI$166&gt;='2.2 Input_General_Information'!$H$20,HLOOKUP($G$196, Growth!$I$195:$I$237, BI167, FALSE),))</f>
        <v>0.99983257334360609</v>
      </c>
      <c r="BJ201" s="416">
        <f ca="1">IF($G$196=100%,100%, IF(BJ$166&gt;='2.2 Input_General_Information'!$H$20,HLOOKUP($G$196, Growth!$I$195:$I$237, BJ167, FALSE),))</f>
        <v>0.99987060598811461</v>
      </c>
      <c r="BK201" s="416">
        <f ca="1">IF($G$196=100%,100%, IF(BK$166&gt;='2.2 Input_General_Information'!$H$20,HLOOKUP($G$196, Growth!$I$195:$I$237, BK167, FALSE),))</f>
        <v>0.99990000000000012</v>
      </c>
      <c r="BL201" s="416"/>
      <c r="BM201" s="416"/>
      <c r="BN201" s="416"/>
      <c r="BO201" s="416"/>
      <c r="BP201" s="416"/>
      <c r="BQ201" s="416"/>
      <c r="BR201" s="416"/>
      <c r="BS201" s="416"/>
      <c r="BT201" s="416"/>
      <c r="BU201" s="416"/>
    </row>
    <row r="202" spans="1:73" hidden="1">
      <c r="A202" s="6"/>
      <c r="B202" s="108"/>
      <c r="C202" s="1"/>
      <c r="D202" s="12"/>
      <c r="E202" s="1"/>
      <c r="F202" s="1"/>
      <c r="G202" s="183"/>
      <c r="H202" s="6"/>
      <c r="I202" s="6"/>
      <c r="J202" s="6"/>
      <c r="K202" s="6"/>
      <c r="L202" s="3"/>
      <c r="M202" s="3"/>
      <c r="N202" s="3"/>
      <c r="O202" s="1"/>
      <c r="P202" s="1"/>
      <c r="Q202" s="1"/>
      <c r="R202" s="162"/>
      <c r="S202" s="1"/>
      <c r="T202" s="101"/>
      <c r="U202" s="101"/>
      <c r="V202" s="101"/>
      <c r="W202" s="469"/>
      <c r="X202" s="469"/>
      <c r="Y202" s="469"/>
      <c r="Z202" s="469"/>
      <c r="AA202" s="469"/>
      <c r="AB202" s="469"/>
      <c r="AC202" s="469"/>
      <c r="AD202" s="469"/>
      <c r="AE202" s="469"/>
      <c r="AF202" s="469"/>
      <c r="AG202" s="469"/>
      <c r="AH202" s="469"/>
      <c r="AI202" s="469"/>
      <c r="AJ202" s="469"/>
      <c r="AK202" s="469"/>
      <c r="AL202" s="469"/>
      <c r="AM202" s="469"/>
      <c r="AN202" s="469"/>
      <c r="AO202" s="469"/>
      <c r="AP202" s="469"/>
      <c r="AQ202" s="469"/>
      <c r="AR202" s="469"/>
      <c r="AS202" s="469"/>
      <c r="AT202" s="469"/>
      <c r="AU202" s="469"/>
      <c r="AV202" s="469"/>
      <c r="AW202" s="469"/>
      <c r="AX202" s="469"/>
      <c r="AY202" s="469"/>
      <c r="AZ202" s="469"/>
      <c r="BA202" s="469"/>
      <c r="BB202" s="469"/>
      <c r="BC202" s="469"/>
      <c r="BD202" s="469"/>
      <c r="BE202" s="469"/>
      <c r="BF202" s="469"/>
      <c r="BG202" s="469"/>
      <c r="BH202" s="469"/>
      <c r="BI202" s="469"/>
      <c r="BJ202" s="469"/>
      <c r="BK202" s="469"/>
      <c r="BL202" s="469"/>
      <c r="BM202" s="469"/>
      <c r="BN202" s="469"/>
      <c r="BO202" s="469"/>
      <c r="BP202" s="469"/>
      <c r="BQ202" s="469"/>
      <c r="BR202" s="469"/>
      <c r="BS202" s="469"/>
      <c r="BT202" s="469"/>
      <c r="BU202" s="469"/>
    </row>
    <row r="203" spans="1:73" hidden="1">
      <c r="A203" s="6"/>
      <c r="B203" s="108"/>
      <c r="C203" s="1"/>
      <c r="D203" s="12"/>
      <c r="E203" s="1"/>
      <c r="F203" s="1"/>
      <c r="G203" s="183"/>
      <c r="H203" s="6"/>
      <c r="I203" s="6"/>
      <c r="J203" s="6"/>
      <c r="K203" s="6"/>
      <c r="L203" s="3"/>
      <c r="M203" s="3"/>
      <c r="N203" s="3"/>
      <c r="O203" s="1"/>
      <c r="P203" s="1"/>
      <c r="Q203" s="1"/>
      <c r="R203" s="162"/>
      <c r="S203" s="1"/>
      <c r="T203" s="101"/>
      <c r="U203" s="101"/>
      <c r="V203" s="101" t="s">
        <v>932</v>
      </c>
      <c r="W203" s="469">
        <f ca="1">IF(W$166&gt;='2.2 Input_General_Information'!$H$20,SUM(W199:W201),)</f>
        <v>0.9999250000000045</v>
      </c>
      <c r="X203" s="469">
        <f ca="1">IF(X$166&gt;='2.2 Input_General_Information'!$H$20,SUM(X199:X201),)</f>
        <v>1.051228308682848</v>
      </c>
      <c r="Y203" s="469">
        <f ca="1">IF(Y$166&gt;='2.2 Input_General_Information'!$H$20,SUM(Y199:Y201),)</f>
        <v>1.1080152213435619</v>
      </c>
      <c r="Z203" s="469">
        <f ca="1">IF(Z$166&gt;='2.2 Input_General_Information'!$H$20,SUM(Z199:Z201),)</f>
        <v>1.1690500357365166</v>
      </c>
      <c r="AA203" s="469">
        <f ca="1">IF(AA$166&gt;='2.2 Input_General_Information'!$H$20,SUM(AA199:AA201),)</f>
        <v>1.2326017559200046</v>
      </c>
      <c r="AB203" s="469">
        <f ca="1">IF(AB$166&gt;='2.2 Input_General_Information'!$H$20,SUM(AB199:AB201),)</f>
        <v>1.2966068973714528</v>
      </c>
      <c r="AC203" s="469">
        <f ca="1">IF(AC$166&gt;='2.2 Input_General_Information'!$H$20,SUM(AC199:AC201),)</f>
        <v>1.3589090906990877</v>
      </c>
      <c r="AD203" s="469">
        <f ca="1">IF(AD$166&gt;='2.2 Input_General_Information'!$H$20,SUM(AD199:AD201),)</f>
        <v>1.417512788079291</v>
      </c>
      <c r="AE203" s="469">
        <f ca="1">IF(AE$166&gt;='2.2 Input_General_Information'!$H$20,SUM(AE199:AE201),)</f>
        <v>1.4707795501240288</v>
      </c>
      <c r="AF203" s="469">
        <f ca="1">IF(AF$166&gt;='2.2 Input_General_Information'!$H$20,SUM(AF199:AF201),)</f>
        <v>1.5175155321139662</v>
      </c>
      <c r="AG203" s="469">
        <f ca="1">IF(AG$166&gt;='2.2 Input_General_Information'!$H$20,SUM(AG199:AG201),)</f>
        <v>1.5569350479484649</v>
      </c>
      <c r="AH203" s="469">
        <f ca="1">IF(AH$166&gt;='2.2 Input_General_Information'!$H$20,SUM(AH199:AH201),)</f>
        <v>1.5885175476442324</v>
      </c>
      <c r="AI203" s="469">
        <f ca="1">IF(AI$166&gt;='2.2 Input_General_Information'!$H$20,SUM(AI199:AI201),)</f>
        <v>1.6117920218342108</v>
      </c>
      <c r="AJ203" s="469">
        <f ca="1">IF(AJ$166&gt;='2.2 Input_General_Information'!$H$20,SUM(AJ199:AJ201),)</f>
        <v>1.6260868120346483</v>
      </c>
      <c r="AK203" s="469">
        <f ca="1">IF(AK$166&gt;='2.2 Input_General_Information'!$H$20,SUM(AK199:AK201),)</f>
        <v>1.6302897002725678</v>
      </c>
      <c r="AL203" s="469">
        <f ca="1">IF(AL$166&gt;='2.2 Input_General_Information'!$H$20,SUM(AL199:AL201),)</f>
        <v>1.6226944697579788</v>
      </c>
      <c r="AM203" s="469">
        <f ca="1">IF(AM$166&gt;='2.2 Input_General_Information'!$H$20,SUM(AM199:AM201),)</f>
        <v>1.6010807664477045</v>
      </c>
      <c r="AN203" s="469">
        <f ca="1">IF(AN$166&gt;='2.2 Input_General_Information'!$H$20,SUM(AN199:AN201),)</f>
        <v>1.5632569750748009</v>
      </c>
      <c r="AO203" s="469">
        <f ca="1">IF(AO$166&gt;='2.2 Input_General_Information'!$H$20,SUM(AO199:AO201),)</f>
        <v>1.5082529226081669</v>
      </c>
      <c r="AP203" s="469">
        <f ca="1">IF(AP$166&gt;='2.2 Input_General_Information'!$H$20,SUM(AP199:AP201),)</f>
        <v>1.4379295969228196</v>
      </c>
      <c r="AQ203" s="469">
        <f ca="1">IF(AQ$166&gt;='2.2 Input_General_Information'!$H$20,SUM(AQ199:AQ201),)</f>
        <v>1.3579735473902517</v>
      </c>
      <c r="AR203" s="469">
        <f ca="1">IF(AR$166&gt;='2.2 Input_General_Information'!$H$20,SUM(AR199:AR201),)</f>
        <v>1.2769389551688155</v>
      </c>
      <c r="AS203" s="469">
        <f ca="1">IF(AS$166&gt;='2.2 Input_General_Information'!$H$20,SUM(AS199:AS201),)</f>
        <v>1.2033229352114725</v>
      </c>
      <c r="AT203" s="469">
        <f ca="1">IF(AT$166&gt;='2.2 Input_General_Information'!$H$20,SUM(AT199:AT201),)</f>
        <v>1.1426405322546977</v>
      </c>
      <c r="AU203" s="469">
        <f ca="1">IF(AU$166&gt;='2.2 Input_General_Information'!$H$20,SUM(AU199:AU201),)</f>
        <v>1.0964664966739657</v>
      </c>
      <c r="AV203" s="469">
        <f ca="1">IF(AV$166&gt;='2.2 Input_General_Information'!$H$20,SUM(AV199:AV201),)</f>
        <v>1.0634313406716225</v>
      </c>
      <c r="AW203" s="469">
        <f ca="1">IF(AW$166&gt;='2.2 Input_General_Information'!$H$20,SUM(AW199:AW201),)</f>
        <v>1.0408380776315833</v>
      </c>
      <c r="AX203" s="469">
        <f ca="1">IF(AX$166&gt;='2.2 Input_General_Information'!$H$20,SUM(AX199:AX201),)</f>
        <v>1.0258723196030139</v>
      </c>
      <c r="AY203" s="469">
        <f ca="1">IF(AY$166&gt;='2.2 Input_General_Information'!$H$20,SUM(AY199:AY201),)</f>
        <v>1.0161793161378381</v>
      </c>
      <c r="AZ203" s="469">
        <f ca="1">IF(AZ$166&gt;='2.2 Input_General_Information'!$H$20,SUM(AZ199:AZ201),)</f>
        <v>1.0100015619125056</v>
      </c>
      <c r="BA203" s="469">
        <f ca="1">IF(BA$166&gt;='2.2 Input_General_Information'!$H$20,SUM(BA199:BA201),)</f>
        <v>1.0061116675191468</v>
      </c>
      <c r="BB203" s="469">
        <f ca="1">IF(BB$166&gt;='2.2 Input_General_Information'!$H$20,SUM(BB199:BB201),)</f>
        <v>1.0036866476418</v>
      </c>
      <c r="BC203" s="469">
        <f ca="1">IF(BC$166&gt;='2.2 Input_General_Information'!$H$20,SUM(BC199:BC201),)</f>
        <v>1.0021886934017159</v>
      </c>
      <c r="BD203" s="469">
        <f ca="1">IF(BD$166&gt;='2.2 Input_General_Information'!$H$20,SUM(BD199:BD201),)</f>
        <v>1.0012722050672445</v>
      </c>
      <c r="BE203" s="469">
        <f ca="1">IF(BE$166&gt;='2.2 Input_General_Information'!$H$20,SUM(BE199:BE201),)</f>
        <v>1.0007176251694061</v>
      </c>
      <c r="BF203" s="469">
        <f ca="1">IF(BF$166&gt;='2.2 Input_General_Information'!$H$20,SUM(BF199:BF201),)</f>
        <v>1.0003866293845636</v>
      </c>
      <c r="BG203" s="469">
        <f ca="1">IF(BG$166&gt;='2.2 Input_General_Information'!$H$20,SUM(BG199:BG201),)</f>
        <v>1.0001926533215475</v>
      </c>
      <c r="BH203" s="469">
        <f ca="1">IF(BH$166&gt;='2.2 Input_General_Information'!$H$20,SUM(BH199:BH201),)</f>
        <v>1.0000818511460567</v>
      </c>
      <c r="BI203" s="469">
        <f ca="1">IF(BI$166&gt;='2.2 Input_General_Information'!$H$20,SUM(BI199:BI201),)</f>
        <v>1.0000209344643805</v>
      </c>
      <c r="BJ203" s="469">
        <f ca="1">IF(BJ$166&gt;='2.2 Input_General_Information'!$H$20,SUM(BJ199:BJ201),)</f>
        <v>0.99998946543127221</v>
      </c>
      <c r="BK203" s="469">
        <f ca="1">IF(BK$166&gt;='2.2 Input_General_Information'!$H$20,SUM(BK199:BK201),)</f>
        <v>0.99997500000000006</v>
      </c>
      <c r="BL203" s="469"/>
      <c r="BM203" s="469"/>
      <c r="BN203" s="469"/>
      <c r="BO203" s="469"/>
      <c r="BP203" s="469"/>
      <c r="BQ203" s="469"/>
      <c r="BR203" s="469"/>
      <c r="BS203" s="469"/>
      <c r="BT203" s="469"/>
      <c r="BU203" s="469"/>
    </row>
    <row r="204" spans="1:73" hidden="1">
      <c r="A204" s="6"/>
      <c r="B204" s="108"/>
      <c r="C204" s="1"/>
      <c r="D204" s="12"/>
      <c r="E204" s="1"/>
      <c r="F204" s="1"/>
      <c r="G204" s="183"/>
      <c r="H204" s="6"/>
      <c r="I204" s="6"/>
      <c r="J204" s="6"/>
      <c r="K204" s="6"/>
      <c r="L204" s="3"/>
      <c r="M204" s="3"/>
      <c r="N204" s="3"/>
      <c r="O204" s="1"/>
      <c r="P204" s="1"/>
      <c r="Q204" s="1"/>
      <c r="R204" s="162"/>
      <c r="S204" s="1"/>
      <c r="T204" s="101" t="s">
        <v>936</v>
      </c>
      <c r="U204" s="101"/>
      <c r="V204" s="101" t="str">
        <f t="shared" ref="V204:V206" si="47">V199</f>
        <v>No Identifier</v>
      </c>
      <c r="W204" s="469">
        <f ca="1">IF(W$166&gt;='2.2 Input_General_Information'!$H$20,W199/W$203,)</f>
        <v>0.24999374953121373</v>
      </c>
      <c r="X204" s="469">
        <f ca="1">IF(X$166&gt;='2.2 Input_General_Information'!$H$20,X199/X$203,)</f>
        <v>0.23777934642837545</v>
      </c>
      <c r="Y204" s="469">
        <f ca="1">IF(Y$166&gt;='2.2 Input_General_Information'!$H$20,Y199/Y$203,)</f>
        <v>0.22557200311442643</v>
      </c>
      <c r="Z204" s="469">
        <f ca="1">IF(Z$166&gt;='2.2 Input_General_Information'!$H$20,Z199/Z$203,)</f>
        <v>0.21376373698381176</v>
      </c>
      <c r="AA204" s="469">
        <f ca="1">IF(AA$166&gt;='2.2 Input_General_Information'!$H$20,AA199/AA$203,)</f>
        <v>0.20269510920586281</v>
      </c>
      <c r="AB204" s="469">
        <f ca="1">IF(AB$166&gt;='2.2 Input_General_Information'!$H$20,AB199/AB$203,)</f>
        <v>0.19261831133427082</v>
      </c>
      <c r="AC204" s="469">
        <f ca="1">IF(AC$166&gt;='2.2 Input_General_Information'!$H$20,AC199/AC$203,)</f>
        <v>0.18367996633323019</v>
      </c>
      <c r="AD204" s="469">
        <f ca="1">IF(AD$166&gt;='2.2 Input_General_Information'!$H$20,AD199/AD$203,)</f>
        <v>0.17592332380568376</v>
      </c>
      <c r="AE204" s="469">
        <f ca="1">IF(AE$166&gt;='2.2 Input_General_Information'!$H$20,AE199/AE$203,)</f>
        <v>0.16930383572851249</v>
      </c>
      <c r="AF204" s="469">
        <f ca="1">IF(AF$166&gt;='2.2 Input_General_Information'!$H$20,AF199/AF$203,)</f>
        <v>0.16370996275065344</v>
      </c>
      <c r="AG204" s="469">
        <f ca="1">IF(AG$166&gt;='2.2 Input_General_Information'!$H$20,AG199/AG$203,)</f>
        <v>0.15898198852628281</v>
      </c>
      <c r="AH204" s="469">
        <f ca="1">IF(AH$166&gt;='2.2 Input_General_Information'!$H$20,AH199/AH$203,)</f>
        <v>0.15492394906923346</v>
      </c>
      <c r="AI204" s="469">
        <f ca="1">IF(AI$166&gt;='2.2 Input_General_Information'!$H$20,AI199/AI$203,)</f>
        <v>0.15130607160399198</v>
      </c>
      <c r="AJ204" s="469">
        <f ca="1">IF(AJ$166&gt;='2.2 Input_General_Information'!$H$20,AJ199/AJ$203,)</f>
        <v>0.14785683645426925</v>
      </c>
      <c r="AK204" s="469">
        <f ca="1">IF(AK$166&gt;='2.2 Input_General_Information'!$H$20,AK199/AK$203,)</f>
        <v>0.14424543407558155</v>
      </c>
      <c r="AL204" s="469">
        <f ca="1">IF(AL$166&gt;='2.2 Input_General_Information'!$H$20,AL199/AL$203,)</f>
        <v>0.14005853532401627</v>
      </c>
      <c r="AM204" s="469">
        <f ca="1">IF(AM$166&gt;='2.2 Input_General_Information'!$H$20,AM199/AM$203,)</f>
        <v>0.1347825118406373</v>
      </c>
      <c r="AN204" s="469">
        <f ca="1">IF(AN$166&gt;='2.2 Input_General_Information'!$H$20,AN199/AN$203,)</f>
        <v>0.12781609115897724</v>
      </c>
      <c r="AO204" s="469">
        <f ca="1">IF(AO$166&gt;='2.2 Input_General_Information'!$H$20,AO199/AO$203,)</f>
        <v>0.11855616249088859</v>
      </c>
      <c r="AP204" s="469">
        <f ca="1">IF(AP$166&gt;='2.2 Input_General_Information'!$H$20,AP199/AP$203,)</f>
        <v>0.10660042664899745</v>
      </c>
      <c r="AQ204" s="469">
        <f ca="1">IF(AQ$166&gt;='2.2 Input_General_Information'!$H$20,AQ199/AQ$203,)</f>
        <v>9.2048921159177469E-2</v>
      </c>
      <c r="AR204" s="469">
        <f ca="1">IF(AR$166&gt;='2.2 Input_General_Information'!$H$20,AR199/AR$203,)</f>
        <v>7.5740575604861721E-2</v>
      </c>
      <c r="AS204" s="469">
        <f ca="1">IF(AS$166&gt;='2.2 Input_General_Information'!$H$20,AS199/AS$203,)</f>
        <v>5.9158950059698977E-2</v>
      </c>
      <c r="AT204" s="469">
        <f ca="1">IF(AT$166&gt;='2.2 Input_General_Information'!$H$20,AT199/AT$203,)</f>
        <v>4.3925103785580573E-2</v>
      </c>
      <c r="AU204" s="469">
        <f ca="1">IF(AU$166&gt;='2.2 Input_General_Information'!$H$20,AU199/AU$203,)</f>
        <v>3.1193212690192183E-2</v>
      </c>
      <c r="AV204" s="469">
        <f ca="1">IF(AV$166&gt;='2.2 Input_General_Information'!$H$20,AV199/AV$203,)</f>
        <v>2.1372126641429394E-2</v>
      </c>
      <c r="AW204" s="469">
        <f ca="1">IF(AW$166&gt;='2.2 Input_General_Information'!$H$20,AW199/AW$203,)</f>
        <v>1.4255968179974831E-2</v>
      </c>
      <c r="AX204" s="469">
        <f ca="1">IF(AX$166&gt;='2.2 Input_General_Information'!$H$20,AX199/AX$203,)</f>
        <v>9.3305453219025853E-3</v>
      </c>
      <c r="AY204" s="469">
        <f ca="1">IF(AY$166&gt;='2.2 Input_General_Information'!$H$20,AY199/AY$203,)</f>
        <v>6.0285432268864479E-3</v>
      </c>
      <c r="AZ204" s="469">
        <f ca="1">IF(AZ$166&gt;='2.2 Input_General_Information'!$H$20,AZ199/AZ$203,)</f>
        <v>3.8619626941883687E-3</v>
      </c>
      <c r="BA204" s="469">
        <f ca="1">IF(BA$166&gt;='2.2 Input_General_Information'!$H$20,BA199/BA$203,)</f>
        <v>2.4603333315785839E-3</v>
      </c>
      <c r="BB204" s="469">
        <f ca="1">IF(BB$166&gt;='2.2 Input_General_Information'!$H$20,BB199/BB$203,)</f>
        <v>1.5618308440850132E-3</v>
      </c>
      <c r="BC204" s="469">
        <f ca="1">IF(BC$166&gt;='2.2 Input_General_Information'!$H$20,BC199/BC$203,)</f>
        <v>9.8921556336870877E-4</v>
      </c>
      <c r="BD204" s="469">
        <f ca="1">IF(BD$166&gt;='2.2 Input_General_Information'!$H$20,BD199/BD$203,)</f>
        <v>6.2564283803989815E-4</v>
      </c>
      <c r="BE204" s="469">
        <f ca="1">IF(BE$166&gt;='2.2 Input_General_Information'!$H$20,BE199/BE$203,)</f>
        <v>3.9534026434656839E-4</v>
      </c>
      <c r="BF204" s="469">
        <f ca="1">IF(BF$166&gt;='2.2 Input_General_Information'!$H$20,BF199/BF$203,)</f>
        <v>2.4967243324314664E-4</v>
      </c>
      <c r="BG204" s="469">
        <f ca="1">IF(BG$166&gt;='2.2 Input_General_Information'!$H$20,BG199/BG$203,)</f>
        <v>1.5762211003325196E-4</v>
      </c>
      <c r="BH204" s="469">
        <f ca="1">IF(BH$166&gt;='2.2 Input_General_Information'!$H$20,BH199/BH$203,)</f>
        <v>9.9487496737814488E-5</v>
      </c>
      <c r="BI204" s="469">
        <f ca="1">IF(BI$166&gt;='2.2 Input_General_Information'!$H$20,BI199/BI$203,)</f>
        <v>6.2785725872596868E-5</v>
      </c>
      <c r="BJ204" s="469">
        <f ca="1">IF(BJ$166&gt;='2.2 Input_General_Information'!$H$20,BJ199/BJ$203,)</f>
        <v>3.9620231767909616E-5</v>
      </c>
      <c r="BK204" s="469">
        <f ca="1">IF(BK$166&gt;='2.2 Input_General_Information'!$H$20,BK199/BK$203,)</f>
        <v>2.500062501559488E-5</v>
      </c>
      <c r="BL204" s="469"/>
      <c r="BM204" s="469"/>
      <c r="BN204" s="469"/>
      <c r="BO204" s="469"/>
      <c r="BP204" s="469"/>
      <c r="BQ204" s="469"/>
      <c r="BR204" s="469"/>
      <c r="BS204" s="469"/>
      <c r="BT204" s="469"/>
      <c r="BU204" s="469"/>
    </row>
    <row r="205" spans="1:73" hidden="1">
      <c r="A205" s="6"/>
      <c r="B205" s="108"/>
      <c r="C205" s="1"/>
      <c r="D205" s="12"/>
      <c r="E205" s="1"/>
      <c r="F205" s="1"/>
      <c r="G205" s="183"/>
      <c r="H205" s="6"/>
      <c r="I205" s="6"/>
      <c r="J205" s="6"/>
      <c r="K205" s="6"/>
      <c r="L205" s="3"/>
      <c r="M205" s="3"/>
      <c r="N205" s="3"/>
      <c r="O205" s="1"/>
      <c r="P205" s="1"/>
      <c r="Q205" s="1"/>
      <c r="R205" s="162"/>
      <c r="S205" s="1"/>
      <c r="T205" s="101" t="s">
        <v>936</v>
      </c>
      <c r="U205" s="101"/>
      <c r="V205" s="101" t="str">
        <f t="shared" si="47"/>
        <v>Local PIDs</v>
      </c>
      <c r="W205" s="469">
        <f ca="1">IF(W$166&gt;='2.2 Input_General_Information'!$H$20,W200/W$203,)</f>
        <v>0.49998749906242745</v>
      </c>
      <c r="X205" s="469">
        <f ca="1">IF(X$166&gt;='2.2 Input_General_Information'!$H$20,X200/X$203,)</f>
        <v>0.4755586928567509</v>
      </c>
      <c r="Y205" s="469">
        <f ca="1">IF(Y$166&gt;='2.2 Input_General_Information'!$H$20,Y200/Y$203,)</f>
        <v>0.45114400622885287</v>
      </c>
      <c r="Z205" s="469">
        <f ca="1">IF(Z$166&gt;='2.2 Input_General_Information'!$H$20,Z200/Z$203,)</f>
        <v>0.42752747396762353</v>
      </c>
      <c r="AA205" s="469">
        <f ca="1">IF(AA$166&gt;='2.2 Input_General_Information'!$H$20,AA200/AA$203,)</f>
        <v>0.40539021841172562</v>
      </c>
      <c r="AB205" s="469">
        <f ca="1">IF(AB$166&gt;='2.2 Input_General_Information'!$H$20,AB200/AB$203,)</f>
        <v>0.38523662266854164</v>
      </c>
      <c r="AC205" s="469">
        <f ca="1">IF(AC$166&gt;='2.2 Input_General_Information'!$H$20,AC200/AC$203,)</f>
        <v>0.36735993266646039</v>
      </c>
      <c r="AD205" s="469">
        <f ca="1">IF(AD$166&gt;='2.2 Input_General_Information'!$H$20,AD200/AD$203,)</f>
        <v>0.35184664761136752</v>
      </c>
      <c r="AE205" s="469">
        <f ca="1">IF(AE$166&gt;='2.2 Input_General_Information'!$H$20,AE200/AE$203,)</f>
        <v>0.33860767145702497</v>
      </c>
      <c r="AF205" s="469">
        <f ca="1">IF(AF$166&gt;='2.2 Input_General_Information'!$H$20,AF200/AF$203,)</f>
        <v>0.32741992550130689</v>
      </c>
      <c r="AG205" s="469">
        <f ca="1">IF(AG$166&gt;='2.2 Input_General_Information'!$H$20,AG200/AG$203,)</f>
        <v>0.31796397705256563</v>
      </c>
      <c r="AH205" s="469">
        <f ca="1">IF(AH$166&gt;='2.2 Input_General_Information'!$H$20,AH200/AH$203,)</f>
        <v>0.30984789813846692</v>
      </c>
      <c r="AI205" s="469">
        <f ca="1">IF(AI$166&gt;='2.2 Input_General_Information'!$H$20,AI200/AI$203,)</f>
        <v>0.30261214320798396</v>
      </c>
      <c r="AJ205" s="469">
        <f ca="1">IF(AJ$166&gt;='2.2 Input_General_Information'!$H$20,AJ200/AJ$203,)</f>
        <v>0.29571367290853851</v>
      </c>
      <c r="AK205" s="469">
        <f ca="1">IF(AK$166&gt;='2.2 Input_General_Information'!$H$20,AK200/AK$203,)</f>
        <v>0.28849086815116309</v>
      </c>
      <c r="AL205" s="469">
        <f ca="1">IF(AL$166&gt;='2.2 Input_General_Information'!$H$20,AL200/AL$203,)</f>
        <v>0.28011707064803254</v>
      </c>
      <c r="AM205" s="469">
        <f ca="1">IF(AM$166&gt;='2.2 Input_General_Information'!$H$20,AM200/AM$203,)</f>
        <v>0.26956502368127461</v>
      </c>
      <c r="AN205" s="469">
        <f ca="1">IF(AN$166&gt;='2.2 Input_General_Information'!$H$20,AN200/AN$203,)</f>
        <v>0.25563218231795448</v>
      </c>
      <c r="AO205" s="469">
        <f ca="1">IF(AO$166&gt;='2.2 Input_General_Information'!$H$20,AO200/AO$203,)</f>
        <v>0.23711232498177717</v>
      </c>
      <c r="AP205" s="469">
        <f ca="1">IF(AP$166&gt;='2.2 Input_General_Information'!$H$20,AP200/AP$203,)</f>
        <v>0.2132008532979949</v>
      </c>
      <c r="AQ205" s="469">
        <f ca="1">IF(AQ$166&gt;='2.2 Input_General_Information'!$H$20,AQ200/AQ$203,)</f>
        <v>0.18409784231835494</v>
      </c>
      <c r="AR205" s="469">
        <f ca="1">IF(AR$166&gt;='2.2 Input_General_Information'!$H$20,AR200/AR$203,)</f>
        <v>0.15148115120972344</v>
      </c>
      <c r="AS205" s="469">
        <f ca="1">IF(AS$166&gt;='2.2 Input_General_Information'!$H$20,AS200/AS$203,)</f>
        <v>0.11831790011939795</v>
      </c>
      <c r="AT205" s="469">
        <f ca="1">IF(AT$166&gt;='2.2 Input_General_Information'!$H$20,AT200/AT$203,)</f>
        <v>8.7850207571161146E-2</v>
      </c>
      <c r="AU205" s="469">
        <f ca="1">IF(AU$166&gt;='2.2 Input_General_Information'!$H$20,AU200/AU$203,)</f>
        <v>6.2386425380384365E-2</v>
      </c>
      <c r="AV205" s="469">
        <f ca="1">IF(AV$166&gt;='2.2 Input_General_Information'!$H$20,AV200/AV$203,)</f>
        <v>4.2744253282858788E-2</v>
      </c>
      <c r="AW205" s="469">
        <f ca="1">IF(AW$166&gt;='2.2 Input_General_Information'!$H$20,AW200/AW$203,)</f>
        <v>2.8511936359949662E-2</v>
      </c>
      <c r="AX205" s="469">
        <f ca="1">IF(AX$166&gt;='2.2 Input_General_Information'!$H$20,AX200/AX$203,)</f>
        <v>1.8661090643805171E-2</v>
      </c>
      <c r="AY205" s="469">
        <f ca="1">IF(AY$166&gt;='2.2 Input_General_Information'!$H$20,AY200/AY$203,)</f>
        <v>1.2057086453772896E-2</v>
      </c>
      <c r="AZ205" s="469">
        <f ca="1">IF(AZ$166&gt;='2.2 Input_General_Information'!$H$20,AZ200/AZ$203,)</f>
        <v>7.7239253883767374E-3</v>
      </c>
      <c r="BA205" s="469">
        <f ca="1">IF(BA$166&gt;='2.2 Input_General_Information'!$H$20,BA200/BA$203,)</f>
        <v>4.9206666631571678E-3</v>
      </c>
      <c r="BB205" s="469">
        <f ca="1">IF(BB$166&gt;='2.2 Input_General_Information'!$H$20,BB200/BB$203,)</f>
        <v>3.1236616881700264E-3</v>
      </c>
      <c r="BC205" s="469">
        <f ca="1">IF(BC$166&gt;='2.2 Input_General_Information'!$H$20,BC200/BC$203,)</f>
        <v>1.9784311267374175E-3</v>
      </c>
      <c r="BD205" s="469">
        <f ca="1">IF(BD$166&gt;='2.2 Input_General_Information'!$H$20,BD200/BD$203,)</f>
        <v>1.2512856760797963E-3</v>
      </c>
      <c r="BE205" s="469">
        <f ca="1">IF(BE$166&gt;='2.2 Input_General_Information'!$H$20,BE200/BE$203,)</f>
        <v>7.9068052869313678E-4</v>
      </c>
      <c r="BF205" s="469">
        <f ca="1">IF(BF$166&gt;='2.2 Input_General_Information'!$H$20,BF200/BF$203,)</f>
        <v>4.9934486648629329E-4</v>
      </c>
      <c r="BG205" s="469">
        <f ca="1">IF(BG$166&gt;='2.2 Input_General_Information'!$H$20,BG200/BG$203,)</f>
        <v>3.1524422006650393E-4</v>
      </c>
      <c r="BH205" s="469">
        <f ca="1">IF(BH$166&gt;='2.2 Input_General_Information'!$H$20,BH200/BH$203,)</f>
        <v>1.9897499347562898E-4</v>
      </c>
      <c r="BI205" s="469">
        <f ca="1">IF(BI$166&gt;='2.2 Input_General_Information'!$H$20,BI200/BI$203,)</f>
        <v>1.2557145174519374E-4</v>
      </c>
      <c r="BJ205" s="469">
        <f ca="1">IF(BJ$166&gt;='2.2 Input_General_Information'!$H$20,BJ200/BJ$203,)</f>
        <v>7.9240463535819233E-5</v>
      </c>
      <c r="BK205" s="469">
        <f ca="1">IF(BK$166&gt;='2.2 Input_General_Information'!$H$20,BK200/BK$203,)</f>
        <v>5.0001250031189761E-5</v>
      </c>
      <c r="BL205" s="469"/>
      <c r="BM205" s="469"/>
      <c r="BN205" s="469"/>
      <c r="BO205" s="469"/>
      <c r="BP205" s="469"/>
      <c r="BQ205" s="469"/>
      <c r="BR205" s="469"/>
      <c r="BS205" s="469"/>
      <c r="BT205" s="469"/>
      <c r="BU205" s="469"/>
    </row>
    <row r="206" spans="1:73" hidden="1">
      <c r="A206" s="6"/>
      <c r="B206" s="108"/>
      <c r="C206" s="1"/>
      <c r="D206" s="12"/>
      <c r="E206" s="1"/>
      <c r="F206" s="1"/>
      <c r="G206" s="183"/>
      <c r="H206" s="6"/>
      <c r="I206" s="6"/>
      <c r="J206" s="6"/>
      <c r="K206" s="6"/>
      <c r="L206" s="3"/>
      <c r="M206" s="3"/>
      <c r="N206" s="3"/>
      <c r="O206" s="1"/>
      <c r="P206" s="1"/>
      <c r="Q206" s="1"/>
      <c r="R206" s="162"/>
      <c r="S206" s="1"/>
      <c r="T206" s="101" t="s">
        <v>936</v>
      </c>
      <c r="U206" s="101"/>
      <c r="V206" s="101" t="str">
        <f t="shared" si="47"/>
        <v>Glocal standardised PIDs</v>
      </c>
      <c r="W206" s="469">
        <f ca="1">IF(W$166&gt;='2.2 Input_General_Information'!$H$20,W201/W$203,)</f>
        <v>0.25001875140635893</v>
      </c>
      <c r="X206" s="469">
        <f ca="1">IF(X$166&gt;='2.2 Input_General_Information'!$H$20,X201/X$203,)</f>
        <v>0.2866619607148736</v>
      </c>
      <c r="Y206" s="469">
        <f ca="1">IF(Y$166&gt;='2.2 Input_General_Information'!$H$20,Y201/Y$203,)</f>
        <v>0.32328399065672075</v>
      </c>
      <c r="Z206" s="469">
        <f ca="1">IF(Z$166&gt;='2.2 Input_General_Information'!$H$20,Z201/Z$203,)</f>
        <v>0.35870878904856474</v>
      </c>
      <c r="AA206" s="469">
        <f ca="1">IF(AA$166&gt;='2.2 Input_General_Information'!$H$20,AA201/AA$203,)</f>
        <v>0.39191467238241151</v>
      </c>
      <c r="AB206" s="469">
        <f ca="1">IF(AB$166&gt;='2.2 Input_General_Information'!$H$20,AB201/AB$203,)</f>
        <v>0.4221450659971876</v>
      </c>
      <c r="AC206" s="469">
        <f ca="1">IF(AC$166&gt;='2.2 Input_General_Information'!$H$20,AC201/AC$203,)</f>
        <v>0.44896010100030942</v>
      </c>
      <c r="AD206" s="469">
        <f ca="1">IF(AD$166&gt;='2.2 Input_General_Information'!$H$20,AD201/AD$203,)</f>
        <v>0.47223002858294866</v>
      </c>
      <c r="AE206" s="469">
        <f ca="1">IF(AE$166&gt;='2.2 Input_General_Information'!$H$20,AE201/AE$203,)</f>
        <v>0.49208849281446249</v>
      </c>
      <c r="AF206" s="469">
        <f ca="1">IF(AF$166&gt;='2.2 Input_General_Information'!$H$20,AF201/AF$203,)</f>
        <v>0.50887011174803964</v>
      </c>
      <c r="AG206" s="469">
        <f ca="1">IF(AG$166&gt;='2.2 Input_General_Information'!$H$20,AG201/AG$203,)</f>
        <v>0.5230540344211515</v>
      </c>
      <c r="AH206" s="469">
        <f ca="1">IF(AH$166&gt;='2.2 Input_General_Information'!$H$20,AH201/AH$203,)</f>
        <v>0.53522815279229963</v>
      </c>
      <c r="AI206" s="469">
        <f ca="1">IF(AI$166&gt;='2.2 Input_General_Information'!$H$20,AI201/AI$203,)</f>
        <v>0.54608178518802408</v>
      </c>
      <c r="AJ206" s="469">
        <f ca="1">IF(AJ$166&gt;='2.2 Input_General_Information'!$H$20,AJ201/AJ$203,)</f>
        <v>0.55642949063719216</v>
      </c>
      <c r="AK206" s="469">
        <f ca="1">IF(AK$166&gt;='2.2 Input_General_Information'!$H$20,AK201/AK$203,)</f>
        <v>0.56726369777325536</v>
      </c>
      <c r="AL206" s="469">
        <f ca="1">IF(AL$166&gt;='2.2 Input_General_Information'!$H$20,AL201/AL$203,)</f>
        <v>0.57982439402795116</v>
      </c>
      <c r="AM206" s="469">
        <f ca="1">IF(AM$166&gt;='2.2 Input_General_Information'!$H$20,AM201/AM$203,)</f>
        <v>0.59565246447808806</v>
      </c>
      <c r="AN206" s="469">
        <f ca="1">IF(AN$166&gt;='2.2 Input_General_Information'!$H$20,AN201/AN$203,)</f>
        <v>0.61655172652306822</v>
      </c>
      <c r="AO206" s="469">
        <f ca="1">IF(AO$166&gt;='2.2 Input_General_Information'!$H$20,AO201/AO$203,)</f>
        <v>0.64433151252733434</v>
      </c>
      <c r="AP206" s="469">
        <f ca="1">IF(AP$166&gt;='2.2 Input_General_Information'!$H$20,AP201/AP$203,)</f>
        <v>0.68019872005300752</v>
      </c>
      <c r="AQ206" s="469">
        <f ca="1">IF(AQ$166&gt;='2.2 Input_General_Information'!$H$20,AQ201/AQ$203,)</f>
        <v>0.72385323652246758</v>
      </c>
      <c r="AR206" s="469">
        <f ca="1">IF(AR$166&gt;='2.2 Input_General_Information'!$H$20,AR201/AR$203,)</f>
        <v>0.77277827318541481</v>
      </c>
      <c r="AS206" s="469">
        <f ca="1">IF(AS$166&gt;='2.2 Input_General_Information'!$H$20,AS201/AS$203,)</f>
        <v>0.82252314982090313</v>
      </c>
      <c r="AT206" s="469">
        <f ca="1">IF(AT$166&gt;='2.2 Input_General_Information'!$H$20,AT201/AT$203,)</f>
        <v>0.8682246886432583</v>
      </c>
      <c r="AU206" s="469">
        <f ca="1">IF(AU$166&gt;='2.2 Input_General_Information'!$H$20,AU201/AU$203,)</f>
        <v>0.90642036192942355</v>
      </c>
      <c r="AV206" s="469">
        <f ca="1">IF(AV$166&gt;='2.2 Input_General_Information'!$H$20,AV201/AV$203,)</f>
        <v>0.9358836200757118</v>
      </c>
      <c r="AW206" s="469">
        <f ca="1">IF(AW$166&gt;='2.2 Input_General_Information'!$H$20,AW201/AW$203,)</f>
        <v>0.95723209546007559</v>
      </c>
      <c r="AX206" s="469">
        <f ca="1">IF(AX$166&gt;='2.2 Input_General_Information'!$H$20,AX201/AX$203,)</f>
        <v>0.97200836403429225</v>
      </c>
      <c r="AY206" s="469">
        <f ca="1">IF(AY$166&gt;='2.2 Input_General_Information'!$H$20,AY201/AY$203,)</f>
        <v>0.9819143703193407</v>
      </c>
      <c r="AZ206" s="469">
        <f ca="1">IF(AZ$166&gt;='2.2 Input_General_Information'!$H$20,AZ201/AZ$203,)</f>
        <v>0.98841411191743489</v>
      </c>
      <c r="BA206" s="469">
        <f ca="1">IF(BA$166&gt;='2.2 Input_General_Information'!$H$20,BA201/BA$203,)</f>
        <v>0.99261900000526415</v>
      </c>
      <c r="BB206" s="469">
        <f ca="1">IF(BB$166&gt;='2.2 Input_General_Information'!$H$20,BB201/BB$203,)</f>
        <v>0.99531450746774497</v>
      </c>
      <c r="BC206" s="469">
        <f ca="1">IF(BC$166&gt;='2.2 Input_General_Information'!$H$20,BC201/BC$203,)</f>
        <v>0.99703235330989382</v>
      </c>
      <c r="BD206" s="469">
        <f ca="1">IF(BD$166&gt;='2.2 Input_General_Information'!$H$20,BD201/BD$203,)</f>
        <v>0.9981230714858802</v>
      </c>
      <c r="BE206" s="469">
        <f ca="1">IF(BE$166&gt;='2.2 Input_General_Information'!$H$20,BE201/BE$203,)</f>
        <v>0.99881397920696025</v>
      </c>
      <c r="BF206" s="469">
        <f ca="1">IF(BF$166&gt;='2.2 Input_General_Information'!$H$20,BF201/BF$203,)</f>
        <v>0.99925098270027057</v>
      </c>
      <c r="BG206" s="469">
        <f ca="1">IF(BG$166&gt;='2.2 Input_General_Information'!$H$20,BG201/BG$203,)</f>
        <v>0.99952713366990031</v>
      </c>
      <c r="BH206" s="469">
        <f ca="1">IF(BH$166&gt;='2.2 Input_General_Information'!$H$20,BH201/BH$203,)</f>
        <v>0.99970153750978663</v>
      </c>
      <c r="BI206" s="469">
        <f ca="1">IF(BI$166&gt;='2.2 Input_General_Information'!$H$20,BI201/BI$203,)</f>
        <v>0.99981164282238222</v>
      </c>
      <c r="BJ206" s="469">
        <f ca="1">IF(BJ$166&gt;='2.2 Input_General_Information'!$H$20,BJ201/BJ$203,)</f>
        <v>0.99988113930469624</v>
      </c>
      <c r="BK206" s="469">
        <f ca="1">IF(BK$166&gt;='2.2 Input_General_Information'!$H$20,BK201/BK$203,)</f>
        <v>0.99992499812495317</v>
      </c>
      <c r="BL206" s="469"/>
      <c r="BM206" s="469"/>
      <c r="BN206" s="469"/>
      <c r="BO206" s="469"/>
      <c r="BP206" s="469"/>
      <c r="BQ206" s="469"/>
      <c r="BR206" s="469"/>
      <c r="BS206" s="469"/>
      <c r="BT206" s="469"/>
      <c r="BU206" s="469"/>
    </row>
    <row r="207" spans="1:73" hidden="1">
      <c r="A207" s="6"/>
      <c r="B207" s="108"/>
      <c r="C207" s="1"/>
      <c r="D207" s="12"/>
      <c r="E207" s="1"/>
      <c r="F207" s="1"/>
      <c r="G207" s="183"/>
      <c r="H207" s="6"/>
      <c r="I207" s="6"/>
      <c r="J207" s="6"/>
      <c r="K207" s="6"/>
      <c r="L207" s="3"/>
      <c r="M207" s="3"/>
      <c r="N207" s="3"/>
      <c r="O207" s="1"/>
      <c r="P207" s="1"/>
      <c r="Q207" s="1"/>
      <c r="R207" s="162"/>
      <c r="S207" s="1"/>
      <c r="T207" s="101"/>
      <c r="U207" s="101"/>
      <c r="V207" s="101"/>
      <c r="W207" s="469"/>
      <c r="X207" s="469"/>
      <c r="Y207" s="469"/>
      <c r="Z207" s="469"/>
      <c r="AA207" s="469"/>
      <c r="AB207" s="469"/>
      <c r="AC207" s="469"/>
      <c r="AD207" s="469"/>
      <c r="AE207" s="469"/>
      <c r="AF207" s="469"/>
      <c r="AG207" s="469"/>
      <c r="AH207" s="469"/>
      <c r="AI207" s="469"/>
      <c r="AJ207" s="469"/>
      <c r="AK207" s="469"/>
      <c r="AL207" s="469"/>
      <c r="AM207" s="469"/>
      <c r="AN207" s="469"/>
      <c r="AO207" s="469"/>
      <c r="AP207" s="469"/>
      <c r="AQ207" s="469"/>
      <c r="AR207" s="469"/>
      <c r="AS207" s="469"/>
      <c r="AT207" s="469"/>
      <c r="AU207" s="469"/>
      <c r="AV207" s="469"/>
      <c r="AW207" s="469"/>
      <c r="AX207" s="469"/>
      <c r="AY207" s="469"/>
      <c r="AZ207" s="469"/>
      <c r="BA207" s="469"/>
      <c r="BB207" s="469"/>
      <c r="BC207" s="469"/>
      <c r="BD207" s="469"/>
      <c r="BE207" s="469"/>
      <c r="BF207" s="469"/>
      <c r="BG207" s="469"/>
      <c r="BH207" s="469"/>
      <c r="BI207" s="469"/>
      <c r="BJ207" s="469"/>
      <c r="BK207" s="469"/>
      <c r="BL207" s="469"/>
      <c r="BM207" s="469"/>
      <c r="BN207" s="469"/>
      <c r="BO207" s="469"/>
      <c r="BP207" s="469"/>
      <c r="BQ207" s="469"/>
      <c r="BR207" s="469"/>
      <c r="BS207" s="469"/>
      <c r="BT207" s="469"/>
      <c r="BU207" s="469"/>
    </row>
    <row r="208" spans="1:73" hidden="1">
      <c r="A208" s="6"/>
      <c r="B208" s="108"/>
      <c r="C208" s="1"/>
      <c r="D208" s="12"/>
      <c r="E208" s="1"/>
      <c r="F208" s="1"/>
      <c r="G208" s="183"/>
      <c r="H208" s="6"/>
      <c r="I208" s="6"/>
      <c r="J208" s="6"/>
      <c r="K208" s="6"/>
      <c r="L208" s="3"/>
      <c r="M208" s="3"/>
      <c r="N208" s="3"/>
      <c r="O208" s="1"/>
      <c r="P208" s="1"/>
      <c r="Q208" s="1"/>
      <c r="R208" s="162"/>
      <c r="S208" s="1"/>
      <c r="T208" s="101" t="s">
        <v>449</v>
      </c>
      <c r="U208" s="101"/>
      <c r="V208" s="101" t="str">
        <f t="shared" ref="V208:V210" si="48">E194</f>
        <v>No Identifier</v>
      </c>
      <c r="W208" s="469">
        <f ca="1">IF(W$166&lt;'2.2 Input_General_Information'!$H$20, ,IF(W$166='2.2 Input_General_Information'!$H$20,$H$194,V208/V204*W204))</f>
        <v>0.2</v>
      </c>
      <c r="X208" s="469">
        <f ca="1">IF(X$166&lt;'2.2 Input_General_Information'!$H$20, ,IF(X$166='2.2 Input_General_Information'!$H$20,$H$194,W208/W204*X204))</f>
        <v>0.19022823320523605</v>
      </c>
      <c r="Y208" s="469">
        <f ca="1">IF(Y$166&lt;'2.2 Input_General_Information'!$H$20, ,IF(Y$166='2.2 Input_General_Information'!$H$20,$H$194,X208/X204*Y204))</f>
        <v>0.18046211438279339</v>
      </c>
      <c r="Z208" s="469">
        <f ca="1">IF(Z$166&lt;'2.2 Input_General_Information'!$H$20, ,IF(Z$166='2.2 Input_General_Information'!$H$20,$H$194,Y208/Y204*Z204))</f>
        <v>0.17101526528936012</v>
      </c>
      <c r="AA208" s="469">
        <f ca="1">IF(AA$166&lt;'2.2 Input_General_Information'!$H$20, ,IF(AA$166='2.2 Input_General_Information'!$H$20,$H$194,Z208/Z204*AA204))</f>
        <v>0.16216014167230589</v>
      </c>
      <c r="AB208" s="469">
        <f ca="1">IF(AB$166&lt;'2.2 Input_General_Information'!$H$20, ,IF(AB$166='2.2 Input_General_Information'!$H$20,$H$194,AA208/AA204*AB204))</f>
        <v>0.15409850181891921</v>
      </c>
      <c r="AC208" s="469">
        <f ca="1">IF(AC$166&lt;'2.2 Input_General_Information'!$H$20, ,IF(AC$166='2.2 Input_General_Information'!$H$20,$H$194,AB208/AB204*AC204))</f>
        <v>0.14694764703330818</v>
      </c>
      <c r="AD208" s="469">
        <f ca="1">IF(AD$166&lt;'2.2 Input_General_Information'!$H$20, ,IF(AD$166='2.2 Input_General_Information'!$H$20,$H$194,AC208/AC204*AD204))</f>
        <v>0.1407421778629056</v>
      </c>
      <c r="AE208" s="469">
        <f ca="1">IF(AE$166&lt;'2.2 Input_General_Information'!$H$20, ,IF(AE$166='2.2 Input_General_Information'!$H$20,$H$194,AD208/AD204*AE204))</f>
        <v>0.13544645499816671</v>
      </c>
      <c r="AF208" s="469">
        <f ca="1">IF(AF$166&lt;'2.2 Input_General_Information'!$H$20, ,IF(AF$166='2.2 Input_General_Information'!$H$20,$H$194,AE208/AE204*AF204))</f>
        <v>0.13097124472723104</v>
      </c>
      <c r="AG208" s="469">
        <f ca="1">IF(AG$166&lt;'2.2 Input_General_Information'!$H$20, ,IF(AG$166='2.2 Input_General_Information'!$H$20,$H$194,AF208/AF204*AG204))</f>
        <v>0.12718877077879315</v>
      </c>
      <c r="AH208" s="469">
        <f ca="1">IF(AH$166&lt;'2.2 Input_General_Information'!$H$20, ,IF(AH$166='2.2 Input_General_Information'!$H$20,$H$194,AG208/AG204*AH204))</f>
        <v>0.12394225804424761</v>
      </c>
      <c r="AI208" s="469">
        <f ca="1">IF(AI$166&lt;'2.2 Input_General_Information'!$H$20, ,IF(AI$166='2.2 Input_General_Information'!$H$20,$H$194,AH208/AH204*AI204))</f>
        <v>0.12104788370726864</v>
      </c>
      <c r="AJ208" s="469">
        <f ca="1">IF(AJ$166&lt;'2.2 Input_General_Information'!$H$20, ,IF(AJ$166='2.2 Input_General_Information'!$H$20,$H$194,AI208/AI204*AJ204))</f>
        <v>0.11828842659588829</v>
      </c>
      <c r="AK208" s="469">
        <f ca="1">IF(AK$166&lt;'2.2 Input_General_Information'!$H$20, ,IF(AK$166='2.2 Input_General_Information'!$H$20,$H$194,AJ208/AJ204*AK204))</f>
        <v>0.11539923245766701</v>
      </c>
      <c r="AL208" s="469">
        <f ca="1">IF(AL$166&lt;'2.2 Input_General_Information'!$H$20, ,IF(AL$166='2.2 Input_General_Information'!$H$20,$H$194,AK208/AK204*AL204))</f>
        <v>0.1120496297100651</v>
      </c>
      <c r="AM208" s="469">
        <f ca="1">IF(AM$166&lt;'2.2 Input_General_Information'!$H$20, ,IF(AM$166='2.2 Input_General_Information'!$H$20,$H$194,AL208/AL204*AM204))</f>
        <v>0.10782870539233914</v>
      </c>
      <c r="AN208" s="469">
        <f ca="1">IF(AN$166&lt;'2.2 Input_General_Information'!$H$20, ,IF(AN$166='2.2 Input_General_Information'!$H$20,$H$194,AM208/AM204*AN204))</f>
        <v>0.1022554295046632</v>
      </c>
      <c r="AO208" s="469">
        <f ca="1">IF(AO$166&lt;'2.2 Input_General_Information'!$H$20, ,IF(AO$166='2.2 Input_General_Information'!$H$20,$H$194,AN208/AN204*AO204))</f>
        <v>9.4847301353097171E-2</v>
      </c>
      <c r="AP208" s="469">
        <f ca="1">IF(AP$166&lt;'2.2 Input_General_Information'!$H$20, ,IF(AP$166='2.2 Input_General_Information'!$H$20,$H$194,AO208/AO204*AP204))</f>
        <v>8.5282473540953516E-2</v>
      </c>
      <c r="AQ208" s="469">
        <f ca="1">IF(AQ$166&lt;'2.2 Input_General_Information'!$H$20, ,IF(AQ$166='2.2 Input_General_Information'!$H$20,$H$194,AP208/AP204*AQ204))</f>
        <v>7.3640978089881751E-2</v>
      </c>
      <c r="AR208" s="469">
        <f ca="1">IF(AR$166&lt;'2.2 Input_General_Information'!$H$20, ,IF(AR$166='2.2 Input_General_Information'!$H$20,$H$194,AQ208/AQ204*AR204))</f>
        <v>6.0593975446898055E-2</v>
      </c>
      <c r="AS208" s="469">
        <f ca="1">IF(AS$166&lt;'2.2 Input_General_Information'!$H$20, ,IF(AS$166='2.2 Input_General_Information'!$H$20,$H$194,AR208/AR204*AS204))</f>
        <v>4.7328343345090326E-2</v>
      </c>
      <c r="AT208" s="469">
        <f ca="1">IF(AT$166&lt;'2.2 Input_General_Information'!$H$20, ,IF(AT$166='2.2 Input_General_Information'!$H$20,$H$194,AS208/AS204*AT204))</f>
        <v>3.5140961618399323E-2</v>
      </c>
      <c r="AU208" s="469">
        <f ca="1">IF(AU$166&lt;'2.2 Input_General_Information'!$H$20, ,IF(AU$166='2.2 Input_General_Information'!$H$20,$H$194,AT208/AT204*AU204))</f>
        <v>2.4955194078800327E-2</v>
      </c>
      <c r="AV208" s="469">
        <f ca="1">IF(AV$166&lt;'2.2 Input_General_Information'!$H$20, ,IF(AV$166='2.2 Input_General_Information'!$H$20,$H$194,AU208/AU204*AV204))</f>
        <v>1.7098128798424948E-2</v>
      </c>
      <c r="AW208" s="469">
        <f ca="1">IF(AW$166&lt;'2.2 Input_General_Information'!$H$20, ,IF(AW$166='2.2 Input_General_Information'!$H$20,$H$194,AV208/AV204*AW204))</f>
        <v>1.1405059691858304E-2</v>
      </c>
      <c r="AX208" s="469">
        <f ca="1">IF(AX$166&lt;'2.2 Input_General_Information'!$H$20, ,IF(AX$166='2.2 Input_General_Information'!$H$20,$H$194,AW208/AW204*AX204))</f>
        <v>7.4646228870914972E-3</v>
      </c>
      <c r="AY208" s="469">
        <f ca="1">IF(AY$166&lt;'2.2 Input_General_Information'!$H$20, ,IF(AY$166='2.2 Input_General_Information'!$H$20,$H$194,AX208/AX204*AY204))</f>
        <v>4.82295516443201E-3</v>
      </c>
      <c r="AZ208" s="469">
        <f ca="1">IF(AZ$166&lt;'2.2 Input_General_Information'!$H$20, ,IF(AZ$166='2.2 Input_General_Information'!$H$20,$H$194,AY208/AY204*AZ204))</f>
        <v>3.0896474023292906E-3</v>
      </c>
      <c r="BA208" s="469">
        <f ca="1">IF(BA$166&lt;'2.2 Input_General_Information'!$H$20, ,IF(BA$166='2.2 Input_General_Information'!$H$20,$H$194,AZ208/AZ204*BA204))</f>
        <v>1.9683158768506663E-3</v>
      </c>
      <c r="BB208" s="469">
        <f ca="1">IF(BB$166&lt;'2.2 Input_General_Information'!$H$20, ,IF(BB$166='2.2 Input_General_Information'!$H$20,$H$194,BA208/BA204*BB204))</f>
        <v>1.249495915008872E-3</v>
      </c>
      <c r="BC208" s="469">
        <f ca="1">IF(BC$166&lt;'2.2 Input_General_Information'!$H$20, ,IF(BC$166='2.2 Input_General_Information'!$H$20,$H$194,BB208/BB204*BC204))</f>
        <v>7.9139223698486698E-4</v>
      </c>
      <c r="BD208" s="469">
        <f ca="1">IF(BD$166&lt;'2.2 Input_General_Information'!$H$20, ,IF(BD$166='2.2 Input_General_Information'!$H$20,$H$194,BC208/BC204*BD204))</f>
        <v>5.0052678454009234E-4</v>
      </c>
      <c r="BE208" s="469">
        <f ca="1">IF(BE$166&lt;'2.2 Input_General_Information'!$H$20, ,IF(BE$166='2.2 Input_General_Information'!$H$20,$H$194,BD208/BD204*BE204))</f>
        <v>3.1628011907330265E-4</v>
      </c>
      <c r="BF208" s="469">
        <f ca="1">IF(BF$166&lt;'2.2 Input_General_Information'!$H$20, ,IF(BF$166='2.2 Input_General_Information'!$H$20,$H$194,BE208/BE204*BF204))</f>
        <v>1.9974294054257789E-4</v>
      </c>
      <c r="BG208" s="469">
        <f ca="1">IF(BG$166&lt;'2.2 Input_General_Information'!$H$20, ,IF(BG$166='2.2 Input_General_Information'!$H$20,$H$194,BF208/BF204*BG204))</f>
        <v>1.2610084078407854E-4</v>
      </c>
      <c r="BH208" s="469">
        <f ca="1">IF(BH$166&lt;'2.2 Input_General_Information'!$H$20, ,IF(BH$166='2.2 Input_General_Information'!$H$20,$H$194,BG208/BG204*BH204))</f>
        <v>7.9591987339181581E-5</v>
      </c>
      <c r="BI208" s="469">
        <f ca="1">IF(BI$166&lt;'2.2 Input_General_Information'!$H$20, ,IF(BI$166='2.2 Input_General_Information'!$H$20,$H$194,BH208/BH204*BI204))</f>
        <v>5.0229836538179178E-5</v>
      </c>
      <c r="BJ208" s="469">
        <f ca="1">IF(BJ$166&lt;'2.2 Input_General_Information'!$H$20, ,IF(BJ$166='2.2 Input_General_Information'!$H$20,$H$194,BI208/BI204*BJ204))</f>
        <v>3.1696977898211581E-5</v>
      </c>
      <c r="BK208" s="469">
        <f ca="1">IF(BK$166&lt;'2.2 Input_General_Information'!$H$20, ,IF(BK$166='2.2 Input_General_Information'!$H$20,$H$194,BJ208/BJ204*BK204))</f>
        <v>2.0001000074982555E-5</v>
      </c>
      <c r="BL208" s="469"/>
      <c r="BM208" s="469"/>
      <c r="BN208" s="469"/>
      <c r="BO208" s="469"/>
      <c r="BP208" s="469"/>
      <c r="BQ208" s="469"/>
      <c r="BR208" s="469"/>
      <c r="BS208" s="469"/>
      <c r="BT208" s="469"/>
      <c r="BU208" s="469"/>
    </row>
    <row r="209" spans="1:73" hidden="1">
      <c r="A209" s="6"/>
      <c r="B209" s="108"/>
      <c r="C209" s="1"/>
      <c r="D209" s="12"/>
      <c r="E209" s="1"/>
      <c r="F209" s="1"/>
      <c r="G209" s="183"/>
      <c r="H209" s="6"/>
      <c r="I209" s="6"/>
      <c r="J209" s="6"/>
      <c r="K209" s="6"/>
      <c r="L209" s="3"/>
      <c r="M209" s="3"/>
      <c r="N209" s="3"/>
      <c r="O209" s="1"/>
      <c r="P209" s="1"/>
      <c r="Q209" s="1"/>
      <c r="R209" s="162"/>
      <c r="S209" s="1"/>
      <c r="T209" s="101" t="s">
        <v>449</v>
      </c>
      <c r="U209" s="101"/>
      <c r="V209" s="101" t="str">
        <f t="shared" si="48"/>
        <v>Local PIDs</v>
      </c>
      <c r="W209" s="469">
        <f ca="1">IF(W$166&lt;'2.2 Input_General_Information'!$H$20, ,IF(W$166='2.2 Input_General_Information'!$H$20,$H$195,V209/V205*W205))</f>
        <v>0.2</v>
      </c>
      <c r="X209" s="469">
        <f ca="1">IF(X$166&lt;'2.2 Input_General_Information'!$H$20, ,IF(X$166='2.2 Input_General_Information'!$H$20,$H$195,W209/W205*X205))</f>
        <v>0.19022823320523605</v>
      </c>
      <c r="Y209" s="469">
        <f ca="1">IF(Y$166&lt;'2.2 Input_General_Information'!$H$20, ,IF(Y$166='2.2 Input_General_Information'!$H$20,$H$195,X209/X205*Y205))</f>
        <v>0.18046211438279339</v>
      </c>
      <c r="Z209" s="469">
        <f ca="1">IF(Z$166&lt;'2.2 Input_General_Information'!$H$20, ,IF(Z$166='2.2 Input_General_Information'!$H$20,$H$195,Y209/Y205*Z205))</f>
        <v>0.17101526528936012</v>
      </c>
      <c r="AA209" s="469">
        <f ca="1">IF(AA$166&lt;'2.2 Input_General_Information'!$H$20, ,IF(AA$166='2.2 Input_General_Information'!$H$20,$H$195,Z209/Z205*AA205))</f>
        <v>0.16216014167230589</v>
      </c>
      <c r="AB209" s="469">
        <f ca="1">IF(AB$166&lt;'2.2 Input_General_Information'!$H$20, ,IF(AB$166='2.2 Input_General_Information'!$H$20,$H$195,AA209/AA205*AB205))</f>
        <v>0.15409850181891921</v>
      </c>
      <c r="AC209" s="469">
        <f ca="1">IF(AC$166&lt;'2.2 Input_General_Information'!$H$20, ,IF(AC$166='2.2 Input_General_Information'!$H$20,$H$195,AB209/AB205*AC205))</f>
        <v>0.14694764703330818</v>
      </c>
      <c r="AD209" s="469">
        <f ca="1">IF(AD$166&lt;'2.2 Input_General_Information'!$H$20, ,IF(AD$166='2.2 Input_General_Information'!$H$20,$H$195,AC209/AC205*AD205))</f>
        <v>0.1407421778629056</v>
      </c>
      <c r="AE209" s="469">
        <f ca="1">IF(AE$166&lt;'2.2 Input_General_Information'!$H$20, ,IF(AE$166='2.2 Input_General_Information'!$H$20,$H$195,AD209/AD205*AE205))</f>
        <v>0.13544645499816671</v>
      </c>
      <c r="AF209" s="469">
        <f ca="1">IF(AF$166&lt;'2.2 Input_General_Information'!$H$20, ,IF(AF$166='2.2 Input_General_Information'!$H$20,$H$195,AE209/AE205*AF205))</f>
        <v>0.13097124472723104</v>
      </c>
      <c r="AG209" s="469">
        <f ca="1">IF(AG$166&lt;'2.2 Input_General_Information'!$H$20, ,IF(AG$166='2.2 Input_General_Information'!$H$20,$H$195,AF209/AF205*AG205))</f>
        <v>0.12718877077879315</v>
      </c>
      <c r="AH209" s="469">
        <f ca="1">IF(AH$166&lt;'2.2 Input_General_Information'!$H$20, ,IF(AH$166='2.2 Input_General_Information'!$H$20,$H$195,AG209/AG205*AH205))</f>
        <v>0.12394225804424761</v>
      </c>
      <c r="AI209" s="469">
        <f ca="1">IF(AI$166&lt;'2.2 Input_General_Information'!$H$20, ,IF(AI$166='2.2 Input_General_Information'!$H$20,$H$195,AH209/AH205*AI205))</f>
        <v>0.12104788370726864</v>
      </c>
      <c r="AJ209" s="469">
        <f ca="1">IF(AJ$166&lt;'2.2 Input_General_Information'!$H$20, ,IF(AJ$166='2.2 Input_General_Information'!$H$20,$H$195,AI209/AI205*AJ205))</f>
        <v>0.11828842659588829</v>
      </c>
      <c r="AK209" s="469">
        <f ca="1">IF(AK$166&lt;'2.2 Input_General_Information'!$H$20, ,IF(AK$166='2.2 Input_General_Information'!$H$20,$H$195,AJ209/AJ205*AK205))</f>
        <v>0.11539923245766701</v>
      </c>
      <c r="AL209" s="469">
        <f ca="1">IF(AL$166&lt;'2.2 Input_General_Information'!$H$20, ,IF(AL$166='2.2 Input_General_Information'!$H$20,$H$195,AK209/AK205*AL205))</f>
        <v>0.1120496297100651</v>
      </c>
      <c r="AM209" s="469">
        <f ca="1">IF(AM$166&lt;'2.2 Input_General_Information'!$H$20, ,IF(AM$166='2.2 Input_General_Information'!$H$20,$H$195,AL209/AL205*AM205))</f>
        <v>0.10782870539233914</v>
      </c>
      <c r="AN209" s="469">
        <f ca="1">IF(AN$166&lt;'2.2 Input_General_Information'!$H$20, ,IF(AN$166='2.2 Input_General_Information'!$H$20,$H$195,AM209/AM205*AN205))</f>
        <v>0.1022554295046632</v>
      </c>
      <c r="AO209" s="469">
        <f ca="1">IF(AO$166&lt;'2.2 Input_General_Information'!$H$20, ,IF(AO$166='2.2 Input_General_Information'!$H$20,$H$195,AN209/AN205*AO205))</f>
        <v>9.4847301353097171E-2</v>
      </c>
      <c r="AP209" s="469">
        <f ca="1">IF(AP$166&lt;'2.2 Input_General_Information'!$H$20, ,IF(AP$166='2.2 Input_General_Information'!$H$20,$H$195,AO209/AO205*AP205))</f>
        <v>8.5282473540953516E-2</v>
      </c>
      <c r="AQ209" s="469">
        <f ca="1">IF(AQ$166&lt;'2.2 Input_General_Information'!$H$20, ,IF(AQ$166='2.2 Input_General_Information'!$H$20,$H$195,AP209/AP205*AQ205))</f>
        <v>7.3640978089881751E-2</v>
      </c>
      <c r="AR209" s="469">
        <f ca="1">IF(AR$166&lt;'2.2 Input_General_Information'!$H$20, ,IF(AR$166='2.2 Input_General_Information'!$H$20,$H$195,AQ209/AQ205*AR205))</f>
        <v>6.0593975446898055E-2</v>
      </c>
      <c r="AS209" s="469">
        <f ca="1">IF(AS$166&lt;'2.2 Input_General_Information'!$H$20, ,IF(AS$166='2.2 Input_General_Information'!$H$20,$H$195,AR209/AR205*AS205))</f>
        <v>4.7328343345090326E-2</v>
      </c>
      <c r="AT209" s="469">
        <f ca="1">IF(AT$166&lt;'2.2 Input_General_Information'!$H$20, ,IF(AT$166='2.2 Input_General_Information'!$H$20,$H$195,AS209/AS205*AT205))</f>
        <v>3.5140961618399323E-2</v>
      </c>
      <c r="AU209" s="469">
        <f ca="1">IF(AU$166&lt;'2.2 Input_General_Information'!$H$20, ,IF(AU$166='2.2 Input_General_Information'!$H$20,$H$195,AT209/AT205*AU205))</f>
        <v>2.4955194078800327E-2</v>
      </c>
      <c r="AV209" s="469">
        <f ca="1">IF(AV$166&lt;'2.2 Input_General_Information'!$H$20, ,IF(AV$166='2.2 Input_General_Information'!$H$20,$H$195,AU209/AU205*AV205))</f>
        <v>1.7098128798424948E-2</v>
      </c>
      <c r="AW209" s="469">
        <f ca="1">IF(AW$166&lt;'2.2 Input_General_Information'!$H$20, ,IF(AW$166='2.2 Input_General_Information'!$H$20,$H$195,AV209/AV205*AW205))</f>
        <v>1.1405059691858304E-2</v>
      </c>
      <c r="AX209" s="469">
        <f ca="1">IF(AX$166&lt;'2.2 Input_General_Information'!$H$20, ,IF(AX$166='2.2 Input_General_Information'!$H$20,$H$195,AW209/AW205*AX205))</f>
        <v>7.4646228870914972E-3</v>
      </c>
      <c r="AY209" s="469">
        <f ca="1">IF(AY$166&lt;'2.2 Input_General_Information'!$H$20, ,IF(AY$166='2.2 Input_General_Information'!$H$20,$H$195,AX209/AX205*AY205))</f>
        <v>4.82295516443201E-3</v>
      </c>
      <c r="AZ209" s="469">
        <f ca="1">IF(AZ$166&lt;'2.2 Input_General_Information'!$H$20, ,IF(AZ$166='2.2 Input_General_Information'!$H$20,$H$195,AY209/AY205*AZ205))</f>
        <v>3.0896474023292906E-3</v>
      </c>
      <c r="BA209" s="469">
        <f ca="1">IF(BA$166&lt;'2.2 Input_General_Information'!$H$20, ,IF(BA$166='2.2 Input_General_Information'!$H$20,$H$195,AZ209/AZ205*BA205))</f>
        <v>1.9683158768506663E-3</v>
      </c>
      <c r="BB209" s="469">
        <f ca="1">IF(BB$166&lt;'2.2 Input_General_Information'!$H$20, ,IF(BB$166='2.2 Input_General_Information'!$H$20,$H$195,BA209/BA205*BB205))</f>
        <v>1.249495915008872E-3</v>
      </c>
      <c r="BC209" s="469">
        <f ca="1">IF(BC$166&lt;'2.2 Input_General_Information'!$H$20, ,IF(BC$166='2.2 Input_General_Information'!$H$20,$H$195,BB209/BB205*BC205))</f>
        <v>7.9139223698486698E-4</v>
      </c>
      <c r="BD209" s="469">
        <f ca="1">IF(BD$166&lt;'2.2 Input_General_Information'!$H$20, ,IF(BD$166='2.2 Input_General_Information'!$H$20,$H$195,BC209/BC205*BD205))</f>
        <v>5.0052678454009234E-4</v>
      </c>
      <c r="BE209" s="469">
        <f ca="1">IF(BE$166&lt;'2.2 Input_General_Information'!$H$20, ,IF(BE$166='2.2 Input_General_Information'!$H$20,$H$195,BD209/BD205*BE205))</f>
        <v>3.1628011907330265E-4</v>
      </c>
      <c r="BF209" s="469">
        <f ca="1">IF(BF$166&lt;'2.2 Input_General_Information'!$H$20, ,IF(BF$166='2.2 Input_General_Information'!$H$20,$H$195,BE209/BE205*BF205))</f>
        <v>1.9974294054257789E-4</v>
      </c>
      <c r="BG209" s="469">
        <f ca="1">IF(BG$166&lt;'2.2 Input_General_Information'!$H$20, ,IF(BG$166='2.2 Input_General_Information'!$H$20,$H$195,BF209/BF205*BG205))</f>
        <v>1.2610084078407854E-4</v>
      </c>
      <c r="BH209" s="469">
        <f ca="1">IF(BH$166&lt;'2.2 Input_General_Information'!$H$20, ,IF(BH$166='2.2 Input_General_Information'!$H$20,$H$195,BG209/BG205*BH205))</f>
        <v>7.9591987339181581E-5</v>
      </c>
      <c r="BI209" s="469">
        <f ca="1">IF(BI$166&lt;'2.2 Input_General_Information'!$H$20, ,IF(BI$166='2.2 Input_General_Information'!$H$20,$H$195,BH209/BH205*BI205))</f>
        <v>5.0229836538179178E-5</v>
      </c>
      <c r="BJ209" s="469">
        <f ca="1">IF(BJ$166&lt;'2.2 Input_General_Information'!$H$20, ,IF(BJ$166='2.2 Input_General_Information'!$H$20,$H$195,BI209/BI205*BJ205))</f>
        <v>3.1696977898211581E-5</v>
      </c>
      <c r="BK209" s="469">
        <f ca="1">IF(BK$166&lt;'2.2 Input_General_Information'!$H$20, ,IF(BK$166='2.2 Input_General_Information'!$H$20,$H$195,BJ209/BJ205*BK205))</f>
        <v>2.0001000074982555E-5</v>
      </c>
      <c r="BL209" s="469"/>
      <c r="BM209" s="469"/>
      <c r="BN209" s="469"/>
      <c r="BO209" s="469"/>
      <c r="BP209" s="469"/>
      <c r="BQ209" s="469"/>
      <c r="BR209" s="469"/>
      <c r="BS209" s="469"/>
      <c r="BT209" s="469"/>
      <c r="BU209" s="469"/>
    </row>
    <row r="210" spans="1:73" hidden="1">
      <c r="A210" s="6"/>
      <c r="B210" s="108"/>
      <c r="C210" s="1"/>
      <c r="D210" s="12"/>
      <c r="E210" s="1"/>
      <c r="F210" s="1"/>
      <c r="G210" s="183"/>
      <c r="H210" s="6"/>
      <c r="I210" s="6"/>
      <c r="J210" s="6"/>
      <c r="K210" s="6"/>
      <c r="L210" s="3"/>
      <c r="M210" s="3"/>
      <c r="N210" s="3"/>
      <c r="O210" s="1"/>
      <c r="P210" s="1"/>
      <c r="Q210" s="1"/>
      <c r="R210" s="162"/>
      <c r="S210" s="1"/>
      <c r="T210" s="101" t="s">
        <v>449</v>
      </c>
      <c r="U210" s="101"/>
      <c r="V210" s="101" t="str">
        <f t="shared" si="48"/>
        <v>Glocal standardised PIDs</v>
      </c>
      <c r="W210" s="469">
        <f ca="1">IF(W$166&lt;'2.2 Input_General_Information'!$H$20, ,IF(W$166='2.2 Input_General_Information'!$H$20,$H$196,V210/V206*W206))</f>
        <v>0.05</v>
      </c>
      <c r="X210" s="469">
        <f ca="1">IF(X$166&lt;'2.2 Input_General_Information'!$H$20, ,IF(X$166='2.2 Input_General_Information'!$H$20,$H$196,W210/W206*X206))</f>
        <v>5.7328092213563206E-2</v>
      </c>
      <c r="Y210" s="469">
        <f ca="1">IF(Y$166&lt;'2.2 Input_General_Information'!$H$20, ,IF(Y$166='2.2 Input_General_Information'!$H$20,$H$196,X210/X206*Y206))</f>
        <v>6.4651948871483414E-2</v>
      </c>
      <c r="Z210" s="469">
        <f ca="1">IF(Z$166&lt;'2.2 Input_General_Information'!$H$20, ,IF(Z$166='2.2 Input_General_Information'!$H$20,$H$196,Y210/Y206*Z206))</f>
        <v>7.1736377177876232E-2</v>
      </c>
      <c r="AA210" s="469">
        <f ca="1">IF(AA$166&lt;'2.2 Input_General_Information'!$H$20, ,IF(AA$166='2.2 Input_General_Information'!$H$20,$H$196,Z210/Z206*AA206))</f>
        <v>7.8377055756395489E-2</v>
      </c>
      <c r="AB210" s="469">
        <f ca="1">IF(AB$166&lt;'2.2 Input_General_Information'!$H$20, ,IF(AB$166='2.2 Input_General_Information'!$H$20,$H$196,AA210/AA206*AB206))</f>
        <v>8.4422681023446397E-2</v>
      </c>
      <c r="AC210" s="469">
        <f ca="1">IF(AC$166&lt;'2.2 Input_General_Information'!$H$20, ,IF(AC$166='2.2 Input_General_Information'!$H$20,$H$196,AB210/AB206*AC206))</f>
        <v>8.9785285798545639E-2</v>
      </c>
      <c r="AD210" s="469">
        <f ca="1">IF(AD$166&lt;'2.2 Input_General_Information'!$H$20, ,IF(AD$166='2.2 Input_General_Information'!$H$20,$H$196,AC210/AC206*AD206))</f>
        <v>9.4438922266159686E-2</v>
      </c>
      <c r="AE210" s="469">
        <f ca="1">IF(AE$166&lt;'2.2 Input_General_Information'!$H$20, ,IF(AE$166='2.2 Input_General_Information'!$H$20,$H$196,AD210/AD206*AE206))</f>
        <v>9.8410317235498923E-2</v>
      </c>
      <c r="AF210" s="469">
        <f ca="1">IF(AF$166&lt;'2.2 Input_General_Information'!$H$20, ,IF(AF$166='2.2 Input_General_Information'!$H$20,$H$196,AE210/AE206*AF206))</f>
        <v>0.1017663892979303</v>
      </c>
      <c r="AG210" s="469">
        <f ca="1">IF(AG$166&lt;'2.2 Input_General_Information'!$H$20, ,IF(AG$166='2.2 Input_General_Information'!$H$20,$H$196,AF210/AF206*AG206))</f>
        <v>0.10460296107371254</v>
      </c>
      <c r="AH210" s="469">
        <f ca="1">IF(AH$166&lt;'2.2 Input_General_Information'!$H$20, ,IF(AH$166='2.2 Input_General_Information'!$H$20,$H$196,AG210/AG206*AH206))</f>
        <v>0.10703760213616657</v>
      </c>
      <c r="AI210" s="469">
        <f ca="1">IF(AI$166&lt;'2.2 Input_General_Information'!$H$20, ,IF(AI$166='2.2 Input_General_Information'!$H$20,$H$196,AH210/AH206*AI206))</f>
        <v>0.1092081658108255</v>
      </c>
      <c r="AJ210" s="469">
        <f ca="1">IF(AJ$166&lt;'2.2 Input_General_Information'!$H$20, ,IF(AJ$166='2.2 Input_General_Information'!$H$20,$H$196,AI210/AI206*AJ206))</f>
        <v>0.11127755168507734</v>
      </c>
      <c r="AK210" s="469">
        <f ca="1">IF(AK$166&lt;'2.2 Input_General_Information'!$H$20, ,IF(AK$166='2.2 Input_General_Information'!$H$20,$H$196,AJ210/AJ206*AK206))</f>
        <v>0.11344423059918292</v>
      </c>
      <c r="AL210" s="469">
        <f ca="1">IF(AL$166&lt;'2.2 Input_General_Information'!$H$20, ,IF(AL$166='2.2 Input_General_Information'!$H$20,$H$196,AK210/AK206*AL206))</f>
        <v>0.11595618143967822</v>
      </c>
      <c r="AM210" s="469">
        <f ca="1">IF(AM$166&lt;'2.2 Input_General_Information'!$H$20, ,IF(AM$166='2.2 Input_General_Information'!$H$20,$H$196,AL210/AL206*AM206))</f>
        <v>0.1191215581086488</v>
      </c>
      <c r="AN210" s="469">
        <f ca="1">IF(AN$166&lt;'2.2 Input_General_Information'!$H$20, ,IF(AN$166='2.2 Input_General_Information'!$H$20,$H$196,AM210/AM206*AN206))</f>
        <v>0.1233010970287141</v>
      </c>
      <c r="AO210" s="469">
        <f ca="1">IF(AO$166&lt;'2.2 Input_General_Information'!$H$20, ,IF(AO$166='2.2 Input_General_Information'!$H$20,$H$196,AN210/AN206*AO206))</f>
        <v>0.12885663753277718</v>
      </c>
      <c r="AP210" s="469">
        <f ca="1">IF(AP$166&lt;'2.2 Input_General_Information'!$H$20, ,IF(AP$166='2.2 Input_General_Information'!$H$20,$H$196,AO210/AO206*AP206))</f>
        <v>0.13602954102979883</v>
      </c>
      <c r="AQ210" s="469">
        <f ca="1">IF(AQ$166&lt;'2.2 Input_General_Information'!$H$20, ,IF(AQ$166='2.2 Input_General_Information'!$H$20,$H$196,AP210/AP206*AQ206))</f>
        <v>0.14475978950594368</v>
      </c>
      <c r="AR210" s="469">
        <f ca="1">IF(AR$166&lt;'2.2 Input_General_Information'!$H$20, ,IF(AR$166='2.2 Input_General_Information'!$H$20,$H$196,AQ210/AQ206*AR206))</f>
        <v>0.15454406296298304</v>
      </c>
      <c r="AS210" s="469">
        <f ca="1">IF(AS$166&lt;'2.2 Input_General_Information'!$H$20, ,IF(AS$166='2.2 Input_General_Information'!$H$20,$H$196,AR210/AR206*AS206))</f>
        <v>0.16449229211693103</v>
      </c>
      <c r="AT210" s="469">
        <f ca="1">IF(AT$166&lt;'2.2 Input_General_Information'!$H$20, ,IF(AT$166='2.2 Input_General_Information'!$H$20,$H$196,AS210/AS206*AT206))</f>
        <v>0.17363191435831959</v>
      </c>
      <c r="AU210" s="469">
        <f ca="1">IF(AU$166&lt;'2.2 Input_General_Information'!$H$20, ,IF(AU$166='2.2 Input_General_Information'!$H$20,$H$196,AT210/AT206*AU206))</f>
        <v>0.18127047608045324</v>
      </c>
      <c r="AV210" s="469">
        <f ca="1">IF(AV$166&lt;'2.2 Input_General_Information'!$H$20, ,IF(AV$166='2.2 Input_General_Information'!$H$20,$H$196,AU210/AU206*AV206))</f>
        <v>0.18716268576083861</v>
      </c>
      <c r="AW210" s="469">
        <f ca="1">IF(AW$166&lt;'2.2 Input_General_Information'!$H$20, ,IF(AW$166='2.2 Input_General_Information'!$H$20,$H$196,AV210/AV206*AW206))</f>
        <v>0.19143206061058055</v>
      </c>
      <c r="AX210" s="469">
        <f ca="1">IF(AX$166&lt;'2.2 Input_General_Information'!$H$20, ,IF(AX$166='2.2 Input_General_Information'!$H$20,$H$196,AW210/AW206*AX206))</f>
        <v>0.19438709268139523</v>
      </c>
      <c r="AY210" s="469">
        <f ca="1">IF(AY$166&lt;'2.2 Input_General_Information'!$H$20, ,IF(AY$166='2.2 Input_General_Information'!$H$20,$H$196,AX210/AX206*AY206))</f>
        <v>0.19636814534831062</v>
      </c>
      <c r="AZ210" s="469">
        <f ca="1">IF(AZ$166&lt;'2.2 Input_General_Information'!$H$20, ,IF(AZ$166='2.2 Input_General_Information'!$H$20,$H$196,AY210/AY206*AZ206))</f>
        <v>0.19766799617180547</v>
      </c>
      <c r="BA210" s="469">
        <f ca="1">IF(BA$166&lt;'2.2 Input_General_Information'!$H$20, ,IF(BA$166='2.2 Input_General_Information'!$H$20,$H$196,AZ210/AZ206*BA206))</f>
        <v>0.19850891071604998</v>
      </c>
      <c r="BB210" s="469">
        <f ca="1">IF(BB$166&lt;'2.2 Input_General_Information'!$H$20, ,IF(BB$166='2.2 Input_General_Information'!$H$20,$H$196,BA210/BA206*BB206))</f>
        <v>0.19904797177593422</v>
      </c>
      <c r="BC210" s="469">
        <f ca="1">IF(BC$166&lt;'2.2 Input_General_Information'!$H$20, ,IF(BC$166='2.2 Input_General_Information'!$H$20,$H$196,BB210/BB206*BC206))</f>
        <v>0.19939151517667633</v>
      </c>
      <c r="BD210" s="469">
        <f ca="1">IF(BD$166&lt;'2.2 Input_General_Information'!$H$20, ,IF(BD$166='2.2 Input_General_Information'!$H$20,$H$196,BC210/BC206*BD206))</f>
        <v>0.19960964245110097</v>
      </c>
      <c r="BE210" s="469">
        <f ca="1">IF(BE$166&lt;'2.2 Input_General_Information'!$H$20, ,IF(BE$166='2.2 Input_General_Information'!$H$20,$H$196,BD210/BD206*BE206))</f>
        <v>0.19974781363170116</v>
      </c>
      <c r="BF210" s="469">
        <f ca="1">IF(BF$166&lt;'2.2 Input_General_Information'!$H$20, ,IF(BF$166='2.2 Input_General_Information'!$H$20,$H$196,BE210/BE206*BF206))</f>
        <v>0.19983520777531083</v>
      </c>
      <c r="BG210" s="469">
        <f ca="1">IF(BG$166&lt;'2.2 Input_General_Information'!$H$20, ,IF(BG$166='2.2 Input_General_Information'!$H$20,$H$196,BF210/BF206*BG206))</f>
        <v>0.19989043382697225</v>
      </c>
      <c r="BH210" s="469">
        <f ca="1">IF(BH$166&lt;'2.2 Input_General_Information'!$H$20, ,IF(BH$166='2.2 Input_General_Information'!$H$20,$H$196,BG210/BG206*BH206))</f>
        <v>0.19992531197889191</v>
      </c>
      <c r="BI210" s="469">
        <f ca="1">IF(BI$166&lt;'2.2 Input_General_Information'!$H$20, ,IF(BI$166='2.2 Input_General_Information'!$H$20,$H$196,BH210/BH206*BI206))</f>
        <v>0.19994733138983134</v>
      </c>
      <c r="BJ210" s="469">
        <f ca="1">IF(BJ$166&lt;'2.2 Input_General_Information'!$H$20, ,IF(BJ$166='2.2 Input_General_Information'!$H$20,$H$196,BI210/BI206*BJ206))</f>
        <v>0.19996122964384691</v>
      </c>
      <c r="BK210" s="469">
        <f ca="1">IF(BK$166&lt;'2.2 Input_General_Information'!$H$20, ,IF(BK$166='2.2 Input_General_Information'!$H$20,$H$196,BJ210/BJ206*BK206))</f>
        <v>0.19997000075001597</v>
      </c>
      <c r="BL210" s="469"/>
      <c r="BM210" s="469"/>
      <c r="BN210" s="469"/>
      <c r="BO210" s="469"/>
      <c r="BP210" s="469"/>
      <c r="BQ210" s="469"/>
      <c r="BR210" s="469"/>
      <c r="BS210" s="469"/>
      <c r="BT210" s="469"/>
      <c r="BU210" s="469"/>
    </row>
    <row r="211" spans="1:73" hidden="1">
      <c r="A211" s="6"/>
      <c r="B211" s="6"/>
      <c r="C211" s="1"/>
      <c r="D211" s="12"/>
      <c r="E211" s="1"/>
      <c r="F211" s="1"/>
      <c r="G211" s="183"/>
      <c r="H211" s="6"/>
      <c r="I211" s="6"/>
      <c r="J211" s="6"/>
      <c r="K211" s="6"/>
      <c r="L211" s="3"/>
      <c r="M211" s="3"/>
      <c r="N211" s="3"/>
      <c r="O211" s="1"/>
      <c r="P211" s="1"/>
      <c r="Q211" s="1"/>
      <c r="R211" s="162"/>
      <c r="S211" s="1"/>
      <c r="T211" s="101"/>
      <c r="U211" s="101"/>
      <c r="V211" s="537"/>
      <c r="W211" s="469"/>
      <c r="X211" s="469"/>
      <c r="Y211" s="469"/>
      <c r="Z211" s="469"/>
      <c r="AA211" s="469"/>
      <c r="AB211" s="469"/>
      <c r="AC211" s="469"/>
      <c r="AD211" s="469"/>
      <c r="AE211" s="469"/>
      <c r="AF211" s="469"/>
      <c r="AG211" s="469"/>
      <c r="AH211" s="469"/>
      <c r="AI211" s="469"/>
      <c r="AJ211" s="469"/>
      <c r="AK211" s="469"/>
      <c r="AL211" s="469"/>
      <c r="AM211" s="469"/>
      <c r="AN211" s="469"/>
      <c r="AO211" s="469"/>
      <c r="AP211" s="469"/>
      <c r="AQ211" s="469"/>
      <c r="AR211" s="469"/>
      <c r="AS211" s="469"/>
      <c r="AT211" s="469"/>
      <c r="AU211" s="469"/>
      <c r="AV211" s="469"/>
      <c r="AW211" s="469"/>
      <c r="AX211" s="469"/>
      <c r="AY211" s="469"/>
      <c r="AZ211" s="469"/>
      <c r="BA211" s="469"/>
      <c r="BB211" s="469"/>
      <c r="BC211" s="469"/>
      <c r="BD211" s="469"/>
      <c r="BE211" s="469"/>
      <c r="BF211" s="469"/>
      <c r="BG211" s="469"/>
      <c r="BH211" s="469"/>
      <c r="BI211" s="469"/>
      <c r="BJ211" s="469"/>
      <c r="BK211" s="469"/>
      <c r="BL211" s="469"/>
      <c r="BM211" s="469"/>
      <c r="BN211" s="469"/>
      <c r="BO211" s="469"/>
      <c r="BP211" s="469"/>
      <c r="BQ211" s="469"/>
      <c r="BR211" s="469"/>
      <c r="BS211" s="469"/>
      <c r="BT211" s="469"/>
      <c r="BU211" s="469"/>
    </row>
    <row r="212" spans="1:73" hidden="1">
      <c r="A212" s="6"/>
      <c r="B212" s="108"/>
      <c r="C212" s="1"/>
      <c r="D212" s="12"/>
      <c r="E212" s="1"/>
      <c r="F212" s="1"/>
      <c r="G212" s="183"/>
      <c r="H212" s="6"/>
      <c r="I212" s="6"/>
      <c r="J212" s="6"/>
      <c r="K212" s="6"/>
      <c r="L212" s="3"/>
      <c r="M212" s="3"/>
      <c r="N212" s="3"/>
      <c r="O212" s="1"/>
      <c r="P212" s="1"/>
      <c r="Q212" s="1"/>
      <c r="R212" s="162"/>
      <c r="S212" s="1"/>
      <c r="T212" s="101"/>
      <c r="U212" s="101"/>
      <c r="V212" s="537" t="str">
        <f>D215</f>
        <v>Time change on finding existing data (PID)</v>
      </c>
      <c r="W212" s="469">
        <f ca="1">IF(W$166&lt;'2.2 Input_General_Information'!$H$20, ,IF(W$166='2.2 Input_General_Information'!$H$20,0,SUM(V208:V210)-SUM(W208:W210)))</f>
        <v>0</v>
      </c>
      <c r="X212" s="469">
        <f ca="1">IF(X$166&lt;'2.2 Input_General_Information'!$H$20, ,IF(X$166='2.2 Input_General_Information'!$H$20,0,SUM(W208:W210)-SUM(X208:X210)))</f>
        <v>1.2215441375964697E-2</v>
      </c>
      <c r="Y212" s="469">
        <f ca="1">IF(Y$166&lt;'2.2 Input_General_Information'!$H$20, ,IF(Y$166='2.2 Input_General_Information'!$H$20,0,SUM(X208:X210)-SUM(Y208:Y210)))</f>
        <v>1.2208380986965139E-2</v>
      </c>
      <c r="Z212" s="469">
        <f ca="1">IF(Z$166&lt;'2.2 Input_General_Information'!$H$20, ,IF(Z$166='2.2 Input_General_Information'!$H$20,0,SUM(Y208:Y210)-SUM(Z208:Z210)))</f>
        <v>1.1809269880473705E-2</v>
      </c>
      <c r="AA212" s="469">
        <f ca="1">IF(AA$166&lt;'2.2 Input_General_Information'!$H$20, ,IF(AA$166='2.2 Input_General_Information'!$H$20,0,SUM(Z208:Z210)-SUM(AA208:AA210)))</f>
        <v>1.1069568655589224E-2</v>
      </c>
      <c r="AB212" s="469">
        <f ca="1">IF(AB$166&lt;'2.2 Input_General_Information'!$H$20, ,IF(AB$166='2.2 Input_General_Information'!$H$20,0,SUM(AA208:AA210)-SUM(AB208:AB210)))</f>
        <v>1.0077654439722417E-2</v>
      </c>
      <c r="AC212" s="469">
        <f ca="1">IF(AC$166&lt;'2.2 Input_General_Information'!$H$20, ,IF(AC$166='2.2 Input_General_Information'!$H$20,0,SUM(AB208:AB210)-SUM(AC208:AC210)))</f>
        <v>8.9391047961228098E-3</v>
      </c>
      <c r="AD212" s="469">
        <f ca="1">IF(AD$166&lt;'2.2 Input_General_Information'!$H$20, ,IF(AD$166='2.2 Input_General_Information'!$H$20,0,SUM(AC208:AC210)-SUM(AD208:AD210)))</f>
        <v>7.7573018731911247E-3</v>
      </c>
      <c r="AE212" s="469">
        <f ca="1">IF(AE$166&lt;'2.2 Input_General_Information'!$H$20, ,IF(AE$166='2.2 Input_General_Information'!$H$20,0,SUM(AD208:AD210)-SUM(AE208:AE210)))</f>
        <v>6.6200507601385516E-3</v>
      </c>
      <c r="AF212" s="469">
        <f ca="1">IF(AF$166&lt;'2.2 Input_General_Information'!$H$20, ,IF(AF$166='2.2 Input_General_Information'!$H$20,0,SUM(AE208:AE210)-SUM(AF208:AF210)))</f>
        <v>5.5943484794399589E-3</v>
      </c>
      <c r="AG212" s="469">
        <f ca="1">IF(AG$166&lt;'2.2 Input_General_Information'!$H$20, ,IF(AG$166='2.2 Input_General_Information'!$H$20,0,SUM(AF208:AF210)-SUM(AG208:AG210)))</f>
        <v>4.7283761210935582E-3</v>
      </c>
      <c r="AH212" s="469">
        <f ca="1">IF(AH$166&lt;'2.2 Input_General_Information'!$H$20, ,IF(AH$166='2.2 Input_General_Information'!$H$20,0,SUM(AG208:AG210)-SUM(AH208:AH210)))</f>
        <v>4.0583844066370278E-3</v>
      </c>
      <c r="AI212" s="469">
        <f ca="1">IF(AI$166&lt;'2.2 Input_General_Information'!$H$20, ,IF(AI$166='2.2 Input_General_Information'!$H$20,0,SUM(AH208:AH210)-SUM(AI208:AI210)))</f>
        <v>3.6181849992990012E-3</v>
      </c>
      <c r="AJ212" s="469">
        <f ca="1">IF(AJ$166&lt;'2.2 Input_General_Information'!$H$20, ,IF(AJ$166='2.2 Input_General_Information'!$H$20,0,SUM(AI208:AI210)-SUM(AJ208:AJ210)))</f>
        <v>3.4495283485088679E-3</v>
      </c>
      <c r="AK212" s="469">
        <f ca="1">IF(AK$166&lt;'2.2 Input_General_Information'!$H$20, ,IF(AK$166='2.2 Input_General_Information'!$H$20,0,SUM(AJ208:AJ210)-SUM(AK208:AK210)))</f>
        <v>3.6117093623370122E-3</v>
      </c>
      <c r="AL212" s="469">
        <f ca="1">IF(AL$166&lt;'2.2 Input_General_Information'!$H$20, ,IF(AL$166='2.2 Input_General_Information'!$H$20,0,SUM(AK208:AK210)-SUM(AL208:AL210)))</f>
        <v>4.1872546547084832E-3</v>
      </c>
      <c r="AM212" s="469">
        <f ca="1">IF(AM$166&lt;'2.2 Input_General_Information'!$H$20, ,IF(AM$166='2.2 Input_General_Information'!$H$20,0,SUM(AL208:AL210)-SUM(AM208:AM210)))</f>
        <v>5.2764719664813442E-3</v>
      </c>
      <c r="AN212" s="469">
        <f ca="1">IF(AN$166&lt;'2.2 Input_General_Information'!$H$20, ,IF(AN$166='2.2 Input_General_Information'!$H$20,0,SUM(AM208:AM210)-SUM(AN208:AN210)))</f>
        <v>6.967012855286614E-3</v>
      </c>
      <c r="AO212" s="469">
        <f ca="1">IF(AO$166&lt;'2.2 Input_General_Information'!$H$20, ,IF(AO$166='2.2 Input_General_Information'!$H$20,0,SUM(AN208:AN210)-SUM(AO208:AO210)))</f>
        <v>9.2607157990689526E-3</v>
      </c>
      <c r="AP212" s="469">
        <f ca="1">IF(AP$166&lt;'2.2 Input_General_Information'!$H$20, ,IF(AP$166='2.2 Input_General_Information'!$H$20,0,SUM(AO208:AO210)-SUM(AP208:AP210)))</f>
        <v>1.1956752127265657E-2</v>
      </c>
      <c r="AQ212" s="469">
        <f ca="1">IF(AQ$166&lt;'2.2 Input_General_Information'!$H$20, ,IF(AQ$166='2.2 Input_General_Information'!$H$20,0,SUM(AP208:AP210)-SUM(AQ208:AQ210)))</f>
        <v>1.4552742425998688E-2</v>
      </c>
      <c r="AR212" s="469">
        <f ca="1">IF(AR$166&lt;'2.2 Input_General_Information'!$H$20, ,IF(AR$166='2.2 Input_General_Information'!$H$20,0,SUM(AQ208:AQ210)-SUM(AR208:AR210)))</f>
        <v>1.6309731828928031E-2</v>
      </c>
      <c r="AS212" s="469">
        <f ca="1">IF(AS$166&lt;'2.2 Input_General_Information'!$H$20, ,IF(AS$166='2.2 Input_General_Information'!$H$20,0,SUM(AR208:AR210)-SUM(AS208:AS210)))</f>
        <v>1.6583035049667461E-2</v>
      </c>
      <c r="AT212" s="469">
        <f ca="1">IF(AT$166&lt;'2.2 Input_General_Information'!$H$20, ,IF(AT$166='2.2 Input_General_Information'!$H$20,0,SUM(AS208:AS210)-SUM(AT208:AT210)))</f>
        <v>1.523514121199343E-2</v>
      </c>
      <c r="AU212" s="469">
        <f ca="1">IF(AU$166&lt;'2.2 Input_General_Information'!$H$20, ,IF(AU$166='2.2 Input_General_Information'!$H$20,0,SUM(AT208:AT210)-SUM(AU208:AU210)))</f>
        <v>1.2732973357064359E-2</v>
      </c>
      <c r="AV212" s="469">
        <f ca="1">IF(AV$166&lt;'2.2 Input_General_Information'!$H$20, ,IF(AV$166='2.2 Input_General_Information'!$H$20,0,SUM(AU208:AU210)-SUM(AV208:AV210)))</f>
        <v>9.8219208803653757E-3</v>
      </c>
      <c r="AW212" s="469">
        <f ca="1">IF(AW$166&lt;'2.2 Input_General_Information'!$H$20, ,IF(AW$166='2.2 Input_General_Information'!$H$20,0,SUM(AV208:AV210)-SUM(AW208:AW210)))</f>
        <v>7.1167633633913707E-3</v>
      </c>
      <c r="AX212" s="469">
        <f ca="1">IF(AX$166&lt;'2.2 Input_General_Information'!$H$20, ,IF(AX$166='2.2 Input_General_Information'!$H$20,0,SUM(AW208:AW210)-SUM(AX208:AX210)))</f>
        <v>4.9258415387189169E-3</v>
      </c>
      <c r="AY212" s="469">
        <f ca="1">IF(AY$166&lt;'2.2 Input_General_Information'!$H$20, ,IF(AY$166='2.2 Input_General_Information'!$H$20,0,SUM(AX208:AX210)-SUM(AY208:AY210)))</f>
        <v>3.3022827784035813E-3</v>
      </c>
      <c r="AZ212" s="469">
        <f ca="1">IF(AZ$166&lt;'2.2 Input_General_Information'!$H$20, ,IF(AZ$166='2.2 Input_General_Information'!$H$20,0,SUM(AY208:AY210)-SUM(AZ208:AZ210)))</f>
        <v>2.1667647007105884E-3</v>
      </c>
      <c r="BA212" s="469">
        <f ca="1">IF(BA$166&lt;'2.2 Input_General_Information'!$H$20, ,IF(BA$166='2.2 Input_General_Information'!$H$20,0,SUM(AZ208:AZ210)-SUM(BA208:BA210)))</f>
        <v>1.4017485067127633E-3</v>
      </c>
      <c r="BB212" s="469">
        <f ca="1">IF(BB$166&lt;'2.2 Input_General_Information'!$H$20, ,IF(BB$166='2.2 Input_General_Information'!$H$20,0,SUM(BA208:BA210)-SUM(BB208:BB210)))</f>
        <v>8.9857886379932084E-4</v>
      </c>
      <c r="BC212" s="469">
        <f ca="1">IF(BC$166&lt;'2.2 Input_General_Information'!$H$20, ,IF(BC$166='2.2 Input_General_Information'!$H$20,0,SUM(BB208:BB210)-SUM(BC208:BC210)))</f>
        <v>5.7266395530591874E-4</v>
      </c>
      <c r="BD212" s="469">
        <f ca="1">IF(BD$166&lt;'2.2 Input_General_Information'!$H$20, ,IF(BD$166='2.2 Input_General_Information'!$H$20,0,SUM(BC208:BC210)-SUM(BD208:BD210)))</f>
        <v>3.6360363046492039E-4</v>
      </c>
      <c r="BE212" s="469">
        <f ca="1">IF(BE$166&lt;'2.2 Input_General_Information'!$H$20, ,IF(BE$166='2.2 Input_General_Information'!$H$20,0,SUM(BD208:BD210)-SUM(BE208:BE210)))</f>
        <v>2.303221503333619E-4</v>
      </c>
      <c r="BF212" s="469">
        <f ca="1">IF(BF$166&lt;'2.2 Input_General_Information'!$H$20, ,IF(BF$166='2.2 Input_General_Information'!$H$20,0,SUM(BE208:BE210)-SUM(BF208:BF210)))</f>
        <v>1.4568021345179316E-4</v>
      </c>
      <c r="BG212" s="469">
        <f ca="1">IF(BG$166&lt;'2.2 Input_General_Information'!$H$20, ,IF(BG$166='2.2 Input_General_Information'!$H$20,0,SUM(BF208:BF210)-SUM(BG208:BG210)))</f>
        <v>9.2058147855567096E-5</v>
      </c>
      <c r="BH212" s="469">
        <f ca="1">IF(BH$166&lt;'2.2 Input_General_Information'!$H$20, ,IF(BH$166='2.2 Input_General_Information'!$H$20,0,SUM(BG208:BG210)-SUM(BH208:BH210)))</f>
        <v>5.8139554970138008E-5</v>
      </c>
      <c r="BI212" s="469">
        <f ca="1">IF(BI$166&lt;'2.2 Input_General_Information'!$H$20, ,IF(BI$166='2.2 Input_General_Information'!$H$20,0,SUM(BH208:BH210)-SUM(BI208:BI210)))</f>
        <v>3.6704890662569989E-5</v>
      </c>
      <c r="BJ212" s="469">
        <f ca="1">IF(BJ$166&lt;'2.2 Input_General_Information'!$H$20, ,IF(BJ$166='2.2 Input_General_Information'!$H$20,0,SUM(BI208:BI210)-SUM(BJ208:BJ210)))</f>
        <v>2.316746326436192E-5</v>
      </c>
      <c r="BK212" s="469">
        <f ca="1">IF(BK$166&lt;'2.2 Input_General_Information'!$H$20, ,IF(BK$166='2.2 Input_General_Information'!$H$20,0,SUM(BJ208:BJ210)-SUM(BK208:BK210)))</f>
        <v>1.4620849477398057E-5</v>
      </c>
      <c r="BL212" s="469"/>
      <c r="BM212" s="469"/>
      <c r="BN212" s="469"/>
      <c r="BO212" s="469"/>
      <c r="BP212" s="469"/>
      <c r="BQ212" s="469"/>
      <c r="BR212" s="469"/>
      <c r="BS212" s="469"/>
      <c r="BT212" s="469"/>
      <c r="BU212" s="469"/>
    </row>
    <row r="213" spans="1:73" hidden="1">
      <c r="A213" s="6"/>
      <c r="B213" s="108"/>
      <c r="C213" s="1"/>
      <c r="D213" s="12"/>
      <c r="E213" s="1"/>
      <c r="F213" s="1"/>
      <c r="G213" s="183"/>
      <c r="H213" s="6"/>
      <c r="I213" s="6"/>
      <c r="J213" s="6"/>
      <c r="K213" s="6"/>
      <c r="L213" s="3"/>
      <c r="M213" s="3"/>
      <c r="N213" s="3"/>
      <c r="O213" s="1"/>
      <c r="P213" s="1"/>
      <c r="Q213" s="1"/>
      <c r="R213" s="162"/>
      <c r="S213" s="1"/>
      <c r="T213" s="81"/>
      <c r="U213" s="9" t="s">
        <v>5</v>
      </c>
      <c r="V213" s="81"/>
      <c r="W213" s="469"/>
      <c r="X213" s="469"/>
      <c r="Y213" s="469"/>
      <c r="Z213" s="469"/>
      <c r="AA213" s="469"/>
      <c r="AB213" s="469"/>
      <c r="AC213" s="469"/>
      <c r="AD213" s="469"/>
      <c r="AE213" s="469"/>
      <c r="AF213" s="469"/>
      <c r="AG213" s="469"/>
      <c r="AH213" s="469"/>
      <c r="AI213" s="469"/>
      <c r="AJ213" s="469"/>
      <c r="AK213" s="469"/>
      <c r="AL213" s="469"/>
      <c r="AM213" s="469"/>
      <c r="AN213" s="469"/>
      <c r="AO213" s="469"/>
      <c r="AP213" s="469"/>
      <c r="AQ213" s="469"/>
      <c r="AR213" s="469"/>
      <c r="AS213" s="469"/>
      <c r="AT213" s="469"/>
      <c r="AU213" s="469"/>
      <c r="AV213" s="469"/>
      <c r="AW213" s="469"/>
      <c r="AX213" s="469"/>
      <c r="AY213" s="469"/>
      <c r="AZ213" s="469"/>
      <c r="BA213" s="469"/>
      <c r="BB213" s="469"/>
      <c r="BC213" s="469"/>
      <c r="BD213" s="469"/>
      <c r="BE213" s="469"/>
      <c r="BF213" s="469"/>
      <c r="BG213" s="469"/>
      <c r="BH213" s="469"/>
      <c r="BI213" s="469"/>
      <c r="BJ213" s="469"/>
      <c r="BK213" s="469"/>
      <c r="BL213" s="469"/>
      <c r="BM213" s="469"/>
      <c r="BN213" s="469"/>
      <c r="BO213" s="469"/>
      <c r="BP213" s="469"/>
      <c r="BQ213" s="469"/>
      <c r="BR213" s="469"/>
      <c r="BS213" s="469"/>
      <c r="BT213" s="469"/>
      <c r="BU213" s="469"/>
    </row>
    <row r="214" spans="1:73">
      <c r="A214" s="6"/>
      <c r="B214" s="108"/>
      <c r="C214" s="1"/>
      <c r="D214" s="12"/>
      <c r="E214" s="1"/>
      <c r="F214" s="1"/>
      <c r="G214" s="183"/>
      <c r="H214" s="6"/>
      <c r="I214" s="6"/>
      <c r="J214" s="6"/>
      <c r="K214" s="6"/>
      <c r="L214" s="3"/>
      <c r="M214" s="3"/>
      <c r="N214" s="3"/>
      <c r="O214" s="1"/>
      <c r="P214" s="1"/>
      <c r="Q214" s="1"/>
      <c r="R214" s="162"/>
      <c r="S214" s="1"/>
      <c r="T214" s="81"/>
      <c r="U214" s="81"/>
      <c r="V214" s="81"/>
      <c r="W214" s="469"/>
      <c r="X214" s="469"/>
      <c r="Y214" s="469"/>
      <c r="Z214" s="469"/>
      <c r="AA214" s="469"/>
      <c r="AB214" s="469"/>
      <c r="AC214" s="469"/>
      <c r="AD214" s="469"/>
      <c r="AE214" s="469"/>
      <c r="AF214" s="469"/>
      <c r="AG214" s="469"/>
      <c r="AH214" s="469"/>
      <c r="AI214" s="469"/>
      <c r="AJ214" s="469"/>
      <c r="AK214" s="469"/>
      <c r="AL214" s="469"/>
      <c r="AM214" s="469"/>
      <c r="AN214" s="469"/>
      <c r="AO214" s="469"/>
      <c r="AP214" s="469"/>
      <c r="AQ214" s="469"/>
      <c r="AR214" s="469"/>
      <c r="AS214" s="469"/>
      <c r="AT214" s="469"/>
      <c r="AU214" s="469"/>
      <c r="AV214" s="469"/>
      <c r="AW214" s="469"/>
      <c r="AX214" s="469"/>
      <c r="AY214" s="469"/>
      <c r="AZ214" s="469"/>
      <c r="BA214" s="469"/>
      <c r="BB214" s="469"/>
      <c r="BC214" s="469"/>
      <c r="BD214" s="469"/>
      <c r="BE214" s="469"/>
      <c r="BF214" s="469"/>
      <c r="BG214" s="469"/>
      <c r="BH214" s="469"/>
      <c r="BI214" s="469"/>
      <c r="BJ214" s="469"/>
      <c r="BK214" s="469"/>
      <c r="BL214" s="469"/>
      <c r="BM214" s="469"/>
      <c r="BN214" s="469"/>
      <c r="BO214" s="469"/>
      <c r="BP214" s="469"/>
      <c r="BQ214" s="469"/>
      <c r="BR214" s="469"/>
      <c r="BS214" s="469"/>
      <c r="BT214" s="469"/>
      <c r="BU214" s="469"/>
    </row>
    <row r="215" spans="1:73">
      <c r="A215" s="6"/>
      <c r="B215" s="108"/>
      <c r="C215" s="1"/>
      <c r="D215" s="12" t="s">
        <v>1004</v>
      </c>
      <c r="E215" s="1"/>
      <c r="F215" s="1"/>
      <c r="G215" s="538">
        <f>SUM(H194:H196)-SUM(J194:J196)</f>
        <v>0.25</v>
      </c>
      <c r="H215" s="6"/>
      <c r="I215" s="6"/>
      <c r="J215" s="6"/>
      <c r="K215" s="6"/>
      <c r="L215" s="3"/>
      <c r="M215" s="3"/>
      <c r="N215" s="3"/>
      <c r="O215" s="1"/>
      <c r="P215" s="1"/>
      <c r="Q215" s="1"/>
      <c r="R215" s="162"/>
      <c r="S215" s="1"/>
      <c r="T215" s="6"/>
      <c r="U215" s="6"/>
      <c r="V215" s="6"/>
      <c r="W215" s="81"/>
      <c r="X215" s="81"/>
      <c r="Y215" s="81"/>
      <c r="Z215" s="81"/>
      <c r="AA215" s="81"/>
      <c r="AB215" s="81"/>
      <c r="AC215" s="6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1"/>
      <c r="BE215" s="81"/>
      <c r="BF215" s="81"/>
      <c r="BG215" s="81"/>
      <c r="BH215" s="81"/>
      <c r="BI215" s="81"/>
      <c r="BJ215" s="81"/>
      <c r="BK215" s="81"/>
      <c r="BL215" s="6"/>
      <c r="BM215" s="6"/>
      <c r="BN215" s="6"/>
      <c r="BO215" s="6"/>
      <c r="BP215" s="6"/>
      <c r="BQ215" s="6"/>
      <c r="BR215" s="6"/>
      <c r="BS215" s="6"/>
      <c r="BT215" s="6"/>
      <c r="BU215" s="6"/>
    </row>
    <row r="216" spans="1:73">
      <c r="A216" s="6"/>
      <c r="B216" s="108"/>
      <c r="C216" s="1"/>
      <c r="D216" s="12" t="s">
        <v>1005</v>
      </c>
      <c r="E216" s="1"/>
      <c r="F216" s="1"/>
      <c r="G216" s="538">
        <f>'2.3 Input_Main_Questionnaire'!H132</f>
        <v>0.2</v>
      </c>
      <c r="H216" s="3"/>
      <c r="I216" s="3"/>
      <c r="J216" s="3"/>
      <c r="K216" s="3"/>
      <c r="L216" s="3"/>
      <c r="M216" s="3"/>
      <c r="N216" s="3"/>
      <c r="O216" s="1173"/>
      <c r="P216" s="1174"/>
      <c r="Q216" s="1"/>
      <c r="R216" s="162"/>
      <c r="S216" s="1"/>
      <c r="T216" s="6"/>
      <c r="U216" s="6"/>
      <c r="V216" s="6"/>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c r="BG216" s="81"/>
      <c r="BH216" s="81"/>
      <c r="BI216" s="81"/>
      <c r="BJ216" s="81"/>
      <c r="BK216" s="81"/>
      <c r="BL216" s="6"/>
      <c r="BM216" s="6"/>
      <c r="BN216" s="6"/>
      <c r="BO216" s="6"/>
      <c r="BP216" s="6"/>
      <c r="BQ216" s="6"/>
      <c r="BR216" s="6"/>
      <c r="BS216" s="6"/>
      <c r="BT216" s="6"/>
      <c r="BU216" s="6"/>
    </row>
    <row r="217" spans="1:73">
      <c r="A217" s="6"/>
      <c r="B217" s="6"/>
      <c r="C217" s="1"/>
      <c r="D217" s="12"/>
      <c r="E217" s="1"/>
      <c r="F217" s="1"/>
      <c r="G217" s="3"/>
      <c r="H217" s="3"/>
      <c r="I217" s="3"/>
      <c r="J217" s="3"/>
      <c r="K217" s="3"/>
      <c r="L217" s="3"/>
      <c r="M217" s="3"/>
      <c r="N217" s="3"/>
      <c r="O217" s="1"/>
      <c r="P217" s="1"/>
      <c r="Q217" s="1"/>
      <c r="R217" s="162"/>
      <c r="S217" s="1"/>
      <c r="T217" s="6"/>
      <c r="U217" s="6"/>
      <c r="V217" s="6"/>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c r="BG217" s="134"/>
      <c r="BH217" s="134"/>
      <c r="BI217" s="134"/>
      <c r="BJ217" s="134"/>
      <c r="BK217" s="134"/>
      <c r="BL217" s="134"/>
      <c r="BM217" s="134"/>
      <c r="BN217" s="134"/>
      <c r="BO217" s="134"/>
      <c r="BP217" s="134"/>
      <c r="BQ217" s="134"/>
      <c r="BR217" s="134"/>
      <c r="BS217" s="134"/>
      <c r="BT217" s="134"/>
      <c r="BU217" s="134"/>
    </row>
    <row r="218" spans="1:73" hidden="1">
      <c r="A218" s="6"/>
      <c r="B218" s="108"/>
      <c r="C218" s="1"/>
      <c r="D218" s="12"/>
      <c r="K218" s="3"/>
      <c r="L218" s="3"/>
      <c r="M218" s="3"/>
      <c r="N218" s="3"/>
      <c r="O218" s="1"/>
      <c r="P218" s="1"/>
      <c r="Q218" s="1"/>
      <c r="R218" s="162"/>
      <c r="S218" s="1"/>
      <c r="T218" s="6"/>
      <c r="U218" s="9" t="s">
        <v>5</v>
      </c>
      <c r="V218" s="6"/>
      <c r="W218" s="134">
        <v>3</v>
      </c>
      <c r="X218" s="134">
        <v>4</v>
      </c>
      <c r="Y218" s="134">
        <v>5</v>
      </c>
      <c r="Z218" s="134">
        <v>6</v>
      </c>
      <c r="AA218" s="134">
        <v>7</v>
      </c>
      <c r="AB218" s="134">
        <v>8</v>
      </c>
      <c r="AC218" s="134">
        <v>9</v>
      </c>
      <c r="AD218" s="134">
        <v>10</v>
      </c>
      <c r="AE218" s="134">
        <v>11</v>
      </c>
      <c r="AF218" s="134">
        <v>12</v>
      </c>
      <c r="AG218" s="134">
        <v>13</v>
      </c>
      <c r="AH218" s="134">
        <v>14</v>
      </c>
      <c r="AI218" s="134">
        <v>15</v>
      </c>
      <c r="AJ218" s="134">
        <v>16</v>
      </c>
      <c r="AK218" s="134">
        <v>17</v>
      </c>
      <c r="AL218" s="134">
        <v>18</v>
      </c>
      <c r="AM218" s="134">
        <v>19</v>
      </c>
      <c r="AN218" s="134">
        <v>20</v>
      </c>
      <c r="AO218" s="134">
        <v>21</v>
      </c>
      <c r="AP218" s="134">
        <v>22</v>
      </c>
      <c r="AQ218" s="134">
        <v>23</v>
      </c>
      <c r="AR218" s="134">
        <v>24</v>
      </c>
      <c r="AS218" s="134">
        <v>25</v>
      </c>
      <c r="AT218" s="134">
        <v>26</v>
      </c>
      <c r="AU218" s="134">
        <v>27</v>
      </c>
      <c r="AV218" s="134">
        <v>28</v>
      </c>
      <c r="AW218" s="134">
        <v>29</v>
      </c>
      <c r="AX218" s="134">
        <v>30</v>
      </c>
      <c r="AY218" s="134">
        <v>31</v>
      </c>
      <c r="AZ218" s="134">
        <v>32</v>
      </c>
      <c r="BA218" s="134">
        <v>33</v>
      </c>
      <c r="BB218" s="134">
        <v>34</v>
      </c>
      <c r="BC218" s="134">
        <v>35</v>
      </c>
      <c r="BD218" s="134">
        <v>36</v>
      </c>
      <c r="BE218" s="134">
        <v>37</v>
      </c>
      <c r="BF218" s="134">
        <v>38</v>
      </c>
      <c r="BG218" s="134">
        <v>39</v>
      </c>
      <c r="BH218" s="134">
        <v>40</v>
      </c>
      <c r="BI218" s="134">
        <v>41</v>
      </c>
      <c r="BJ218" s="134">
        <v>42</v>
      </c>
      <c r="BK218" s="134">
        <v>43</v>
      </c>
      <c r="BL218" s="134"/>
      <c r="BM218" s="134"/>
      <c r="BN218" s="134"/>
      <c r="BO218" s="134"/>
      <c r="BP218" s="134"/>
      <c r="BQ218" s="134"/>
      <c r="BR218" s="134"/>
      <c r="BS218" s="134"/>
      <c r="BT218" s="134"/>
      <c r="BU218" s="134"/>
    </row>
    <row r="219" spans="1:73" hidden="1">
      <c r="A219" s="6"/>
      <c r="B219" s="108"/>
      <c r="C219" s="1"/>
      <c r="D219" s="12"/>
      <c r="K219" s="3"/>
      <c r="L219" s="3"/>
      <c r="M219" s="3"/>
      <c r="N219" s="3"/>
      <c r="O219" s="1"/>
      <c r="P219" s="1"/>
      <c r="Q219" s="1"/>
      <c r="R219" s="162"/>
      <c r="S219" s="1"/>
      <c r="T219" s="101" t="s">
        <v>200</v>
      </c>
      <c r="U219" s="372" t="s">
        <v>866</v>
      </c>
      <c r="V219" s="103" t="str">
        <f>D216</f>
        <v>Percentage of Open Access (OA)</v>
      </c>
      <c r="W219" s="416">
        <f ca="1">IF($G$216=100%,100%, IF(W$166&lt;'2.2 Input_General_Information'!$H$20,,HLOOKUP($G$216,Growth!$G$195:$G$237,W218,FALSE)))</f>
        <v>0.2000000000000007</v>
      </c>
      <c r="X219" s="416">
        <f ca="1">IF($G$216=100%,100%, IF(X$166&lt;'2.2 Input_General_Information'!$H$20,,HLOOKUP($G$216,Growth!$G$195:$G$237,X218,FALSE)))</f>
        <v>0.20937809388027495</v>
      </c>
      <c r="Y219" s="416">
        <f ca="1">IF($G$216=100%,100%, IF(Y$166&lt;'2.2 Input_General_Information'!$H$20,,HLOOKUP($G$216,Growth!$G$195:$G$237,Y218,FALSE)))</f>
        <v>0.2190755097709404</v>
      </c>
      <c r="Z219" s="416">
        <f ca="1">IF($G$216=100%,100%, IF(Z$166&lt;'2.2 Input_General_Information'!$H$20,,HLOOKUP($G$216,Growth!$G$195:$G$237,Z218,FALSE)))</f>
        <v>0.22909192142087734</v>
      </c>
      <c r="AA219" s="416">
        <f ca="1">IF($G$216=100%,100%, IF(AA$166&lt;'2.2 Input_General_Information'!$H$20,,HLOOKUP($G$216,Growth!$G$195:$G$237,AA218,FALSE)))</f>
        <v>0.23942588795409567</v>
      </c>
      <c r="AB219" s="416">
        <f ca="1">IF($G$216=100%,100%, IF(AB$166&lt;'2.2 Input_General_Information'!$H$20,,HLOOKUP($G$216,Growth!$G$195:$G$237,AB218,FALSE)))</f>
        <v>0.25007478915114473</v>
      </c>
      <c r="AC219" s="416">
        <f ca="1">IF($G$216=100%,100%, IF(AC$166&lt;'2.2 Input_General_Information'!$H$20,,HLOOKUP($G$216,Growth!$G$195:$G$237,AC218,FALSE)))</f>
        <v>0.26103476645132245</v>
      </c>
      <c r="AD219" s="416">
        <f ca="1">IF($G$216=100%,100%, IF(AD$166&lt;'2.2 Input_General_Information'!$H$20,,HLOOKUP($G$216,Growth!$G$195:$G$237,AD218,FALSE)))</f>
        <v>0.27230067094067667</v>
      </c>
      <c r="AE219" s="416">
        <f ca="1">IF($G$216=100%,100%, IF(AE$166&lt;'2.2 Input_General_Information'!$H$20,,HLOOKUP($G$216,Growth!$G$195:$G$237,AE218,FALSE)))</f>
        <v>0.28386601959548186</v>
      </c>
      <c r="AF219" s="416">
        <f ca="1">IF($G$216=100%,100%, IF(AF$166&lt;'2.2 Input_General_Information'!$H$20,,HLOOKUP($G$216,Growth!$G$195:$G$237,AF218,FALSE)))</f>
        <v>0.29572296102751489</v>
      </c>
      <c r="AG219" s="416">
        <f ca="1">IF($G$216=100%,100%, IF(AG$166&lt;'2.2 Input_General_Information'!$H$20,,HLOOKUP($G$216,Growth!$G$195:$G$237,AG218,FALSE)))</f>
        <v>0.30786225192332534</v>
      </c>
      <c r="AH219" s="416">
        <f ca="1">IF($G$216=100%,100%, IF(AH$166&lt;'2.2 Input_General_Information'!$H$20,,HLOOKUP($G$216,Growth!$G$195:$G$237,AH218,FALSE)))</f>
        <v>0.32027324528281997</v>
      </c>
      <c r="AI219" s="416">
        <f ca="1">IF($G$216=100%,100%, IF(AI$166&lt;'2.2 Input_General_Information'!$H$20,,HLOOKUP($G$216,Growth!$G$195:$G$237,AI218,FALSE)))</f>
        <v>0.33294389144177655</v>
      </c>
      <c r="AJ219" s="416">
        <f ca="1">IF($G$216=100%,100%, IF(AJ$166&lt;'2.2 Input_General_Information'!$H$20,,HLOOKUP($G$216,Growth!$G$195:$G$237,AJ218,FALSE)))</f>
        <v>0.34586075270836852</v>
      </c>
      <c r="AK219" s="416">
        <f ca="1">IF($G$216=100%,100%, IF(AK$166&lt;'2.2 Input_General_Information'!$H$20,,HLOOKUP($G$216,Growth!$G$195:$G$237,AK218,FALSE)))</f>
        <v>0.359009032256634</v>
      </c>
      <c r="AL219" s="416">
        <f ca="1">IF($G$216=100%,100%, IF(AL$166&lt;'2.2 Input_General_Information'!$H$20,,HLOOKUP($G$216,Growth!$G$195:$G$237,AL218,FALSE)))</f>
        <v>0.37237261770255958</v>
      </c>
      <c r="AM219" s="416">
        <f ca="1">IF($G$216=100%,100%, IF(AM$166&lt;'2.2 Input_General_Information'!$H$20,,HLOOKUP($G$216,Growth!$G$195:$G$237,AM218,FALSE)))</f>
        <v>0.38593413954492789</v>
      </c>
      <c r="AN219" s="416">
        <f ca="1">IF($G$216=100%,100%, IF(AN$166&lt;'2.2 Input_General_Information'!$H$20,,HLOOKUP($G$216,Growth!$G$195:$G$237,AN218,FALSE)))</f>
        <v>0.39967504438845153</v>
      </c>
      <c r="AO219" s="416">
        <f ca="1">IF($G$216=100%,100%, IF(AO$166&lt;'2.2 Input_General_Information'!$H$20,,HLOOKUP($G$216,Growth!$G$195:$G$237,AO218,FALSE)))</f>
        <v>0.41357568258733612</v>
      </c>
      <c r="AP219" s="416">
        <f ca="1">IF($G$216=100%,100%, IF(AP$166&lt;'2.2 Input_General_Information'!$H$20,,HLOOKUP($G$216,Growth!$G$195:$G$237,AP218,FALSE)))</f>
        <v>0.42761540966069295</v>
      </c>
      <c r="AQ219" s="416">
        <f ca="1">IF($G$216=100%,100%, IF(AQ$166&lt;'2.2 Input_General_Information'!$H$20,,HLOOKUP($G$216,Growth!$G$195:$G$237,AQ218,FALSE)))</f>
        <v>0.44177270054532597</v>
      </c>
      <c r="AR219" s="416">
        <f ca="1">IF($G$216=100%,100%, IF(AR$166&lt;'2.2 Input_General_Information'!$H$20,,HLOOKUP($G$216,Growth!$G$195:$G$237,AR218,FALSE)))</f>
        <v>0.45602527547503763</v>
      </c>
      <c r="AS219" s="416">
        <f ca="1">IF($G$216=100%,100%, IF(AS$166&lt;'2.2 Input_General_Information'!$H$20,,HLOOKUP($G$216,Growth!$G$195:$G$237,AS218,FALSE)))</f>
        <v>0.4703502360175188</v>
      </c>
      <c r="AT219" s="416">
        <f ca="1">IF($G$216=100%,100%, IF(AT$166&lt;'2.2 Input_General_Information'!$H$20,,HLOOKUP($G$216,Growth!$G$195:$G$237,AT218,FALSE)))</f>
        <v>0.48472420956868956</v>
      </c>
      <c r="AU219" s="416">
        <f ca="1">IF($G$216=100%,100%, IF(AU$166&lt;'2.2 Input_General_Information'!$H$20,,HLOOKUP($G$216,Growth!$G$195:$G$237,AU218,FALSE)))</f>
        <v>0.4991235004079283</v>
      </c>
      <c r="AV219" s="416">
        <f ca="1">IF($G$216=100%,100%, IF(AV$166&lt;'2.2 Input_General_Information'!$H$20,,HLOOKUP($G$216,Growth!$G$195:$G$237,AV218,FALSE)))</f>
        <v>0.51352424526287899</v>
      </c>
      <c r="AW219" s="416">
        <f ca="1">IF($G$216=100%,100%, IF(AW$166&lt;'2.2 Input_General_Information'!$H$20,,HLOOKUP($G$216,Growth!$G$195:$G$237,AW218,FALSE)))</f>
        <v>0.52790257122498707</v>
      </c>
      <c r="AX219" s="416">
        <f ca="1">IF($G$216=100%,100%, IF(AX$166&lt;'2.2 Input_General_Information'!$H$20,,HLOOKUP($G$216,Growth!$G$195:$G$237,AX218,FALSE)))</f>
        <v>0.5422347538004848</v>
      </c>
      <c r="AY219" s="416">
        <f ca="1">IF($G$216=100%,100%, IF(AY$166&lt;'2.2 Input_General_Information'!$H$20,,HLOOKUP($G$216,Growth!$G$195:$G$237,AY218,FALSE)))</f>
        <v>0.55649737287828616</v>
      </c>
      <c r="AZ219" s="416">
        <f ca="1">IF($G$216=100%,100%, IF(AZ$166&lt;'2.2 Input_General_Information'!$H$20,,HLOOKUP($G$216,Growth!$G$195:$G$237,AZ218,FALSE)))</f>
        <v>0.57066746444628424</v>
      </c>
      <c r="BA219" s="416">
        <f ca="1">IF($G$216=100%,100%, IF(BA$166&lt;'2.2 Input_General_Information'!$H$20,,HLOOKUP($G$216,Growth!$G$195:$G$237,BA218,FALSE)))</f>
        <v>0.58472266598903588</v>
      </c>
      <c r="BB219" s="416">
        <f ca="1">IF($G$216=100%,100%, IF(BB$166&lt;'2.2 Input_General_Information'!$H$20,,HLOOKUP($G$216,Growth!$G$195:$G$237,BB218,FALSE)))</f>
        <v>0.59864135364908599</v>
      </c>
      <c r="BC219" s="416">
        <f ca="1">IF($G$216=100%,100%, IF(BC$166&lt;'2.2 Input_General_Information'!$H$20,,HLOOKUP($G$216,Growth!$G$195:$G$237,BC218,FALSE)))</f>
        <v>0.61240276942588423</v>
      </c>
      <c r="BD219" s="416">
        <f ca="1">IF($G$216=100%,100%, IF(BD$166&lt;'2.2 Input_General_Information'!$H$20,,HLOOKUP($G$216,Growth!$G$195:$G$237,BD218,FALSE)))</f>
        <v>0.62598713691362107</v>
      </c>
      <c r="BE219" s="416">
        <f ca="1">IF($G$216=100%,100%, IF(BE$166&lt;'2.2 Input_General_Information'!$H$20,,HLOOKUP($G$216,Growth!$G$195:$G$237,BE218,FALSE)))</f>
        <v>0.63937576433456511</v>
      </c>
      <c r="BF219" s="416">
        <f ca="1">IF($G$216=100%,100%, IF(BF$166&lt;'2.2 Input_General_Information'!$H$20,,HLOOKUP($G$216,Growth!$G$195:$G$237,BF218,FALSE)))</f>
        <v>0.65255113389910602</v>
      </c>
      <c r="BG219" s="416">
        <f ca="1">IF($G$216=100%,100%, IF(BG$166&lt;'2.2 Input_General_Information'!$H$20,,HLOOKUP($G$216,Growth!$G$195:$G$237,BG218,FALSE)))</f>
        <v>0.66549697680891462</v>
      </c>
      <c r="BH219" s="416">
        <f ca="1">IF($G$216=100%,100%, IF(BH$166&lt;'2.2 Input_General_Information'!$H$20,,HLOOKUP($G$216,Growth!$G$195:$G$237,BH218,FALSE)))</f>
        <v>0.67819833350670489</v>
      </c>
      <c r="BI219" s="416">
        <f ca="1">IF($G$216=100%,100%, IF(BI$166&lt;'2.2 Input_General_Information'!$H$20,,HLOOKUP($G$216,Growth!$G$195:$G$237,BI218,FALSE)))</f>
        <v>0.69064159905676681</v>
      </c>
      <c r="BJ219" s="416">
        <f ca="1">IF($G$216=100%,100%, IF(BJ$166&lt;'2.2 Input_General_Information'!$H$20,,HLOOKUP($G$216,Growth!$G$195:$G$237,BJ218,FALSE)))</f>
        <v>0.70281455380722657</v>
      </c>
      <c r="BK219" s="416">
        <f ca="1">IF($G$216=100%,100%, IF(BK$166&lt;'2.2 Input_General_Information'!$H$20,,HLOOKUP($G$216,Growth!$G$195:$G$237,BK218,FALSE)))</f>
        <v>0.71470637973138063</v>
      </c>
      <c r="BL219" s="416"/>
      <c r="BM219" s="416"/>
      <c r="BN219" s="416"/>
      <c r="BO219" s="416"/>
      <c r="BP219" s="416"/>
      <c r="BQ219" s="416"/>
      <c r="BR219" s="416"/>
      <c r="BS219" s="416"/>
      <c r="BT219" s="416"/>
      <c r="BU219" s="416"/>
    </row>
    <row r="220" spans="1:73" hidden="1">
      <c r="A220" s="6"/>
      <c r="B220" s="108"/>
      <c r="C220" s="1"/>
      <c r="D220" s="12"/>
      <c r="E220" s="1"/>
      <c r="F220" s="1"/>
      <c r="G220" s="3"/>
      <c r="H220" s="3"/>
      <c r="I220" s="3"/>
      <c r="J220" s="3"/>
      <c r="K220" s="3"/>
      <c r="L220" s="3"/>
      <c r="M220" s="3"/>
      <c r="N220" s="3"/>
      <c r="O220" s="1"/>
      <c r="P220" s="1"/>
      <c r="Q220" s="1"/>
      <c r="R220" s="162"/>
      <c r="S220" s="1"/>
      <c r="T220" s="101"/>
      <c r="U220" s="9" t="s">
        <v>29</v>
      </c>
      <c r="V220" s="103"/>
      <c r="W220" s="416"/>
      <c r="X220" s="416"/>
      <c r="Y220" s="416"/>
      <c r="Z220" s="416"/>
      <c r="AA220" s="416"/>
      <c r="AB220" s="416"/>
      <c r="AC220" s="416"/>
      <c r="AD220" s="416"/>
      <c r="AE220" s="416"/>
      <c r="AF220" s="416"/>
      <c r="AG220" s="416"/>
      <c r="AH220" s="416"/>
      <c r="AI220" s="416"/>
      <c r="AJ220" s="416"/>
      <c r="AK220" s="416"/>
      <c r="AL220" s="416"/>
      <c r="AM220" s="416"/>
      <c r="AN220" s="416"/>
      <c r="AO220" s="416"/>
      <c r="AP220" s="416"/>
      <c r="AQ220" s="416"/>
      <c r="AR220" s="416"/>
      <c r="AS220" s="416"/>
      <c r="AT220" s="416"/>
      <c r="AU220" s="416"/>
      <c r="AV220" s="416"/>
      <c r="AW220" s="416"/>
      <c r="AX220" s="416"/>
      <c r="AY220" s="416"/>
      <c r="AZ220" s="416"/>
      <c r="BA220" s="416"/>
      <c r="BB220" s="416"/>
      <c r="BC220" s="416"/>
      <c r="BD220" s="416"/>
      <c r="BE220" s="416"/>
      <c r="BF220" s="416"/>
      <c r="BG220" s="416"/>
      <c r="BH220" s="416"/>
      <c r="BI220" s="416"/>
      <c r="BJ220" s="416"/>
      <c r="BK220" s="416"/>
      <c r="BL220" s="416"/>
      <c r="BM220" s="416"/>
      <c r="BN220" s="416"/>
      <c r="BO220" s="416"/>
      <c r="BP220" s="416"/>
      <c r="BQ220" s="416"/>
      <c r="BR220" s="416"/>
      <c r="BS220" s="416"/>
      <c r="BT220" s="416"/>
      <c r="BU220" s="416"/>
    </row>
    <row r="221" spans="1:73">
      <c r="A221" s="6"/>
      <c r="B221" s="108"/>
      <c r="C221" s="1"/>
      <c r="D221" s="25"/>
      <c r="E221" s="1"/>
      <c r="F221" s="1"/>
      <c r="G221" s="1175" t="s">
        <v>908</v>
      </c>
      <c r="H221" s="1174"/>
      <c r="I221" s="1175" t="s">
        <v>909</v>
      </c>
      <c r="J221" s="1174"/>
      <c r="K221" s="79"/>
      <c r="L221" s="79"/>
      <c r="M221" s="79"/>
      <c r="N221" s="79"/>
      <c r="O221" s="1"/>
      <c r="P221" s="1"/>
      <c r="Q221" s="1"/>
      <c r="R221" s="162"/>
      <c r="S221" s="1"/>
      <c r="T221" s="103"/>
      <c r="U221" s="103"/>
      <c r="V221" s="103"/>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6"/>
      <c r="BM221" s="6"/>
      <c r="BN221" s="6"/>
      <c r="BO221" s="6"/>
      <c r="BP221" s="6"/>
      <c r="BQ221" s="6"/>
      <c r="BR221" s="6"/>
      <c r="BS221" s="6"/>
      <c r="BT221" s="6"/>
      <c r="BU221" s="6"/>
    </row>
    <row r="222" spans="1:73">
      <c r="A222" s="6"/>
      <c r="B222" s="108"/>
      <c r="C222" s="1"/>
      <c r="D222" s="25"/>
      <c r="E222" s="1"/>
      <c r="F222" s="1"/>
      <c r="G222" s="50" t="s">
        <v>389</v>
      </c>
      <c r="H222" s="50" t="s">
        <v>910</v>
      </c>
      <c r="I222" s="50" t="s">
        <v>246</v>
      </c>
      <c r="J222" s="50" t="s">
        <v>449</v>
      </c>
      <c r="K222" s="79"/>
      <c r="L222" s="79"/>
      <c r="M222" s="79"/>
      <c r="N222" s="79"/>
      <c r="O222" s="1"/>
      <c r="P222" s="1"/>
      <c r="Q222" s="1"/>
      <c r="R222" s="162"/>
      <c r="S222" s="1"/>
      <c r="T222" s="103"/>
      <c r="U222" s="103"/>
      <c r="V222" s="103"/>
      <c r="W222" s="81"/>
      <c r="X222" s="81"/>
      <c r="Y222" s="81"/>
      <c r="Z222" s="81"/>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6"/>
      <c r="BM222" s="6"/>
      <c r="BN222" s="6"/>
      <c r="BO222" s="6"/>
      <c r="BP222" s="6"/>
      <c r="BQ222" s="6"/>
      <c r="BR222" s="6"/>
      <c r="BS222" s="6"/>
      <c r="BT222" s="6"/>
      <c r="BU222" s="6"/>
    </row>
    <row r="223" spans="1:73">
      <c r="A223" s="6"/>
      <c r="B223" s="108"/>
      <c r="C223" s="1"/>
      <c r="D223" s="25"/>
      <c r="E223" s="15" t="str">
        <f>'2.3 Input_Main_Questionnaire'!F109</f>
        <v>Using cloud storage services (e.g. Google Drive, Office 365, Dropbox, AWS)</v>
      </c>
      <c r="F223" s="546" t="str">
        <f>'2.3 Input_Main_Questionnaire'!G109</f>
        <v>%</v>
      </c>
      <c r="G223" s="547">
        <f>'2.3 Input_Main_Questionnaire'!H109</f>
        <v>0.35</v>
      </c>
      <c r="H223" s="547">
        <f>'2.3 Input_Main_Questionnaire'!I109</f>
        <v>0.4</v>
      </c>
      <c r="I223" s="548">
        <v>0</v>
      </c>
      <c r="J223" s="213">
        <f>IF(G223=0,0,H223/G223*I223)</f>
        <v>0</v>
      </c>
      <c r="K223" s="79"/>
      <c r="L223" s="79"/>
      <c r="M223" s="79"/>
      <c r="N223" s="79"/>
      <c r="O223" s="1"/>
      <c r="P223" s="1"/>
      <c r="Q223" s="1"/>
      <c r="R223" s="162"/>
      <c r="S223" s="1"/>
      <c r="T223" s="103"/>
      <c r="U223" s="103"/>
      <c r="V223" s="103"/>
      <c r="W223" s="81"/>
      <c r="X223" s="81"/>
      <c r="Y223" s="81"/>
      <c r="Z223" s="81"/>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1"/>
      <c r="BE223" s="81"/>
      <c r="BF223" s="81"/>
      <c r="BG223" s="81"/>
      <c r="BH223" s="81"/>
      <c r="BI223" s="81"/>
      <c r="BJ223" s="81"/>
      <c r="BK223" s="81"/>
      <c r="BL223" s="6"/>
      <c r="BM223" s="6"/>
      <c r="BN223" s="6"/>
      <c r="BO223" s="6"/>
      <c r="BP223" s="6"/>
      <c r="BQ223" s="6"/>
      <c r="BR223" s="6"/>
      <c r="BS223" s="6"/>
      <c r="BT223" s="6"/>
      <c r="BU223" s="6"/>
    </row>
    <row r="224" spans="1:73">
      <c r="A224" s="6"/>
      <c r="B224" s="108"/>
      <c r="C224" s="1"/>
      <c r="D224" s="25"/>
      <c r="E224" s="15" t="str">
        <f>'2.3 Input_Main_Questionnaire'!F110</f>
        <v>Using portable storage such as CDs, DVDs, memory sticks etc.</v>
      </c>
      <c r="F224" s="546" t="str">
        <f>'2.3 Input_Main_Questionnaire'!G110</f>
        <v>%</v>
      </c>
      <c r="G224" s="547">
        <f>'2.3 Input_Main_Questionnaire'!H110</f>
        <v>0.25</v>
      </c>
      <c r="H224" s="547">
        <f>'2.3 Input_Main_Questionnaire'!I110</f>
        <v>0.35</v>
      </c>
      <c r="I224" s="548">
        <v>0</v>
      </c>
      <c r="J224" s="548">
        <f t="shared" ref="J224:J228" si="49">IF(G224=0,0,H224/G224*I224)</f>
        <v>0</v>
      </c>
      <c r="K224" s="79"/>
      <c r="L224" s="79"/>
      <c r="M224" s="79"/>
      <c r="N224" s="79"/>
      <c r="O224" s="1"/>
      <c r="P224" s="1"/>
      <c r="Q224" s="1"/>
      <c r="R224" s="162"/>
      <c r="S224" s="1"/>
      <c r="T224" s="103"/>
      <c r="U224" s="103"/>
      <c r="V224" s="103"/>
      <c r="W224" s="81"/>
      <c r="X224" s="81"/>
      <c r="Y224" s="81"/>
      <c r="Z224" s="81"/>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c r="BG224" s="81"/>
      <c r="BH224" s="81"/>
      <c r="BI224" s="81"/>
      <c r="BJ224" s="81"/>
      <c r="BK224" s="81"/>
      <c r="BL224" s="6"/>
      <c r="BM224" s="6"/>
      <c r="BN224" s="6"/>
      <c r="BO224" s="6"/>
      <c r="BP224" s="6"/>
      <c r="BQ224" s="6"/>
      <c r="BR224" s="6"/>
      <c r="BS224" s="6"/>
      <c r="BT224" s="6"/>
      <c r="BU224" s="6"/>
    </row>
    <row r="225" spans="1:73">
      <c r="A225" s="6"/>
      <c r="B225" s="108"/>
      <c r="C225" s="1"/>
      <c r="D225" s="25"/>
      <c r="E225" s="15" t="str">
        <f>'2.3 Input_Main_Questionnaire'!F111</f>
        <v>By upload to a third-party web site or FTP server accessible to reusers</v>
      </c>
      <c r="F225" s="546" t="str">
        <f>'2.3 Input_Main_Questionnaire'!G111</f>
        <v>%</v>
      </c>
      <c r="G225" s="547">
        <f>'2.3 Input_Main_Questionnaire'!H111</f>
        <v>0.2</v>
      </c>
      <c r="H225" s="547">
        <f>'2.3 Input_Main_Questionnaire'!I111</f>
        <v>0.11</v>
      </c>
      <c r="I225" s="549">
        <f t="shared" ref="I225:I227" si="50">G225+$I$230</f>
        <v>0.4</v>
      </c>
      <c r="J225" s="548">
        <f t="shared" si="49"/>
        <v>0.21999999999999997</v>
      </c>
      <c r="K225" s="79"/>
      <c r="L225" s="79"/>
      <c r="M225" s="79"/>
      <c r="N225" s="79"/>
      <c r="O225" s="1"/>
      <c r="P225" s="1"/>
      <c r="Q225" s="1"/>
      <c r="R225" s="162"/>
      <c r="S225" s="1"/>
      <c r="T225" s="103"/>
      <c r="U225" s="103"/>
      <c r="V225" s="103"/>
      <c r="W225" s="81"/>
      <c r="X225" s="81"/>
      <c r="Y225" s="81"/>
      <c r="Z225" s="81"/>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6"/>
      <c r="BM225" s="6"/>
      <c r="BN225" s="6"/>
      <c r="BO225" s="6"/>
      <c r="BP225" s="6"/>
      <c r="BQ225" s="6"/>
      <c r="BR225" s="6"/>
      <c r="BS225" s="6"/>
      <c r="BT225" s="6"/>
      <c r="BU225" s="6"/>
    </row>
    <row r="226" spans="1:73">
      <c r="A226" s="6"/>
      <c r="B226" s="108"/>
      <c r="C226" s="1"/>
      <c r="D226" s="25"/>
      <c r="E226" s="15" t="str">
        <f>'2.3 Input_Main_Questionnaire'!F112</f>
        <v>Institutional file-sharing service and on-premise storage</v>
      </c>
      <c r="F226" s="546" t="str">
        <f>'2.3 Input_Main_Questionnaire'!G112</f>
        <v>%</v>
      </c>
      <c r="G226" s="547">
        <f>'2.3 Input_Main_Questionnaire'!H112</f>
        <v>0.1</v>
      </c>
      <c r="H226" s="547">
        <f>'2.3 Input_Main_Questionnaire'!I112</f>
        <v>0.05</v>
      </c>
      <c r="I226" s="549">
        <f t="shared" si="50"/>
        <v>0.3</v>
      </c>
      <c r="J226" s="548">
        <f t="shared" si="49"/>
        <v>0.15</v>
      </c>
      <c r="K226" s="79"/>
      <c r="L226" s="79"/>
      <c r="M226" s="79"/>
      <c r="N226" s="79"/>
      <c r="O226" s="1"/>
      <c r="P226" s="1"/>
      <c r="Q226" s="1"/>
      <c r="R226" s="162"/>
      <c r="S226" s="1"/>
      <c r="T226" s="103"/>
      <c r="U226" s="103"/>
      <c r="V226" s="103"/>
      <c r="W226" s="81"/>
      <c r="X226" s="81"/>
      <c r="Y226" s="81"/>
      <c r="Z226" s="81"/>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1"/>
      <c r="BE226" s="81"/>
      <c r="BF226" s="81"/>
      <c r="BG226" s="81"/>
      <c r="BH226" s="81"/>
      <c r="BI226" s="81"/>
      <c r="BJ226" s="81"/>
      <c r="BK226" s="81"/>
      <c r="BL226" s="6"/>
      <c r="BM226" s="6"/>
      <c r="BN226" s="6"/>
      <c r="BO226" s="6"/>
      <c r="BP226" s="6"/>
      <c r="BQ226" s="6"/>
      <c r="BR226" s="6"/>
      <c r="BS226" s="6"/>
      <c r="BT226" s="6"/>
      <c r="BU226" s="6"/>
    </row>
    <row r="227" spans="1:73">
      <c r="A227" s="6"/>
      <c r="B227" s="108"/>
      <c r="C227" s="1"/>
      <c r="D227" s="25"/>
      <c r="E227" s="15" t="str">
        <f>'2.3 Input_Main_Questionnaire'!F113</f>
        <v>International data repository (e.g. EBI)</v>
      </c>
      <c r="F227" s="546" t="str">
        <f>'2.3 Input_Main_Questionnaire'!G113</f>
        <v>%</v>
      </c>
      <c r="G227" s="547">
        <f>'2.3 Input_Main_Questionnaire'!H113</f>
        <v>0.05</v>
      </c>
      <c r="H227" s="547">
        <f>'2.3 Input_Main_Questionnaire'!I113</f>
        <v>0.03</v>
      </c>
      <c r="I227" s="549">
        <f t="shared" si="50"/>
        <v>0.25</v>
      </c>
      <c r="J227" s="548">
        <f t="shared" si="49"/>
        <v>0.15</v>
      </c>
      <c r="K227" s="79"/>
      <c r="L227" s="79"/>
      <c r="M227" s="79"/>
      <c r="N227" s="79"/>
      <c r="O227" s="1"/>
      <c r="P227" s="1"/>
      <c r="Q227" s="1"/>
      <c r="R227" s="162"/>
      <c r="S227" s="1"/>
      <c r="T227" s="103"/>
      <c r="U227" s="103"/>
      <c r="V227" s="103"/>
      <c r="W227" s="81"/>
      <c r="X227" s="81"/>
      <c r="Y227" s="81"/>
      <c r="Z227" s="81"/>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6"/>
      <c r="BM227" s="6"/>
      <c r="BN227" s="6"/>
      <c r="BO227" s="6"/>
      <c r="BP227" s="6"/>
      <c r="BQ227" s="6"/>
      <c r="BR227" s="6"/>
      <c r="BS227" s="6"/>
      <c r="BT227" s="6"/>
      <c r="BU227" s="6"/>
    </row>
    <row r="228" spans="1:73">
      <c r="A228" s="6"/>
      <c r="B228" s="108"/>
      <c r="C228" s="1"/>
      <c r="D228" s="25"/>
      <c r="E228" s="15" t="str">
        <f>'2.3 Input_Main_Questionnaire'!F114</f>
        <v>Other</v>
      </c>
      <c r="F228" s="546" t="str">
        <f>'2.3 Input_Main_Questionnaire'!G114</f>
        <v>%</v>
      </c>
      <c r="G228" s="547">
        <f>'2.3 Input_Main_Questionnaire'!H114</f>
        <v>0.05</v>
      </c>
      <c r="H228" s="547">
        <f>'2.3 Input_Main_Questionnaire'!I114</f>
        <v>0.06</v>
      </c>
      <c r="I228" s="549">
        <f>G228</f>
        <v>0.05</v>
      </c>
      <c r="J228" s="548">
        <f t="shared" si="49"/>
        <v>0.06</v>
      </c>
      <c r="K228" s="79"/>
      <c r="L228" s="79"/>
      <c r="M228" s="79"/>
      <c r="N228" s="79"/>
      <c r="O228" s="1"/>
      <c r="P228" s="1"/>
      <c r="Q228" s="1"/>
      <c r="R228" s="162"/>
      <c r="S228" s="1"/>
      <c r="T228" s="103"/>
      <c r="U228" s="103"/>
      <c r="V228" s="103"/>
      <c r="W228" s="81"/>
      <c r="X228" s="81"/>
      <c r="Y228" s="81"/>
      <c r="Z228" s="81"/>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6"/>
      <c r="BM228" s="6"/>
      <c r="BN228" s="6"/>
      <c r="BO228" s="6"/>
      <c r="BP228" s="6"/>
      <c r="BQ228" s="6"/>
      <c r="BR228" s="6"/>
      <c r="BS228" s="6"/>
      <c r="BT228" s="6"/>
      <c r="BU228" s="6"/>
    </row>
    <row r="229" spans="1:73">
      <c r="A229" s="6"/>
      <c r="B229" s="108"/>
      <c r="C229" s="1"/>
      <c r="D229" s="25"/>
      <c r="E229" s="4"/>
      <c r="F229" s="4"/>
      <c r="G229" s="547">
        <f>SUM(G223:G228)</f>
        <v>1</v>
      </c>
      <c r="H229" s="4"/>
      <c r="I229" s="547">
        <f>SUM(I223:I228)</f>
        <v>1</v>
      </c>
      <c r="J229" s="79"/>
      <c r="K229" s="79"/>
      <c r="L229" s="79"/>
      <c r="M229" s="79"/>
      <c r="N229" s="79"/>
      <c r="O229" s="1"/>
      <c r="P229" s="1"/>
      <c r="Q229" s="1"/>
      <c r="R229" s="162"/>
      <c r="S229" s="1"/>
      <c r="T229" s="103"/>
      <c r="U229" s="103"/>
      <c r="V229" s="103"/>
      <c r="W229" s="81"/>
      <c r="X229" s="81"/>
      <c r="Y229" s="81"/>
      <c r="Z229" s="81"/>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c r="BG229" s="81"/>
      <c r="BH229" s="81"/>
      <c r="BI229" s="81"/>
      <c r="BJ229" s="81"/>
      <c r="BK229" s="81"/>
      <c r="BL229" s="6"/>
      <c r="BM229" s="6"/>
      <c r="BN229" s="6"/>
      <c r="BO229" s="6"/>
      <c r="BP229" s="6"/>
      <c r="BQ229" s="6"/>
      <c r="BR229" s="6"/>
      <c r="BS229" s="6"/>
      <c r="BT229" s="6"/>
      <c r="BU229" s="6"/>
    </row>
    <row r="230" spans="1:73">
      <c r="A230" s="6"/>
      <c r="B230" s="108"/>
      <c r="C230" s="1"/>
      <c r="D230" s="25"/>
      <c r="E230" s="4"/>
      <c r="F230" s="4"/>
      <c r="G230" s="15" t="s">
        <v>1006</v>
      </c>
      <c r="I230" s="213">
        <f>(G223+G224)/3</f>
        <v>0.19999999999999998</v>
      </c>
      <c r="J230" s="79"/>
      <c r="K230" s="12" t="s">
        <v>1007</v>
      </c>
      <c r="L230" s="79"/>
      <c r="M230" s="79"/>
      <c r="N230" s="549">
        <f>SUM(H223:H228)-SUM(J223:J228)</f>
        <v>0.41999999999999993</v>
      </c>
      <c r="O230" s="1"/>
      <c r="P230" s="1"/>
      <c r="Q230" s="1"/>
      <c r="R230" s="162"/>
      <c r="S230" s="1"/>
      <c r="T230" s="103"/>
      <c r="U230" s="103"/>
      <c r="V230" s="103"/>
      <c r="W230" s="81"/>
      <c r="X230" s="81"/>
      <c r="Y230" s="81"/>
      <c r="Z230" s="81"/>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c r="BG230" s="81"/>
      <c r="BH230" s="81"/>
      <c r="BI230" s="81"/>
      <c r="BJ230" s="81"/>
      <c r="BK230" s="81"/>
      <c r="BL230" s="6"/>
      <c r="BM230" s="6"/>
      <c r="BN230" s="6"/>
      <c r="BO230" s="6"/>
      <c r="BP230" s="6"/>
      <c r="BQ230" s="6"/>
      <c r="BR230" s="6"/>
      <c r="BS230" s="6"/>
      <c r="BT230" s="6"/>
      <c r="BU230" s="6"/>
    </row>
    <row r="231" spans="1:73">
      <c r="A231" s="6"/>
      <c r="B231" s="108"/>
      <c r="C231" s="1"/>
      <c r="D231" s="25"/>
      <c r="E231" s="4"/>
      <c r="F231" s="4"/>
      <c r="G231" s="79"/>
      <c r="H231" s="79"/>
      <c r="I231" s="79"/>
      <c r="J231" s="79"/>
      <c r="K231" s="79"/>
      <c r="L231" s="79"/>
      <c r="M231" s="79"/>
      <c r="N231" s="79"/>
      <c r="O231" s="1"/>
      <c r="P231" s="1"/>
      <c r="Q231" s="1"/>
      <c r="R231" s="162"/>
      <c r="S231" s="1"/>
      <c r="T231" s="103"/>
      <c r="U231" s="9" t="s">
        <v>5</v>
      </c>
      <c r="V231" s="103"/>
      <c r="W231" s="81"/>
      <c r="X231" s="81"/>
      <c r="Y231" s="81"/>
      <c r="Z231" s="81"/>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6"/>
      <c r="BM231" s="6"/>
      <c r="BN231" s="6"/>
      <c r="BO231" s="6"/>
      <c r="BP231" s="6"/>
      <c r="BQ231" s="6"/>
      <c r="BR231" s="6"/>
      <c r="BS231" s="6"/>
      <c r="BT231" s="6"/>
      <c r="BU231" s="6"/>
    </row>
    <row r="232" spans="1:73">
      <c r="A232" s="6"/>
      <c r="B232" s="108"/>
      <c r="C232" s="1"/>
      <c r="D232" s="25"/>
      <c r="E232" s="4"/>
      <c r="F232" s="4"/>
      <c r="G232" s="79"/>
      <c r="H232" s="79"/>
      <c r="I232" s="79"/>
      <c r="J232" s="79"/>
      <c r="K232" s="79"/>
      <c r="L232" s="79"/>
      <c r="M232" s="79"/>
      <c r="N232" s="79"/>
      <c r="O232" s="1"/>
      <c r="P232" s="1"/>
      <c r="Q232" s="1"/>
      <c r="R232" s="162"/>
      <c r="S232" s="1"/>
      <c r="T232" s="103"/>
      <c r="U232" s="550" t="str">
        <f>D265</f>
        <v>Time saved in accessing more easily data not immediately available</v>
      </c>
      <c r="V232" s="550"/>
      <c r="W232" s="550"/>
      <c r="X232" s="550"/>
      <c r="Y232" s="550"/>
      <c r="Z232" s="550"/>
      <c r="AA232" s="550"/>
      <c r="AB232" s="550"/>
      <c r="AC232" s="550"/>
      <c r="AD232" s="550"/>
      <c r="AE232" s="550"/>
      <c r="AF232" s="550"/>
      <c r="AG232" s="550"/>
      <c r="AH232" s="550"/>
      <c r="AI232" s="550"/>
      <c r="AJ232" s="550"/>
      <c r="AK232" s="550"/>
      <c r="AL232" s="81"/>
      <c r="AM232" s="81"/>
      <c r="AN232" s="81"/>
      <c r="AO232" s="81"/>
      <c r="AP232" s="81"/>
      <c r="AQ232" s="81"/>
      <c r="AR232" s="81"/>
      <c r="AS232" s="81"/>
      <c r="AT232" s="81"/>
      <c r="AU232" s="81"/>
      <c r="AV232" s="81"/>
      <c r="AW232" s="81"/>
      <c r="AX232" s="81"/>
      <c r="AY232" s="81"/>
      <c r="AZ232" s="81"/>
      <c r="BA232" s="81"/>
      <c r="BB232" s="81"/>
      <c r="BC232" s="81"/>
      <c r="BD232" s="81"/>
      <c r="BE232" s="81"/>
      <c r="BF232" s="81"/>
      <c r="BG232" s="81"/>
      <c r="BH232" s="81"/>
      <c r="BI232" s="81"/>
      <c r="BJ232" s="81"/>
      <c r="BK232" s="81"/>
      <c r="BL232" s="6"/>
      <c r="BM232" s="6"/>
      <c r="BN232" s="6"/>
      <c r="BO232" s="6"/>
      <c r="BP232" s="6"/>
      <c r="BQ232" s="6"/>
      <c r="BR232" s="6"/>
      <c r="BS232" s="6"/>
      <c r="BT232" s="6"/>
      <c r="BU232" s="6"/>
    </row>
    <row r="233" spans="1:73">
      <c r="A233" s="6"/>
      <c r="B233" s="108"/>
      <c r="C233" s="1"/>
      <c r="D233" s="25"/>
      <c r="E233" s="4"/>
      <c r="F233" s="4"/>
      <c r="G233" s="79"/>
      <c r="H233" s="79"/>
      <c r="I233" s="79"/>
      <c r="J233" s="79"/>
      <c r="K233" s="79"/>
      <c r="L233" s="79"/>
      <c r="M233" s="79"/>
      <c r="N233" s="79"/>
      <c r="O233" s="1"/>
      <c r="P233" s="1"/>
      <c r="Q233" s="1"/>
      <c r="R233" s="162"/>
      <c r="S233" s="1"/>
      <c r="T233" s="101" t="s">
        <v>200</v>
      </c>
      <c r="U233" s="372" t="s">
        <v>289</v>
      </c>
      <c r="V233" s="103" t="str">
        <f t="shared" ref="V233:V238" si="51">E223</f>
        <v>Using cloud storage services (e.g. Google Drive, Office 365, Dropbox, AWS)</v>
      </c>
      <c r="W233" s="416">
        <f ca="1">IF($G$223=0%,0%, IF(W$166&gt;='2.2 Input_General_Information'!$H$20,$G223 * VLOOKUP(W$631,Growth!$B$128:$L$170, 11, FALSE),))</f>
        <v>0.34996499999999997</v>
      </c>
      <c r="X233" s="416">
        <f ca="1">IF(X$166&gt;='2.2 Input_General_Information'!$H$20,$G223 * VLOOKUP(X$631,Growth!$B$128:$L$170, 11, FALSE),)</f>
        <v>0.34994453225985972</v>
      </c>
      <c r="Y233" s="416">
        <f ca="1">IF(Y$166&gt;='2.2 Input_General_Information'!$H$20,$G223 * VLOOKUP(Y$631,Growth!$B$128:$L$170, 11, FALSE),)</f>
        <v>0.34991209814363855</v>
      </c>
      <c r="Z233" s="416">
        <f ca="1">IF(Z$166&gt;='2.2 Input_General_Information'!$H$20,$G223 * VLOOKUP(Z$631,Growth!$B$128:$L$170, 11, FALSE),)</f>
        <v>0.34986070610413506</v>
      </c>
      <c r="AA233" s="416">
        <f ca="1">IF(AA$166&gt;='2.2 Input_General_Information'!$H$20,$G223 * VLOOKUP(AA$631,Growth!$B$128:$L$170, 11, FALSE),)</f>
        <v>0.34977928653296103</v>
      </c>
      <c r="AB233" s="416">
        <f ca="1">IF(AB$166&gt;='2.2 Input_General_Information'!$H$20,$G223 * VLOOKUP(AB$631,Growth!$B$128:$L$170, 11, FALSE),)</f>
        <v>0.34965032345048042</v>
      </c>
      <c r="AC233" s="416">
        <f ca="1">IF(AC$166&gt;='2.2 Input_General_Information'!$H$20,$G223 * VLOOKUP(AC$631,Growth!$B$128:$L$170, 11, FALSE),)</f>
        <v>0.34944612644134043</v>
      </c>
      <c r="AD233" s="416">
        <f ca="1">IF(AD$166&gt;='2.2 Input_General_Information'!$H$20,$G223 * VLOOKUP(AD$631,Growth!$B$128:$L$170, 11, FALSE),)</f>
        <v>0.34912298570235895</v>
      </c>
      <c r="AE233" s="416">
        <f ca="1">IF(AE$166&gt;='2.2 Input_General_Information'!$H$20,$G223 * VLOOKUP(AE$631,Growth!$B$128:$L$170, 11, FALSE),)</f>
        <v>0.34861206708587567</v>
      </c>
      <c r="AF233" s="416">
        <f ca="1">IF(AF$166&gt;='2.2 Input_General_Information'!$H$20,$G223 * VLOOKUP(AF$631,Growth!$B$128:$L$170, 11, FALSE),)</f>
        <v>0.34780537573028159</v>
      </c>
      <c r="AG233" s="416">
        <f ca="1">IF(AG$166&gt;='2.2 Input_General_Information'!$H$20,$G223 * VLOOKUP(AG$631,Growth!$B$128:$L$170, 11, FALSE),)</f>
        <v>0.34653448190075459</v>
      </c>
      <c r="AH233" s="416">
        <f ca="1">IF(AH$166&gt;='2.2 Input_General_Information'!$H$20,$G223 * VLOOKUP(AH$631,Growth!$B$128:$L$170, 11, FALSE),)</f>
        <v>0.34453917630554615</v>
      </c>
      <c r="AI233" s="416">
        <f ca="1">IF(AI$166&gt;='2.2 Input_General_Information'!$H$20,$G223 * VLOOKUP(AI$631,Growth!$B$128:$L$170, 11, FALSE),)</f>
        <v>0.34142348669294614</v>
      </c>
      <c r="AJ233" s="416">
        <f ca="1">IF(AJ$166&gt;='2.2 Input_General_Information'!$H$20,$G223 * VLOOKUP(AJ$631,Growth!$B$128:$L$170, 11, FALSE),)</f>
        <v>0.33659927255843147</v>
      </c>
      <c r="AK233" s="416">
        <f ca="1">IF(AK$166&gt;='2.2 Input_General_Information'!$H$20,$G223 * VLOOKUP(AK$631,Growth!$B$128:$L$170, 11, FALSE),)</f>
        <v>0.32922658367867275</v>
      </c>
      <c r="AL233" s="416">
        <f ca="1">IF(AL$166&gt;='2.2 Input_General_Information'!$H$20,$G223 * VLOOKUP(AL$631,Growth!$B$128:$L$170, 11, FALSE),)</f>
        <v>0.31818109499775721</v>
      </c>
      <c r="AM233" s="416">
        <f ca="1">IF(AM$166&gt;='2.2 Input_General_Information'!$H$20,$G223 * VLOOKUP(AM$631,Growth!$B$128:$L$170, 11, FALSE),)</f>
        <v>0.30211676230617607</v>
      </c>
      <c r="AN233" s="416">
        <f ca="1">IF(AN$166&gt;='2.2 Input_General_Information'!$H$20,$G223 * VLOOKUP(AN$631,Growth!$B$128:$L$170, 11, FALSE),)</f>
        <v>0.27973315444349484</v>
      </c>
      <c r="AO233" s="416">
        <f ca="1">IF(AO$166&gt;='2.2 Input_General_Information'!$H$20,$G223 * VLOOKUP(AO$631,Growth!$B$128:$L$170, 11, FALSE),)</f>
        <v>0.25033774999812802</v>
      </c>
      <c r="AP233" s="416">
        <f ca="1">IF(AP$166&gt;='2.2 Input_General_Information'!$H$20,$G223 * VLOOKUP(AP$631,Growth!$B$128:$L$170, 11, FALSE),)</f>
        <v>0.21459747193247092</v>
      </c>
      <c r="AQ233" s="416">
        <f ca="1">IF(AQ$166&gt;='2.2 Input_General_Information'!$H$20,$G223 * VLOOKUP(AQ$631,Growth!$B$128:$L$170, 11, FALSE),)</f>
        <v>0.17499999999996335</v>
      </c>
      <c r="AR233" s="416">
        <f ca="1">IF(AR$166&gt;='2.2 Input_General_Information'!$H$20,$G223 * VLOOKUP(AR$631,Growth!$B$128:$L$170, 11, FALSE),)</f>
        <v>0.1354025280674595</v>
      </c>
      <c r="AS233" s="416">
        <f ca="1">IF(AS$166&gt;='2.2 Input_General_Information'!$H$20,$G223 * VLOOKUP(AS$631,Growth!$B$128:$L$170, 11, FALSE),)</f>
        <v>9.9662250001812239E-2</v>
      </c>
      <c r="AT233" s="416">
        <f ca="1">IF(AT$166&gt;='2.2 Input_General_Information'!$H$20,$G223 * VLOOKUP(AT$631,Growth!$B$128:$L$170, 11, FALSE),)</f>
        <v>7.0266845556458069E-2</v>
      </c>
      <c r="AU233" s="416">
        <f ca="1">IF(AU$166&gt;='2.2 Input_General_Information'!$H$20,$G223 * VLOOKUP(AU$631,Growth!$B$128:$L$170, 11, FALSE),)</f>
        <v>4.7883237693789271E-2</v>
      </c>
      <c r="AV233" s="416">
        <f ca="1">IF(AV$166&gt;='2.2 Input_General_Information'!$H$20,$G223 * VLOOKUP(AV$631,Growth!$B$128:$L$170, 11, FALSE),)</f>
        <v>3.1818905002218546E-2</v>
      </c>
      <c r="AW233" s="416">
        <f ca="1">IF(AW$166&gt;='2.2 Input_General_Information'!$H$20,$G223 * VLOOKUP(AW$631,Growth!$B$128:$L$170, 11, FALSE),)</f>
        <v>2.0773416321310832E-2</v>
      </c>
      <c r="AX233" s="416">
        <f ca="1">IF(AX$166&gt;='2.2 Input_General_Information'!$H$20,$G223 * VLOOKUP(AX$631,Growth!$B$128:$L$170, 11, FALSE),)</f>
        <v>1.3400727441557757E-2</v>
      </c>
      <c r="AY233" s="416">
        <f ca="1">IF(AY$166&gt;='2.2 Input_General_Information'!$H$20,$G223 * VLOOKUP(AY$631,Growth!$B$128:$L$170, 11, FALSE),)</f>
        <v>8.5765133070468125E-3</v>
      </c>
      <c r="AZ233" s="416">
        <f ca="1">IF(AZ$166&gt;='2.2 Input_General_Information'!$H$20,$G223 * VLOOKUP(AZ$631,Growth!$B$128:$L$170, 11, FALSE),)</f>
        <v>5.4608236944493124E-3</v>
      </c>
      <c r="BA233" s="416">
        <f ca="1">IF(BA$166&gt;='2.2 Input_General_Information'!$H$20,$G223 * VLOOKUP(BA$631,Growth!$B$128:$L$170, 11, FALSE),)</f>
        <v>3.4655180992424536E-3</v>
      </c>
      <c r="BB233" s="416">
        <f ca="1">IF(BB$166&gt;='2.2 Input_General_Information'!$H$20,$G223 * VLOOKUP(BB$631,Growth!$B$128:$L$170, 11, FALSE),)</f>
        <v>2.1946242697165495E-3</v>
      </c>
      <c r="BC233" s="416">
        <f ca="1">IF(BC$166&gt;='2.2 Input_General_Information'!$H$20,$G223 * VLOOKUP(BC$631,Growth!$B$128:$L$170, 11, FALSE),)</f>
        <v>1.3879329141231799E-3</v>
      </c>
      <c r="BD233" s="416">
        <f ca="1">IF(BD$166&gt;='2.2 Input_General_Information'!$H$20,$G223 * VLOOKUP(BD$631,Growth!$B$128:$L$170, 11, FALSE),)</f>
        <v>8.7701429764023284E-4</v>
      </c>
      <c r="BE233" s="416">
        <f ca="1">IF(BE$166&gt;='2.2 Input_General_Information'!$H$20,$G223 * VLOOKUP(BE$631,Growth!$B$128:$L$170, 11, FALSE),)</f>
        <v>5.5387355865904033E-4</v>
      </c>
      <c r="BF233" s="416">
        <f ca="1">IF(BF$166&gt;='2.2 Input_General_Information'!$H$20,$G223 * VLOOKUP(BF$631,Growth!$B$128:$L$170, 11, FALSE),)</f>
        <v>3.4967654951929546E-4</v>
      </c>
      <c r="BG233" s="416">
        <f ca="1">IF(BG$166&gt;='2.2 Input_General_Information'!$H$20,$G223 * VLOOKUP(BG$631,Growth!$B$128:$L$170, 11, FALSE),)</f>
        <v>2.2071346703881887E-4</v>
      </c>
      <c r="BH233" s="416">
        <f ca="1">IF(BH$166&gt;='2.2 Input_General_Information'!$H$20,$G223 * VLOOKUP(BH$631,Growth!$B$128:$L$170, 11, FALSE),)</f>
        <v>1.3929389586481709E-4</v>
      </c>
      <c r="BI233" s="416">
        <f ca="1">IF(BI$166&gt;='2.2 Input_General_Information'!$H$20,$G223 * VLOOKUP(BI$631,Growth!$B$128:$L$170, 11, FALSE),)</f>
        <v>8.7901856361394243E-5</v>
      </c>
      <c r="BJ233" s="416">
        <f ca="1">IF(BJ$166&gt;='2.2 Input_General_Information'!$H$20,$G223 * VLOOKUP(BJ$631,Growth!$B$128:$L$170, 11, FALSE),)</f>
        <v>5.5467740140197058E-5</v>
      </c>
      <c r="BK233" s="416">
        <f ca="1">IF(BK$166&gt;='2.2 Input_General_Information'!$H$20,$G223 * VLOOKUP(BK$631,Growth!$B$128:$L$170, 11, FALSE),)</f>
        <v>3.4999999999957286E-5</v>
      </c>
      <c r="BL233" s="6"/>
      <c r="BM233" s="6"/>
      <c r="BN233" s="6"/>
      <c r="BO233" s="6"/>
      <c r="BP233" s="6"/>
      <c r="BQ233" s="6"/>
      <c r="BR233" s="6"/>
      <c r="BS233" s="6"/>
      <c r="BT233" s="6"/>
      <c r="BU233" s="6"/>
    </row>
    <row r="234" spans="1:73">
      <c r="A234" s="6"/>
      <c r="B234" s="108"/>
      <c r="C234" s="1"/>
      <c r="D234" s="25"/>
      <c r="E234" s="4"/>
      <c r="F234" s="4"/>
      <c r="G234" s="79"/>
      <c r="H234" s="79"/>
      <c r="I234" s="79"/>
      <c r="J234" s="79"/>
      <c r="K234" s="79"/>
      <c r="L234" s="79"/>
      <c r="M234" s="79"/>
      <c r="N234" s="79"/>
      <c r="O234" s="1"/>
      <c r="P234" s="1"/>
      <c r="Q234" s="1"/>
      <c r="R234" s="162"/>
      <c r="S234" s="1"/>
      <c r="T234" s="101" t="s">
        <v>200</v>
      </c>
      <c r="U234" s="372" t="s">
        <v>289</v>
      </c>
      <c r="V234" s="103" t="str">
        <f t="shared" si="51"/>
        <v>Using portable storage such as CDs, DVDs, memory sticks etc.</v>
      </c>
      <c r="W234" s="416">
        <f ca="1">IF($G$224=0%,0%, IF(W$166&gt;='2.2 Input_General_Information'!$H$20,$G224 * VLOOKUP(W$631,Growth!$B$128:$L$170, 11, FALSE),))</f>
        <v>0.249975</v>
      </c>
      <c r="X234" s="416">
        <f ca="1">IF(X$166&gt;='2.2 Input_General_Information'!$H$20,$G224 * VLOOKUP(X$631,Growth!$B$128:$L$170, 11, FALSE),)</f>
        <v>0.24996038018561412</v>
      </c>
      <c r="Y234" s="416">
        <f ca="1">IF(Y$166&gt;='2.2 Input_General_Information'!$H$20,$G224 * VLOOKUP(Y$631,Growth!$B$128:$L$170, 11, FALSE),)</f>
        <v>0.24993721295974183</v>
      </c>
      <c r="Z234" s="416">
        <f ca="1">IF(Z$166&gt;='2.2 Input_General_Information'!$H$20,$G224 * VLOOKUP(Z$631,Growth!$B$128:$L$170, 11, FALSE),)</f>
        <v>0.24990050436009648</v>
      </c>
      <c r="AA234" s="416">
        <f ca="1">IF(AA$166&gt;='2.2 Input_General_Information'!$H$20,$G224 * VLOOKUP(AA$631,Growth!$B$128:$L$170, 11, FALSE),)</f>
        <v>0.24984234752354359</v>
      </c>
      <c r="AB234" s="416">
        <f ca="1">IF(AB$166&gt;='2.2 Input_General_Information'!$H$20,$G224 * VLOOKUP(AB$631,Growth!$B$128:$L$170, 11, FALSE),)</f>
        <v>0.24975023103605745</v>
      </c>
      <c r="AC234" s="416">
        <f ca="1">IF(AC$166&gt;='2.2 Input_General_Information'!$H$20,$G224 * VLOOKUP(AC$631,Growth!$B$128:$L$170, 11, FALSE),)</f>
        <v>0.2496043760295289</v>
      </c>
      <c r="AD234" s="416">
        <f ca="1">IF(AD$166&gt;='2.2 Input_General_Information'!$H$20,$G224 * VLOOKUP(AD$631,Growth!$B$128:$L$170, 11, FALSE),)</f>
        <v>0.24937356121597071</v>
      </c>
      <c r="AE234" s="416">
        <f ca="1">IF(AE$166&gt;='2.2 Input_General_Information'!$H$20,$G224 * VLOOKUP(AE$631,Growth!$B$128:$L$170, 11, FALSE),)</f>
        <v>0.24900861934705407</v>
      </c>
      <c r="AF234" s="416">
        <f ca="1">IF(AF$166&gt;='2.2 Input_General_Information'!$H$20,$G224 * VLOOKUP(AF$631,Growth!$B$128:$L$170, 11, FALSE),)</f>
        <v>0.24843241123591545</v>
      </c>
      <c r="AG234" s="416">
        <f ca="1">IF(AG$166&gt;='2.2 Input_General_Information'!$H$20,$G224 * VLOOKUP(AG$631,Growth!$B$128:$L$170, 11, FALSE),)</f>
        <v>0.24752462992911045</v>
      </c>
      <c r="AH234" s="416">
        <f ca="1">IF(AH$166&gt;='2.2 Input_General_Information'!$H$20,$G224 * VLOOKUP(AH$631,Growth!$B$128:$L$170, 11, FALSE),)</f>
        <v>0.2460994116468187</v>
      </c>
      <c r="AI234" s="416">
        <f ca="1">IF(AI$166&gt;='2.2 Input_General_Information'!$H$20,$G224 * VLOOKUP(AI$631,Growth!$B$128:$L$170, 11, FALSE),)</f>
        <v>0.24387391906639011</v>
      </c>
      <c r="AJ234" s="416">
        <f ca="1">IF(AJ$166&gt;='2.2 Input_General_Information'!$H$20,$G224 * VLOOKUP(AJ$631,Growth!$B$128:$L$170, 11, FALSE),)</f>
        <v>0.24042805182745106</v>
      </c>
      <c r="AK234" s="416">
        <f ca="1">IF(AK$166&gt;='2.2 Input_General_Information'!$H$20,$G224 * VLOOKUP(AK$631,Growth!$B$128:$L$170, 11, FALSE),)</f>
        <v>0.23516184548476626</v>
      </c>
      <c r="AL234" s="416">
        <f ca="1">IF(AL$166&gt;='2.2 Input_General_Information'!$H$20,$G224 * VLOOKUP(AL$631,Growth!$B$128:$L$170, 11, FALSE),)</f>
        <v>0.22727221071268375</v>
      </c>
      <c r="AM234" s="416">
        <f ca="1">IF(AM$166&gt;='2.2 Input_General_Information'!$H$20,$G224 * VLOOKUP(AM$631,Growth!$B$128:$L$170, 11, FALSE),)</f>
        <v>0.21579768736155436</v>
      </c>
      <c r="AN234" s="416">
        <f ca="1">IF(AN$166&gt;='2.2 Input_General_Information'!$H$20,$G224 * VLOOKUP(AN$631,Growth!$B$128:$L$170, 11, FALSE),)</f>
        <v>0.19980939603106776</v>
      </c>
      <c r="AO234" s="416">
        <f ca="1">IF(AO$166&gt;='2.2 Input_General_Information'!$H$20,$G224 * VLOOKUP(AO$631,Growth!$B$128:$L$170, 11, FALSE),)</f>
        <v>0.17881267857009145</v>
      </c>
      <c r="AP234" s="416">
        <f ca="1">IF(AP$166&gt;='2.2 Input_General_Information'!$H$20,$G224 * VLOOKUP(AP$631,Growth!$B$128:$L$170, 11, FALSE),)</f>
        <v>0.15328390852319351</v>
      </c>
      <c r="AQ234" s="416">
        <f ca="1">IF(AQ$166&gt;='2.2 Input_General_Information'!$H$20,$G224 * VLOOKUP(AQ$631,Growth!$B$128:$L$170, 11, FALSE),)</f>
        <v>0.12499999999997383</v>
      </c>
      <c r="AR234" s="416">
        <f ca="1">IF(AR$166&gt;='2.2 Input_General_Information'!$H$20,$G224 * VLOOKUP(AR$631,Growth!$B$128:$L$170, 11, FALSE),)</f>
        <v>9.6716091476756805E-2</v>
      </c>
      <c r="AS234" s="416">
        <f ca="1">IF(AS$166&gt;='2.2 Input_General_Information'!$H$20,$G224 * VLOOKUP(AS$631,Growth!$B$128:$L$170, 11, FALSE),)</f>
        <v>7.1187321429865891E-2</v>
      </c>
      <c r="AT234" s="416">
        <f ca="1">IF(AT$166&gt;='2.2 Input_General_Information'!$H$20,$G224 * VLOOKUP(AT$631,Growth!$B$128:$L$170, 11, FALSE),)</f>
        <v>5.0190603968898628E-2</v>
      </c>
      <c r="AU234" s="416">
        <f ca="1">IF(AU$166&gt;='2.2 Input_General_Information'!$H$20,$G224 * VLOOKUP(AU$631,Growth!$B$128:$L$170, 11, FALSE),)</f>
        <v>3.4202312638420912E-2</v>
      </c>
      <c r="AV234" s="416">
        <f ca="1">IF(AV$166&gt;='2.2 Input_General_Information'!$H$20,$G224 * VLOOKUP(AV$631,Growth!$B$128:$L$170, 11, FALSE),)</f>
        <v>2.2727789287298961E-2</v>
      </c>
      <c r="AW234" s="416">
        <f ca="1">IF(AW$166&gt;='2.2 Input_General_Information'!$H$20,$G224 * VLOOKUP(AW$631,Growth!$B$128:$L$170, 11, FALSE),)</f>
        <v>1.4838154515222024E-2</v>
      </c>
      <c r="AX234" s="416">
        <f ca="1">IF(AX$166&gt;='2.2 Input_General_Information'!$H$20,$G224 * VLOOKUP(AX$631,Growth!$B$128:$L$170, 11, FALSE),)</f>
        <v>9.5719481725412559E-3</v>
      </c>
      <c r="AY234" s="416">
        <f ca="1">IF(AY$166&gt;='2.2 Input_General_Information'!$H$20,$G224 * VLOOKUP(AY$631,Growth!$B$128:$L$170, 11, FALSE),)</f>
        <v>6.1260809336048661E-3</v>
      </c>
      <c r="AZ234" s="416">
        <f ca="1">IF(AZ$166&gt;='2.2 Input_General_Information'!$H$20,$G224 * VLOOKUP(AZ$631,Growth!$B$128:$L$170, 11, FALSE),)</f>
        <v>3.9005883531780805E-3</v>
      </c>
      <c r="BA234" s="416">
        <f ca="1">IF(BA$166&gt;='2.2 Input_General_Information'!$H$20,$G224 * VLOOKUP(BA$631,Growth!$B$128:$L$170, 11, FALSE),)</f>
        <v>2.4753700708874671E-3</v>
      </c>
      <c r="BB234" s="416">
        <f ca="1">IF(BB$166&gt;='2.2 Input_General_Information'!$H$20,$G224 * VLOOKUP(BB$631,Growth!$B$128:$L$170, 11, FALSE),)</f>
        <v>1.5675887640832498E-3</v>
      </c>
      <c r="BC234" s="416">
        <f ca="1">IF(BC$166&gt;='2.2 Input_General_Information'!$H$20,$G224 * VLOOKUP(BC$631,Growth!$B$128:$L$170, 11, FALSE),)</f>
        <v>9.9138065294512856E-4</v>
      </c>
      <c r="BD234" s="416">
        <f ca="1">IF(BD$166&gt;='2.2 Input_General_Information'!$H$20,$G224 * VLOOKUP(BD$631,Growth!$B$128:$L$170, 11, FALSE),)</f>
        <v>6.2643878402873776E-4</v>
      </c>
      <c r="BE234" s="416">
        <f ca="1">IF(BE$166&gt;='2.2 Input_General_Information'!$H$20,$G224 * VLOOKUP(BE$631,Growth!$B$128:$L$170, 11, FALSE),)</f>
        <v>3.9562397047074316E-4</v>
      </c>
      <c r="BF234" s="416">
        <f ca="1">IF(BF$166&gt;='2.2 Input_General_Information'!$H$20,$G224 * VLOOKUP(BF$631,Growth!$B$128:$L$170, 11, FALSE),)</f>
        <v>2.4976896394235393E-4</v>
      </c>
      <c r="BG234" s="416">
        <f ca="1">IF(BG$166&gt;='2.2 Input_General_Information'!$H$20,$G224 * VLOOKUP(BG$631,Growth!$B$128:$L$170, 11, FALSE),)</f>
        <v>1.5765247645629921E-4</v>
      </c>
      <c r="BH234" s="416">
        <f ca="1">IF(BH$166&gt;='2.2 Input_General_Information'!$H$20,$G224 * VLOOKUP(BH$631,Growth!$B$128:$L$170, 11, FALSE),)</f>
        <v>9.9495639903440791E-5</v>
      </c>
      <c r="BI234" s="416">
        <f ca="1">IF(BI$166&gt;='2.2 Input_General_Information'!$H$20,$G224 * VLOOKUP(BI$631,Growth!$B$128:$L$170, 11, FALSE),)</f>
        <v>6.2787040258138749E-5</v>
      </c>
      <c r="BJ234" s="416">
        <f ca="1">IF(BJ$166&gt;='2.2 Input_General_Information'!$H$20,$G224 * VLOOKUP(BJ$631,Growth!$B$128:$L$170, 11, FALSE),)</f>
        <v>3.9619814385855046E-5</v>
      </c>
      <c r="BK234" s="416">
        <f ca="1">IF(BK$166&gt;='2.2 Input_General_Information'!$H$20,$G224 * VLOOKUP(BK$631,Growth!$B$128:$L$170, 11, FALSE),)</f>
        <v>2.4999999999969491E-5</v>
      </c>
      <c r="BL234" s="6"/>
      <c r="BM234" s="6"/>
      <c r="BN234" s="6"/>
      <c r="BO234" s="6"/>
      <c r="BP234" s="6"/>
      <c r="BQ234" s="6"/>
      <c r="BR234" s="6"/>
      <c r="BS234" s="6"/>
      <c r="BT234" s="6"/>
      <c r="BU234" s="6"/>
    </row>
    <row r="235" spans="1:73">
      <c r="A235" s="6"/>
      <c r="B235" s="108"/>
      <c r="C235" s="1"/>
      <c r="D235" s="25"/>
      <c r="E235" s="4"/>
      <c r="F235" s="4"/>
      <c r="G235" s="79"/>
      <c r="H235" s="79"/>
      <c r="I235" s="79"/>
      <c r="J235" s="79"/>
      <c r="K235" s="79"/>
      <c r="L235" s="79"/>
      <c r="M235" s="79"/>
      <c r="N235" s="79"/>
      <c r="O235" s="1"/>
      <c r="P235" s="1"/>
      <c r="Q235" s="1"/>
      <c r="R235" s="162"/>
      <c r="S235" s="1"/>
      <c r="T235" s="101" t="s">
        <v>200</v>
      </c>
      <c r="U235" s="372" t="s">
        <v>866</v>
      </c>
      <c r="V235" s="103" t="str">
        <f t="shared" si="51"/>
        <v>By upload to a third-party web site or FTP server accessible to reusers</v>
      </c>
      <c r="W235" s="416">
        <f ca="1">IF($G$225=100%,100%, IF(W$166&gt;='2.2 Input_General_Information'!$H$20,HLOOKUP($G$225, Growth!$M$195:$M$237, W$167, FALSE),))</f>
        <v>0.20000000000000034</v>
      </c>
      <c r="X235" s="416">
        <f ca="1">IF(X$166&gt;='2.2 Input_General_Information'!$H$20,HLOOKUP($G$225, Growth!$M$195:$M$237, X$167, FALSE),)</f>
        <v>0.20395219218015789</v>
      </c>
      <c r="Y235" s="416">
        <f ca="1">IF(Y$166&gt;='2.2 Input_General_Information'!$H$20,HLOOKUP($G$225, Growth!$M$195:$M$237, Y$167, FALSE),)</f>
        <v>0.20796218139752157</v>
      </c>
      <c r="Z235" s="416">
        <f ca="1">IF(Z$166&gt;='2.2 Input_General_Information'!$H$20,HLOOKUP($G$225, Growth!$M$195:$M$237, Z$167, FALSE),)</f>
        <v>0.2120300128360231</v>
      </c>
      <c r="AA235" s="416">
        <f ca="1">IF(AA$166&gt;='2.2 Input_General_Information'!$H$20,HLOOKUP($G$225, Growth!$M$195:$M$237, AA$167, FALSE),)</f>
        <v>0.2161556977174067</v>
      </c>
      <c r="AB235" s="416">
        <f ca="1">IF(AB$166&gt;='2.2 Input_General_Information'!$H$20,HLOOKUP($G$225, Growth!$M$195:$M$237, AB$167, FALSE),)</f>
        <v>0.2203392123101727</v>
      </c>
      <c r="AC235" s="416">
        <f ca="1">IF(AC$166&gt;='2.2 Input_General_Information'!$H$20,HLOOKUP($G$225, Growth!$M$195:$M$237, AC$167, FALSE),)</f>
        <v>0.22458049695996526</v>
      </c>
      <c r="AD235" s="416">
        <f ca="1">IF(AD$166&gt;='2.2 Input_General_Information'!$H$20,HLOOKUP($G$225, Growth!$M$195:$M$237, AD$167, FALSE),)</f>
        <v>0.22887945514441194</v>
      </c>
      <c r="AE235" s="416">
        <f ca="1">IF(AE$166&gt;='2.2 Input_General_Information'!$H$20,HLOOKUP($G$225, Growth!$M$195:$M$237, AE$167, FALSE),)</f>
        <v>0.23323595255547896</v>
      </c>
      <c r="AF235" s="416">
        <f ca="1">IF(AF$166&gt;='2.2 Input_General_Information'!$H$20,HLOOKUP($G$225, Growth!$M$195:$M$237, AF$167, FALSE),)</f>
        <v>0.23764981621246406</v>
      </c>
      <c r="AG235" s="416">
        <f ca="1">IF(AG$166&gt;='2.2 Input_General_Information'!$H$20,HLOOKUP($G$225, Growth!$M$195:$M$237, AG$167, FALSE),)</f>
        <v>0.24212083360878928</v>
      </c>
      <c r="AH235" s="416">
        <f ca="1">IF(AH$166&gt;='2.2 Input_General_Information'!$H$20,HLOOKUP($G$225, Growth!$M$195:$M$237, AH$167, FALSE),)</f>
        <v>0.24664875189579055</v>
      </c>
      <c r="AI235" s="416">
        <f ca="1">IF(AI$166&gt;='2.2 Input_General_Information'!$H$20,HLOOKUP($G$225, Growth!$M$195:$M$237, AI$167, FALSE),)</f>
        <v>0.25123327710672316</v>
      </c>
      <c r="AJ235" s="416">
        <f ca="1">IF(AJ$166&gt;='2.2 Input_General_Information'!$H$20,HLOOKUP($G$225, Growth!$M$195:$M$237, AJ$167, FALSE),)</f>
        <v>0.25587407342421248</v>
      </c>
      <c r="AK235" s="416">
        <f ca="1">IF(AK$166&gt;='2.2 Input_General_Information'!$H$20,HLOOKUP($G$225, Growth!$M$195:$M$237, AK$167, FALSE),)</f>
        <v>0.26057076249437966</v>
      </c>
      <c r="AL235" s="416">
        <f ca="1">IF(AL$166&gt;='2.2 Input_General_Information'!$H$20,HLOOKUP($G$225, Growth!$M$195:$M$237, AL$167, FALSE),)</f>
        <v>0.26532292279085518</v>
      </c>
      <c r="AM235" s="416">
        <f ca="1">IF(AM$166&gt;='2.2 Input_General_Information'!$H$20,HLOOKUP($G$225, Growth!$M$195:$M$237, AM$167, FALSE),)</f>
        <v>0.27013008903186675</v>
      </c>
      <c r="AN235" s="416">
        <f ca="1">IF(AN$166&gt;='2.2 Input_General_Information'!$H$20,HLOOKUP($G$225, Growth!$M$195:$M$237, AN$167, FALSE),)</f>
        <v>0.27499175165354733</v>
      </c>
      <c r="AO235" s="416">
        <f ca="1">IF(AO$166&gt;='2.2 Input_General_Information'!$H$20,HLOOKUP($G$225, Growth!$M$195:$M$237, AO$167, FALSE),)</f>
        <v>0.27990735634255021</v>
      </c>
      <c r="AP235" s="416">
        <f ca="1">IF(AP$166&gt;='2.2 Input_General_Information'!$H$20,HLOOKUP($G$225, Growth!$M$195:$M$237, AP$167, FALSE),)</f>
        <v>0.28487630363098937</v>
      </c>
      <c r="AQ235" s="416">
        <f ca="1">IF(AQ$166&gt;='2.2 Input_General_Information'!$H$20,HLOOKUP($G$225, Growth!$M$195:$M$237, AQ$167, FALSE),)</f>
        <v>0.28989794855663609</v>
      </c>
      <c r="AR235" s="416">
        <f ca="1">IF(AR$166&gt;='2.2 Input_General_Information'!$H$20,HLOOKUP($G$225, Growth!$M$195:$M$237, AR$167, FALSE),)</f>
        <v>0.29497160039120046</v>
      </c>
      <c r="AS235" s="416">
        <f ca="1">IF(AS$166&gt;='2.2 Input_General_Information'!$H$20,HLOOKUP($G$225, Growth!$M$195:$M$237, AS$167, FALSE),)</f>
        <v>0.30009652243941076</v>
      </c>
      <c r="AT235" s="416">
        <f ca="1">IF(AT$166&gt;='2.2 Input_General_Information'!$H$20,HLOOKUP($G$225, Growth!$M$195:$M$237, AT$167, FALSE),)</f>
        <v>0.30527193191146879</v>
      </c>
      <c r="AU235" s="416">
        <f ca="1">IF(AU$166&gt;='2.2 Input_General_Information'!$H$20,HLOOKUP($G$225, Growth!$M$195:$M$237, AU$167, FALSE),)</f>
        <v>0.3104969998713113</v>
      </c>
      <c r="AV235" s="416">
        <f ca="1">IF(AV$166&gt;='2.2 Input_General_Information'!$H$20,HLOOKUP($G$225, Growth!$M$195:$M$237, AV$167, FALSE),)</f>
        <v>0.3157708512629438</v>
      </c>
      <c r="AW235" s="416">
        <f ca="1">IF(AW$166&gt;='2.2 Input_General_Information'!$H$20,HLOOKUP($G$225, Growth!$M$195:$M$237, AW$167, FALSE),)</f>
        <v>0.32109256501693195</v>
      </c>
      <c r="AX235" s="416">
        <f ca="1">IF(AX$166&gt;='2.2 Input_General_Information'!$H$20,HLOOKUP($G$225, Growth!$M$195:$M$237, AX$167, FALSE),)</f>
        <v>0.32646117423894178</v>
      </c>
      <c r="AY235" s="416">
        <f ca="1">IF(AY$166&gt;='2.2 Input_General_Information'!$H$20,HLOOKUP($G$225, Growth!$M$195:$M$237, AY$167, FALSE),)</f>
        <v>0.33187566648201133</v>
      </c>
      <c r="AZ235" s="416">
        <f ca="1">IF(AZ$166&gt;='2.2 Input_General_Information'!$H$20,HLOOKUP($G$225, Growth!$M$195:$M$237, AZ$167, FALSE),)</f>
        <v>0.33733498410400981</v>
      </c>
      <c r="BA235" s="416">
        <f ca="1">IF(BA$166&gt;='2.2 Input_General_Information'!$H$20,HLOOKUP($G$225, Growth!$M$195:$M$237, BA$167, FALSE),)</f>
        <v>0.34283802471150793</v>
      </c>
      <c r="BB235" s="416">
        <f ca="1">IF(BB$166&gt;='2.2 Input_General_Information'!$H$20,HLOOKUP($G$225, Growth!$M$195:$M$237, BB$167, FALSE),)</f>
        <v>0.3483836416910287</v>
      </c>
      <c r="BC235" s="416">
        <f ca="1">IF(BC$166&gt;='2.2 Input_General_Information'!$H$20,HLOOKUP($G$225, Growth!$M$195:$M$237, BC$167, FALSE),)</f>
        <v>0.35397064482839002</v>
      </c>
      <c r="BD235" s="416">
        <f ca="1">IF(BD$166&gt;='2.2 Input_General_Information'!$H$20,HLOOKUP($G$225, Growth!$M$195:$M$237, BD$167, FALSE),)</f>
        <v>0.35959780101657668</v>
      </c>
      <c r="BE235" s="416">
        <f ca="1">IF(BE$166&gt;='2.2 Input_General_Information'!$H$20,HLOOKUP($G$225, Growth!$M$195:$M$237, BE$167, FALSE),)</f>
        <v>0.36526383505229781</v>
      </c>
      <c r="BF235" s="416">
        <f ca="1">IF(BF$166&gt;='2.2 Input_General_Information'!$H$20,HLOOKUP($G$225, Growth!$M$195:$M$237, BF$167, FALSE),)</f>
        <v>0.37096743052109538</v>
      </c>
      <c r="BG235" s="416">
        <f ca="1">IF(BG$166&gt;='2.2 Input_General_Information'!$H$20,HLOOKUP($G$225, Growth!$M$195:$M$237, BG$167, FALSE),)</f>
        <v>0.37670723077057094</v>
      </c>
      <c r="BH235" s="416">
        <f ca="1">IF(BH$166&gt;='2.2 Input_General_Information'!$H$20,HLOOKUP($G$225, Growth!$M$195:$M$237, BH$167, FALSE),)</f>
        <v>0.38248183997099749</v>
      </c>
      <c r="BI235" s="416">
        <f ca="1">IF(BI$166&gt;='2.2 Input_General_Information'!$H$20,HLOOKUP($G$225, Growth!$M$195:$M$237, BI$167, FALSE),)</f>
        <v>0.38828982426227038</v>
      </c>
      <c r="BJ235" s="416">
        <f ca="1">IF(BJ$166&gt;='2.2 Input_General_Information'!$H$20,HLOOKUP($G$225, Growth!$M$195:$M$237, BJ$167, FALSE),)</f>
        <v>0.39412971298584576</v>
      </c>
      <c r="BK235" s="416">
        <f ca="1">IF(BK$166&gt;='2.2 Input_General_Information'!$H$20,HLOOKUP($G$225, Growth!$M$195:$M$237, BK$167, FALSE),)</f>
        <v>0.40000000000000058</v>
      </c>
      <c r="BL235" s="6"/>
      <c r="BM235" s="6"/>
      <c r="BN235" s="6"/>
      <c r="BO235" s="6"/>
      <c r="BP235" s="6"/>
      <c r="BQ235" s="6"/>
      <c r="BR235" s="6"/>
      <c r="BS235" s="6"/>
      <c r="BT235" s="6"/>
      <c r="BU235" s="6"/>
    </row>
    <row r="236" spans="1:73">
      <c r="A236" s="6"/>
      <c r="B236" s="108"/>
      <c r="C236" s="1"/>
      <c r="D236" s="25"/>
      <c r="E236" s="4"/>
      <c r="F236" s="4"/>
      <c r="G236" s="79"/>
      <c r="H236" s="79"/>
      <c r="I236" s="79"/>
      <c r="J236" s="79"/>
      <c r="K236" s="79"/>
      <c r="L236" s="79"/>
      <c r="M236" s="79"/>
      <c r="N236" s="79"/>
      <c r="O236" s="1"/>
      <c r="P236" s="1"/>
      <c r="Q236" s="1"/>
      <c r="R236" s="162"/>
      <c r="S236" s="1"/>
      <c r="T236" s="101" t="s">
        <v>200</v>
      </c>
      <c r="U236" s="372" t="s">
        <v>866</v>
      </c>
      <c r="V236" s="103" t="str">
        <f t="shared" si="51"/>
        <v>Institutional file-sharing service and on-premise storage</v>
      </c>
      <c r="W236" s="416">
        <f ca="1">IF($G$226=100%,100%, IF(W$166&gt;='2.2 Input_General_Information'!$H$20,HLOOKUP($G$226, Growth!$N$195:$N$237, W$167, FALSE),))</f>
        <v>0.10000000000000049</v>
      </c>
      <c r="X236" s="416">
        <f ca="1">IF(X$166&gt;='2.2 Input_General_Information'!$H$20,HLOOKUP($G$226, Growth!$N$195:$N$237, X$167, FALSE),)</f>
        <v>0.10307860179184981</v>
      </c>
      <c r="Y236" s="416">
        <f ca="1">IF(Y$166&gt;='2.2 Input_General_Information'!$H$20,HLOOKUP($G$226, Growth!$N$195:$N$237, Y$167, FALSE),)</f>
        <v>0.10624079338671422</v>
      </c>
      <c r="Z236" s="416">
        <f ca="1">IF(Z$166&gt;='2.2 Input_General_Information'!$H$20,HLOOKUP($G$226, Growth!$N$195:$N$237, Z$167, FALSE),)</f>
        <v>0.10948815116850535</v>
      </c>
      <c r="AA236" s="416">
        <f ca="1">IF(AA$166&gt;='2.2 Input_General_Information'!$H$20,HLOOKUP($G$226, Growth!$N$195:$N$237, AA$167, FALSE),)</f>
        <v>0.11282223796827656</v>
      </c>
      <c r="AB236" s="416">
        <f ca="1">IF(AB$166&gt;='2.2 Input_General_Information'!$H$20,HLOOKUP($G$226, Growth!$N$195:$N$237, AB$167, FALSE),)</f>
        <v>0.11624459979702181</v>
      </c>
      <c r="AC236" s="416">
        <f ca="1">IF(AC$166&gt;='2.2 Input_General_Information'!$H$20,HLOOKUP($G$226, Growth!$N$195:$N$237, AC$167, FALSE),)</f>
        <v>0.11975676241802768</v>
      </c>
      <c r="AD236" s="416">
        <f ca="1">IF(AD$166&gt;='2.2 Input_General_Information'!$H$20,HLOOKUP($G$226, Growth!$N$195:$N$237, AD$167, FALSE),)</f>
        <v>0.12336022775923593</v>
      </c>
      <c r="AE236" s="416">
        <f ca="1">IF(AE$166&gt;='2.2 Input_General_Information'!$H$20,HLOOKUP($G$226, Growth!$N$195:$N$237, AE$167, FALSE),)</f>
        <v>0.12705647016686478</v>
      </c>
      <c r="AF236" s="416">
        <f ca="1">IF(AF$166&gt;='2.2 Input_General_Information'!$H$20,HLOOKUP($G$226, Growth!$N$195:$N$237, AF$167, FALSE),)</f>
        <v>0.13084693250239218</v>
      </c>
      <c r="AG236" s="416">
        <f ca="1">IF(AG$166&gt;='2.2 Input_General_Information'!$H$20,HLOOKUP($G$226, Growth!$N$195:$N$237, AG$167, FALSE),)</f>
        <v>0.13473302208592483</v>
      </c>
      <c r="AH236" s="416">
        <f ca="1">IF(AH$166&gt;='2.2 Input_General_Information'!$H$20,HLOOKUP($G$226, Growth!$N$195:$N$237, AH$167, FALSE),)</f>
        <v>0.13871610648996202</v>
      </c>
      <c r="AI236" s="416">
        <f ca="1">IF(AI$166&gt;='2.2 Input_General_Information'!$H$20,HLOOKUP($G$226, Growth!$N$195:$N$237, AI$167, FALSE),)</f>
        <v>0.14279750918861361</v>
      </c>
      <c r="AJ236" s="416">
        <f ca="1">IF(AJ$166&gt;='2.2 Input_General_Information'!$H$20,HLOOKUP($G$226, Growth!$N$195:$N$237, AJ$167, FALSE),)</f>
        <v>0.14697850506844284</v>
      </c>
      <c r="AK236" s="416">
        <f ca="1">IF(AK$166&gt;='2.2 Input_General_Information'!$H$20,HLOOKUP($G$226, Growth!$N$195:$N$237, AK$167, FALSE),)</f>
        <v>0.15126031580827412</v>
      </c>
      <c r="AL236" s="416">
        <f ca="1">IF(AL$166&gt;='2.2 Input_General_Information'!$H$20,HLOOKUP($G$226, Growth!$N$195:$N$237, AL$167, FALSE),)</f>
        <v>0.15564410513653479</v>
      </c>
      <c r="AM236" s="416">
        <f ca="1">IF(AM$166&gt;='2.2 Input_General_Information'!$H$20,HLOOKUP($G$226, Growth!$N$195:$N$237, AM$167, FALSE),)</f>
        <v>0.1601309739759752</v>
      </c>
      <c r="AN236" s="416">
        <f ca="1">IF(AN$166&gt;='2.2 Input_General_Information'!$H$20,HLOOKUP($G$226, Growth!$N$195:$N$237, AN$167, FALSE),)</f>
        <v>0.16472195548693566</v>
      </c>
      <c r="AO236" s="416">
        <f ca="1">IF(AO$166&gt;='2.2 Input_General_Information'!$H$20,HLOOKUP($G$226, Growth!$N$195:$N$237, AO$167, FALSE),)</f>
        <v>0.16941801002169155</v>
      </c>
      <c r="AP236" s="416">
        <f ca="1">IF(AP$166&gt;='2.2 Input_General_Information'!$H$20,HLOOKUP($G$226, Growth!$N$195:$N$237, AP$167, FALSE),)</f>
        <v>0.17422002000380052</v>
      </c>
      <c r="AQ236" s="416">
        <f ca="1">IF(AQ$166&gt;='2.2 Input_General_Information'!$H$20,HLOOKUP($G$226, Growth!$N$195:$N$237, AQ$167, FALSE),)</f>
        <v>0.17912878474779281</v>
      </c>
      <c r="AR236" s="416">
        <f ca="1">IF(AR$166&gt;='2.2 Input_General_Information'!$H$20,HLOOKUP($G$226, Growth!$N$195:$N$237, AR$167, FALSE),)</f>
        <v>0.18414501523597451</v>
      </c>
      <c r="AS236" s="416">
        <f ca="1">IF(AS$166&gt;='2.2 Input_General_Information'!$H$20,HLOOKUP($G$226, Growth!$N$195:$N$237, AS$167, FALSE),)</f>
        <v>0.18926932887054376</v>
      </c>
      <c r="AT236" s="416">
        <f ca="1">IF(AT$166&gt;='2.2 Input_General_Information'!$H$20,HLOOKUP($G$226, Growth!$N$195:$N$237, AT$167, FALSE),)</f>
        <v>0.19450224422064114</v>
      </c>
      <c r="AU236" s="416">
        <f ca="1">IF(AU$166&gt;='2.2 Input_General_Information'!$H$20,HLOOKUP($G$226, Growth!$N$195:$N$237, AU$167, FALSE),)</f>
        <v>0.19984417578535013</v>
      </c>
      <c r="AV236" s="416">
        <f ca="1">IF(AV$166&gt;='2.2 Input_General_Information'!$H$20,HLOOKUP($G$226, Growth!$N$195:$N$237, AV$167, FALSE),)</f>
        <v>0.20529542879502266</v>
      </c>
      <c r="AW236" s="416">
        <f ca="1">IF(AW$166&gt;='2.2 Input_General_Information'!$H$20,HLOOKUP($G$226, Growth!$N$195:$N$237, AW$167, FALSE),)</f>
        <v>0.21085619407460965</v>
      </c>
      <c r="AX236" s="416">
        <f ca="1">IF(AX$166&gt;='2.2 Input_General_Information'!$H$20,HLOOKUP($G$226, Growth!$N$195:$N$237, AX$167, FALSE),)</f>
        <v>0.21652654299390964</v>
      </c>
      <c r="AY236" s="416">
        <f ca="1">IF(AY$166&gt;='2.2 Input_General_Information'!$H$20,HLOOKUP($G$226, Growth!$N$195:$N$237, AY$167, FALSE),)</f>
        <v>0.22230642253079974</v>
      </c>
      <c r="AZ236" s="416">
        <f ca="1">IF(AZ$166&gt;='2.2 Input_General_Information'!$H$20,HLOOKUP($G$226, Growth!$N$195:$N$237, AZ$167, FALSE),)</f>
        <v>0.22819565047455503</v>
      </c>
      <c r="BA236" s="416">
        <f ca="1">IF(BA$166&gt;='2.2 Input_General_Information'!$H$20,HLOOKUP($G$226, Growth!$N$195:$N$237, BA$167, FALSE),)</f>
        <v>0.23419391079728596</v>
      </c>
      <c r="BB236" s="416">
        <f ca="1">IF(BB$166&gt;='2.2 Input_General_Information'!$H$20,HLOOKUP($G$226, Growth!$N$195:$N$237, BB$167, FALSE),)</f>
        <v>0.2403007492223066</v>
      </c>
      <c r="BC236" s="416">
        <f ca="1">IF(BC$166&gt;='2.2 Input_General_Information'!$H$20,HLOOKUP($G$226, Growth!$N$195:$N$237, BC$167, FALSE),)</f>
        <v>0.24651556901886934</v>
      </c>
      <c r="BD236" s="416">
        <f ca="1">IF(BD$166&gt;='2.2 Input_General_Information'!$H$20,HLOOKUP($G$226, Growth!$N$195:$N$237, BD$167, FALSE),)</f>
        <v>0.25283762705314849</v>
      </c>
      <c r="BE236" s="416">
        <f ca="1">IF(BE$166&gt;='2.2 Input_General_Information'!$H$20,HLOOKUP($G$226, Growth!$N$195:$N$237, BE$167, FALSE),)</f>
        <v>0.2592660301256135</v>
      </c>
      <c r="BF236" s="416">
        <f ca="1">IF(BF$166&gt;='2.2 Input_General_Information'!$H$20,HLOOKUP($G$226, Growth!$N$195:$N$237, BF$167, FALSE),)</f>
        <v>0.265799731624972</v>
      </c>
      <c r="BG236" s="416">
        <f ca="1">IF(BG$166&gt;='2.2 Input_General_Information'!$H$20,HLOOKUP($G$226, Growth!$N$195:$N$237, BG$167, FALSE),)</f>
        <v>0.27243752852868408</v>
      </c>
      <c r="BH236" s="416">
        <f ca="1">IF(BH$166&gt;='2.2 Input_General_Information'!$H$20,HLOOKUP($G$226, Growth!$N$195:$N$237, BH$167, FALSE),)</f>
        <v>0.27917805877962742</v>
      </c>
      <c r="BI236" s="416">
        <f ca="1">IF(BI$166&gt;='2.2 Input_General_Information'!$H$20,HLOOKUP($G$226, Growth!$N$195:$N$237, BI$167, FALSE),)</f>
        <v>0.28601979906781916</v>
      </c>
      <c r="BJ236" s="416">
        <f ca="1">IF(BJ$166&gt;='2.2 Input_General_Information'!$H$20,HLOOKUP($G$226, Growth!$N$195:$N$237, BJ$167, FALSE),)</f>
        <v>0.29296106304516528</v>
      </c>
      <c r="BK236" s="416">
        <f ca="1">IF(BK$166&gt;='2.2 Input_General_Information'!$H$20,HLOOKUP($G$226, Growth!$N$195:$N$237, BK$167, FALSE),)</f>
        <v>0.30000000000000121</v>
      </c>
      <c r="BL236" s="6"/>
      <c r="BM236" s="6"/>
      <c r="BN236" s="6"/>
      <c r="BO236" s="6"/>
      <c r="BP236" s="6"/>
      <c r="BQ236" s="6"/>
      <c r="BR236" s="6"/>
      <c r="BS236" s="6"/>
      <c r="BT236" s="6"/>
      <c r="BU236" s="6"/>
    </row>
    <row r="237" spans="1:73">
      <c r="A237" s="6"/>
      <c r="B237" s="108"/>
      <c r="C237" s="1"/>
      <c r="D237" s="25"/>
      <c r="E237" s="4"/>
      <c r="F237" s="4"/>
      <c r="G237" s="79"/>
      <c r="H237" s="79"/>
      <c r="I237" s="79"/>
      <c r="J237" s="79"/>
      <c r="K237" s="79"/>
      <c r="L237" s="79"/>
      <c r="M237" s="79"/>
      <c r="N237" s="79"/>
      <c r="O237" s="1"/>
      <c r="P237" s="1"/>
      <c r="Q237" s="1"/>
      <c r="R237" s="162"/>
      <c r="S237" s="1"/>
      <c r="T237" s="101" t="s">
        <v>200</v>
      </c>
      <c r="U237" s="372" t="s">
        <v>866</v>
      </c>
      <c r="V237" s="103" t="str">
        <f t="shared" si="51"/>
        <v>International data repository (e.g. EBI)</v>
      </c>
      <c r="W237" s="416">
        <f ca="1">IF($G$227=100%,100%, IF(W$166&gt;='2.2 Input_General_Information'!$H$20,HLOOKUP($G$227, Growth!$O$195:$O$237, W$167, FALSE),))</f>
        <v>5.0000000000000176E-2</v>
      </c>
      <c r="X237" s="416">
        <f ca="1">IF(X$166&gt;='2.2 Input_General_Information'!$H$20,HLOOKUP($G$227, Growth!$O$195:$O$237, X$167, FALSE),)</f>
        <v>5.2237995275986097E-2</v>
      </c>
      <c r="Y237" s="416">
        <f ca="1">IF(Y$166&gt;='2.2 Input_General_Information'!$H$20,HLOOKUP($G$227, Growth!$O$195:$O$237, Y$167, FALSE),)</f>
        <v>5.4570408849142146E-2</v>
      </c>
      <c r="Z237" s="416">
        <f ca="1">IF(Z$166&gt;='2.2 Input_General_Information'!$H$20,HLOOKUP($G$227, Growth!$O$195:$O$237, Z$167, FALSE),)</f>
        <v>5.7000700778401497E-2</v>
      </c>
      <c r="AA237" s="416">
        <f ca="1">IF(AA$166&gt;='2.2 Input_General_Information'!$H$20,HLOOKUP($G$227, Growth!$O$195:$O$237, AA$167, FALSE),)</f>
        <v>5.9532410420010957E-2</v>
      </c>
      <c r="AB237" s="416">
        <f ca="1">IF(AB$166&gt;='2.2 Input_General_Information'!$H$20,HLOOKUP($G$227, Growth!$O$195:$O$237, AB$167, FALSE),)</f>
        <v>6.216915369657363E-2</v>
      </c>
      <c r="AC237" s="416">
        <f ca="1">IF(AC$166&gt;='2.2 Input_General_Information'!$H$20,HLOOKUP($G$227, Growth!$O$195:$O$237, AC$167, FALSE),)</f>
        <v>6.4914619820918201E-2</v>
      </c>
      <c r="AD237" s="416">
        <f ca="1">IF(AD$166&gt;='2.2 Input_General_Information'!$H$20,HLOOKUP($G$227, Growth!$O$195:$O$237, AD$167, FALSE),)</f>
        <v>6.7772567433592293E-2</v>
      </c>
      <c r="AE237" s="416">
        <f ca="1">IF(AE$166&gt;='2.2 Input_General_Information'!$H$20,HLOOKUP($G$227, Growth!$O$195:$O$237, AE$167, FALSE),)</f>
        <v>7.0746820111932493E-2</v>
      </c>
      <c r="AF237" s="416">
        <f ca="1">IF(AF$166&gt;='2.2 Input_General_Information'!$H$20,HLOOKUP($G$227, Growth!$O$195:$O$237, AF$167, FALSE),)</f>
        <v>7.3841261208097531E-2</v>
      </c>
      <c r="AG237" s="416">
        <f ca="1">IF(AG$166&gt;='2.2 Input_General_Information'!$H$20,HLOOKUP($G$227, Growth!$O$195:$O$237, AG$167, FALSE),)</f>
        <v>7.7059827973213271E-2</v>
      </c>
      <c r="AH237" s="416">
        <f ca="1">IF(AH$166&gt;='2.2 Input_General_Information'!$H$20,HLOOKUP($G$227, Growth!$O$195:$O$237, AH$167, FALSE),)</f>
        <v>8.0406504924924183E-2</v>
      </c>
      <c r="AI237" s="416">
        <f ca="1">IF(AI$166&gt;='2.2 Input_General_Information'!$H$20,HLOOKUP($G$227, Growth!$O$195:$O$237, AI$167, FALSE),)</f>
        <v>8.3885316416231995E-2</v>
      </c>
      <c r="AJ237" s="416">
        <f ca="1">IF(AJ$166&gt;='2.2 Input_General_Information'!$H$20,HLOOKUP($G$227, Growth!$O$195:$O$237, AJ$167, FALSE),)</f>
        <v>8.7500318364589852E-2</v>
      </c>
      <c r="AK237" s="416">
        <f ca="1">IF(AK$166&gt;='2.2 Input_General_Information'!$H$20,HLOOKUP($G$227, Growth!$O$195:$O$237, AK$167, FALSE),)</f>
        <v>9.1255589101873841E-2</v>
      </c>
      <c r="AL237" s="416">
        <f ca="1">IF(AL$166&gt;='2.2 Input_General_Information'!$H$20,HLOOKUP($G$227, Growth!$O$195:$O$237, AL$167, FALSE),)</f>
        <v>9.515521930813603E-2</v>
      </c>
      <c r="AM237" s="416">
        <f ca="1">IF(AM$166&gt;='2.2 Input_General_Information'!$H$20,HLOOKUP($G$227, Growth!$O$195:$O$237, AM$167, FALSE),)</f>
        <v>9.9203300995024044E-2</v>
      </c>
      <c r="AN237" s="416">
        <f ca="1">IF(AN$166&gt;='2.2 Input_General_Information'!$H$20,HLOOKUP($G$227, Growth!$O$195:$O$237, AN$167, FALSE),)</f>
        <v>0.10340391550849573</v>
      </c>
      <c r="AO237" s="416">
        <f ca="1">IF(AO$166&gt;='2.2 Input_General_Information'!$H$20,HLOOKUP($G$227, Growth!$O$195:$O$237, AO$167, FALSE),)</f>
        <v>0.10776112052502977</v>
      </c>
      <c r="AP237" s="416">
        <f ca="1">IF(AP$166&gt;='2.2 Input_General_Information'!$H$20,HLOOKUP($G$227, Growth!$O$195:$O$237, AP$167, FALSE),)</f>
        <v>0.11227893602099634</v>
      </c>
      <c r="AQ237" s="416">
        <f ca="1">IF(AQ$166&gt;='2.2 Input_General_Information'!$H$20,HLOOKUP($G$227, Growth!$O$195:$O$237, AQ$167, FALSE),)</f>
        <v>0.11696132920126374</v>
      </c>
      <c r="AR237" s="416">
        <f ca="1">IF(AR$166&gt;='2.2 Input_General_Information'!$H$20,HLOOKUP($G$227, Growth!$O$195:$O$237, AR$167, FALSE),)</f>
        <v>0.1218121983805287</v>
      </c>
      <c r="AS237" s="416">
        <f ca="1">IF(AS$166&gt;='2.2 Input_General_Information'!$H$20,HLOOKUP($G$227, Growth!$O$195:$O$237, AS$167, FALSE),)</f>
        <v>0.12683535581931035</v>
      </c>
      <c r="AT237" s="416">
        <f ca="1">IF(AT$166&gt;='2.2 Input_General_Information'!$H$20,HLOOKUP($G$227, Growth!$O$195:$O$237, AT$167, FALSE),)</f>
        <v>0.13203450952607476</v>
      </c>
      <c r="AU237" s="416">
        <f ca="1">IF(AU$166&gt;='2.2 Input_General_Information'!$H$20,HLOOKUP($G$227, Growth!$O$195:$O$237, AU$167, FALSE),)</f>
        <v>0.13741324404756994</v>
      </c>
      <c r="AV237" s="416">
        <f ca="1">IF(AV$166&gt;='2.2 Input_General_Information'!$H$20,HLOOKUP($G$227, Growth!$O$195:$O$237, AV$167, FALSE),)</f>
        <v>0.14297500028115562</v>
      </c>
      <c r="AW237" s="416">
        <f ca="1">IF(AW$166&gt;='2.2 Input_General_Information'!$H$20,HLOOKUP($G$227, Growth!$O$195:$O$237, AW$167, FALSE),)</f>
        <v>0.14872305435568439</v>
      </c>
      <c r="AX237" s="416">
        <f ca="1">IF(AX$166&gt;='2.2 Input_General_Information'!$H$20,HLOOKUP($G$227, Growth!$O$195:$O$237, AX$167, FALSE),)</f>
        <v>0.15466049564128831</v>
      </c>
      <c r="AY237" s="416">
        <f ca="1">IF(AY$166&gt;='2.2 Input_General_Information'!$H$20,HLOOKUP($G$227, Growth!$O$195:$O$237, AY$167, FALSE),)</f>
        <v>0.16079020396318189</v>
      </c>
      <c r="AZ237" s="416">
        <f ca="1">IF(AZ$166&gt;='2.2 Input_General_Information'!$H$20,HLOOKUP($G$227, Growth!$O$195:$O$237, AZ$167, FALSE),)</f>
        <v>0.16711482611020964</v>
      </c>
      <c r="BA237" s="416">
        <f ca="1">IF(BA$166&gt;='2.2 Input_General_Information'!$H$20,HLOOKUP($G$227, Growth!$O$195:$O$237, BA$167, FALSE),)</f>
        <v>0.17363675174521578</v>
      </c>
      <c r="BB237" s="416">
        <f ca="1">IF(BB$166&gt;='2.2 Input_General_Information'!$H$20,HLOOKUP($G$227, Growth!$O$195:$O$237, BB$167, FALSE),)</f>
        <v>0.18035808884123791</v>
      </c>
      <c r="BC237" s="416">
        <f ca="1">IF(BC$166&gt;='2.2 Input_General_Information'!$H$20,HLOOKUP($G$227, Growth!$O$195:$O$237, BC$167, FALSE),)</f>
        <v>0.18728063878482704</v>
      </c>
      <c r="BD237" s="416">
        <f ca="1">IF(BD$166&gt;='2.2 Input_General_Information'!$H$20,HLOOKUP($G$227, Growth!$O$195:$O$237, BD$167, FALSE),)</f>
        <v>0.19440587130524359</v>
      </c>
      <c r="BE237" s="416">
        <f ca="1">IF(BE$166&gt;='2.2 Input_General_Information'!$H$20,HLOOKUP($G$227, Growth!$O$195:$O$237, BE$167, FALSE),)</f>
        <v>0.20173489940561035</v>
      </c>
      <c r="BF237" s="416">
        <f ca="1">IF(BF$166&gt;='2.2 Input_General_Information'!$H$20,HLOOKUP($G$227, Growth!$O$195:$O$237, BF$167, FALSE),)</f>
        <v>0.20926845448901163</v>
      </c>
      <c r="BG237" s="416">
        <f ca="1">IF(BG$166&gt;='2.2 Input_General_Information'!$H$20,HLOOKUP($G$227, Growth!$O$195:$O$237, BG$167, FALSE),)</f>
        <v>0.21700686188869028</v>
      </c>
      <c r="BH237" s="416">
        <f ca="1">IF(BH$166&gt;='2.2 Input_General_Information'!$H$20,HLOOKUP($G$227, Growth!$O$195:$O$237, BH$167, FALSE),)</f>
        <v>0.22495001702654011</v>
      </c>
      <c r="BI237" s="416">
        <f ca="1">IF(BI$166&gt;='2.2 Input_General_Information'!$H$20,HLOOKUP($G$227, Growth!$O$195:$O$237, BI$167, FALSE),)</f>
        <v>0.23309736243764415</v>
      </c>
      <c r="BJ237" s="416">
        <f ca="1">IF(BJ$166&gt;='2.2 Input_General_Information'!$H$20,HLOOKUP($G$227, Growth!$O$195:$O$237, BJ$167, FALSE),)</f>
        <v>0.24144786591026057</v>
      </c>
      <c r="BK237" s="416">
        <f ca="1">IF(BK$166&gt;='2.2 Input_General_Information'!$H$20,HLOOKUP($G$227, Growth!$O$195:$O$237, BK$167, FALSE),)</f>
        <v>0.25000000000000067</v>
      </c>
      <c r="BL237" s="6"/>
      <c r="BM237" s="6"/>
      <c r="BN237" s="6"/>
      <c r="BO237" s="6"/>
      <c r="BP237" s="6"/>
      <c r="BQ237" s="6"/>
      <c r="BR237" s="6"/>
      <c r="BS237" s="6"/>
      <c r="BT237" s="6"/>
      <c r="BU237" s="6"/>
    </row>
    <row r="238" spans="1:73">
      <c r="A238" s="6"/>
      <c r="B238" s="108"/>
      <c r="C238" s="1"/>
      <c r="D238" s="25"/>
      <c r="E238" s="4"/>
      <c r="F238" s="4"/>
      <c r="G238" s="79"/>
      <c r="H238" s="79"/>
      <c r="I238" s="79"/>
      <c r="J238" s="79"/>
      <c r="K238" s="79"/>
      <c r="L238" s="79"/>
      <c r="M238" s="79"/>
      <c r="N238" s="79"/>
      <c r="O238" s="1"/>
      <c r="P238" s="1"/>
      <c r="Q238" s="1"/>
      <c r="R238" s="162"/>
      <c r="S238" s="1"/>
      <c r="T238" s="101" t="s">
        <v>200</v>
      </c>
      <c r="U238" s="372" t="s">
        <v>866</v>
      </c>
      <c r="V238" s="103" t="str">
        <f t="shared" si="51"/>
        <v>Other</v>
      </c>
      <c r="W238" s="416">
        <f t="shared" ref="W238:BK238" si="52">$I$228</f>
        <v>0.05</v>
      </c>
      <c r="X238" s="416">
        <f t="shared" si="52"/>
        <v>0.05</v>
      </c>
      <c r="Y238" s="416">
        <f t="shared" si="52"/>
        <v>0.05</v>
      </c>
      <c r="Z238" s="416">
        <f t="shared" si="52"/>
        <v>0.05</v>
      </c>
      <c r="AA238" s="416">
        <f t="shared" si="52"/>
        <v>0.05</v>
      </c>
      <c r="AB238" s="416">
        <f t="shared" si="52"/>
        <v>0.05</v>
      </c>
      <c r="AC238" s="416">
        <f t="shared" si="52"/>
        <v>0.05</v>
      </c>
      <c r="AD238" s="416">
        <f t="shared" si="52"/>
        <v>0.05</v>
      </c>
      <c r="AE238" s="416">
        <f t="shared" si="52"/>
        <v>0.05</v>
      </c>
      <c r="AF238" s="416">
        <f t="shared" si="52"/>
        <v>0.05</v>
      </c>
      <c r="AG238" s="416">
        <f t="shared" si="52"/>
        <v>0.05</v>
      </c>
      <c r="AH238" s="416">
        <f t="shared" si="52"/>
        <v>0.05</v>
      </c>
      <c r="AI238" s="416">
        <f t="shared" si="52"/>
        <v>0.05</v>
      </c>
      <c r="AJ238" s="416">
        <f t="shared" si="52"/>
        <v>0.05</v>
      </c>
      <c r="AK238" s="416">
        <f t="shared" si="52"/>
        <v>0.05</v>
      </c>
      <c r="AL238" s="416">
        <f t="shared" si="52"/>
        <v>0.05</v>
      </c>
      <c r="AM238" s="416">
        <f t="shared" si="52"/>
        <v>0.05</v>
      </c>
      <c r="AN238" s="416">
        <f t="shared" si="52"/>
        <v>0.05</v>
      </c>
      <c r="AO238" s="416">
        <f t="shared" si="52"/>
        <v>0.05</v>
      </c>
      <c r="AP238" s="416">
        <f t="shared" si="52"/>
        <v>0.05</v>
      </c>
      <c r="AQ238" s="416">
        <f t="shared" si="52"/>
        <v>0.05</v>
      </c>
      <c r="AR238" s="416">
        <f t="shared" si="52"/>
        <v>0.05</v>
      </c>
      <c r="AS238" s="416">
        <f t="shared" si="52"/>
        <v>0.05</v>
      </c>
      <c r="AT238" s="416">
        <f t="shared" si="52"/>
        <v>0.05</v>
      </c>
      <c r="AU238" s="416">
        <f t="shared" si="52"/>
        <v>0.05</v>
      </c>
      <c r="AV238" s="416">
        <f t="shared" si="52"/>
        <v>0.05</v>
      </c>
      <c r="AW238" s="416">
        <f t="shared" si="52"/>
        <v>0.05</v>
      </c>
      <c r="AX238" s="416">
        <f t="shared" si="52"/>
        <v>0.05</v>
      </c>
      <c r="AY238" s="416">
        <f t="shared" si="52"/>
        <v>0.05</v>
      </c>
      <c r="AZ238" s="416">
        <f t="shared" si="52"/>
        <v>0.05</v>
      </c>
      <c r="BA238" s="416">
        <f t="shared" si="52"/>
        <v>0.05</v>
      </c>
      <c r="BB238" s="416">
        <f t="shared" si="52"/>
        <v>0.05</v>
      </c>
      <c r="BC238" s="416">
        <f t="shared" si="52"/>
        <v>0.05</v>
      </c>
      <c r="BD238" s="416">
        <f t="shared" si="52"/>
        <v>0.05</v>
      </c>
      <c r="BE238" s="416">
        <f t="shared" si="52"/>
        <v>0.05</v>
      </c>
      <c r="BF238" s="416">
        <f t="shared" si="52"/>
        <v>0.05</v>
      </c>
      <c r="BG238" s="416">
        <f t="shared" si="52"/>
        <v>0.05</v>
      </c>
      <c r="BH238" s="416">
        <f t="shared" si="52"/>
        <v>0.05</v>
      </c>
      <c r="BI238" s="416">
        <f t="shared" si="52"/>
        <v>0.05</v>
      </c>
      <c r="BJ238" s="416">
        <f t="shared" si="52"/>
        <v>0.05</v>
      </c>
      <c r="BK238" s="416">
        <f t="shared" si="52"/>
        <v>0.05</v>
      </c>
      <c r="BL238" s="6"/>
      <c r="BM238" s="6"/>
      <c r="BN238" s="6"/>
      <c r="BO238" s="6"/>
      <c r="BP238" s="6"/>
      <c r="BQ238" s="6"/>
      <c r="BR238" s="6"/>
      <c r="BS238" s="6"/>
      <c r="BT238" s="6"/>
      <c r="BU238" s="6"/>
    </row>
    <row r="239" spans="1:73">
      <c r="A239" s="6"/>
      <c r="B239" s="108"/>
      <c r="C239" s="1"/>
      <c r="D239" s="25"/>
      <c r="E239" s="4"/>
      <c r="F239" s="4"/>
      <c r="G239" s="79"/>
      <c r="H239" s="79"/>
      <c r="I239" s="79"/>
      <c r="J239" s="79"/>
      <c r="K239" s="79"/>
      <c r="L239" s="79"/>
      <c r="M239" s="79"/>
      <c r="N239" s="79"/>
      <c r="O239" s="1"/>
      <c r="P239" s="1"/>
      <c r="Q239" s="1"/>
      <c r="R239" s="162"/>
      <c r="S239" s="1"/>
      <c r="T239" s="103"/>
      <c r="U239" s="103"/>
      <c r="V239" s="103"/>
      <c r="W239" s="81"/>
      <c r="X239" s="81"/>
      <c r="Y239" s="81"/>
      <c r="Z239" s="81"/>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c r="BG239" s="81"/>
      <c r="BH239" s="81"/>
      <c r="BI239" s="81"/>
      <c r="BJ239" s="81"/>
      <c r="BK239" s="81"/>
      <c r="BL239" s="6"/>
      <c r="BM239" s="6"/>
      <c r="BN239" s="6"/>
      <c r="BO239" s="6"/>
      <c r="BP239" s="6"/>
      <c r="BQ239" s="6"/>
      <c r="BR239" s="6"/>
      <c r="BS239" s="6"/>
      <c r="BT239" s="6"/>
      <c r="BU239" s="6"/>
    </row>
    <row r="240" spans="1:73">
      <c r="A240" s="6"/>
      <c r="B240" s="108"/>
      <c r="C240" s="1"/>
      <c r="D240" s="25"/>
      <c r="E240" s="4"/>
      <c r="F240" s="4"/>
      <c r="G240" s="79"/>
      <c r="H240" s="79"/>
      <c r="I240" s="79"/>
      <c r="J240" s="79"/>
      <c r="K240" s="79"/>
      <c r="L240" s="79"/>
      <c r="M240" s="79"/>
      <c r="N240" s="79"/>
      <c r="O240" s="1"/>
      <c r="P240" s="1"/>
      <c r="Q240" s="1"/>
      <c r="R240" s="162"/>
      <c r="S240" s="1"/>
      <c r="T240" s="101"/>
      <c r="U240" s="101"/>
      <c r="V240" s="101" t="s">
        <v>932</v>
      </c>
      <c r="W240" s="469">
        <f ca="1">IF(W$166&gt;='2.2 Input_General_Information'!$H$20,SUM(W233:W238),)</f>
        <v>0.99994000000000105</v>
      </c>
      <c r="X240" s="469">
        <f ca="1">IF(X$166&gt;='2.2 Input_General_Information'!$H$20,SUM(X233:X238),)</f>
        <v>1.0091737016934677</v>
      </c>
      <c r="Y240" s="469">
        <f ca="1">IF(Y$166&gt;='2.2 Input_General_Information'!$H$20,SUM(Y233:Y238),)</f>
        <v>1.0186226947367583</v>
      </c>
      <c r="Z240" s="469">
        <f ca="1">IF(Z$166&gt;='2.2 Input_General_Information'!$H$20,SUM(Z233:Z238),)</f>
        <v>1.0282800752471615</v>
      </c>
      <c r="AA240" s="469">
        <f ca="1">IF(AA$166&gt;='2.2 Input_General_Information'!$H$20,SUM(AA233:AA238),)</f>
        <v>1.0381319801621989</v>
      </c>
      <c r="AB240" s="469">
        <f ca="1">IF(AB$166&gt;='2.2 Input_General_Information'!$H$20,SUM(AB233:AB238),)</f>
        <v>1.0481535202903061</v>
      </c>
      <c r="AC240" s="469">
        <f ca="1">IF(AC$166&gt;='2.2 Input_General_Information'!$H$20,SUM(AC233:AC238),)</f>
        <v>1.0583023816697805</v>
      </c>
      <c r="AD240" s="469">
        <f ca="1">IF(AD$166&gt;='2.2 Input_General_Information'!$H$20,SUM(AD233:AD238),)</f>
        <v>1.06850879725557</v>
      </c>
      <c r="AE240" s="469">
        <f ca="1">IF(AE$166&gt;='2.2 Input_General_Information'!$H$20,SUM(AE233:AE238),)</f>
        <v>1.0786599292672061</v>
      </c>
      <c r="AF240" s="469">
        <f ca="1">IF(AF$166&gt;='2.2 Input_General_Information'!$H$20,SUM(AF233:AF238),)</f>
        <v>1.088575796889151</v>
      </c>
      <c r="AG240" s="469">
        <f ca="1">IF(AG$166&gt;='2.2 Input_General_Information'!$H$20,SUM(AG233:AG238),)</f>
        <v>1.0979727954977925</v>
      </c>
      <c r="AH240" s="469">
        <f ca="1">IF(AH$166&gt;='2.2 Input_General_Information'!$H$20,SUM(AH233:AH238),)</f>
        <v>1.1064099512630416</v>
      </c>
      <c r="AI240" s="469">
        <f ca="1">IF(AI$166&gt;='2.2 Input_General_Information'!$H$20,SUM(AI233:AI238),)</f>
        <v>1.1132135084709052</v>
      </c>
      <c r="AJ240" s="469">
        <f ca="1">IF(AJ$166&gt;='2.2 Input_General_Information'!$H$20,SUM(AJ233:AJ238),)</f>
        <v>1.1173802212431279</v>
      </c>
      <c r="AK240" s="469">
        <f ca="1">IF(AK$166&gt;='2.2 Input_General_Information'!$H$20,SUM(AK233:AK238),)</f>
        <v>1.1174750965679667</v>
      </c>
      <c r="AL240" s="469">
        <f ca="1">IF(AL$166&gt;='2.2 Input_General_Information'!$H$20,SUM(AL233:AL238),)</f>
        <v>1.111575552945967</v>
      </c>
      <c r="AM240" s="469">
        <f ca="1">IF(AM$166&gt;='2.2 Input_General_Information'!$H$20,SUM(AM233:AM238),)</f>
        <v>1.0973788136705964</v>
      </c>
      <c r="AN240" s="469">
        <f ca="1">IF(AN$166&gt;='2.2 Input_General_Information'!$H$20,SUM(AN233:AN238),)</f>
        <v>1.0726601731235414</v>
      </c>
      <c r="AO240" s="469">
        <f ca="1">IF(AO$166&gt;='2.2 Input_General_Information'!$H$20,SUM(AO233:AO238),)</f>
        <v>1.0362369154574911</v>
      </c>
      <c r="AP240" s="469">
        <f ca="1">IF(AP$166&gt;='2.2 Input_General_Information'!$H$20,SUM(AP233:AP238),)</f>
        <v>0.98925664011145076</v>
      </c>
      <c r="AQ240" s="469">
        <f ca="1">IF(AQ$166&gt;='2.2 Input_General_Information'!$H$20,SUM(AQ233:AQ238),)</f>
        <v>0.93598806250562994</v>
      </c>
      <c r="AR240" s="469">
        <f ca="1">IF(AR$166&gt;='2.2 Input_General_Information'!$H$20,SUM(AR233:AR238),)</f>
        <v>0.88304743355192006</v>
      </c>
      <c r="AS240" s="469">
        <f ca="1">IF(AS$166&gt;='2.2 Input_General_Information'!$H$20,SUM(AS233:AS238),)</f>
        <v>0.83705077856094301</v>
      </c>
      <c r="AT240" s="469">
        <f ca="1">IF(AT$166&gt;='2.2 Input_General_Information'!$H$20,SUM(AT233:AT238),)</f>
        <v>0.8022661351835414</v>
      </c>
      <c r="AU240" s="469">
        <f ca="1">IF(AU$166&gt;='2.2 Input_General_Information'!$H$20,SUM(AU233:AU238),)</f>
        <v>0.77983997003644157</v>
      </c>
      <c r="AV240" s="469">
        <f ca="1">IF(AV$166&gt;='2.2 Input_General_Information'!$H$20,SUM(AV233:AV238),)</f>
        <v>0.7685879746286397</v>
      </c>
      <c r="AW240" s="469">
        <f ca="1">IF(AW$166&gt;='2.2 Input_General_Information'!$H$20,SUM(AW233:AW238),)</f>
        <v>0.76628338428375886</v>
      </c>
      <c r="AX240" s="469">
        <f ca="1">IF(AX$166&gt;='2.2 Input_General_Information'!$H$20,SUM(AX233:AX238),)</f>
        <v>0.77062088848823884</v>
      </c>
      <c r="AY240" s="469">
        <f ca="1">IF(AY$166&gt;='2.2 Input_General_Information'!$H$20,SUM(AY233:AY238),)</f>
        <v>0.77967488721664469</v>
      </c>
      <c r="AZ240" s="469">
        <f ca="1">IF(AZ$166&gt;='2.2 Input_General_Information'!$H$20,SUM(AZ233:AZ238),)</f>
        <v>0.79200687273640191</v>
      </c>
      <c r="BA240" s="469">
        <f ca="1">IF(BA$166&gt;='2.2 Input_General_Information'!$H$20,SUM(BA233:BA238),)</f>
        <v>0.80660957542413958</v>
      </c>
      <c r="BB240" s="469">
        <f ca="1">IF(BB$166&gt;='2.2 Input_General_Information'!$H$20,SUM(BB233:BB238),)</f>
        <v>0.82280469278837309</v>
      </c>
      <c r="BC240" s="469">
        <f ca="1">IF(BC$166&gt;='2.2 Input_General_Information'!$H$20,SUM(BC233:BC238),)</f>
        <v>0.84014616619915483</v>
      </c>
      <c r="BD240" s="469">
        <f ca="1">IF(BD$166&gt;='2.2 Input_General_Information'!$H$20,SUM(BD233:BD238),)</f>
        <v>0.85834475245663777</v>
      </c>
      <c r="BE240" s="469">
        <f ca="1">IF(BE$166&gt;='2.2 Input_General_Information'!$H$20,SUM(BE233:BE238),)</f>
        <v>0.87721426211265152</v>
      </c>
      <c r="BF240" s="469">
        <f ca="1">IF(BF$166&gt;='2.2 Input_General_Information'!$H$20,SUM(BF233:BF238),)</f>
        <v>0.89663506214854072</v>
      </c>
      <c r="BG240" s="469">
        <f ca="1">IF(BG$166&gt;='2.2 Input_General_Information'!$H$20,SUM(BG233:BG238),)</f>
        <v>0.91652998713144052</v>
      </c>
      <c r="BH240" s="469">
        <f ca="1">IF(BH$166&gt;='2.2 Input_General_Information'!$H$20,SUM(BH233:BH238),)</f>
        <v>0.93684870531293329</v>
      </c>
      <c r="BI240" s="469">
        <f ca="1">IF(BI$166&gt;='2.2 Input_General_Information'!$H$20,SUM(BI233:BI238),)</f>
        <v>0.95755767466435315</v>
      </c>
      <c r="BJ240" s="469">
        <f ca="1">IF(BJ$166&gt;='2.2 Input_General_Information'!$H$20,SUM(BJ233:BJ238),)</f>
        <v>0.97863372949579763</v>
      </c>
      <c r="BK240" s="469">
        <f ca="1">IF(BK$166&gt;='2.2 Input_General_Information'!$H$20,SUM(BK233:BK238),)</f>
        <v>1.0000600000000024</v>
      </c>
      <c r="BL240" s="6"/>
      <c r="BM240" s="6"/>
      <c r="BN240" s="6"/>
      <c r="BO240" s="6"/>
      <c r="BP240" s="6"/>
      <c r="BQ240" s="6"/>
      <c r="BR240" s="6"/>
      <c r="BS240" s="6"/>
      <c r="BT240" s="6"/>
      <c r="BU240" s="6"/>
    </row>
    <row r="241" spans="1:73">
      <c r="A241" s="6"/>
      <c r="B241" s="108"/>
      <c r="C241" s="1"/>
      <c r="D241" s="25"/>
      <c r="E241" s="4"/>
      <c r="F241" s="4"/>
      <c r="G241" s="79"/>
      <c r="H241" s="79"/>
      <c r="I241" s="79"/>
      <c r="J241" s="79"/>
      <c r="K241" s="79"/>
      <c r="L241" s="79"/>
      <c r="M241" s="79"/>
      <c r="N241" s="79"/>
      <c r="O241" s="1"/>
      <c r="P241" s="1"/>
      <c r="Q241" s="1"/>
      <c r="R241" s="162"/>
      <c r="S241" s="1"/>
      <c r="T241" s="101" t="s">
        <v>936</v>
      </c>
      <c r="U241" s="101"/>
      <c r="V241" s="101" t="str">
        <f t="shared" ref="V241:V246" si="53">E223</f>
        <v>Using cloud storage services (e.g. Google Drive, Office 365, Dropbox, AWS)</v>
      </c>
      <c r="W241" s="469">
        <f ca="1">IF(W$166&gt;='2.2 Input_General_Information'!$H$20,W233/W$240+(W$246-W$238)/5,)</f>
        <v>0.34998659919595138</v>
      </c>
      <c r="X241" s="469">
        <f ca="1">IF(X$166&gt;='2.2 Input_General_Information'!$H$20,X233/X$240+(X$246-X$238)/5,)</f>
        <v>0.34667252491404238</v>
      </c>
      <c r="Y241" s="469">
        <f ca="1">IF(Y$166&gt;='2.2 Input_General_Information'!$H$20,Y233/Y$240+(Y$246-Y$238)/5,)</f>
        <v>0.34333210226250682</v>
      </c>
      <c r="Z241" s="469">
        <f ca="1">IF(Z$166&gt;='2.2 Input_General_Information'!$H$20,Z233/Z$240+(Z$246-Z$238)/5,)</f>
        <v>0.33996370616015048</v>
      </c>
      <c r="AA241" s="469">
        <f ca="1">IF(AA$166&gt;='2.2 Input_General_Information'!$H$20,AA233/AA$240+(AA$246-AA$238)/5,)</f>
        <v>0.33656411073739273</v>
      </c>
      <c r="AB241" s="469">
        <f ca="1">IF(AB$166&gt;='2.2 Input_General_Information'!$H$20,AB233/AB$240+(AB$246-AB$238)/5,)</f>
        <v>0.3331275252034343</v>
      </c>
      <c r="AC241" s="469">
        <f ca="1">IF(AC$166&gt;='2.2 Input_General_Information'!$H$20,AC233/AC$240+(AC$246-AC$238)/5,)</f>
        <v>0.32964406833726423</v>
      </c>
      <c r="AD241" s="469">
        <f ca="1">IF(AD$166&gt;='2.2 Input_General_Information'!$H$20,AD233/AD$240+(AD$246-AD$238)/5,)</f>
        <v>0.32609735982029781</v>
      </c>
      <c r="AE241" s="469">
        <f ca="1">IF(AE$166&gt;='2.2 Input_General_Information'!$H$20,AE233/AE$240+(AE$246-AE$238)/5,)</f>
        <v>0.32246072961058342</v>
      </c>
      <c r="AF241" s="469">
        <f ca="1">IF(AF$166&gt;='2.2 Input_General_Information'!$H$20,AF233/AF$240+(AF$246-AF$238)/5,)</f>
        <v>0.3186912833748376</v>
      </c>
      <c r="AG241" s="469">
        <f ca="1">IF(AG$166&gt;='2.2 Input_General_Information'!$H$20,AG233/AG$240+(AG$246-AG$238)/5,)</f>
        <v>0.31472068831096228</v>
      </c>
      <c r="AH241" s="469">
        <f ca="1">IF(AH$166&gt;='2.2 Input_General_Information'!$H$20,AH233/AH$240+(AH$246-AH$238)/5,)</f>
        <v>0.3104410588505786</v>
      </c>
      <c r="AI241" s="469">
        <f ca="1">IF(AI$166&gt;='2.2 Input_General_Information'!$H$20,AI233/AI$240+(AI$246-AI$238)/5,)</f>
        <v>0.30568381448735438</v>
      </c>
      <c r="AJ241" s="469">
        <f ca="1">IF(AJ$166&gt;='2.2 Input_General_Information'!$H$20,AJ233/AJ$240+(AJ$246-AJ$238)/5,)</f>
        <v>0.30018919609372241</v>
      </c>
      <c r="AK241" s="469">
        <f ca="1">IF(AK$166&gt;='2.2 Input_General_Information'!$H$20,AK233/AK$240+(AK$246-AK$238)/5,)</f>
        <v>0.29356522907805171</v>
      </c>
      <c r="AL241" s="469">
        <f ca="1">IF(AL$166&gt;='2.2 Input_General_Information'!$H$20,AL233/AL$240+(AL$246-AL$238)/5,)</f>
        <v>0.28523957604860162</v>
      </c>
      <c r="AM241" s="469">
        <f ca="1">IF(AM$166&gt;='2.2 Input_General_Information'!$H$20,AM233/AM$240+(AM$246-AM$238)/5,)</f>
        <v>0.27442025526461922</v>
      </c>
      <c r="AN241" s="469">
        <f ca="1">IF(AN$166&gt;='2.2 Input_General_Information'!$H$20,AN233/AN$240+(AN$246-AN$238)/5,)</f>
        <v>0.26010712404824726</v>
      </c>
      <c r="AO241" s="469">
        <f ca="1">IF(AO$166&gt;='2.2 Input_General_Information'!$H$20,AO233/AO$240+(AO$246-AO$238)/5,)</f>
        <v>0.24123381160686674</v>
      </c>
      <c r="AP241" s="469">
        <f ca="1">IF(AP$166&gt;='2.2 Input_General_Information'!$H$20,AP233/AP$240+(AP$246-AP$238)/5,)</f>
        <v>0.21703660791922258</v>
      </c>
      <c r="AQ241" s="469">
        <f ca="1">IF(AQ$166&gt;='2.2 Input_General_Information'!$H$20,AQ233/AQ$240+(AQ$246-AQ$238)/5,)</f>
        <v>0.18765209345161984</v>
      </c>
      <c r="AR241" s="469">
        <f ca="1">IF(AR$166&gt;='2.2 Input_General_Information'!$H$20,AR233/AR$240+(AR$246-AR$238)/5,)</f>
        <v>0.1546599294022073</v>
      </c>
      <c r="AS241" s="469">
        <f ca="1">IF(AS$166&gt;='2.2 Input_General_Information'!$H$20,AS233/AS$240+(AS$246-AS$238)/5,)</f>
        <v>0.12101027179061166</v>
      </c>
      <c r="AT241" s="469">
        <f ca="1">IF(AT$166&gt;='2.2 Input_General_Information'!$H$20,AT233/AT$240+(AT$246-AT$238)/5,)</f>
        <v>9.0050147994960195E-2</v>
      </c>
      <c r="AU241" s="469">
        <f ca="1">IF(AU$166&gt;='2.2 Input_General_Information'!$H$20,AU233/AU$240+(AU$246-AU$238)/5,)</f>
        <v>6.4224507485919721E-2</v>
      </c>
      <c r="AV241" s="469">
        <f ca="1">IF(AV$166&gt;='2.2 Input_General_Information'!$H$20,AV233/AV$240+(AV$246-AV$238)/5,)</f>
        <v>4.4410043329684255E-2</v>
      </c>
      <c r="AW241" s="469">
        <f ca="1">IF(AW$166&gt;='2.2 Input_General_Information'!$H$20,AW233/AW$240+(AW$246-AW$238)/5,)</f>
        <v>3.0159315668934396E-2</v>
      </c>
      <c r="AX241" s="469">
        <f ca="1">IF(AX$166&gt;='2.2 Input_General_Information'!$H$20,AX233/AX$240+(AX$246-AX$238)/5,)</f>
        <v>2.0366069478682313E-2</v>
      </c>
      <c r="AY241" s="469">
        <f ca="1">IF(AY$166&gt;='2.2 Input_General_Information'!$H$20,AY233/AY$240+(AY$246-AY$238)/5,)</f>
        <v>1.3825973635450749E-2</v>
      </c>
      <c r="AZ241" s="469">
        <f ca="1">IF(AZ$166&gt;='2.2 Input_General_Information'!$H$20,AZ233/AZ$240+(AZ$246-AZ$238)/5,)</f>
        <v>9.5210726404832986E-3</v>
      </c>
      <c r="BA241" s="469">
        <f ca="1">IF(BA$166&gt;='2.2 Input_General_Information'!$H$20,BA233/BA$240+(BA$246-BA$238)/5,)</f>
        <v>6.6939725357982264E-3</v>
      </c>
      <c r="BB241" s="469">
        <f ca="1">IF(BB$166&gt;='2.2 Input_General_Information'!$H$20,BB233/BB$240+(BB$246-BB$238)/5,)</f>
        <v>4.8208005819590401E-3</v>
      </c>
      <c r="BC241" s="469">
        <f ca="1">IF(BC$166&gt;='2.2 Input_General_Information'!$H$20,BC233/BC$240+(BC$246-BC$238)/5,)</f>
        <v>3.5547043744096488E-3</v>
      </c>
      <c r="BD241" s="469">
        <f ca="1">IF(BD$166&gt;='2.2 Input_General_Information'!$H$20,BD233/BD$240+(BD$246-BD$238)/5,)</f>
        <v>2.6720810799035228E-3</v>
      </c>
      <c r="BE241" s="469">
        <f ca="1">IF(BE$166&gt;='2.2 Input_General_Information'!$H$20,BE233/BE$240+(BE$246-BE$238)/5,)</f>
        <v>2.0311239961391739E-3</v>
      </c>
      <c r="BF241" s="469">
        <f ca="1">IF(BF$166&gt;='2.2 Input_General_Information'!$H$20,BF233/BF$240+(BF$246-BF$238)/5,)</f>
        <v>1.5427970491351584E-3</v>
      </c>
      <c r="BG241" s="469">
        <f ca="1">IF(BG$166&gt;='2.2 Input_General_Information'!$H$20,BG233/BG$240+(BG$246-BG$238)/5,)</f>
        <v>1.1515319853610587E-3</v>
      </c>
      <c r="BH241" s="469">
        <f ca="1">IF(BH$166&gt;='2.2 Input_General_Information'!$H$20,BH233/BH$240+(BH$246-BH$238)/5,)</f>
        <v>8.2276555260650443E-4</v>
      </c>
      <c r="BI241" s="469">
        <f ca="1">IF(BI$166&gt;='2.2 Input_General_Information'!$H$20,BI233/BI$240+(BI$246-BI$238)/5,)</f>
        <v>5.3503316121135457E-4</v>
      </c>
      <c r="BJ241" s="469">
        <f ca="1">IF(BJ$166&gt;='2.2 Input_General_Information'!$H$20,BJ233/BJ$240+(BJ$246-BJ$238)/5,)</f>
        <v>2.7500630426960555E-4</v>
      </c>
      <c r="BK241" s="469">
        <f ca="1">IF(BK$166&gt;='2.2 Input_General_Information'!$H$20,BK233/BK$240+(BK$246-BK$238)/5,)</f>
        <v>3.4397936123766269E-5</v>
      </c>
      <c r="BL241" s="6"/>
      <c r="BM241" s="6"/>
      <c r="BN241" s="6"/>
      <c r="BO241" s="6"/>
      <c r="BP241" s="6"/>
      <c r="BQ241" s="6"/>
      <c r="BR241" s="6"/>
      <c r="BS241" s="6"/>
      <c r="BT241" s="6"/>
      <c r="BU241" s="6"/>
    </row>
    <row r="242" spans="1:73">
      <c r="A242" s="6"/>
      <c r="B242" s="108"/>
      <c r="C242" s="1"/>
      <c r="D242" s="25"/>
      <c r="E242" s="4"/>
      <c r="F242" s="4"/>
      <c r="G242" s="79"/>
      <c r="H242" s="79"/>
      <c r="I242" s="79"/>
      <c r="J242" s="79"/>
      <c r="K242" s="79"/>
      <c r="L242" s="79"/>
      <c r="M242" s="79"/>
      <c r="N242" s="79"/>
      <c r="O242" s="1"/>
      <c r="P242" s="1"/>
      <c r="Q242" s="1"/>
      <c r="R242" s="162"/>
      <c r="S242" s="1"/>
      <c r="T242" s="101" t="s">
        <v>936</v>
      </c>
      <c r="U242" s="101"/>
      <c r="V242" s="101" t="str">
        <f t="shared" si="53"/>
        <v>Using portable storage such as CDs, DVDs, memory sticks etc.</v>
      </c>
      <c r="W242" s="469">
        <f ca="1">IF(W$166&gt;='2.2 Input_General_Information'!$H$20,W234/W$240+(W$246-W$238)/5,)</f>
        <v>0.24999059943596591</v>
      </c>
      <c r="X242" s="469">
        <f ca="1">IF(X$166&gt;='2.2 Input_General_Information'!$H$20,X234/X$240+(X$246-X$238)/5,)</f>
        <v>0.24759725976745281</v>
      </c>
      <c r="Y242" s="469">
        <f ca="1">IF(Y$166&gt;='2.2 Input_General_Information'!$H$20,Y234/Y$240+(Y$246-Y$238)/5,)</f>
        <v>0.24518498095795635</v>
      </c>
      <c r="Z242" s="469">
        <f ca="1">IF(Z$166&gt;='2.2 Input_General_Information'!$H$20,Z234/Z$240+(Z$246-Z$238)/5,)</f>
        <v>0.2427526406632218</v>
      </c>
      <c r="AA242" s="469">
        <f ca="1">IF(AA$166&gt;='2.2 Input_General_Information'!$H$20,AA234/AA$240+(AA$246-AA$238)/5,)</f>
        <v>0.24029798955133386</v>
      </c>
      <c r="AB242" s="469">
        <f ca="1">IF(AB$166&gt;='2.2 Input_General_Information'!$H$20,AB234/AB$240+(AB$246-AB$238)/5,)</f>
        <v>0.2378169714719984</v>
      </c>
      <c r="AC242" s="469">
        <f ca="1">IF(AC$166&gt;='2.2 Input_General_Information'!$H$20,AC234/AC$240+(AC$246-AC$238)/5,)</f>
        <v>0.23530264745311005</v>
      </c>
      <c r="AD242" s="469">
        <f ca="1">IF(AD$166&gt;='2.2 Input_General_Information'!$H$20,AD234/AD$240+(AD$246-AD$238)/5,)</f>
        <v>0.23274349624651031</v>
      </c>
      <c r="AE242" s="469">
        <f ca="1">IF(AE$166&gt;='2.2 Input_General_Information'!$H$20,AE234/AE$240+(AE$246-AE$238)/5,)</f>
        <v>0.23012073900159902</v>
      </c>
      <c r="AF242" s="469">
        <f ca="1">IF(AF$166&gt;='2.2 Input_General_Information'!$H$20,AF234/AF$240+(AF$246-AF$238)/5,)</f>
        <v>0.22740414950841634</v>
      </c>
      <c r="AG242" s="469">
        <f ca="1">IF(AG$166&gt;='2.2 Input_General_Information'!$H$20,AG234/AG$240+(AG$246-AG$238)/5,)</f>
        <v>0.22454554701635887</v>
      </c>
      <c r="AH242" s="469">
        <f ca="1">IF(AH$166&gt;='2.2 Input_General_Information'!$H$20,AH234/AH$240+(AH$246-AH$238)/5,)</f>
        <v>0.22146882523468261</v>
      </c>
      <c r="AI242" s="469">
        <f ca="1">IF(AI$166&gt;='2.2 Input_General_Information'!$H$20,AI234/AI$240+(AI$246-AI$238)/5,)</f>
        <v>0.21805501113178896</v>
      </c>
      <c r="AJ242" s="469">
        <f ca="1">IF(AJ$166&gt;='2.2 Input_General_Information'!$H$20,AJ234/AJ$240+(AJ$246-AJ$238)/5,)</f>
        <v>0.21412071295555987</v>
      </c>
      <c r="AK242" s="469">
        <f ca="1">IF(AK$166&gt;='2.2 Input_General_Information'!$H$20,AK234/AK$240+(AK$246-AK$238)/5,)</f>
        <v>0.20938909085107751</v>
      </c>
      <c r="AL242" s="469">
        <f ca="1">IF(AL$166&gt;='2.2 Input_General_Information'!$H$20,AL234/AL$240+(AL$246-AL$238)/5,)</f>
        <v>0.20345576563270945</v>
      </c>
      <c r="AM242" s="469">
        <f ca="1">IF(AM$166&gt;='2.2 Input_General_Information'!$H$20,AM234/AM$240+(AM$246-AM$238)/5,)</f>
        <v>0.19576093191218902</v>
      </c>
      <c r="AN242" s="469">
        <f ca="1">IF(AN$166&gt;='2.2 Input_General_Information'!$H$20,AN234/AN$240+(AN$246-AN$238)/5,)</f>
        <v>0.18559726490087869</v>
      </c>
      <c r="AO242" s="469">
        <f ca="1">IF(AO$166&gt;='2.2 Input_General_Information'!$H$20,AO234/AO$240+(AO$246-AO$238)/5,)</f>
        <v>0.17220995194591385</v>
      </c>
      <c r="AP242" s="469">
        <f ca="1">IF(AP$166&gt;='2.2 Input_General_Information'!$H$20,AP234/AP$240+(AP$246-AP$238)/5,)</f>
        <v>0.1550571771798244</v>
      </c>
      <c r="AQ242" s="469">
        <f ca="1">IF(AQ$166&gt;='2.2 Input_General_Information'!$H$20,AQ234/AQ$240+(AQ$246-AQ$238)/5,)</f>
        <v>0.13423260873496645</v>
      </c>
      <c r="AR242" s="469">
        <f ca="1">IF(AR$166&gt;='2.2 Input_General_Information'!$H$20,AR234/AR$240+(AR$246-AR$238)/5,)</f>
        <v>0.11084978385306894</v>
      </c>
      <c r="AS242" s="469">
        <f ca="1">IF(AS$166&gt;='2.2 Input_General_Information'!$H$20,AS234/AS$240+(AS$246-AS$238)/5,)</f>
        <v>8.6992110286837149E-2</v>
      </c>
      <c r="AT242" s="469">
        <f ca="1">IF(AT$166&gt;='2.2 Input_General_Information'!$H$20,AT234/AT$240+(AT$246-AT$238)/5,)</f>
        <v>6.502573189771782E-2</v>
      </c>
      <c r="AU242" s="469">
        <f ca="1">IF(AU$166&gt;='2.2 Input_General_Information'!$H$20,AU234/AU$240+(AU$246-AU$238)/5,)</f>
        <v>4.6681260690389283E-2</v>
      </c>
      <c r="AV242" s="469">
        <f ca="1">IF(AV$166&gt;='2.2 Input_General_Information'!$H$20,AV234/AV$240+(AV$246-AV$238)/5,)</f>
        <v>3.2581708753785951E-2</v>
      </c>
      <c r="AW242" s="469">
        <f ca="1">IF(AW$166&gt;='2.2 Input_General_Information'!$H$20,AW234/AW$240+(AW$246-AW$238)/5,)</f>
        <v>2.2413797590610844E-2</v>
      </c>
      <c r="AX242" s="469">
        <f ca="1">IF(AX$166&gt;='2.2 Input_General_Information'!$H$20,AX234/AX$240+(AX$246-AX$238)/5,)</f>
        <v>1.53976351600544E-2</v>
      </c>
      <c r="AY242" s="469">
        <f ca="1">IF(AY$166&gt;='2.2 Input_General_Information'!$H$20,AY234/AY$240+(AY$246-AY$238)/5,)</f>
        <v>1.0683083677573913E-2</v>
      </c>
      <c r="AZ242" s="469">
        <f ca="1">IF(AZ$166&gt;='2.2 Input_General_Information'!$H$20,AZ234/AZ$240+(AZ$246-AZ$238)/5,)</f>
        <v>7.5510956175812334E-3</v>
      </c>
      <c r="BA242" s="469">
        <f ca="1">IF(BA$166&gt;='2.2 Input_General_Information'!$H$20,BA234/BA$240+(BA$246-BA$238)/5,)</f>
        <v>5.4664294238356177E-3</v>
      </c>
      <c r="BB242" s="469">
        <f ca="1">IF(BB$166&gt;='2.2 Input_General_Information'!$H$20,BB234/BB$240+(BB$246-BB$238)/5,)</f>
        <v>4.0587296906174249E-3</v>
      </c>
      <c r="BC242" s="469">
        <f ca="1">IF(BC$166&gt;='2.2 Input_General_Information'!$H$20,BC234/BC$240+(BC$246-BC$238)/5,)</f>
        <v>3.0827004813584373E-3</v>
      </c>
      <c r="BD242" s="469">
        <f ca="1">IF(BD$166&gt;='2.2 Input_General_Information'!$H$20,BD234/BD$240+(BD$246-BD$238)/5,)</f>
        <v>2.3801523264576239E-3</v>
      </c>
      <c r="BE242" s="469">
        <f ca="1">IF(BE$166&gt;='2.2 Input_General_Information'!$H$20,BE234/BE$240+(BE$246-BE$238)/5,)</f>
        <v>1.8507238418972965E-3</v>
      </c>
      <c r="BF242" s="469">
        <f ca="1">IF(BF$166&gt;='2.2 Input_General_Information'!$H$20,BF234/BF$240+(BF$246-BF$238)/5,)</f>
        <v>1.4313720226170781E-3</v>
      </c>
      <c r="BG242" s="469">
        <f ca="1">IF(BG$166&gt;='2.2 Input_General_Information'!$H$20,BG234/BG$240+(BG$246-BG$238)/5,)</f>
        <v>1.082727918426066E-3</v>
      </c>
      <c r="BH242" s="469">
        <f ca="1">IF(BH$166&gt;='2.2 Input_General_Information'!$H$20,BH234/BH$240+(BH$246-BH$238)/5,)</f>
        <v>7.802845674317611E-4</v>
      </c>
      <c r="BI242" s="469">
        <f ca="1">IF(BI$166&gt;='2.2 Input_General_Information'!$H$20,BI234/BI$240+(BI$246-BI$238)/5,)</f>
        <v>5.0880516809119198E-4</v>
      </c>
      <c r="BJ242" s="469">
        <f ca="1">IF(BJ$166&gt;='2.2 Input_General_Information'!$H$20,BJ234/BJ$240+(BJ$246-BJ$238)/5,)</f>
        <v>2.5881237463414632E-4</v>
      </c>
      <c r="BK242" s="469">
        <f ca="1">IF(BK$166&gt;='2.2 Input_General_Information'!$H$20,BK234/BK$240+(BK$246-BK$238)/5,)</f>
        <v>2.4398536087780662E-5</v>
      </c>
      <c r="BL242" s="6"/>
      <c r="BM242" s="6"/>
      <c r="BN242" s="6"/>
      <c r="BO242" s="6"/>
      <c r="BP242" s="6"/>
      <c r="BQ242" s="6"/>
      <c r="BR242" s="6"/>
      <c r="BS242" s="6"/>
      <c r="BT242" s="6"/>
      <c r="BU242" s="6"/>
    </row>
    <row r="243" spans="1:73">
      <c r="A243" s="6"/>
      <c r="B243" s="108"/>
      <c r="C243" s="1"/>
      <c r="D243" s="25"/>
      <c r="E243" s="4"/>
      <c r="F243" s="4"/>
      <c r="G243" s="79"/>
      <c r="H243" s="79"/>
      <c r="I243" s="79"/>
      <c r="J243" s="79"/>
      <c r="K243" s="79"/>
      <c r="L243" s="79"/>
      <c r="M243" s="79"/>
      <c r="N243" s="79"/>
      <c r="O243" s="1"/>
      <c r="P243" s="1"/>
      <c r="Q243" s="1"/>
      <c r="R243" s="162"/>
      <c r="S243" s="1"/>
      <c r="T243" s="101" t="s">
        <v>936</v>
      </c>
      <c r="U243" s="101"/>
      <c r="V243" s="101" t="str">
        <f t="shared" si="53"/>
        <v>By upload to a third-party web site or FTP server accessible to reusers</v>
      </c>
      <c r="W243" s="469">
        <f ca="1">IF(W$166&gt;='2.2 Input_General_Information'!$H$20,W235/W$240+(W$246-W$238)/5,)</f>
        <v>0.20001260075604549</v>
      </c>
      <c r="X243" s="469">
        <f ca="1">IF(X$166&gt;='2.2 Input_General_Information'!$H$20,X235/X$240+(X$246-X$238)/5,)</f>
        <v>0.20200730044900139</v>
      </c>
      <c r="Y243" s="469">
        <f ca="1">IF(Y$166&gt;='2.2 Input_General_Information'!$H$20,Y235/Y$240+(Y$246-Y$238)/5,)</f>
        <v>0.20397734659136899</v>
      </c>
      <c r="Z243" s="469">
        <f ca="1">IF(Z$166&gt;='2.2 Input_General_Information'!$H$20,Z235/Z$240+(Z$246-Z$238)/5,)</f>
        <v>0.20592367505774639</v>
      </c>
      <c r="AA243" s="469">
        <f ca="1">IF(AA$166&gt;='2.2 Input_General_Information'!$H$20,AA235/AA$240+(AA$246-AA$238)/5,)</f>
        <v>0.20784869557921901</v>
      </c>
      <c r="AB243" s="469">
        <f ca="1">IF(AB$166&gt;='2.2 Input_General_Information'!$H$20,AB235/AB$240+(AB$246-AB$238)/5,)</f>
        <v>0.20975713275892627</v>
      </c>
      <c r="AC243" s="469">
        <f ca="1">IF(AC$166&gt;='2.2 Input_General_Information'!$H$20,AC235/AC$240+(AC$246-AC$238)/5,)</f>
        <v>0.2116573457860372</v>
      </c>
      <c r="AD243" s="469">
        <f ca="1">IF(AD$166&gt;='2.2 Input_General_Information'!$H$20,AD235/AD$240+(AD$246-AD$238)/5,)</f>
        <v>0.21356339578856628</v>
      </c>
      <c r="AE243" s="469">
        <f ca="1">IF(AE$166&gt;='2.2 Input_General_Information'!$H$20,AE235/AE$240+(AE$246-AE$238)/5,)</f>
        <v>0.21549827425287107</v>
      </c>
      <c r="AF243" s="469">
        <f ca="1">IF(AF$166&gt;='2.2 Input_General_Information'!$H$20,AF235/AF$240+(AF$246-AF$238)/5,)</f>
        <v>0.21749891823810419</v>
      </c>
      <c r="AG243" s="469">
        <f ca="1">IF(AG$166&gt;='2.2 Input_General_Information'!$H$20,AG235/AG$240+(AG$246-AG$238)/5,)</f>
        <v>0.21962393480294221</v>
      </c>
      <c r="AH243" s="469">
        <f ca="1">IF(AH$166&gt;='2.2 Input_General_Information'!$H$20,AH235/AH$240+(AH$246-AH$238)/5,)</f>
        <v>0.22196533220151238</v>
      </c>
      <c r="AI243" s="469">
        <f ca="1">IF(AI$166&gt;='2.2 Input_General_Information'!$H$20,AI235/AI$240+(AI$246-AI$238)/5,)</f>
        <v>0.2246659244780003</v>
      </c>
      <c r="AJ243" s="469">
        <f ca="1">IF(AJ$166&gt;='2.2 Input_General_Information'!$H$20,AJ235/AJ$240+(AJ$246-AJ$238)/5,)</f>
        <v>0.2279441378767359</v>
      </c>
      <c r="AK243" s="469">
        <f ca="1">IF(AK$166&gt;='2.2 Input_General_Information'!$H$20,AK235/AK$240+(AK$246-AK$238)/5,)</f>
        <v>0.23212688347630045</v>
      </c>
      <c r="AL243" s="469">
        <f ca="1">IF(AL$166&gt;='2.2 Input_General_Information'!$H$20,AL235/AL$240+(AL$246-AL$238)/5,)</f>
        <v>0.23768709788657835</v>
      </c>
      <c r="AM243" s="469">
        <f ca="1">IF(AM$166&gt;='2.2 Input_General_Information'!$H$20,AM235/AM$240+(AM$246-AM$238)/5,)</f>
        <v>0.24527200410846847</v>
      </c>
      <c r="AN243" s="469">
        <f ca="1">IF(AN$166&gt;='2.2 Input_General_Information'!$H$20,AN235/AN$240+(AN$246-AN$238)/5,)</f>
        <v>0.25568689580751686</v>
      </c>
      <c r="AO243" s="469">
        <f ca="1">IF(AO$166&gt;='2.2 Input_General_Information'!$H$20,AO235/AO$240+(AO$246-AO$238)/5,)</f>
        <v>0.26976937707778748</v>
      </c>
      <c r="AP243" s="469">
        <f ca="1">IF(AP$166&gt;='2.2 Input_General_Information'!$H$20,AP235/AP$240+(AP$246-AP$238)/5,)</f>
        <v>0.28807867005852827</v>
      </c>
      <c r="AQ243" s="469">
        <f ca="1">IF(AQ$166&gt;='2.2 Input_General_Information'!$H$20,AQ235/AQ$240+(AQ$246-AQ$238)/5,)</f>
        <v>0.3104078775896057</v>
      </c>
      <c r="AR243" s="469">
        <f ca="1">IF(AR$166&gt;='2.2 Input_General_Information'!$H$20,AR235/AR$240+(AR$246-AR$238)/5,)</f>
        <v>0.33536264848706931</v>
      </c>
      <c r="AS243" s="469">
        <f ca="1">IF(AS$166&gt;='2.2 Input_General_Information'!$H$20,AS235/AS$240+(AS$246-AS$238)/5,)</f>
        <v>0.36046321487512195</v>
      </c>
      <c r="AT243" s="469">
        <f ca="1">IF(AT$166&gt;='2.2 Input_General_Information'!$H$20,AT235/AT$240+(AT$246-AT$238)/5,)</f>
        <v>0.38297674186302444</v>
      </c>
      <c r="AU243" s="469">
        <f ca="1">IF(AU$166&gt;='2.2 Input_General_Information'!$H$20,AU235/AU$240+(AU$246-AU$238)/5,)</f>
        <v>0.40097790852696946</v>
      </c>
      <c r="AV243" s="469">
        <f ca="1">IF(AV$166&gt;='2.2 Input_General_Information'!$H$20,AV235/AV$240+(AV$246-AV$238)/5,)</f>
        <v>0.41385629494183429</v>
      </c>
      <c r="AW243" s="469">
        <f ca="1">IF(AW$166&gt;='2.2 Input_General_Information'!$H$20,AW235/AW$240+(AW$246-AW$238)/5,)</f>
        <v>0.42207587663720841</v>
      </c>
      <c r="AX243" s="469">
        <f ca="1">IF(AX$166&gt;='2.2 Input_General_Information'!$H$20,AX235/AX$240+(AX$246-AX$238)/5,)</f>
        <v>0.42661050364076242</v>
      </c>
      <c r="AY243" s="469">
        <f ca="1">IF(AY$166&gt;='2.2 Input_General_Information'!$H$20,AY235/AY$240+(AY$246-AY$238)/5,)</f>
        <v>0.42848490196018835</v>
      </c>
      <c r="AZ243" s="469">
        <f ca="1">IF(AZ$166&gt;='2.2 Input_General_Information'!$H$20,AZ235/AZ$240+(AZ$246-AZ$238)/5,)</f>
        <v>0.42855046725031498</v>
      </c>
      <c r="BA243" s="469">
        <f ca="1">IF(BA$166&gt;='2.2 Input_General_Information'!$H$20,BA235/BA$240+(BA$246-BA$238)/5,)</f>
        <v>0.42743346900633444</v>
      </c>
      <c r="BB243" s="469">
        <f ca="1">IF(BB$166&gt;='2.2 Input_General_Information'!$H$20,BB235/BB$240+(BB$246-BB$238)/5,)</f>
        <v>0.42556343909089206</v>
      </c>
      <c r="BC243" s="469">
        <f ca="1">IF(BC$166&gt;='2.2 Input_General_Information'!$H$20,BC235/BC$240+(BC$246-BC$238)/5,)</f>
        <v>0.42322300270083191</v>
      </c>
      <c r="BD243" s="469">
        <f ca="1">IF(BD$166&gt;='2.2 Input_General_Information'!$H$20,BD235/BD$240+(BD$246-BD$238)/5,)</f>
        <v>0.42059365127912068</v>
      </c>
      <c r="BE243" s="469">
        <f ca="1">IF(BE$166&gt;='2.2 Input_General_Information'!$H$20,BE235/BE$240+(BE$246-BE$238)/5,)</f>
        <v>0.41779039427439968</v>
      </c>
      <c r="BF243" s="469">
        <f ca="1">IF(BF$166&gt;='2.2 Input_General_Information'!$H$20,BF235/BF$240+(BF$246-BF$238)/5,)</f>
        <v>0.41488571616663211</v>
      </c>
      <c r="BG243" s="469">
        <f ca="1">IF(BG$166&gt;='2.2 Input_General_Information'!$H$20,BG235/BG$240+(BG$246-BG$238)/5,)</f>
        <v>0.41192534472427783</v>
      </c>
      <c r="BH243" s="469">
        <f ca="1">IF(BH$166&gt;='2.2 Input_General_Information'!$H$20,BH235/BH$240+(BH$246-BH$238)/5,)</f>
        <v>0.40893833843736566</v>
      </c>
      <c r="BI243" s="469">
        <f ca="1">IF(BI$166&gt;='2.2 Input_General_Information'!$H$20,BI235/BI$240+(BI$246-BI$238)/5,)</f>
        <v>0.40594343066790256</v>
      </c>
      <c r="BJ243" s="469">
        <f ca="1">IF(BJ$166&gt;='2.2 Input_General_Information'!$H$20,BJ235/BJ$240+(BJ$246-BJ$238)/5,)</f>
        <v>0.40295297801973129</v>
      </c>
      <c r="BK243" s="469">
        <f ca="1">IF(BK$166&gt;='2.2 Input_General_Information'!$H$20,BK235/BK$240+(BK$246-BK$238)/5,)</f>
        <v>0.39997540147591104</v>
      </c>
      <c r="BL243" s="6"/>
      <c r="BM243" s="6"/>
      <c r="BN243" s="6"/>
      <c r="BO243" s="6"/>
      <c r="BP243" s="6"/>
      <c r="BQ243" s="6"/>
      <c r="BR243" s="6"/>
      <c r="BS243" s="6"/>
      <c r="BT243" s="6"/>
      <c r="BU243" s="6"/>
    </row>
    <row r="244" spans="1:73">
      <c r="A244" s="6"/>
      <c r="B244" s="108"/>
      <c r="C244" s="1"/>
      <c r="D244" s="25"/>
      <c r="E244" s="4"/>
      <c r="F244" s="4"/>
      <c r="G244" s="79"/>
      <c r="H244" s="79"/>
      <c r="I244" s="79"/>
      <c r="J244" s="79"/>
      <c r="K244" s="79"/>
      <c r="L244" s="79"/>
      <c r="M244" s="79"/>
      <c r="N244" s="79"/>
      <c r="O244" s="1"/>
      <c r="P244" s="1"/>
      <c r="Q244" s="1"/>
      <c r="R244" s="162"/>
      <c r="S244" s="1"/>
      <c r="T244" s="101" t="s">
        <v>936</v>
      </c>
      <c r="U244" s="101"/>
      <c r="V244" s="101" t="str">
        <f t="shared" si="53"/>
        <v>Institutional file-sharing service and on-premise storage</v>
      </c>
      <c r="W244" s="469">
        <f ca="1">IF(W$166&gt;='2.2 Input_General_Information'!$H$20,W236/W$240+(W$246-W$238)/5,)</f>
        <v>0.10000660039602413</v>
      </c>
      <c r="X244" s="469">
        <f ca="1">IF(X$166&gt;='2.2 Input_General_Information'!$H$20,X236/X$240+(X$246-X$238)/5,)</f>
        <v>0.10205068225826298</v>
      </c>
      <c r="Y244" s="469">
        <f ca="1">IF(Y$166&gt;='2.2 Input_General_Information'!$H$20,Y236/Y$240+(Y$246-Y$238)/5,)</f>
        <v>0.10411565242688238</v>
      </c>
      <c r="Z244" s="469">
        <f ca="1">IF(Z$166&gt;='2.2 Input_General_Information'!$H$20,Z236/Z$240+(Z$246-Z$238)/5,)</f>
        <v>0.10620195124347295</v>
      </c>
      <c r="AA244" s="469">
        <f ca="1">IF(AA$166&gt;='2.2 Input_General_Information'!$H$20,AA236/AA$240+(AA$246-AA$238)/5,)</f>
        <v>0.10831081241624661</v>
      </c>
      <c r="AB244" s="469">
        <f ca="1">IF(AB$166&gt;='2.2 Input_General_Information'!$H$20,AB236/AB$240+(AB$246-AB$238)/5,)</f>
        <v>0.11044476057482111</v>
      </c>
      <c r="AC244" s="469">
        <f ca="1">IF(AC$166&gt;='2.2 Input_General_Information'!$H$20,AC236/AC$240+(AC$246-AC$238)/5,)</f>
        <v>0.1126084006475527</v>
      </c>
      <c r="AD244" s="469">
        <f ca="1">IF(AD$166&gt;='2.2 Input_General_Information'!$H$20,AD236/AD$240+(AD$246-AD$238)/5,)</f>
        <v>0.1148096675495488</v>
      </c>
      <c r="AE244" s="469">
        <f ca="1">IF(AE$166&gt;='2.2 Input_General_Information'!$H$20,AE236/AE$240+(AE$246-AE$238)/5,)</f>
        <v>0.11706179811460586</v>
      </c>
      <c r="AF244" s="469">
        <f ca="1">IF(AF$166&gt;='2.2 Input_General_Information'!$H$20,AF236/AF$240+(AF$246-AF$238)/5,)</f>
        <v>0.1193864266548033</v>
      </c>
      <c r="AG244" s="469">
        <f ca="1">IF(AG$166&gt;='2.2 Input_General_Information'!$H$20,AG236/AG$240+(AG$246-AG$238)/5,)</f>
        <v>0.12181840449909018</v>
      </c>
      <c r="AH244" s="469">
        <f ca="1">IF(AH$166&gt;='2.2 Input_General_Information'!$H$20,AH236/AH$240+(AH$246-AH$238)/5,)</f>
        <v>0.12441320400290376</v>
      </c>
      <c r="AI244" s="469">
        <f ca="1">IF(AI$166&gt;='2.2 Input_General_Information'!$H$20,AI236/AI$240+(AI$246-AI$238)/5,)</f>
        <v>0.12725804441458333</v>
      </c>
      <c r="AJ244" s="469">
        <f ca="1">IF(AJ$166&gt;='2.2 Input_General_Information'!$H$20,AJ236/AJ$240+(AJ$246-AJ$238)/5,)</f>
        <v>0.13048799332943115</v>
      </c>
      <c r="AK244" s="469">
        <f ca="1">IF(AK$166&gt;='2.2 Input_General_Information'!$H$20,AK236/AK$240+(AK$246-AK$238)/5,)</f>
        <v>0.13430774905279153</v>
      </c>
      <c r="AL244" s="469">
        <f ca="1">IF(AL$166&gt;='2.2 Input_General_Information'!$H$20,AL236/AL$240+(AL$246-AL$238)/5,)</f>
        <v>0.13901740569728657</v>
      </c>
      <c r="AM244" s="469">
        <f ca="1">IF(AM$166&gt;='2.2 Input_General_Information'!$H$20,AM236/AM$240+(AM$246-AM$238)/5,)</f>
        <v>0.14503395168247155</v>
      </c>
      <c r="AN244" s="469">
        <f ca="1">IF(AN$166&gt;='2.2 Input_General_Information'!$H$20,AN236/AN$240+(AN$246-AN$238)/5,)</f>
        <v>0.15288658781667325</v>
      </c>
      <c r="AO244" s="469">
        <f ca="1">IF(AO$166&gt;='2.2 Input_General_Information'!$H$20,AO236/AO$240+(AO$246-AO$238)/5,)</f>
        <v>0.16314381233222114</v>
      </c>
      <c r="AP244" s="469">
        <f ca="1">IF(AP$166&gt;='2.2 Input_General_Information'!$H$20,AP236/AP$240+(AP$246-AP$238)/5,)</f>
        <v>0.17622065552478483</v>
      </c>
      <c r="AQ244" s="469">
        <f ca="1">IF(AQ$166&gt;='2.2 Input_General_Information'!$H$20,AQ236/AQ$240+(AQ$246-AQ$238)/5,)</f>
        <v>0.19206324452632131</v>
      </c>
      <c r="AR244" s="469">
        <f ca="1">IF(AR$166&gt;='2.2 Input_General_Information'!$H$20,AR236/AR$240+(AR$246-AR$238)/5,)</f>
        <v>0.20985796895989672</v>
      </c>
      <c r="AS244" s="469">
        <f ca="1">IF(AS$166&gt;='2.2 Input_General_Information'!$H$20,AS236/AS$240+(AS$246-AS$238)/5,)</f>
        <v>0.22806121919285163</v>
      </c>
      <c r="AT244" s="469">
        <f ca="1">IF(AT$166&gt;='2.2 Input_General_Information'!$H$20,AT236/AT$240+(AT$246-AT$238)/5,)</f>
        <v>0.24490574168864224</v>
      </c>
      <c r="AU244" s="469">
        <f ca="1">IF(AU$166&gt;='2.2 Input_General_Information'!$H$20,AU236/AU$240+(AU$246-AU$238)/5,)</f>
        <v>0.25908620210316252</v>
      </c>
      <c r="AV244" s="469">
        <f ca="1">IF(AV$166&gt;='2.2 Input_General_Information'!$H$20,AV236/AV$240+(AV$246-AV$238)/5,)</f>
        <v>0.27011813338485735</v>
      </c>
      <c r="AW244" s="469">
        <f ca="1">IF(AW$166&gt;='2.2 Input_General_Information'!$H$20,AW236/AW$240+(AW$246-AW$238)/5,)</f>
        <v>0.27821738615805014</v>
      </c>
      <c r="AX244" s="469">
        <f ca="1">IF(AX$166&gt;='2.2 Input_General_Information'!$H$20,AX236/AX$240+(AX$246-AX$238)/5,)</f>
        <v>0.28395328672999876</v>
      </c>
      <c r="AY244" s="469">
        <f ca="1">IF(AY$166&gt;='2.2 Input_General_Information'!$H$20,AY236/AY$240+(AY$246-AY$238)/5,)</f>
        <v>0.28795293697365149</v>
      </c>
      <c r="AZ244" s="469">
        <f ca="1">IF(AZ$166&gt;='2.2 Input_General_Information'!$H$20,AZ236/AZ$240+(AZ$246-AZ$238)/5,)</f>
        <v>0.2907494741195662</v>
      </c>
      <c r="BA244" s="469">
        <f ca="1">IF(BA$166&gt;='2.2 Input_General_Information'!$H$20,BA236/BA$240+(BA$246-BA$238)/5,)</f>
        <v>0.29274115041205839</v>
      </c>
      <c r="BB244" s="469">
        <f ca="1">IF(BB$166&gt;='2.2 Input_General_Information'!$H$20,BB236/BB$240+(BB$246-BB$238)/5,)</f>
        <v>0.29420432870171348</v>
      </c>
      <c r="BC244" s="469">
        <f ca="1">IF(BC$166&gt;='2.2 Input_General_Information'!$H$20,BC236/BC$240+(BC$246-BC$238)/5,)</f>
        <v>0.29532254902662125</v>
      </c>
      <c r="BD244" s="469">
        <f ca="1">IF(BD$166&gt;='2.2 Input_General_Information'!$H$20,BD236/BD$240+(BD$246-BD$238)/5,)</f>
        <v>0.29621452079818783</v>
      </c>
      <c r="BE244" s="469">
        <f ca="1">IF(BE$166&gt;='2.2 Input_General_Information'!$H$20,BE236/BE$240+(BE$246-BE$238)/5,)</f>
        <v>0.29695582796057463</v>
      </c>
      <c r="BF244" s="469">
        <f ca="1">IF(BF$166&gt;='2.2 Input_General_Information'!$H$20,BF236/BF$240+(BF$246-BF$238)/5,)</f>
        <v>0.29759418549180244</v>
      </c>
      <c r="BG244" s="469">
        <f ca="1">IF(BG$166&gt;='2.2 Input_General_Information'!$H$20,BG236/BG$240+(BG$246-BG$238)/5,)</f>
        <v>0.29815961560915022</v>
      </c>
      <c r="BH244" s="469">
        <f ca="1">IF(BH$166&gt;='2.2 Input_General_Information'!$H$20,BH236/BH$240+(BH$246-BH$238)/5,)</f>
        <v>0.29867103422321961</v>
      </c>
      <c r="BI244" s="469">
        <f ca="1">IF(BI$166&gt;='2.2 Input_General_Information'!$H$20,BI236/BI$240+(BI$246-BI$238)/5,)</f>
        <v>0.29914043811677576</v>
      </c>
      <c r="BJ244" s="469">
        <f ca="1">IF(BJ$166&gt;='2.2 Input_General_Information'!$H$20,BJ236/BJ$240+(BJ$246-BJ$238)/5,)</f>
        <v>0.29957553772569645</v>
      </c>
      <c r="BK244" s="469">
        <f ca="1">IF(BK$166&gt;='2.2 Input_General_Information'!$H$20,BK236/BK$240+(BK$246-BK$238)/5,)</f>
        <v>0.29998140111593352</v>
      </c>
      <c r="BL244" s="6"/>
      <c r="BM244" s="6"/>
      <c r="BN244" s="6"/>
      <c r="BO244" s="6"/>
      <c r="BP244" s="6"/>
      <c r="BQ244" s="6"/>
      <c r="BR244" s="6"/>
      <c r="BS244" s="6"/>
      <c r="BT244" s="6"/>
      <c r="BU244" s="6"/>
    </row>
    <row r="245" spans="1:73">
      <c r="A245" s="6"/>
      <c r="B245" s="108"/>
      <c r="C245" s="1"/>
      <c r="D245" s="25"/>
      <c r="E245" s="4"/>
      <c r="F245" s="4"/>
      <c r="G245" s="79"/>
      <c r="H245" s="79"/>
      <c r="I245" s="79"/>
      <c r="J245" s="79"/>
      <c r="K245" s="79"/>
      <c r="L245" s="79"/>
      <c r="M245" s="79"/>
      <c r="N245" s="79"/>
      <c r="O245" s="1"/>
      <c r="P245" s="1"/>
      <c r="Q245" s="1"/>
      <c r="R245" s="162"/>
      <c r="S245" s="1"/>
      <c r="T245" s="101" t="s">
        <v>936</v>
      </c>
      <c r="V245" s="101" t="str">
        <f t="shared" si="53"/>
        <v>International data repository (e.g. EBI)</v>
      </c>
      <c r="W245" s="469">
        <f ca="1">IF(W$166&gt;='2.2 Input_General_Information'!$H$20,W237/W$240+(W$246-W$238)/5,)</f>
        <v>5.0003600216013071E-2</v>
      </c>
      <c r="X245" s="469">
        <f ca="1">IF(X$166&gt;='2.2 Input_General_Information'!$H$20,X237/X$240+(X$246-X$238)/5,)</f>
        <v>5.1672232611240425E-2</v>
      </c>
      <c r="Y245" s="469">
        <f ca="1">IF(Y$166&gt;='2.2 Input_General_Information'!$H$20,Y237/Y$240+(Y$246-Y$238)/5,)</f>
        <v>5.3389917761285516E-2</v>
      </c>
      <c r="Z245" s="469">
        <f ca="1">IF(Z$166&gt;='2.2 Input_General_Information'!$H$20,Z237/Z$240+(Z$246-Z$238)/5,)</f>
        <v>5.5158026875408377E-2</v>
      </c>
      <c r="AA245" s="469">
        <f ca="1">IF(AA$166&gt;='2.2 Input_General_Information'!$H$20,AA237/AA$240+(AA$246-AA$238)/5,)</f>
        <v>5.6978391715807784E-2</v>
      </c>
      <c r="AB245" s="469">
        <f ca="1">IF(AB$166&gt;='2.2 Input_General_Information'!$H$20,AB237/AB$240+(AB$246-AB$238)/5,)</f>
        <v>5.8853609990819865E-2</v>
      </c>
      <c r="AC245" s="469">
        <f ca="1">IF(AC$166&gt;='2.2 Input_General_Information'!$H$20,AC237/AC$240+(AC$246-AC$238)/5,)</f>
        <v>6.0787537776035759E-2</v>
      </c>
      <c r="AD245" s="469">
        <f ca="1">IF(AD$166&gt;='2.2 Input_General_Information'!$H$20,AD237/AD$240+(AD$246-AD$238)/5,)</f>
        <v>6.2786080595076607E-2</v>
      </c>
      <c r="AE245" s="469">
        <f ca="1">IF(AE$166&gt;='2.2 Input_General_Information'!$H$20,AE237/AE$240+(AE$246-AE$238)/5,)</f>
        <v>6.4858459020340473E-2</v>
      </c>
      <c r="AF245" s="469">
        <f ca="1">IF(AF$166&gt;='2.2 Input_General_Information'!$H$20,AF237/AF$240+(AF$246-AF$238)/5,)</f>
        <v>6.7019222223838437E-2</v>
      </c>
      <c r="AG245" s="469">
        <f ca="1">IF(AG$166&gt;='2.2 Input_General_Information'!$H$20,AG237/AG$240+(AG$246-AG$238)/5,)</f>
        <v>6.9291425370646448E-2</v>
      </c>
      <c r="AH245" s="469">
        <f ca="1">IF(AH$166&gt;='2.2 Input_General_Information'!$H$20,AH237/AH$240+(AH$246-AH$238)/5,)</f>
        <v>7.1711579710322604E-2</v>
      </c>
      <c r="AI245" s="469">
        <f ca="1">IF(AI$166&gt;='2.2 Input_General_Information'!$H$20,AI237/AI$240+(AI$246-AI$238)/5,)</f>
        <v>7.4337205488272939E-2</v>
      </c>
      <c r="AJ245" s="469">
        <f ca="1">IF(AJ$166&gt;='2.2 Input_General_Information'!$H$20,AJ237/AJ$240+(AJ$246-AJ$238)/5,)</f>
        <v>7.7257959744550561E-2</v>
      </c>
      <c r="AK245" s="469">
        <f ca="1">IF(AK$166&gt;='2.2 Input_General_Information'!$H$20,AK237/AK$240+(AK$246-AK$238)/5,)</f>
        <v>8.0611047541778752E-2</v>
      </c>
      <c r="AL245" s="469">
        <f ca="1">IF(AL$166&gt;='2.2 Input_General_Information'!$H$20,AL237/AL$240+(AL$246-AL$238)/5,)</f>
        <v>8.4600154734824004E-2</v>
      </c>
      <c r="AM245" s="469">
        <f ca="1">IF(AM$166&gt;='2.2 Input_General_Information'!$H$20,AM237/AM$240+(AM$246-AM$238)/5,)</f>
        <v>8.9512857032251703E-2</v>
      </c>
      <c r="AN245" s="469">
        <f ca="1">IF(AN$166&gt;='2.2 Input_General_Information'!$H$20,AN237/AN$240+(AN$246-AN$238)/5,)</f>
        <v>9.5722127426683776E-2</v>
      </c>
      <c r="AO245" s="469">
        <f ca="1">IF(AO$166&gt;='2.2 Input_General_Information'!$H$20,AO237/AO$240+(AO$246-AO$238)/5,)</f>
        <v>0.10364304703721068</v>
      </c>
      <c r="AP245" s="469">
        <f ca="1">IF(AP$166&gt;='2.2 Input_General_Information'!$H$20,AP237/AP$240+(AP$246-AP$238)/5,)</f>
        <v>0.11360688931763982</v>
      </c>
      <c r="AQ245" s="469">
        <f ca="1">IF(AQ$166&gt;='2.2 Input_General_Information'!$H$20,AQ237/AQ$240+(AQ$246-AQ$238)/5,)</f>
        <v>0.12564417569748662</v>
      </c>
      <c r="AR245" s="469">
        <f ca="1">IF(AR$166&gt;='2.2 Input_General_Information'!$H$20,AR237/AR$240+(AR$246-AR$238)/5,)</f>
        <v>0.13926966929775764</v>
      </c>
      <c r="AS245" s="469">
        <f ca="1">IF(AS$166&gt;='2.2 Input_General_Information'!$H$20,AS237/AS$240+(AS$246-AS$238)/5,)</f>
        <v>0.15347318385457759</v>
      </c>
      <c r="AT245" s="469">
        <f ca="1">IF(AT$166&gt;='2.2 Input_General_Information'!$H$20,AT237/AT$240+(AT$246-AT$238)/5,)</f>
        <v>0.16704163655565529</v>
      </c>
      <c r="AU245" s="469">
        <f ca="1">IF(AU$166&gt;='2.2 Input_General_Information'!$H$20,AU237/AU$240+(AU$246-AU$238)/5,)</f>
        <v>0.17903012119355896</v>
      </c>
      <c r="AV245" s="469">
        <f ca="1">IF(AV$166&gt;='2.2 Input_General_Information'!$H$20,AV237/AV$240+(AV$246-AV$238)/5,)</f>
        <v>0.18903381958983795</v>
      </c>
      <c r="AW245" s="469">
        <f ca="1">IF(AW$166&gt;='2.2 Input_General_Information'!$H$20,AW237/AW$240+(AW$246-AW$238)/5,)</f>
        <v>0.19713362394519623</v>
      </c>
      <c r="AX245" s="469">
        <f ca="1">IF(AX$166&gt;='2.2 Input_General_Information'!$H$20,AX237/AX$240+(AX$246-AX$238)/5,)</f>
        <v>0.20367250499050199</v>
      </c>
      <c r="AY245" s="469">
        <f ca="1">IF(AY$166&gt;='2.2 Input_General_Information'!$H$20,AY237/AY$240+(AY$246-AY$238)/5,)</f>
        <v>0.20905310375313552</v>
      </c>
      <c r="AZ245" s="469">
        <f ca="1">IF(AZ$166&gt;='2.2 Input_General_Information'!$H$20,AZ237/AZ$240+(AZ$246-AZ$238)/5,)</f>
        <v>0.21362789037205429</v>
      </c>
      <c r="BA245" s="469">
        <f ca="1">IF(BA$166&gt;='2.2 Input_General_Information'!$H$20,BA237/BA$240+(BA$246-BA$238)/5,)</f>
        <v>0.2176649786219734</v>
      </c>
      <c r="BB245" s="469">
        <f ca="1">IF(BB$166&gt;='2.2 Input_General_Information'!$H$20,BB237/BB$240+(BB$246-BB$238)/5,)</f>
        <v>0.22135270193481793</v>
      </c>
      <c r="BC245" s="469">
        <f ca="1">IF(BC$166&gt;='2.2 Input_General_Information'!$H$20,BC237/BC$240+(BC$246-BC$238)/5,)</f>
        <v>0.22481704341677861</v>
      </c>
      <c r="BD245" s="469">
        <f ca="1">IF(BD$166&gt;='2.2 Input_General_Information'!$H$20,BD237/BD$240+(BD$246-BD$238)/5,)</f>
        <v>0.22813959451633026</v>
      </c>
      <c r="BE245" s="469">
        <f ca="1">IF(BE$166&gt;='2.2 Input_General_Information'!$H$20,BE237/BE$240+(BE$246-BE$238)/5,)</f>
        <v>0.23137192992698907</v>
      </c>
      <c r="BF245" s="469">
        <f ca="1">IF(BF$166&gt;='2.2 Input_General_Information'!$H$20,BF237/BF$240+(BF$246-BF$238)/5,)</f>
        <v>0.23454592926981321</v>
      </c>
      <c r="BG245" s="469">
        <f ca="1">IF(BG$166&gt;='2.2 Input_General_Information'!$H$20,BG237/BG$240+(BG$246-BG$238)/5,)</f>
        <v>0.23768077976278479</v>
      </c>
      <c r="BH245" s="469">
        <f ca="1">IF(BH$166&gt;='2.2 Input_General_Information'!$H$20,BH237/BH$240+(BH$246-BH$238)/5,)</f>
        <v>0.24078757721937644</v>
      </c>
      <c r="BI245" s="469">
        <f ca="1">IF(BI$166&gt;='2.2 Input_General_Information'!$H$20,BI237/BI$240+(BI$246-BI$238)/5,)</f>
        <v>0.24387229288601919</v>
      </c>
      <c r="BJ245" s="469">
        <f ca="1">IF(BJ$166&gt;='2.2 Input_General_Information'!$H$20,BJ237/BJ$240+(BJ$246-BJ$238)/5,)</f>
        <v>0.24693766557566857</v>
      </c>
      <c r="BK245" s="469">
        <f ca="1">IF(BK$166&gt;='2.2 Input_General_Information'!$H$20,BK237/BK$240+(BK$246-BK$238)/5,)</f>
        <v>0.2499844009359439</v>
      </c>
      <c r="BL245" s="6"/>
      <c r="BM245" s="6"/>
      <c r="BN245" s="6"/>
      <c r="BO245" s="6"/>
      <c r="BP245" s="6"/>
      <c r="BQ245" s="6"/>
      <c r="BR245" s="6"/>
      <c r="BS245" s="6"/>
      <c r="BT245" s="6"/>
      <c r="BU245" s="6"/>
    </row>
    <row r="246" spans="1:73">
      <c r="A246" s="6"/>
      <c r="B246" s="108"/>
      <c r="C246" s="1"/>
      <c r="D246" s="25"/>
      <c r="E246" s="4"/>
      <c r="F246" s="4"/>
      <c r="G246" s="79"/>
      <c r="H246" s="79"/>
      <c r="I246" s="79"/>
      <c r="J246" s="79"/>
      <c r="K246" s="79"/>
      <c r="L246" s="79"/>
      <c r="M246" s="79"/>
      <c r="N246" s="79"/>
      <c r="O246" s="1"/>
      <c r="P246" s="1"/>
      <c r="Q246" s="1"/>
      <c r="R246" s="162"/>
      <c r="S246" s="1"/>
      <c r="T246" s="101" t="s">
        <v>936</v>
      </c>
      <c r="V246" s="101" t="str">
        <f t="shared" si="53"/>
        <v>Other</v>
      </c>
      <c r="W246" s="469">
        <f ca="1">IF(W$166&gt;='2.2 Input_General_Information'!$H$20,W238/W$240,)</f>
        <v>5.0003000180010748E-2</v>
      </c>
      <c r="X246" s="469">
        <f ca="1">IF(X$166&gt;='2.2 Input_General_Information'!$H$20,X238/X$240,)</f>
        <v>4.954548450489378E-2</v>
      </c>
      <c r="Y246" s="469">
        <f ca="1">IF(Y$166&gt;='2.2 Input_General_Information'!$H$20,Y238/Y$240,)</f>
        <v>4.9085888482900387E-2</v>
      </c>
      <c r="Z246" s="469">
        <f ca="1">IF(Z$166&gt;='2.2 Input_General_Information'!$H$20,Z238/Z$240,)</f>
        <v>4.8624884604500193E-2</v>
      </c>
      <c r="AA246" s="469">
        <f ca="1">IF(AA$166&gt;='2.2 Input_General_Information'!$H$20,AA238/AA$240,)</f>
        <v>4.8163432930934225E-2</v>
      </c>
      <c r="AB246" s="469">
        <f ca="1">IF(AB$166&gt;='2.2 Input_General_Information'!$H$20,AB238/AB$240,)</f>
        <v>4.770293571704224E-2</v>
      </c>
      <c r="AC246" s="469">
        <f ca="1">IF(AC$166&gt;='2.2 Input_General_Information'!$H$20,AC238/AC$240,)</f>
        <v>4.7245476213622829E-2</v>
      </c>
      <c r="AD246" s="469">
        <f ca="1">IF(AD$166&gt;='2.2 Input_General_Information'!$H$20,AD238/AD$240,)</f>
        <v>4.6794186560207431E-2</v>
      </c>
      <c r="AE246" s="469">
        <f ca="1">IF(AE$166&gt;='2.2 Input_General_Information'!$H$20,AE238/AE$240,)</f>
        <v>4.6353812395689711E-2</v>
      </c>
      <c r="AF246" s="469">
        <f ca="1">IF(AF$166&gt;='2.2 Input_General_Information'!$H$20,AF238/AF$240,)</f>
        <v>4.593157421181529E-2</v>
      </c>
      <c r="AG246" s="469">
        <f ca="1">IF(AG$166&gt;='2.2 Input_General_Information'!$H$20,AG238/AG$240,)</f>
        <v>4.5538468899251096E-2</v>
      </c>
      <c r="AH246" s="469">
        <f ca="1">IF(AH$166&gt;='2.2 Input_General_Information'!$H$20,AH238/AH$240,)</f>
        <v>4.5191205974712746E-2</v>
      </c>
      <c r="AI246" s="469">
        <f ca="1">IF(AI$166&gt;='2.2 Input_General_Information'!$H$20,AI238/AI$240,)</f>
        <v>4.4915013714376603E-2</v>
      </c>
      <c r="AJ246" s="469">
        <f ca="1">IF(AJ$166&gt;='2.2 Input_General_Information'!$H$20,AJ238/AJ$240,)</f>
        <v>4.4747525550768302E-2</v>
      </c>
      <c r="AK246" s="469">
        <f ca="1">IF(AK$166&gt;='2.2 Input_General_Information'!$H$20,AK238/AK$240,)</f>
        <v>4.4743726418210089E-2</v>
      </c>
      <c r="AL246" s="469">
        <f ca="1">IF(AL$166&gt;='2.2 Input_General_Information'!$H$20,AL238/AL$240,)</f>
        <v>4.4981197964894852E-2</v>
      </c>
      <c r="AM246" s="469">
        <f ca="1">IF(AM$166&gt;='2.2 Input_General_Information'!$H$20,AM238/AM$240,)</f>
        <v>4.5563117655567073E-2</v>
      </c>
      <c r="AN246" s="469">
        <f ca="1">IF(AN$166&gt;='2.2 Input_General_Information'!$H$20,AN238/AN$240,)</f>
        <v>4.6613085162285926E-2</v>
      </c>
      <c r="AO246" s="469">
        <f ca="1">IF(AO$166&gt;='2.2 Input_General_Information'!$H$20,AO238/AO$240,)</f>
        <v>4.8251513967658026E-2</v>
      </c>
      <c r="AP246" s="469">
        <f ca="1">IF(AP$166&gt;='2.2 Input_General_Information'!$H$20,AP238/AP$240,)</f>
        <v>5.0543001656644881E-2</v>
      </c>
      <c r="AQ246" s="469">
        <f ca="1">IF(AQ$166&gt;='2.2 Input_General_Information'!$H$20,AQ238/AQ$240,)</f>
        <v>5.3419484716664592E-2</v>
      </c>
      <c r="AR246" s="469">
        <f ca="1">IF(AR$166&gt;='2.2 Input_General_Information'!$H$20,AR238/AR$240,)</f>
        <v>5.6622099901114969E-2</v>
      </c>
      <c r="AS246" s="469">
        <f ca="1">IF(AS$166&gt;='2.2 Input_General_Information'!$H$20,AS238/AS$240,)</f>
        <v>5.9733532637004365E-2</v>
      </c>
      <c r="AT246" s="469">
        <f ca="1">IF(AT$166&gt;='2.2 Input_General_Information'!$H$20,AT238/AT$240,)</f>
        <v>6.232345827305931E-2</v>
      </c>
      <c r="AU246" s="469">
        <f ca="1">IF(AU$166&gt;='2.2 Input_General_Information'!$H$20,AU238/AU$240,)</f>
        <v>6.4115718507815805E-2</v>
      </c>
      <c r="AV246" s="469">
        <f ca="1">IF(AV$166&gt;='2.2 Input_General_Information'!$H$20,AV238/AV$240,)</f>
        <v>6.5054361570201003E-2</v>
      </c>
      <c r="AW246" s="469">
        <f ca="1">IF(AW$166&gt;='2.2 Input_General_Information'!$H$20,AW238/AW$240,)</f>
        <v>6.5250011974009786E-2</v>
      </c>
      <c r="AX246" s="469">
        <f ca="1">IF(AX$166&gt;='2.2 Input_General_Information'!$H$20,AX238/AX$240,)</f>
        <v>6.4882746817423051E-2</v>
      </c>
      <c r="AY246" s="469">
        <f ca="1">IF(AY$166&gt;='2.2 Input_General_Information'!$H$20,AY238/AY$240,)</f>
        <v>6.4129293914409136E-2</v>
      </c>
      <c r="AZ246" s="469">
        <f ca="1">IF(AZ$166&gt;='2.2 Input_General_Information'!$H$20,AZ238/AZ$240,)</f>
        <v>6.3130765301630351E-2</v>
      </c>
      <c r="BA246" s="469">
        <f ca="1">IF(BA$166&gt;='2.2 Input_General_Information'!$H$20,BA238/BA$240,)</f>
        <v>6.1987858219645482E-2</v>
      </c>
      <c r="BB246" s="469">
        <f ca="1">IF(BB$166&gt;='2.2 Input_General_Information'!$H$20,BB238/BB$240,)</f>
        <v>6.0767762311316927E-2</v>
      </c>
      <c r="BC246" s="469">
        <f ca="1">IF(BC$166&gt;='2.2 Input_General_Information'!$H$20,BC238/BC$240,)</f>
        <v>5.9513453743652044E-2</v>
      </c>
      <c r="BD246" s="469">
        <f ca="1">IF(BD$166&gt;='2.2 Input_General_Information'!$H$20,BD238/BD$240,)</f>
        <v>5.8251652214214383E-2</v>
      </c>
      <c r="BE246" s="469">
        <f ca="1">IF(BE$166&gt;='2.2 Input_General_Information'!$H$20,BE238/BE$240,)</f>
        <v>5.6998617281463014E-2</v>
      </c>
      <c r="BF246" s="469">
        <f ca="1">IF(BF$166&gt;='2.2 Input_General_Information'!$H$20,BF238/BF$240,)</f>
        <v>5.5764047281609393E-2</v>
      </c>
      <c r="BG246" s="469">
        <f ca="1">IF(BG$166&gt;='2.2 Input_General_Information'!$H$20,BG238/BG$240,)</f>
        <v>5.4553588755442924E-2</v>
      </c>
      <c r="BH246" s="469">
        <f ca="1">IF(BH$166&gt;='2.2 Input_General_Information'!$H$20,BH238/BH$240,)</f>
        <v>5.3370410522474515E-2</v>
      </c>
      <c r="BI246" s="469">
        <f ca="1">IF(BI$166&gt;='2.2 Input_General_Information'!$H$20,BI238/BI$240,)</f>
        <v>5.2216175926453931E-2</v>
      </c>
      <c r="BJ246" s="469">
        <f ca="1">IF(BJ$166&gt;='2.2 Input_General_Information'!$H$20,BJ238/BJ$240,)</f>
        <v>5.1091637752727494E-2</v>
      </c>
      <c r="BK246" s="469">
        <f ca="1">IF(BK$166&gt;='2.2 Input_General_Information'!$H$20,BK238/BK$240,)</f>
        <v>4.9997000179989086E-2</v>
      </c>
      <c r="BL246" s="6"/>
      <c r="BM246" s="6"/>
      <c r="BN246" s="6"/>
      <c r="BO246" s="6"/>
      <c r="BP246" s="6"/>
      <c r="BQ246" s="6"/>
      <c r="BR246" s="6"/>
      <c r="BS246" s="6"/>
      <c r="BT246" s="6"/>
      <c r="BU246" s="6"/>
    </row>
    <row r="247" spans="1:73">
      <c r="A247" s="6"/>
      <c r="B247" s="108"/>
      <c r="C247" s="1"/>
      <c r="D247" s="25"/>
      <c r="E247" s="4"/>
      <c r="F247" s="4"/>
      <c r="G247" s="79"/>
      <c r="H247" s="79"/>
      <c r="I247" s="79"/>
      <c r="J247" s="79"/>
      <c r="K247" s="79"/>
      <c r="L247" s="79"/>
      <c r="M247" s="79"/>
      <c r="N247" s="79"/>
      <c r="O247" s="1"/>
      <c r="P247" s="1"/>
      <c r="Q247" s="1"/>
      <c r="R247" s="162"/>
      <c r="S247" s="1"/>
      <c r="BL247" s="6"/>
      <c r="BM247" s="6"/>
      <c r="BN247" s="6"/>
      <c r="BO247" s="6"/>
      <c r="BP247" s="6"/>
      <c r="BQ247" s="6"/>
      <c r="BR247" s="6"/>
      <c r="BS247" s="6"/>
      <c r="BT247" s="6"/>
      <c r="BU247" s="6"/>
    </row>
    <row r="248" spans="1:73">
      <c r="A248" s="6"/>
      <c r="B248" s="108"/>
      <c r="C248" s="1"/>
      <c r="D248" s="25"/>
      <c r="E248" s="4"/>
      <c r="F248" s="4"/>
      <c r="G248" s="79"/>
      <c r="H248" s="79"/>
      <c r="I248" s="79"/>
      <c r="J248" s="79"/>
      <c r="K248" s="79"/>
      <c r="L248" s="79"/>
      <c r="M248" s="79"/>
      <c r="N248" s="79"/>
      <c r="O248" s="1"/>
      <c r="P248" s="1"/>
      <c r="Q248" s="1"/>
      <c r="R248" s="162"/>
      <c r="S248" s="1"/>
      <c r="V248" s="101" t="s">
        <v>1008</v>
      </c>
      <c r="W248" s="469">
        <f t="shared" ref="W248:BK248" ca="1" si="54">SUM(W241:W245)+W238</f>
        <v>1</v>
      </c>
      <c r="X248" s="469">
        <f t="shared" ca="1" si="54"/>
        <v>1</v>
      </c>
      <c r="Y248" s="469">
        <f t="shared" ca="1" si="54"/>
        <v>1</v>
      </c>
      <c r="Z248" s="469">
        <f t="shared" ca="1" si="54"/>
        <v>1</v>
      </c>
      <c r="AA248" s="469">
        <f t="shared" ca="1" si="54"/>
        <v>1</v>
      </c>
      <c r="AB248" s="469">
        <f t="shared" ca="1" si="54"/>
        <v>1</v>
      </c>
      <c r="AC248" s="469">
        <f t="shared" ca="1" si="54"/>
        <v>1</v>
      </c>
      <c r="AD248" s="469">
        <f t="shared" ca="1" si="54"/>
        <v>0.99999999999999989</v>
      </c>
      <c r="AE248" s="469">
        <f t="shared" ca="1" si="54"/>
        <v>0.99999999999999978</v>
      </c>
      <c r="AF248" s="469">
        <f t="shared" ca="1" si="54"/>
        <v>0.99999999999999978</v>
      </c>
      <c r="AG248" s="469">
        <f t="shared" ca="1" si="54"/>
        <v>1</v>
      </c>
      <c r="AH248" s="469">
        <f t="shared" ca="1" si="54"/>
        <v>1</v>
      </c>
      <c r="AI248" s="469">
        <f t="shared" ca="1" si="54"/>
        <v>0.99999999999999989</v>
      </c>
      <c r="AJ248" s="469">
        <f t="shared" ca="1" si="54"/>
        <v>0.99999999999999989</v>
      </c>
      <c r="AK248" s="469">
        <f t="shared" ca="1" si="54"/>
        <v>1</v>
      </c>
      <c r="AL248" s="469">
        <f t="shared" ca="1" si="54"/>
        <v>1</v>
      </c>
      <c r="AM248" s="469">
        <f t="shared" ca="1" si="54"/>
        <v>1</v>
      </c>
      <c r="AN248" s="469">
        <f t="shared" ca="1" si="54"/>
        <v>0.99999999999999978</v>
      </c>
      <c r="AO248" s="469">
        <f t="shared" ca="1" si="54"/>
        <v>1</v>
      </c>
      <c r="AP248" s="469">
        <f t="shared" ca="1" si="54"/>
        <v>1</v>
      </c>
      <c r="AQ248" s="469">
        <f t="shared" ca="1" si="54"/>
        <v>1</v>
      </c>
      <c r="AR248" s="469">
        <f t="shared" ca="1" si="54"/>
        <v>0.99999999999999989</v>
      </c>
      <c r="AS248" s="469">
        <f t="shared" ca="1" si="54"/>
        <v>1</v>
      </c>
      <c r="AT248" s="469">
        <f t="shared" ca="1" si="54"/>
        <v>1</v>
      </c>
      <c r="AU248" s="469">
        <f t="shared" ca="1" si="54"/>
        <v>1</v>
      </c>
      <c r="AV248" s="469">
        <f t="shared" ca="1" si="54"/>
        <v>0.99999999999999978</v>
      </c>
      <c r="AW248" s="469">
        <f t="shared" ca="1" si="54"/>
        <v>1</v>
      </c>
      <c r="AX248" s="469">
        <f t="shared" ca="1" si="54"/>
        <v>1</v>
      </c>
      <c r="AY248" s="469">
        <f t="shared" ca="1" si="54"/>
        <v>1</v>
      </c>
      <c r="AZ248" s="469">
        <f t="shared" ca="1" si="54"/>
        <v>1</v>
      </c>
      <c r="BA248" s="469">
        <f t="shared" ca="1" si="54"/>
        <v>1</v>
      </c>
      <c r="BB248" s="469">
        <f t="shared" ca="1" si="54"/>
        <v>1</v>
      </c>
      <c r="BC248" s="469">
        <f t="shared" ca="1" si="54"/>
        <v>1</v>
      </c>
      <c r="BD248" s="469">
        <f t="shared" ca="1" si="54"/>
        <v>1</v>
      </c>
      <c r="BE248" s="469">
        <f t="shared" ca="1" si="54"/>
        <v>0.99999999999999989</v>
      </c>
      <c r="BF248" s="469">
        <f t="shared" ca="1" si="54"/>
        <v>1</v>
      </c>
      <c r="BG248" s="469">
        <f t="shared" ca="1" si="54"/>
        <v>1</v>
      </c>
      <c r="BH248" s="469">
        <f t="shared" ca="1" si="54"/>
        <v>1</v>
      </c>
      <c r="BI248" s="469">
        <f t="shared" ca="1" si="54"/>
        <v>1</v>
      </c>
      <c r="BJ248" s="469">
        <f t="shared" ca="1" si="54"/>
        <v>1</v>
      </c>
      <c r="BK248" s="469">
        <f t="shared" ca="1" si="54"/>
        <v>1</v>
      </c>
      <c r="BL248" s="6"/>
      <c r="BM248" s="6"/>
      <c r="BN248" s="6"/>
      <c r="BO248" s="6"/>
      <c r="BP248" s="6"/>
      <c r="BQ248" s="6"/>
      <c r="BR248" s="6"/>
      <c r="BS248" s="6"/>
      <c r="BT248" s="6"/>
      <c r="BU248" s="6"/>
    </row>
    <row r="249" spans="1:73">
      <c r="A249" s="6"/>
      <c r="B249" s="108"/>
      <c r="C249" s="1"/>
      <c r="D249" s="25"/>
      <c r="E249" s="4"/>
      <c r="F249" s="4"/>
      <c r="G249" s="79"/>
      <c r="H249" s="79"/>
      <c r="I249" s="79"/>
      <c r="J249" s="79"/>
      <c r="K249" s="79"/>
      <c r="L249" s="79"/>
      <c r="M249" s="79"/>
      <c r="N249" s="79"/>
      <c r="O249" s="1"/>
      <c r="P249" s="1"/>
      <c r="Q249" s="1"/>
      <c r="R249" s="162"/>
      <c r="S249" s="1"/>
      <c r="T249" s="101"/>
      <c r="U249" s="101"/>
      <c r="V249" s="101"/>
      <c r="W249" s="469"/>
      <c r="X249" s="469"/>
      <c r="Y249" s="469"/>
      <c r="Z249" s="469"/>
      <c r="AA249" s="469"/>
      <c r="AB249" s="469"/>
      <c r="AC249" s="469"/>
      <c r="AD249" s="469"/>
      <c r="AE249" s="469"/>
      <c r="AF249" s="469"/>
      <c r="AG249" s="469"/>
      <c r="AH249" s="469"/>
      <c r="AI249" s="469"/>
      <c r="AJ249" s="469"/>
      <c r="AK249" s="469"/>
      <c r="AL249" s="469"/>
      <c r="AM249" s="469"/>
      <c r="AN249" s="469"/>
      <c r="AO249" s="469"/>
      <c r="AP249" s="469"/>
      <c r="AQ249" s="469"/>
      <c r="AR249" s="469"/>
      <c r="AS249" s="469"/>
      <c r="AT249" s="469"/>
      <c r="AU249" s="469"/>
      <c r="AV249" s="469"/>
      <c r="AW249" s="469"/>
      <c r="AX249" s="469"/>
      <c r="AY249" s="469"/>
      <c r="AZ249" s="469"/>
      <c r="BA249" s="469"/>
      <c r="BB249" s="469"/>
      <c r="BC249" s="469"/>
      <c r="BD249" s="469"/>
      <c r="BE249" s="469"/>
      <c r="BF249" s="469"/>
      <c r="BG249" s="469"/>
      <c r="BH249" s="469"/>
      <c r="BI249" s="469"/>
      <c r="BJ249" s="469"/>
      <c r="BK249" s="469"/>
      <c r="BL249" s="6"/>
      <c r="BM249" s="6"/>
      <c r="BN249" s="6"/>
      <c r="BO249" s="6"/>
      <c r="BP249" s="6"/>
      <c r="BQ249" s="6"/>
      <c r="BR249" s="6"/>
      <c r="BS249" s="6"/>
      <c r="BT249" s="6"/>
      <c r="BU249" s="6"/>
    </row>
    <row r="250" spans="1:73">
      <c r="A250" s="6"/>
      <c r="B250" s="108"/>
      <c r="C250" s="1"/>
      <c r="D250" s="25"/>
      <c r="E250" s="4"/>
      <c r="F250" s="4"/>
      <c r="G250" s="79"/>
      <c r="H250" s="79"/>
      <c r="I250" s="79"/>
      <c r="J250" s="79"/>
      <c r="K250" s="79"/>
      <c r="L250" s="79"/>
      <c r="M250" s="79"/>
      <c r="N250" s="79"/>
      <c r="O250" s="1"/>
      <c r="P250" s="1"/>
      <c r="Q250" s="1"/>
      <c r="R250" s="162"/>
      <c r="S250" s="1"/>
      <c r="T250" s="101" t="s">
        <v>449</v>
      </c>
      <c r="U250" s="101"/>
      <c r="V250" s="101">
        <f t="shared" ref="V250:V251" si="55">E230</f>
        <v>0</v>
      </c>
      <c r="W250" s="469">
        <f ca="1">IF($G$223=0,0,IF(W$166&lt;'2.2 Input_General_Information'!$H$20, ,IF(W$166='2.2 Input_General_Information'!$H$20,$H223,V250/V241*W241)))</f>
        <v>0.4</v>
      </c>
      <c r="X250" s="469">
        <f ca="1">IF($G$223=0,0,IF(X$166&lt;'2.2 Input_General_Information'!$H$20, ,IF(X$166='2.2 Input_General_Information'!$H$20,$H223,W250/W241*X241)))</f>
        <v>0.39621234151304918</v>
      </c>
      <c r="Y250" s="469">
        <f ca="1">IF($G$223=0,0,IF(Y$166&lt;'2.2 Input_General_Information'!$H$20, ,IF(Y$166='2.2 Input_General_Information'!$H$20,$H223,X250/X241*Y241)))</f>
        <v>0.39239456945067908</v>
      </c>
      <c r="Z250" s="469">
        <f ca="1">IF($G$223=0,0,IF(Z$166&lt;'2.2 Input_General_Information'!$H$20, ,IF(Z$166='2.2 Input_General_Information'!$H$20,$H223,Y250/Y241*Z241)))</f>
        <v>0.38854482650612659</v>
      </c>
      <c r="AA250" s="469">
        <f ca="1">IF($G$223=0,0,IF(AA$166&lt;'2.2 Input_General_Information'!$H$20, ,IF(AA$166='2.2 Input_General_Information'!$H$20,$H223,Z250/Z241*AA241)))</f>
        <v>0.3846594258301374</v>
      </c>
      <c r="AB250" s="469">
        <f ca="1">IF($G$223=0,0,IF(AB$166&lt;'2.2 Input_General_Information'!$H$20, ,IF(AB$166='2.2 Input_General_Information'!$H$20,$H223,AA250/AA241*AB241)))</f>
        <v>0.38073174912268232</v>
      </c>
      <c r="AC250" s="469">
        <f ca="1">IF($G$223=0,0,IF(AC$166&lt;'2.2 Input_General_Information'!$H$20, ,IF(AC$166='2.2 Input_General_Information'!$H$20,$H223,AB250/AB241*AC241)))</f>
        <v>0.37675050312735237</v>
      </c>
      <c r="AD250" s="469">
        <f ca="1">IF($G$223=0,0,IF(AD$166&lt;'2.2 Input_General_Information'!$H$20, ,IF(AD$166='2.2 Input_General_Information'!$H$20,$H223,AC250/AC241*AD241)))</f>
        <v>0.37269696676325781</v>
      </c>
      <c r="AE250" s="469">
        <f ca="1">IF($G$223=0,0,IF(AE$166&lt;'2.2 Input_General_Information'!$H$20, ,IF(AE$166='2.2 Input_General_Information'!$H$20,$H223,AD250/AD241*AE241)))</f>
        <v>0.36854065881538889</v>
      </c>
      <c r="AF250" s="469">
        <f ca="1">IF($G$223=0,0,IF(AF$166&lt;'2.2 Input_General_Information'!$H$20, ,IF(AF$166='2.2 Input_General_Information'!$H$20,$H223,AE250/AE241*AF241)))</f>
        <v>0.36423255531153398</v>
      </c>
      <c r="AG250" s="469">
        <f ca="1">IF($G$223=0,0,IF(AG$166&lt;'2.2 Input_General_Information'!$H$20, ,IF(AG$166='2.2 Input_General_Information'!$H$20,$H223,AF250/AF241*AG241)))</f>
        <v>0.35969455863052135</v>
      </c>
      <c r="AH250" s="469">
        <f ca="1">IF($G$223=0,0,IF(AH$166&lt;'2.2 Input_General_Information'!$H$20, ,IF(AH$166='2.2 Input_General_Information'!$H$20,$H223,AG250/AG241*AH241)))</f>
        <v>0.3548033662589099</v>
      </c>
      <c r="AI250" s="469">
        <f ca="1">IF($G$223=0,0,IF(AI$166&lt;'2.2 Input_General_Information'!$H$20, ,IF(AI$166='2.2 Input_General_Information'!$H$20,$H223,AH250/AH241*AI241)))</f>
        <v>0.34936630738390911</v>
      </c>
      <c r="AJ250" s="469">
        <f ca="1">IF($G$223=0,0,IF(AJ$166&lt;'2.2 Input_General_Information'!$H$20, ,IF(AJ$166='2.2 Input_General_Information'!$H$20,$H223,AI250/AI241*AJ241)))</f>
        <v>0.34308650306425215</v>
      </c>
      <c r="AK250" s="469">
        <f ca="1">IF($G$223=0,0,IF(AK$166&lt;'2.2 Input_General_Information'!$H$20, ,IF(AK$166='2.2 Input_General_Information'!$H$20,$H223,AJ250/AJ241*AK241)))</f>
        <v>0.33551596518550092</v>
      </c>
      <c r="AL250" s="469">
        <f ca="1">IF($G$223=0,0,IF(AL$166&lt;'2.2 Input_General_Information'!$H$20, ,IF(AL$166='2.2 Input_General_Information'!$H$20,$H223,AK250/AK241*AL241)))</f>
        <v>0.32600056882623779</v>
      </c>
      <c r="AM250" s="469">
        <f ca="1">IF($G$223=0,0,IF(AM$166&lt;'2.2 Input_General_Information'!$H$20, ,IF(AM$166='2.2 Input_General_Information'!$H$20,$H223,AL250/AL241*AM241)))</f>
        <v>0.31363515734038278</v>
      </c>
      <c r="AN250" s="469">
        <f ca="1">IF($G$223=0,0,IF(AN$166&lt;'2.2 Input_General_Information'!$H$20, ,IF(AN$166='2.2 Input_General_Information'!$H$20,$H223,AM250/AM241*AN241)))</f>
        <v>0.29727666675902392</v>
      </c>
      <c r="AO250" s="469">
        <f ca="1">IF($G$223=0,0,IF(AO$166&lt;'2.2 Input_General_Information'!$H$20, ,IF(AO$166='2.2 Input_General_Information'!$H$20,$H223,AN250/AN241*AO241)))</f>
        <v>0.27570634094113317</v>
      </c>
      <c r="AP250" s="469">
        <f ca="1">IF($G$223=0,0,IF(AP$166&lt;'2.2 Input_General_Information'!$H$20, ,IF(AP$166='2.2 Input_General_Information'!$H$20,$H223,AO250/AO241*AP241)))</f>
        <v>0.24805133501435303</v>
      </c>
      <c r="AQ250" s="469">
        <f ca="1">IF($G$223=0,0,IF(AQ$166&lt;'2.2 Input_General_Information'!$H$20, ,IF(AQ$166='2.2 Input_General_Information'!$H$20,$H223,AP250/AP241*AQ241)))</f>
        <v>0.21446774691685463</v>
      </c>
      <c r="AR250" s="469">
        <f ca="1">IF($G$223=0,0,IF(AR$166&lt;'2.2 Input_General_Information'!$H$20, ,IF(AR$166='2.2 Input_General_Information'!$H$20,$H223,AQ250/AQ241*AR241)))</f>
        <v>0.1767609728572675</v>
      </c>
      <c r="AS250" s="469">
        <f ca="1">IF($G$223=0,0,IF(AS$166&lt;'2.2 Input_General_Information'!$H$20, ,IF(AS$166='2.2 Input_General_Information'!$H$20,$H223,AR250/AR241*AS241)))</f>
        <v>0.13830274881223109</v>
      </c>
      <c r="AT250" s="469">
        <f ca="1">IF($G$223=0,0,IF(AT$166&lt;'2.2 Input_General_Information'!$H$20, ,IF(AT$166='2.2 Input_General_Information'!$H$20,$H223,AS250/AS241*AT241)))</f>
        <v>0.10291839539209637</v>
      </c>
      <c r="AU250" s="469">
        <f ca="1">IF($G$223=0,0,IF(AU$166&lt;'2.2 Input_General_Information'!$H$20, ,IF(AU$166='2.2 Input_General_Information'!$H$20,$H223,AT250/AT241*AU241)))</f>
        <v>7.3402247552868782E-2</v>
      </c>
      <c r="AV250" s="469">
        <f ca="1">IF($G$223=0,0,IF(AV$166&lt;'2.2 Input_General_Information'!$H$20, ,IF(AV$166='2.2 Input_General_Information'!$H$20,$H223,AU250/AU241*AV241)))</f>
        <v>5.0756278590906673E-2</v>
      </c>
      <c r="AW250" s="469">
        <f ca="1">IF($G$223=0,0,IF(AW$166&lt;'2.2 Input_General_Information'!$H$20, ,IF(AW$166='2.2 Input_General_Information'!$H$20,$H223,AV250/AV241*AW241)))</f>
        <v>3.4469109089572569E-2</v>
      </c>
      <c r="AX250" s="469">
        <f ca="1">IF($G$223=0,0,IF(AX$166&lt;'2.2 Input_General_Information'!$H$20, ,IF(AX$166='2.2 Input_General_Information'!$H$20,$H223,AW250/AW241*AX241)))</f>
        <v>2.3276399182678084E-2</v>
      </c>
      <c r="AY250" s="469">
        <f ca="1">IF($G$223=0,0,IF(AY$166&lt;'2.2 Input_General_Information'!$H$20, ,IF(AY$166='2.2 Input_General_Information'!$H$20,$H223,AX250/AX241*AY241)))</f>
        <v>1.5801717742581142E-2</v>
      </c>
      <c r="AZ250" s="469">
        <f ca="1">IF($G$223=0,0,IF(AZ$166&lt;'2.2 Input_General_Information'!$H$20, ,IF(AZ$166='2.2 Input_General_Information'!$H$20,$H223,AY250/AY241*AZ241)))</f>
        <v>1.0881642511292401E-2</v>
      </c>
      <c r="BA250" s="469">
        <f ca="1">IF($G$223=0,0,IF(BA$166&lt;'2.2 Input_General_Information'!$H$20, ,IF(BA$166='2.2 Input_General_Information'!$H$20,$H223,AZ250/AZ241*BA241)))</f>
        <v>7.6505472508681836E-3</v>
      </c>
      <c r="BB250" s="469">
        <f ca="1">IF($G$223=0,0,IF(BB$166&lt;'2.2 Input_General_Information'!$H$20, ,IF(BB$166='2.2 Input_General_Information'!$H$20,$H223,BA250/BA241*BB241)))</f>
        <v>5.5096973347370463E-3</v>
      </c>
      <c r="BC250" s="469">
        <f ca="1">IF($G$223=0,0,IF(BC$166&lt;'2.2 Input_General_Information'!$H$20, ,IF(BC$166='2.2 Input_General_Information'!$H$20,$H223,BB250/BB241*BC241)))</f>
        <v>4.0626748367807441E-3</v>
      </c>
      <c r="BD250" s="469">
        <f ca="1">IF($G$223=0,0,IF(BD$166&lt;'2.2 Input_General_Information'!$H$20, ,IF(BD$166='2.2 Input_General_Information'!$H$20,$H223,BC250/BC241*BD241)))</f>
        <v>3.0539238771339029E-3</v>
      </c>
      <c r="BE250" s="469">
        <f ca="1">IF($G$223=0,0,IF(BE$166&lt;'2.2 Input_General_Information'!$H$20, ,IF(BE$166='2.2 Input_General_Information'!$H$20,$H223,BD250/BD241*BE241)))</f>
        <v>2.3213734477896203E-3</v>
      </c>
      <c r="BF250" s="469">
        <f ca="1">IF($G$223=0,0,IF(BF$166&lt;'2.2 Input_General_Information'!$H$20, ,IF(BF$166='2.2 Input_General_Information'!$H$20,$H223,BE250/BE241*BF241)))</f>
        <v>1.7632641394608065E-3</v>
      </c>
      <c r="BG250" s="469">
        <f ca="1">IF($G$223=0,0,IF(BG$166&lt;'2.2 Input_General_Information'!$H$20, ,IF(BG$166='2.2 Input_General_Information'!$H$20,$H223,BF250/BF241*BG241)))</f>
        <v>1.3160869450505287E-3</v>
      </c>
      <c r="BH250" s="469">
        <f ca="1">IF($G$223=0,0,IF(BH$166&lt;'2.2 Input_General_Information'!$H$20, ,IF(BH$166='2.2 Input_General_Information'!$H$20,$H223,BG250/BG241*BH241)))</f>
        <v>9.4033949242251118E-4</v>
      </c>
      <c r="BI250" s="469">
        <f ca="1">IF($G$223=0,0,IF(BI$166&lt;'2.2 Input_General_Information'!$H$20, ,IF(BI$166='2.2 Input_General_Information'!$H$20,$H223,BH250/BH241*BI241)))</f>
        <v>6.1148988268753559E-4</v>
      </c>
      <c r="BJ250" s="469">
        <f ca="1">IF($G$223=0,0,IF(BJ$166&lt;'2.2 Input_General_Information'!$H$20, ,IF(BJ$166='2.2 Input_General_Information'!$H$20,$H223,BI250/BI241*BJ241)))</f>
        <v>3.1430495327695027E-4</v>
      </c>
      <c r="BK250" s="469">
        <f ca="1">IF($G$223=0,0,IF(BK$166&lt;'2.2 Input_General_Information'!$H$20, ,IF(BK$166='2.2 Input_General_Information'!$H$20,$H223,BJ250/BJ241*BK241)))</f>
        <v>3.9313432231738066E-5</v>
      </c>
      <c r="BL250" s="6"/>
      <c r="BM250" s="6"/>
      <c r="BN250" s="6"/>
      <c r="BO250" s="6"/>
      <c r="BP250" s="6"/>
      <c r="BQ250" s="6"/>
      <c r="BR250" s="6"/>
      <c r="BS250" s="6"/>
      <c r="BT250" s="6"/>
      <c r="BU250" s="6"/>
    </row>
    <row r="251" spans="1:73">
      <c r="A251" s="6"/>
      <c r="B251" s="108"/>
      <c r="C251" s="1"/>
      <c r="D251" s="25"/>
      <c r="E251" s="4"/>
      <c r="F251" s="4"/>
      <c r="G251" s="79"/>
      <c r="H251" s="79"/>
      <c r="I251" s="79"/>
      <c r="J251" s="79"/>
      <c r="K251" s="79"/>
      <c r="L251" s="79"/>
      <c r="M251" s="79"/>
      <c r="N251" s="79"/>
      <c r="O251" s="1"/>
      <c r="P251" s="1"/>
      <c r="Q251" s="1"/>
      <c r="R251" s="162"/>
      <c r="S251" s="1"/>
      <c r="T251" s="101" t="s">
        <v>449</v>
      </c>
      <c r="U251" s="101"/>
      <c r="V251" s="101">
        <f t="shared" si="55"/>
        <v>0</v>
      </c>
      <c r="W251" s="469">
        <f ca="1">IF($G$224=0,0,IF(W$166&lt;'2.2 Input_General_Information'!$H$20, ,IF(W$166='2.2 Input_General_Information'!$H$20,$H224,V251/V242*W242)))</f>
        <v>0.35</v>
      </c>
      <c r="X251" s="469">
        <f ca="1">IF($G$224=0,0,IF(X$166&lt;'2.2 Input_General_Information'!$H$20, ,IF(X$166='2.2 Input_General_Information'!$H$20,$H224,W251/W242*X242)))</f>
        <v>0.34664919846638409</v>
      </c>
      <c r="Y251" s="469">
        <f ca="1">IF($G$224=0,0,IF(Y$166&lt;'2.2 Input_General_Information'!$H$20, ,IF(Y$166='2.2 Input_General_Information'!$H$20,$H224,X251/X242*Y242)))</f>
        <v>0.34327188113833784</v>
      </c>
      <c r="Z251" s="469">
        <f ca="1">IF($G$224=0,0,IF(Z$166&lt;'2.2 Input_General_Information'!$H$20, ,IF(Z$166='2.2 Input_General_Information'!$H$20,$H224,Y251/Y242*Z242)))</f>
        <v>0.33986647667481856</v>
      </c>
      <c r="AA251" s="469">
        <f ca="1">IF($G$224=0,0,IF(AA$166&lt;'2.2 Input_General_Information'!$H$20, ,IF(AA$166='2.2 Input_General_Information'!$H$20,$H224,Z251/Z242*AA242)))</f>
        <v>0.33642983589272851</v>
      </c>
      <c r="AB251" s="469">
        <f ca="1">IF($G$224=0,0,IF(AB$166&lt;'2.2 Input_General_Information'!$H$20, ,IF(AB$166='2.2 Input_General_Information'!$H$20,$H224,AA251/AA242*AB242)))</f>
        <v>0.33295627996811927</v>
      </c>
      <c r="AC251" s="469">
        <f ca="1">IF($G$224=0,0,IF(AC$166&lt;'2.2 Input_General_Information'!$H$20, ,IF(AC$166='2.2 Input_General_Information'!$H$20,$H224,AB251/AB242*AC242)))</f>
        <v>0.32943609397474022</v>
      </c>
      <c r="AD251" s="469">
        <f ca="1">IF($G$224=0,0,IF(AD$166&lt;'2.2 Input_General_Information'!$H$20, ,IF(AD$166='2.2 Input_General_Information'!$H$20,$H224,AC251/AC242*AD242)))</f>
        <v>0.32585314755863176</v>
      </c>
      <c r="AE251" s="469">
        <f ca="1">IF($G$224=0,0,IF(AE$166&lt;'2.2 Input_General_Information'!$H$20, ,IF(AE$166='2.2 Input_General_Information'!$H$20,$H224,AD251/AD242*AE242)))</f>
        <v>0.32218114934033837</v>
      </c>
      <c r="AF251" s="469">
        <f ca="1">IF($G$224=0,0,IF(AF$166&lt;'2.2 Input_General_Information'!$H$20, ,IF(AF$166='2.2 Input_General_Information'!$H$20,$H224,AE251/AE242*AF242)))</f>
        <v>0.31837778103465336</v>
      </c>
      <c r="AG251" s="469">
        <f ca="1">IF($G$224=0,0,IF(AG$166&lt;'2.2 Input_General_Information'!$H$20, ,IF(AG$166='2.2 Input_General_Information'!$H$20,$H224,AF251/AF242*AG242)))</f>
        <v>0.31437558705424978</v>
      </c>
      <c r="AH251" s="469">
        <f ca="1">IF($G$224=0,0,IF(AH$166&lt;'2.2 Input_General_Information'!$H$20, ,IF(AH$166='2.2 Input_General_Information'!$H$20,$H224,AG251/AG242*AH242)))</f>
        <v>0.31006801458545974</v>
      </c>
      <c r="AI251" s="469">
        <f ca="1">IF($G$224=0,0,IF(AI$166&lt;'2.2 Input_General_Information'!$H$20, ,IF(AI$166='2.2 Input_General_Information'!$H$20,$H224,AH251/AH242*AI242)))</f>
        <v>0.3052884951206935</v>
      </c>
      <c r="AJ251" s="469">
        <f ca="1">IF($G$224=0,0,IF(AJ$166&lt;'2.2 Input_General_Information'!$H$20, ,IF(AJ$166='2.2 Input_General_Information'!$H$20,$H224,AI251/AI242*AJ242)))</f>
        <v>0.29978027055230166</v>
      </c>
      <c r="AK251" s="469">
        <f ca="1">IF($G$224=0,0,IF(AK$166&lt;'2.2 Input_General_Information'!$H$20, ,IF(AK$166='2.2 Input_General_Information'!$H$20,$H224,AJ251/AJ242*AK242)))</f>
        <v>0.29315575050912696</v>
      </c>
      <c r="AL251" s="469">
        <f ca="1">IF($G$224=0,0,IF(AL$166&lt;'2.2 Input_General_Information'!$H$20, ,IF(AL$166='2.2 Input_General_Information'!$H$20,$H224,AK251/AK242*AL242)))</f>
        <v>0.28484878284268572</v>
      </c>
      <c r="AM251" s="469">
        <f ca="1">IF($G$224=0,0,IF(AM$166&lt;'2.2 Input_General_Information'!$H$20, ,IF(AM$166='2.2 Input_General_Information'!$H$20,$H224,AL251/AL242*AM242)))</f>
        <v>0.27407561053837276</v>
      </c>
      <c r="AN251" s="469">
        <f ca="1">IF($G$224=0,0,IF(AN$166&lt;'2.2 Input_General_Information'!$H$20, ,IF(AN$166='2.2 Input_General_Information'!$H$20,$H224,AM251/AM242*AN242)))</f>
        <v>0.25984594165488417</v>
      </c>
      <c r="AO251" s="469">
        <f ca="1">IF($G$224=0,0,IF(AO$166&lt;'2.2 Input_General_Information'!$H$20, ,IF(AO$166='2.2 Input_General_Information'!$H$20,$H224,AN251/AN242*AO242)))</f>
        <v>0.2411029987409932</v>
      </c>
      <c r="AP251" s="469">
        <f ca="1">IF($G$224=0,0,IF(AP$166&lt;'2.2 Input_General_Information'!$H$20, ,IF(AP$166='2.2 Input_General_Information'!$H$20,$H224,AO251/AO242*AP242)))</f>
        <v>0.21708821105827047</v>
      </c>
      <c r="AQ251" s="469">
        <f ca="1">IF($G$224=0,0,IF(AQ$166&lt;'2.2 Input_General_Information'!$H$20, ,IF(AQ$166='2.2 Input_General_Information'!$H$20,$H224,AP251/AP242*AQ242)))</f>
        <v>0.1879327189231863</v>
      </c>
      <c r="AR251" s="469">
        <f ca="1">IF($G$224=0,0,IF(AR$166&lt;'2.2 Input_General_Information'!$H$20, ,IF(AR$166='2.2 Input_General_Information'!$H$20,$H224,AQ251/AQ242*AR242)))</f>
        <v>0.15519553309648318</v>
      </c>
      <c r="AS251" s="469">
        <f ca="1">IF($G$224=0,0,IF(AS$166&lt;'2.2 Input_General_Information'!$H$20, ,IF(AS$166='2.2 Input_General_Information'!$H$20,$H224,AR251/AR242*AS242)))</f>
        <v>0.12179353411323744</v>
      </c>
      <c r="AT251" s="469">
        <f ca="1">IF($G$224=0,0,IF(AT$166&lt;'2.2 Input_General_Information'!$H$20, ,IF(AT$166='2.2 Input_General_Information'!$H$20,$H224,AS251/AS242*AT242)))</f>
        <v>9.1039447945445065E-2</v>
      </c>
      <c r="AU251" s="469">
        <f ca="1">IF($G$224=0,0,IF(AU$166&lt;'2.2 Input_General_Information'!$H$20, ,IF(AU$166='2.2 Input_General_Information'!$H$20,$H224,AT251/AT242*AU242)))</f>
        <v>6.5356222507963815E-2</v>
      </c>
      <c r="AV251" s="469">
        <f ca="1">IF($G$224=0,0,IF(AV$166&lt;'2.2 Input_General_Information'!$H$20, ,IF(AV$166='2.2 Input_General_Information'!$H$20,$H224,AU251/AU242*AV242)))</f>
        <v>4.5616107523859369E-2</v>
      </c>
      <c r="AW251" s="469">
        <f ca="1">IF($G$224=0,0,IF(AW$166&lt;'2.2 Input_General_Information'!$H$20, ,IF(AW$166='2.2 Input_General_Information'!$H$20,$H224,AV251/AV242*AW242)))</f>
        <v>3.1380496604326173E-2</v>
      </c>
      <c r="AX251" s="469">
        <f ca="1">IF($G$224=0,0,IF(AX$166&lt;'2.2 Input_General_Information'!$H$20, ,IF(AX$166='2.2 Input_General_Information'!$H$20,$H224,AW251/AW242*AX242)))</f>
        <v>2.1557499834706596E-2</v>
      </c>
      <c r="AY251" s="469">
        <f ca="1">IF($G$224=0,0,IF(AY$166&lt;'2.2 Input_General_Information'!$H$20, ,IF(AY$166='2.2 Input_General_Information'!$H$20,$H224,AX251/AX242*AY242)))</f>
        <v>1.4956879561019727E-2</v>
      </c>
      <c r="AZ251" s="469">
        <f ca="1">IF($G$224=0,0,IF(AZ$166&lt;'2.2 Input_General_Information'!$H$20, ,IF(AZ$166='2.2 Input_General_Information'!$H$20,$H224,AY251/AY242*AZ242)))</f>
        <v>1.0571931393085821E-2</v>
      </c>
      <c r="BA251" s="469">
        <f ca="1">IF($G$224=0,0,IF(BA$166&lt;'2.2 Input_General_Information'!$H$20, ,IF(BA$166='2.2 Input_General_Information'!$H$20,$H224,AZ251/AZ242*BA242)))</f>
        <v>7.6532889743021592E-3</v>
      </c>
      <c r="BB251" s="469">
        <f ca="1">IF($G$224=0,0,IF(BB$166&lt;'2.2 Input_General_Information'!$H$20, ,IF(BB$166='2.2 Input_General_Information'!$H$20,$H224,BA251/BA242*BB242)))</f>
        <v>5.6824352392497368E-3</v>
      </c>
      <c r="BC251" s="469">
        <f ca="1">IF($G$224=0,0,IF(BC$166&lt;'2.2 Input_General_Information'!$H$20, ,IF(BC$166='2.2 Input_General_Information'!$H$20,$H224,BB251/BB242*BC242)))</f>
        <v>4.3159429630945786E-3</v>
      </c>
      <c r="BD251" s="469">
        <f ca="1">IF($G$224=0,0,IF(BD$166&lt;'2.2 Input_General_Information'!$H$20, ,IF(BD$166='2.2 Input_General_Information'!$H$20,$H224,BC251/BC242*BD242)))</f>
        <v>3.3323385604887568E-3</v>
      </c>
      <c r="BE251" s="469">
        <f ca="1">IF($G$224=0,0,IF(BE$166&lt;'2.2 Input_General_Information'!$H$20, ,IF(BE$166='2.2 Input_General_Information'!$H$20,$H224,BD251/BD242*BE242)))</f>
        <v>2.5911108102685794E-3</v>
      </c>
      <c r="BF251" s="469">
        <f ca="1">IF($G$224=0,0,IF(BF$166&lt;'2.2 Input_General_Information'!$H$20, ,IF(BF$166='2.2 Input_General_Information'!$H$20,$H224,BE251/BE242*BF242)))</f>
        <v>2.0039961864418074E-3</v>
      </c>
      <c r="BG251" s="469">
        <f ca="1">IF($G$224=0,0,IF(BG$166&lt;'2.2 Input_General_Information'!$H$20, ,IF(BG$166='2.2 Input_General_Information'!$H$20,$H224,BF251/BF242*BG242)))</f>
        <v>1.5158760861573545E-3</v>
      </c>
      <c r="BH251" s="469">
        <f ca="1">IF($G$224=0,0,IF(BH$166&lt;'2.2 Input_General_Information'!$H$20, ,IF(BH$166='2.2 Input_General_Information'!$H$20,$H224,BG251/BG242*BH242)))</f>
        <v>1.0924394725933271E-3</v>
      </c>
      <c r="BI251" s="469">
        <f ca="1">IF($G$224=0,0,IF(BI$166&lt;'2.2 Input_General_Information'!$H$20, ,IF(BI$166='2.2 Input_General_Information'!$H$20,$H224,BH251/BH242*BI242)))</f>
        <v>7.1235402144604265E-4</v>
      </c>
      <c r="BJ251" s="469">
        <f ca="1">IF($G$224=0,0,IF(BJ$166&lt;'2.2 Input_General_Information'!$H$20, ,IF(BJ$166='2.2 Input_General_Information'!$H$20,$H224,BI251/BI242*BJ242)))</f>
        <v>3.6235094970102664E-4</v>
      </c>
      <c r="BK251" s="469">
        <f ca="1">IF($G$224=0,0,IF(BK$166&lt;'2.2 Input_General_Information'!$H$20, ,IF(BK$166='2.2 Input_General_Information'!$H$20,$H224,BJ251/BJ242*BK242)))</f>
        <v>3.4159234987196323E-5</v>
      </c>
      <c r="BL251" s="6"/>
      <c r="BM251" s="6"/>
      <c r="BN251" s="6"/>
      <c r="BO251" s="6"/>
      <c r="BP251" s="6"/>
      <c r="BQ251" s="6"/>
      <c r="BR251" s="6"/>
      <c r="BS251" s="6"/>
      <c r="BT251" s="6"/>
      <c r="BU251" s="6"/>
    </row>
    <row r="252" spans="1:73">
      <c r="A252" s="6"/>
      <c r="B252" s="108"/>
      <c r="C252" s="1"/>
      <c r="D252" s="25"/>
      <c r="E252" s="4"/>
      <c r="F252" s="4"/>
      <c r="G252" s="79"/>
      <c r="H252" s="79"/>
      <c r="I252" s="79"/>
      <c r="J252" s="79"/>
      <c r="K252" s="79"/>
      <c r="L252" s="79"/>
      <c r="M252" s="79"/>
      <c r="N252" s="79"/>
      <c r="O252" s="1"/>
      <c r="P252" s="1"/>
      <c r="Q252" s="1"/>
      <c r="R252" s="162"/>
      <c r="S252" s="1"/>
      <c r="T252" s="101" t="s">
        <v>449</v>
      </c>
      <c r="U252" s="101"/>
      <c r="V252" s="101">
        <f>E233</f>
        <v>0</v>
      </c>
      <c r="W252" s="469">
        <f ca="1">IF($G$225=0,0,IF(W$166&lt;'2.2 Input_General_Information'!$H$20, ,IF(W$166='2.2 Input_General_Information'!$H$20,$H225,V252/V243*W243)))</f>
        <v>0.11</v>
      </c>
      <c r="X252" s="469">
        <f ca="1">IF($G$225=0,0,IF(X$166&lt;'2.2 Input_General_Information'!$H$20, ,IF(X$166='2.2 Input_General_Information'!$H$20,$H225,W252/W243*X243)))</f>
        <v>0.11109701571498873</v>
      </c>
      <c r="Y252" s="469">
        <f ca="1">IF($G$225=0,0,IF(Y$166&lt;'2.2 Input_General_Information'!$H$20, ,IF(Y$166='2.2 Input_General_Information'!$H$20,$H225,X252/X243*Y243)))</f>
        <v>0.11218047283139686</v>
      </c>
      <c r="Z252" s="469">
        <f ca="1">IF($G$225=0,0,IF(Z$166&lt;'2.2 Input_General_Information'!$H$20, ,IF(Z$166='2.2 Input_General_Information'!$H$20,$H225,Y252/Y243*Z243)))</f>
        <v>0.11325088604782539</v>
      </c>
      <c r="AA252" s="469">
        <f ca="1">IF($G$225=0,0,IF(AA$166&lt;'2.2 Input_General_Information'!$H$20, ,IF(AA$166='2.2 Input_General_Information'!$H$20,$H225,Z252/Z243*AA243)))</f>
        <v>0.11430958063287436</v>
      </c>
      <c r="AB252" s="469">
        <f ca="1">IF($G$225=0,0,IF(AB$166&lt;'2.2 Input_General_Information'!$H$20, ,IF(AB$166='2.2 Input_General_Information'!$H$20,$H225,AA252/AA243*AB243)))</f>
        <v>0.11535915495456346</v>
      </c>
      <c r="AC252" s="469">
        <f ca="1">IF($G$225=0,0,IF(AC$166&lt;'2.2 Input_General_Information'!$H$20, ,IF(AC$166='2.2 Input_General_Information'!$H$20,$H225,AB252/AB243*AC243)))</f>
        <v>0.11640420627729062</v>
      </c>
      <c r="AD252" s="469">
        <f ca="1">IF($G$225=0,0,IF(AD$166&lt;'2.2 Input_General_Information'!$H$20, ,IF(AD$166='2.2 Input_General_Information'!$H$20,$H225,AC252/AC243*AD243)))</f>
        <v>0.11745246773424715</v>
      </c>
      <c r="AE252" s="469">
        <f ca="1">IF($G$225=0,0,IF(AE$166&lt;'2.2 Input_General_Information'!$H$20, ,IF(AE$166='2.2 Input_General_Information'!$H$20,$H225,AD252/AD243*AE243)))</f>
        <v>0.11851658384627713</v>
      </c>
      <c r="AF252" s="469">
        <f ca="1">IF($G$225=0,0,IF(AF$166&lt;'2.2 Input_General_Information'!$H$20, ,IF(AF$166='2.2 Input_General_Information'!$H$20,$H225,AE252/AE243*AF243)))</f>
        <v>0.11961686871604922</v>
      </c>
      <c r="AG252" s="469">
        <f ca="1">IF($G$225=0,0,IF(AG$166&lt;'2.2 Input_General_Information'!$H$20, ,IF(AG$166='2.2 Input_General_Information'!$H$20,$H225,AF252/AF243*AG243)))</f>
        <v>0.12078555419510704</v>
      </c>
      <c r="AH252" s="469">
        <f ca="1">IF($G$225=0,0,IF(AH$166&lt;'2.2 Input_General_Information'!$H$20, ,IF(AH$166='2.2 Input_General_Information'!$H$20,$H225,AG252/AG243*AH243)))</f>
        <v>0.12207324163514417</v>
      </c>
      <c r="AI252" s="469">
        <f ca="1">IF($G$225=0,0,IF(AI$166&lt;'2.2 Input_General_Information'!$H$20, ,IF(AI$166='2.2 Input_General_Information'!$H$20,$H225,AH252/AH243*AI243)))</f>
        <v>0.12355847381197087</v>
      </c>
      <c r="AJ252" s="469">
        <f ca="1">IF($G$225=0,0,IF(AJ$166&lt;'2.2 Input_General_Information'!$H$20, ,IF(AJ$166='2.2 Input_General_Information'!$H$20,$H225,AI252/AI243*AJ243)))</f>
        <v>0.12536137759152194</v>
      </c>
      <c r="AK252" s="469">
        <f ca="1">IF($G$225=0,0,IF(AK$166&lt;'2.2 Input_General_Information'!$H$20, ,IF(AK$166='2.2 Input_General_Information'!$H$20,$H225,AJ252/AJ243*AK243)))</f>
        <v>0.12766174273958222</v>
      </c>
      <c r="AL252" s="469">
        <f ca="1">IF($G$225=0,0,IF(AL$166&lt;'2.2 Input_General_Information'!$H$20, ,IF(AL$166='2.2 Input_General_Information'!$H$20,$H225,AK252/AK243*AL243)))</f>
        <v>0.13071966800438373</v>
      </c>
      <c r="AM252" s="469">
        <f ca="1">IF($G$225=0,0,IF(AM$166&lt;'2.2 Input_General_Information'!$H$20, ,IF(AM$166='2.2 Input_General_Information'!$H$20,$H225,AL252/AL243*AM243)))</f>
        <v>0.13489110361021114</v>
      </c>
      <c r="AN252" s="469">
        <f ca="1">IF($G$225=0,0,IF(AN$166&lt;'2.2 Input_General_Information'!$H$20, ,IF(AN$166='2.2 Input_General_Information'!$H$20,$H225,AM252/AM243*AN243)))</f>
        <v>0.140618933169773</v>
      </c>
      <c r="AO252" s="469">
        <f ca="1">IF($G$225=0,0,IF(AO$166&lt;'2.2 Input_General_Information'!$H$20, ,IF(AO$166='2.2 Input_General_Information'!$H$20,$H225,AN252/AN243*AO243)))</f>
        <v>0.14836380991190967</v>
      </c>
      <c r="AP252" s="469">
        <f ca="1">IF($G$225=0,0,IF(AP$166&lt;'2.2 Input_General_Information'!$H$20, ,IF(AP$166='2.2 Input_General_Information'!$H$20,$H225,AO252/AO243*AP243)))</f>
        <v>0.15843328663621858</v>
      </c>
      <c r="AQ252" s="469">
        <f ca="1">IF($G$225=0,0,IF(AQ$166&lt;'2.2 Input_General_Information'!$H$20, ,IF(AQ$166='2.2 Input_General_Information'!$H$20,$H225,AP252/AP243*AQ243)))</f>
        <v>0.1707135770735913</v>
      </c>
      <c r="AR252" s="469">
        <f ca="1">IF($G$225=0,0,IF(AR$166&lt;'2.2 Input_General_Information'!$H$20, ,IF(AR$166='2.2 Input_General_Information'!$H$20,$H225,AQ252/AQ243*AR243)))</f>
        <v>0.18443783638697872</v>
      </c>
      <c r="AS252" s="469">
        <f ca="1">IF($G$225=0,0,IF(AS$166&lt;'2.2 Input_General_Information'!$H$20, ,IF(AS$166='2.2 Input_General_Information'!$H$20,$H225,AR252/AR243*AS243)))</f>
        <v>0.19824227816839152</v>
      </c>
      <c r="AT252" s="469">
        <f ca="1">IF($G$225=0,0,IF(AT$166&lt;'2.2 Input_General_Information'!$H$20, ,IF(AT$166='2.2 Input_General_Information'!$H$20,$H225,AS252/AS243*AT243)))</f>
        <v>0.21062393792036802</v>
      </c>
      <c r="AU252" s="469">
        <f ca="1">IF($G$225=0,0,IF(AU$166&lt;'2.2 Input_General_Information'!$H$20, ,IF(AU$166='2.2 Input_General_Information'!$H$20,$H225,AT252/AT243*AU243)))</f>
        <v>0.22052395584698409</v>
      </c>
      <c r="AV252" s="469">
        <f ca="1">IF($G$225=0,0,IF(AV$166&lt;'2.2 Input_General_Information'!$H$20, ,IF(AV$166='2.2 Input_General_Information'!$H$20,$H225,AU252/AU243*AV243)))</f>
        <v>0.22760662214040916</v>
      </c>
      <c r="AW252" s="469">
        <f ca="1">IF($G$225=0,0,IF(AW$166&lt;'2.2 Input_General_Information'!$H$20, ,IF(AW$166='2.2 Input_General_Information'!$H$20,$H225,AV252/AV243*AW243)))</f>
        <v>0.2321271072652136</v>
      </c>
      <c r="AX252" s="469">
        <f ca="1">IF($G$225=0,0,IF(AX$166&lt;'2.2 Input_General_Information'!$H$20, ,IF(AX$166='2.2 Input_General_Information'!$H$20,$H225,AW252/AW243*AX243)))</f>
        <v>0.234620994992814</v>
      </c>
      <c r="AY252" s="469">
        <f ca="1">IF($G$225=0,0,IF(AY$166&lt;'2.2 Input_General_Information'!$H$20, ,IF(AY$166='2.2 Input_General_Information'!$H$20,$H225,AX252/AX243*AY243)))</f>
        <v>0.23565184912079135</v>
      </c>
      <c r="AZ252" s="469">
        <f ca="1">IF($G$225=0,0,IF(AZ$166&lt;'2.2 Input_General_Information'!$H$20, ,IF(AZ$166='2.2 Input_General_Information'!$H$20,$H225,AY252/AY243*AZ243)))</f>
        <v>0.23568790775853049</v>
      </c>
      <c r="BA252" s="469">
        <f ca="1">IF($G$225=0,0,IF(BA$166&lt;'2.2 Input_General_Information'!$H$20, ,IF(BA$166='2.2 Input_General_Information'!$H$20,$H225,AZ252/AZ243*BA243)))</f>
        <v>0.23507359742821424</v>
      </c>
      <c r="BB252" s="469">
        <f ca="1">IF($G$225=0,0,IF(BB$166&lt;'2.2 Input_General_Information'!$H$20, ,IF(BB$166='2.2 Input_General_Information'!$H$20,$H225,BA252/BA243*BB243)))</f>
        <v>0.23404514577106311</v>
      </c>
      <c r="BC252" s="469">
        <f ca="1">IF($G$225=0,0,IF(BC$166&lt;'2.2 Input_General_Information'!$H$20, ,IF(BC$166='2.2 Input_General_Information'!$H$20,$H225,BB252/BB243*BC243)))</f>
        <v>0.23275798685240767</v>
      </c>
      <c r="BD252" s="469">
        <f ca="1">IF($G$225=0,0,IF(BD$166&lt;'2.2 Input_General_Information'!$H$20, ,IF(BD$166='2.2 Input_General_Information'!$H$20,$H225,BC252/BC243*BD243)))</f>
        <v>0.23131193467721992</v>
      </c>
      <c r="BE252" s="469">
        <f ca="1">IF($G$225=0,0,IF(BE$166&lt;'2.2 Input_General_Information'!$H$20, ,IF(BE$166='2.2 Input_General_Information'!$H$20,$H225,BD252/BD243*BE243)))</f>
        <v>0.22977024045718719</v>
      </c>
      <c r="BF252" s="469">
        <f ca="1">IF($G$225=0,0,IF(BF$166&lt;'2.2 Input_General_Information'!$H$20, ,IF(BF$166='2.2 Input_General_Information'!$H$20,$H225,BE252/BE243*BF243)))</f>
        <v>0.22817276814470952</v>
      </c>
      <c r="BG252" s="469">
        <f ca="1">IF($G$225=0,0,IF(BG$166&lt;'2.2 Input_General_Information'!$H$20, ,IF(BG$166='2.2 Input_General_Information'!$H$20,$H225,BF252/BF243*BG243)))</f>
        <v>0.22654466642797741</v>
      </c>
      <c r="BH252" s="469">
        <f ca="1">IF($G$225=0,0,IF(BH$166&lt;'2.2 Input_General_Information'!$H$20, ,IF(BH$166='2.2 Input_General_Information'!$H$20,$H225,BG252/BG243*BH243)))</f>
        <v>0.22490191646963306</v>
      </c>
      <c r="BI252" s="469">
        <f ca="1">IF($G$225=0,0,IF(BI$166&lt;'2.2 Input_General_Information'!$H$20, ,IF(BI$166='2.2 Input_General_Information'!$H$20,$H225,BH252/BH243*BI243)))</f>
        <v>0.22325482096967125</v>
      </c>
      <c r="BJ252" s="469">
        <f ca="1">IF($G$225=0,0,IF(BJ$166&lt;'2.2 Input_General_Information'!$H$20, ,IF(BJ$166='2.2 Input_General_Information'!$H$20,$H225,BI252/BI243*BJ243)))</f>
        <v>0.22161017563205046</v>
      </c>
      <c r="BK252" s="469">
        <f ca="1">IF($G$225=0,0,IF(BK$166&lt;'2.2 Input_General_Information'!$H$20, ,IF(BK$166='2.2 Input_General_Information'!$H$20,$H225,BJ252/BJ243*BK243)))</f>
        <v>0.21997261170566706</v>
      </c>
      <c r="BL252" s="6"/>
      <c r="BM252" s="6"/>
      <c r="BN252" s="6"/>
      <c r="BO252" s="6"/>
      <c r="BP252" s="6"/>
      <c r="BQ252" s="6"/>
      <c r="BR252" s="6"/>
      <c r="BS252" s="6"/>
      <c r="BT252" s="6"/>
      <c r="BU252" s="6"/>
    </row>
    <row r="253" spans="1:73">
      <c r="A253" s="6"/>
      <c r="B253" s="108"/>
      <c r="C253" s="1"/>
      <c r="D253" s="25"/>
      <c r="E253" s="4"/>
      <c r="F253" s="4"/>
      <c r="G253" s="79"/>
      <c r="H253" s="79"/>
      <c r="I253" s="79"/>
      <c r="J253" s="79"/>
      <c r="K253" s="79"/>
      <c r="L253" s="79"/>
      <c r="M253" s="79"/>
      <c r="N253" s="79"/>
      <c r="O253" s="1"/>
      <c r="P253" s="1"/>
      <c r="Q253" s="1"/>
      <c r="R253" s="162"/>
      <c r="S253" s="1"/>
      <c r="T253" s="101" t="s">
        <v>449</v>
      </c>
      <c r="U253" s="101"/>
      <c r="V253" s="537"/>
      <c r="W253" s="469">
        <f ca="1">IF($G$226=0,0,IF(W$166&lt;'2.2 Input_General_Information'!$H$20, ,IF(W$166='2.2 Input_General_Information'!$H$20,$H226,V253/V244*W244)))</f>
        <v>0.05</v>
      </c>
      <c r="X253" s="469">
        <f ca="1">IF($G$226=0,0,IF(X$166&lt;'2.2 Input_General_Information'!$H$20, ,IF(X$166='2.2 Input_General_Information'!$H$20,$H226,W253/W244*X244)))</f>
        <v>5.1021973476822698E-2</v>
      </c>
      <c r="Y253" s="469">
        <f ca="1">IF($G$226=0,0,IF(Y$166&lt;'2.2 Input_General_Information'!$H$20, ,IF(Y$166='2.2 Input_General_Information'!$H$20,$H226,X253/X244*Y244)))</f>
        <v>5.2054390417525687E-2</v>
      </c>
      <c r="Z253" s="469">
        <f ca="1">IF($G$226=0,0,IF(Z$166&lt;'2.2 Input_General_Information'!$H$20, ,IF(Z$166='2.2 Input_General_Information'!$H$20,$H226,Y253/Y244*Z244)))</f>
        <v>5.3097470978373106E-2</v>
      </c>
      <c r="AA253" s="469">
        <f ca="1">IF($G$226=0,0,IF(AA$166&lt;'2.2 Input_General_Information'!$H$20, ,IF(AA$166='2.2 Input_General_Information'!$H$20,$H226,Z253/Z244*AA244)))</f>
        <v>5.4151831972758781E-2</v>
      </c>
      <c r="AB253" s="469">
        <f ca="1">IF($G$226=0,0,IF(AB$166&lt;'2.2 Input_General_Information'!$H$20, ,IF(AB$166='2.2 Input_General_Information'!$H$20,$H226,AA253/AA244*AB244)))</f>
        <v>5.5218735632179314E-2</v>
      </c>
      <c r="AC253" s="469">
        <f ca="1">IF($G$226=0,0,IF(AC$166&lt;'2.2 Input_General_Information'!$H$20, ,IF(AC$166='2.2 Input_General_Information'!$H$20,$H226,AB253/AB244*AC244)))</f>
        <v>5.6300484268851099E-2</v>
      </c>
      <c r="AD253" s="469">
        <f ca="1">IF($G$226=0,0,IF(AD$166&lt;'2.2 Input_General_Information'!$H$20, ,IF(AD$166='2.2 Input_General_Information'!$H$20,$H226,AC253/AC244*AD244)))</f>
        <v>5.7401045078477229E-2</v>
      </c>
      <c r="AE253" s="469">
        <f ca="1">IF($G$226=0,0,IF(AE$166&lt;'2.2 Input_General_Information'!$H$20, ,IF(AE$166='2.2 Input_General_Information'!$H$20,$H226,AD253/AD244*AE244)))</f>
        <v>5.8527036041143024E-2</v>
      </c>
      <c r="AF253" s="469">
        <f ca="1">IF($G$226=0,0,IF(AF$166&lt;'2.2 Input_General_Information'!$H$20, ,IF(AF$166='2.2 Input_General_Information'!$H$20,$H226,AE253/AE244*AF244)))</f>
        <v>5.9689273598960188E-2</v>
      </c>
      <c r="AG253" s="469">
        <f ca="1">IF($G$226=0,0,IF(AG$166&lt;'2.2 Input_General_Information'!$H$20, ,IF(AG$166='2.2 Input_General_Information'!$H$20,$H226,AF253/AF244*AG244)))</f>
        <v>6.0905182266316291E-2</v>
      </c>
      <c r="AH253" s="469">
        <f ca="1">IF($G$226=0,0,IF(AH$166&lt;'2.2 Input_General_Information'!$H$20, ,IF(AH$166='2.2 Input_General_Information'!$H$20,$H226,AG253/AG244*AH244)))</f>
        <v>6.2202496390353218E-2</v>
      </c>
      <c r="AI253" s="469">
        <f ca="1">IF($G$226=0,0,IF(AI$166&lt;'2.2 Input_General_Information'!$H$20, ,IF(AI$166='2.2 Input_General_Information'!$H$20,$H226,AH253/AH244*AI244)))</f>
        <v>6.3624822717022689E-2</v>
      </c>
      <c r="AJ253" s="469">
        <f ca="1">IF($G$226=0,0,IF(AJ$166&lt;'2.2 Input_General_Information'!$H$20, ,IF(AJ$166='2.2 Input_General_Information'!$H$20,$H226,AI253/AI244*AJ244)))</f>
        <v>6.5239690586771926E-2</v>
      </c>
      <c r="AK253" s="469">
        <f ca="1">IF($G$226=0,0,IF(AK$166&lt;'2.2 Input_General_Information'!$H$20, ,IF(AK$166='2.2 Input_General_Information'!$H$20,$H226,AJ253/AJ244*AK244)))</f>
        <v>6.714944239726954E-2</v>
      </c>
      <c r="AL253" s="469">
        <f ca="1">IF($G$226=0,0,IF(AL$166&lt;'2.2 Input_General_Information'!$H$20, ,IF(AL$166='2.2 Input_General_Information'!$H$20,$H226,AK253/AK244*AL244)))</f>
        <v>6.9504115301780287E-2</v>
      </c>
      <c r="AM253" s="469">
        <f ca="1">IF($G$226=0,0,IF(AM$166&lt;'2.2 Input_General_Information'!$H$20, ,IF(AM$166='2.2 Input_General_Information'!$H$20,$H226,AL253/AL244*AM244)))</f>
        <v>7.2512189749546527E-2</v>
      </c>
      <c r="AN253" s="469">
        <f ca="1">IF($G$226=0,0,IF(AN$166&lt;'2.2 Input_General_Information'!$H$20, ,IF(AN$166='2.2 Input_General_Information'!$H$20,$H226,AM253/AM244*AN244)))</f>
        <v>7.6438248681209742E-2</v>
      </c>
      <c r="AO253" s="469">
        <f ca="1">IF($G$226=0,0,IF(AO$166&lt;'2.2 Input_General_Information'!$H$20, ,IF(AO$166='2.2 Input_General_Information'!$H$20,$H226,AN253/AN244*AO244)))</f>
        <v>8.156652245260558E-2</v>
      </c>
      <c r="AP253" s="469">
        <f ca="1">IF($G$226=0,0,IF(AP$166&lt;'2.2 Input_General_Information'!$H$20, ,IF(AP$166='2.2 Input_General_Information'!$H$20,$H226,AO253/AO244*AP244)))</f>
        <v>8.8104512515651254E-2</v>
      </c>
      <c r="AQ253" s="469">
        <f ca="1">IF($G$226=0,0,IF(AQ$166&lt;'2.2 Input_General_Information'!$H$20, ,IF(AQ$166='2.2 Input_General_Information'!$H$20,$H226,AP253/AP244*AQ244)))</f>
        <v>9.6025284214119225E-2</v>
      </c>
      <c r="AR253" s="469">
        <f ca="1">IF($G$226=0,0,IF(AR$166&lt;'2.2 Input_General_Information'!$H$20, ,IF(AR$166='2.2 Input_General_Information'!$H$20,$H226,AQ253/AQ244*AR244)))</f>
        <v>0.10492205920852392</v>
      </c>
      <c r="AS253" s="469">
        <f ca="1">IF($G$226=0,0,IF(AS$166&lt;'2.2 Input_General_Information'!$H$20, ,IF(AS$166='2.2 Input_General_Information'!$H$20,$H226,AR253/AR244*AS244)))</f>
        <v>0.11402308362134787</v>
      </c>
      <c r="AT253" s="469">
        <f ca="1">IF($G$226=0,0,IF(AT$166&lt;'2.2 Input_General_Information'!$H$20, ,IF(AT$166='2.2 Input_General_Information'!$H$20,$H226,AS253/AS244*AT244)))</f>
        <v>0.12244478900333598</v>
      </c>
      <c r="AU253" s="469">
        <f ca="1">IF($G$226=0,0,IF(AU$166&lt;'2.2 Input_General_Information'!$H$20, ,IF(AU$166='2.2 Input_General_Information'!$H$20,$H226,AT253/AT244*AU244)))</f>
        <v>0.12953455125821015</v>
      </c>
      <c r="AV253" s="469">
        <f ca="1">IF($G$226=0,0,IF(AV$166&lt;'2.2 Input_General_Information'!$H$20, ,IF(AV$166='2.2 Input_General_Information'!$H$20,$H226,AU253/AU244*AV244)))</f>
        <v>0.13505015284750957</v>
      </c>
      <c r="AW253" s="469">
        <f ca="1">IF($G$226=0,0,IF(AW$166&lt;'2.2 Input_General_Information'!$H$20, ,IF(AW$166='2.2 Input_General_Information'!$H$20,$H226,AV253/AV244*AW244)))</f>
        <v>0.13909951196036807</v>
      </c>
      <c r="AX253" s="469">
        <f ca="1">IF($G$226=0,0,IF(AX$166&lt;'2.2 Input_General_Information'!$H$20, ,IF(AX$166='2.2 Input_General_Information'!$H$20,$H226,AW253/AW244*AX244)))</f>
        <v>0.14196727296275921</v>
      </c>
      <c r="AY253" s="469">
        <f ca="1">IF($G$226=0,0,IF(AY$166&lt;'2.2 Input_General_Information'!$H$20, ,IF(AY$166='2.2 Input_General_Information'!$H$20,$H226,AX253/AX244*AY244)))</f>
        <v>0.14396696609691947</v>
      </c>
      <c r="AZ253" s="469">
        <f ca="1">IF($G$226=0,0,IF(AZ$166&lt;'2.2 Input_General_Information'!$H$20, ,IF(AZ$166='2.2 Input_General_Information'!$H$20,$H226,AY253/AY244*AZ244)))</f>
        <v>0.14536514238470472</v>
      </c>
      <c r="BA253" s="469">
        <f ca="1">IF($G$226=0,0,IF(BA$166&lt;'2.2 Input_General_Information'!$H$20, ,IF(BA$166='2.2 Input_General_Information'!$H$20,$H226,AZ253/AZ244*BA244)))</f>
        <v>0.1463609148060275</v>
      </c>
      <c r="BB253" s="469">
        <f ca="1">IF($G$226=0,0,IF(BB$166&lt;'2.2 Input_General_Information'!$H$20, ,IF(BB$166='2.2 Input_General_Information'!$H$20,$H226,BA253/BA244*BB244)))</f>
        <v>0.1470924556662612</v>
      </c>
      <c r="BC253" s="469">
        <f ca="1">IF($G$226=0,0,IF(BC$166&lt;'2.2 Input_General_Information'!$H$20, ,IF(BC$166='2.2 Input_General_Information'!$H$20,$H226,BB253/BB244*BC244)))</f>
        <v>0.14765152892766575</v>
      </c>
      <c r="BD253" s="469">
        <f ca="1">IF($G$226=0,0,IF(BD$166&lt;'2.2 Input_General_Information'!$H$20, ,IF(BD$166='2.2 Input_General_Information'!$H$20,$H226,BC253/BC244*BD244)))</f>
        <v>0.14809748537855719</v>
      </c>
      <c r="BE253" s="469">
        <f ca="1">IF($G$226=0,0,IF(BE$166&lt;'2.2 Input_General_Information'!$H$20, ,IF(BE$166='2.2 Input_General_Information'!$H$20,$H226,BD253/BD244*BE244)))</f>
        <v>0.14846811449676101</v>
      </c>
      <c r="BF253" s="469">
        <f ca="1">IF($G$226=0,0,IF(BF$166&lt;'2.2 Input_General_Information'!$H$20, ,IF(BF$166='2.2 Input_General_Information'!$H$20,$H226,BE253/BE244*BF244)))</f>
        <v>0.14878727219670279</v>
      </c>
      <c r="BG253" s="469">
        <f ca="1">IF($G$226=0,0,IF(BG$166&lt;'2.2 Input_General_Information'!$H$20, ,IF(BG$166='2.2 Input_General_Information'!$H$20,$H226,BF253/BF244*BG244)))</f>
        <v>0.14906996859629476</v>
      </c>
      <c r="BH253" s="469">
        <f ca="1">IF($G$226=0,0,IF(BH$166&lt;'2.2 Input_General_Information'!$H$20, ,IF(BH$166='2.2 Input_General_Information'!$H$20,$H226,BG253/BG244*BH244)))</f>
        <v>0.14932566102661646</v>
      </c>
      <c r="BI253" s="469">
        <f ca="1">IF($G$226=0,0,IF(BI$166&lt;'2.2 Input_General_Information'!$H$20, ,IF(BI$166='2.2 Input_General_Information'!$H$20,$H226,BH253/BH244*BI244)))</f>
        <v>0.149560347483159</v>
      </c>
      <c r="BJ253" s="469">
        <f ca="1">IF($G$226=0,0,IF(BJ$166&lt;'2.2 Input_General_Information'!$H$20, ,IF(BJ$166='2.2 Input_General_Information'!$H$20,$H226,BI253/BI244*BJ244)))</f>
        <v>0.14977788292941838</v>
      </c>
      <c r="BK253" s="469">
        <f ca="1">IF($G$226=0,0,IF(BK$166&lt;'2.2 Input_General_Information'!$H$20, ,IF(BK$166='2.2 Input_General_Information'!$H$20,$H226,BJ253/BJ244*BK244)))</f>
        <v>0.14998080123112539</v>
      </c>
      <c r="BL253" s="6"/>
      <c r="BM253" s="6"/>
      <c r="BN253" s="6"/>
      <c r="BO253" s="6"/>
      <c r="BP253" s="6"/>
      <c r="BQ253" s="6"/>
      <c r="BR253" s="6"/>
      <c r="BS253" s="6"/>
      <c r="BT253" s="6"/>
      <c r="BU253" s="6"/>
    </row>
    <row r="254" spans="1:73">
      <c r="A254" s="6"/>
      <c r="B254" s="108"/>
      <c r="C254" s="1"/>
      <c r="D254" s="25"/>
      <c r="E254" s="4"/>
      <c r="F254" s="4"/>
      <c r="G254" s="79"/>
      <c r="H254" s="79"/>
      <c r="I254" s="79"/>
      <c r="J254" s="79"/>
      <c r="K254" s="79"/>
      <c r="L254" s="79"/>
      <c r="M254" s="79"/>
      <c r="N254" s="79"/>
      <c r="O254" s="1"/>
      <c r="P254" s="1"/>
      <c r="Q254" s="1"/>
      <c r="R254" s="162"/>
      <c r="S254" s="1"/>
      <c r="T254" s="101" t="s">
        <v>449</v>
      </c>
      <c r="U254" s="101"/>
      <c r="V254" s="537">
        <f>D253</f>
        <v>0</v>
      </c>
      <c r="W254" s="469">
        <f ca="1">IF($G$227=0,0,IF(W$166&lt;'2.2 Input_General_Information'!$H$20, ,IF(W$166='2.2 Input_General_Information'!$H$20,$H227,V254/V245*W245)))</f>
        <v>0.03</v>
      </c>
      <c r="X254" s="469">
        <f ca="1">IF($G$227=0,0,IF(X$166&lt;'2.2 Input_General_Information'!$H$20, ,IF(X$166='2.2 Input_General_Information'!$H$20,$H227,W254/W245*X245)))</f>
        <v>3.1001107353081942E-2</v>
      </c>
      <c r="Y254" s="469">
        <f ca="1">IF($G$227=0,0,IF(Y$166&lt;'2.2 Input_General_Information'!$H$20, ,IF(Y$166='2.2 Input_General_Information'!$H$20,$H227,X254/X245*Y245)))</f>
        <v>3.2031644240000948E-2</v>
      </c>
      <c r="Z254" s="469">
        <f ca="1">IF($G$227=0,0,IF(Z$166&lt;'2.2 Input_General_Information'!$H$20, ,IF(Z$166='2.2 Input_General_Information'!$H$20,$H227,Y254/Y245*Z245)))</f>
        <v>3.3092433327077508E-2</v>
      </c>
      <c r="AA254" s="469">
        <f ca="1">IF($G$227=0,0,IF(AA$166&lt;'2.2 Input_General_Information'!$H$20, ,IF(AA$166='2.2 Input_General_Information'!$H$20,$H227,Z254/Z245*AA245)))</f>
        <v>3.4184573592499712E-2</v>
      </c>
      <c r="AB254" s="469">
        <f ca="1">IF($G$227=0,0,IF(AB$166&lt;'2.2 Input_General_Information'!$H$20, ,IF(AB$166='2.2 Input_General_Information'!$H$20,$H227,AA254/AA245*AB245)))</f>
        <v>3.5309623549049582E-2</v>
      </c>
      <c r="AC254" s="469">
        <f ca="1">IF($G$227=0,0,IF(AC$166&lt;'2.2 Input_General_Information'!$H$20, ,IF(AC$166='2.2 Input_General_Information'!$H$20,$H227,AB254/AB245*AC245)))</f>
        <v>3.646989667550133E-2</v>
      </c>
      <c r="AD254" s="469">
        <f ca="1">IF($G$227=0,0,IF(AD$166&lt;'2.2 Input_General_Information'!$H$20, ,IF(AD$166='2.2 Input_General_Information'!$H$20,$H227,AC254/AC245*AD245)))</f>
        <v>3.7668936030912085E-2</v>
      </c>
      <c r="AE254" s="469">
        <f ca="1">IF($G$227=0,0,IF(AE$166&lt;'2.2 Input_General_Information'!$H$20, ,IF(AE$166='2.2 Input_General_Information'!$H$20,$H227,AD254/AD245*AE245)))</f>
        <v>3.891227356039674E-2</v>
      </c>
      <c r="AF254" s="469">
        <f ca="1">IF($G$227=0,0,IF(AF$166&lt;'2.2 Input_General_Information'!$H$20, ,IF(AF$166='2.2 Input_General_Information'!$H$20,$H227,AE254/AE245*AF245)))</f>
        <v>4.0208638138645246E-2</v>
      </c>
      <c r="AG254" s="469">
        <f ca="1">IF($G$227=0,0,IF(AG$166&lt;'2.2 Input_General_Information'!$H$20, ,IF(AG$166='2.2 Input_General_Information'!$H$20,$H227,AF254/AF245*AG245)))</f>
        <v>4.1571861868732005E-2</v>
      </c>
      <c r="AH254" s="469">
        <f ca="1">IF($G$227=0,0,IF(AH$166&lt;'2.2 Input_General_Information'!$H$20, ,IF(AH$166='2.2 Input_General_Information'!$H$20,$H227,AG254/AG245*AH245)))</f>
        <v>4.3023849923124816E-2</v>
      </c>
      <c r="AI254" s="469">
        <f ca="1">IF($G$227=0,0,IF(AI$166&lt;'2.2 Input_General_Information'!$H$20, ,IF(AI$166='2.2 Input_General_Information'!$H$20,$H227,AH254/AH245*AI245)))</f>
        <v>4.4599111964222511E-2</v>
      </c>
      <c r="AJ254" s="469">
        <f ca="1">IF($G$227=0,0,IF(AJ$166&lt;'2.2 Input_General_Information'!$H$20, ,IF(AJ$166='2.2 Input_General_Information'!$H$20,$H227,AI254/AI245*AJ245)))</f>
        <v>4.6351438342919313E-2</v>
      </c>
      <c r="AK254" s="469">
        <f ca="1">IF($G$227=0,0,IF(AK$166&lt;'2.2 Input_General_Information'!$H$20, ,IF(AK$166='2.2 Input_General_Information'!$H$20,$H227,AJ254/AJ245*AK245)))</f>
        <v>4.8363146169601599E-2</v>
      </c>
      <c r="AL254" s="469">
        <f ca="1">IF($G$227=0,0,IF(AL$166&lt;'2.2 Input_General_Information'!$H$20, ,IF(AL$166='2.2 Input_General_Information'!$H$20,$H227,AK254/AK245*AL245)))</f>
        <v>5.0756438158065936E-2</v>
      </c>
      <c r="AM254" s="469">
        <f ca="1">IF($G$227=0,0,IF(AM$166&lt;'2.2 Input_General_Information'!$H$20, ,IF(AM$166='2.2 Input_General_Information'!$H$20,$H227,AL254/AL245*AM245)))</f>
        <v>5.3703847310330011E-2</v>
      </c>
      <c r="AN254" s="469">
        <f ca="1">IF($G$227=0,0,IF(AN$166&lt;'2.2 Input_General_Information'!$H$20, ,IF(AN$166='2.2 Input_General_Information'!$H$20,$H227,AM254/AM245*AN245)))</f>
        <v>5.7429141309727053E-2</v>
      </c>
      <c r="AO254" s="469">
        <f ca="1">IF($G$227=0,0,IF(AO$166&lt;'2.2 Input_General_Information'!$H$20, ,IF(AO$166='2.2 Input_General_Information'!$H$20,$H227,AN254/AN245*AO245)))</f>
        <v>6.2181350896422169E-2</v>
      </c>
      <c r="AP254" s="469">
        <f ca="1">IF($G$227=0,0,IF(AP$166&lt;'2.2 Input_General_Information'!$H$20, ,IF(AP$166='2.2 Input_General_Information'!$H$20,$H227,AO254/AO245*AP245)))</f>
        <v>6.8159225831858322E-2</v>
      </c>
      <c r="AQ254" s="469">
        <f ca="1">IF($G$227=0,0,IF(AQ$166&lt;'2.2 Input_General_Information'!$H$20, ,IF(AQ$166='2.2 Input_General_Information'!$H$20,$H227,AP254/AP245*AQ245)))</f>
        <v>7.5381077655234829E-2</v>
      </c>
      <c r="AR254" s="469">
        <f ca="1">IF($G$227=0,0,IF(AR$166&lt;'2.2 Input_General_Information'!$H$20, ,IF(AR$166='2.2 Input_General_Information'!$H$20,$H227,AQ254/AQ245*AR245)))</f>
        <v>8.3555785201137253E-2</v>
      </c>
      <c r="AS254" s="469">
        <f ca="1">IF($G$227=0,0,IF(AS$166&lt;'2.2 Input_General_Information'!$H$20, ,IF(AS$166='2.2 Input_General_Information'!$H$20,$H227,AR254/AR245*AS245)))</f>
        <v>9.207728035076336E-2</v>
      </c>
      <c r="AT254" s="469">
        <f ca="1">IF($G$227=0,0,IF(AT$166&lt;'2.2 Input_General_Information'!$H$20, ,IF(AT$166='2.2 Input_General_Information'!$H$20,$H227,AS254/AS245*AT245)))</f>
        <v>0.10021776582128708</v>
      </c>
      <c r="AU254" s="469">
        <f ca="1">IF($G$227=0,0,IF(AU$166&lt;'2.2 Input_General_Information'!$H$20, ,IF(AU$166='2.2 Input_General_Information'!$H$20,$H227,AT254/AT245*AU245)))</f>
        <v>0.10741033870770766</v>
      </c>
      <c r="AV254" s="469">
        <f ca="1">IF($G$227=0,0,IF(AV$166&lt;'2.2 Input_General_Information'!$H$20, ,IF(AV$166='2.2 Input_General_Information'!$H$20,$H227,AU254/AU245*AV245)))</f>
        <v>0.11341212559089019</v>
      </c>
      <c r="AW254" s="469">
        <f ca="1">IF($G$227=0,0,IF(AW$166&lt;'2.2 Input_General_Information'!$H$20, ,IF(AW$166='2.2 Input_General_Information'!$H$20,$H227,AV254/AV245*AW245)))</f>
        <v>0.11827165829675589</v>
      </c>
      <c r="AX254" s="469">
        <f ca="1">IF($G$227=0,0,IF(AX$166&lt;'2.2 Input_General_Information'!$H$20, ,IF(AX$166='2.2 Input_General_Information'!$H$20,$H227,AW254/AW245*AX245)))</f>
        <v>0.12219470444766788</v>
      </c>
      <c r="AY254" s="469">
        <f ca="1">IF($G$227=0,0,IF(AY$166&lt;'2.2 Input_General_Information'!$H$20, ,IF(AY$166='2.2 Input_General_Information'!$H$20,$H227,AX254/AX245*AY245)))</f>
        <v>0.12542283126617071</v>
      </c>
      <c r="AZ254" s="469">
        <f ca="1">IF($G$227=0,0,IF(AZ$166&lt;'2.2 Input_General_Information'!$H$20, ,IF(AZ$166='2.2 Input_General_Information'!$H$20,$H227,AY254/AY245*AZ245)))</f>
        <v>0.12816750560911158</v>
      </c>
      <c r="BA254" s="469">
        <f ca="1">IF($G$227=0,0,IF(BA$166&lt;'2.2 Input_General_Information'!$H$20, ,IF(BA$166='2.2 Input_General_Information'!$H$20,$H227,AZ254/AZ245*BA245)))</f>
        <v>0.13058958415894345</v>
      </c>
      <c r="BB254" s="469">
        <f ca="1">IF($G$227=0,0,IF(BB$166&lt;'2.2 Input_General_Information'!$H$20, ,IF(BB$166='2.2 Input_General_Information'!$H$20,$H227,BA254/BA245*BB245)))</f>
        <v>0.13280205883891474</v>
      </c>
      <c r="BC254" s="469">
        <f ca="1">IF($G$227=0,0,IF(BC$166&lt;'2.2 Input_General_Information'!$H$20, ,IF(BC$166='2.2 Input_General_Information'!$H$20,$H227,BB254/BB245*BC245)))</f>
        <v>0.13488051407033499</v>
      </c>
      <c r="BD254" s="469">
        <f ca="1">IF($G$227=0,0,IF(BD$166&lt;'2.2 Input_General_Information'!$H$20, ,IF(BD$166='2.2 Input_General_Information'!$H$20,$H227,BC254/BC245*BD245)))</f>
        <v>0.13687390119758089</v>
      </c>
      <c r="BE254" s="469">
        <f ca="1">IF($G$227=0,0,IF(BE$166&lt;'2.2 Input_General_Information'!$H$20, ,IF(BE$166='2.2 Input_General_Information'!$H$20,$H227,BD254/BD245*BE245)))</f>
        <v>0.13881316280876205</v>
      </c>
      <c r="BF254" s="469">
        <f ca="1">IF($G$227=0,0,IF(BF$166&lt;'2.2 Input_General_Information'!$H$20, ,IF(BF$166='2.2 Input_General_Information'!$H$20,$H227,BE254/BE245*BF245)))</f>
        <v>0.14071742529933029</v>
      </c>
      <c r="BG254" s="469">
        <f ca="1">IF($G$227=0,0,IF(BG$166&lt;'2.2 Input_General_Information'!$H$20, ,IF(BG$166='2.2 Input_General_Information'!$H$20,$H227,BF254/BF245*BG245)))</f>
        <v>0.14259820017119704</v>
      </c>
      <c r="BH254" s="469">
        <f ca="1">IF($G$227=0,0,IF(BH$166&lt;'2.2 Input_General_Information'!$H$20, ,IF(BH$166='2.2 Input_General_Information'!$H$20,$H227,BG254/BG245*BH245)))</f>
        <v>0.14446214443311242</v>
      </c>
      <c r="BI254" s="469">
        <f ca="1">IF($G$227=0,0,IF(BI$166&lt;'2.2 Input_General_Information'!$H$20, ,IF(BI$166='2.2 Input_General_Information'!$H$20,$H227,BH254/BH245*BI245)))</f>
        <v>0.14631284057498037</v>
      </c>
      <c r="BJ254" s="469">
        <f ca="1">IF($G$227=0,0,IF(BJ$166&lt;'2.2 Input_General_Information'!$H$20, ,IF(BJ$166='2.2 Input_General_Information'!$H$20,$H227,BI254/BI245*BJ245)))</f>
        <v>0.14815193176625885</v>
      </c>
      <c r="BK254" s="469">
        <f ca="1">IF($G$227=0,0,IF(BK$166&lt;'2.2 Input_General_Information'!$H$20, ,IF(BK$166='2.2 Input_General_Information'!$H$20,$H227,BJ254/BJ245*BK245)))</f>
        <v>0.14997984136503589</v>
      </c>
      <c r="BL254" s="6"/>
      <c r="BM254" s="6"/>
      <c r="BN254" s="6"/>
      <c r="BO254" s="6"/>
      <c r="BP254" s="6"/>
      <c r="BQ254" s="6"/>
      <c r="BR254" s="6"/>
      <c r="BS254" s="6"/>
      <c r="BT254" s="6"/>
      <c r="BU254" s="6"/>
    </row>
    <row r="255" spans="1:73">
      <c r="A255" s="6"/>
      <c r="B255" s="108"/>
      <c r="C255" s="1"/>
      <c r="D255" s="25"/>
      <c r="E255" s="4"/>
      <c r="F255" s="4"/>
      <c r="G255" s="79"/>
      <c r="H255" s="79"/>
      <c r="I255" s="79"/>
      <c r="J255" s="79"/>
      <c r="K255" s="79"/>
      <c r="L255" s="79"/>
      <c r="M255" s="79"/>
      <c r="N255" s="79"/>
      <c r="O255" s="1"/>
      <c r="P255" s="1"/>
      <c r="Q255" s="1"/>
      <c r="R255" s="162"/>
      <c r="S255" s="1"/>
      <c r="T255" s="101" t="s">
        <v>449</v>
      </c>
      <c r="U255" s="103"/>
      <c r="V255" s="103"/>
      <c r="W255" s="469">
        <f ca="1">IF($G$228=0,0,IF(W$166&lt;'2.2 Input_General_Information'!$H$20, ,IF(W$166='2.2 Input_General_Information'!$H$20,$H228,V255/V246*W246)))</f>
        <v>0.06</v>
      </c>
      <c r="X255" s="469">
        <f ca="1">IF($G$228=0,0,IF(X$166&lt;'2.2 Input_General_Information'!$H$20, ,IF(X$166='2.2 Input_General_Information'!$H$20,$H228,W255/W246*X246)))</f>
        <v>5.9451014130988244E-2</v>
      </c>
      <c r="Y255" s="469">
        <f ca="1">IF($G$228=0,0,IF(Y$166&lt;'2.2 Input_General_Information'!$H$20, ,IF(Y$166='2.2 Input_General_Information'!$H$20,$H228,X255/X246*Y246)))</f>
        <v>5.8899531995509756E-2</v>
      </c>
      <c r="Z255" s="469">
        <f ca="1">IF($G$228=0,0,IF(Z$166&lt;'2.2 Input_General_Information'!$H$20, ,IF(Z$166='2.2 Input_General_Information'!$H$20,$H228,Y255/Y246*Z246)))</f>
        <v>5.8346360533708765E-2</v>
      </c>
      <c r="AA255" s="469">
        <f ca="1">IF($G$228=0,0,IF(AA$166&lt;'2.2 Input_General_Information'!$H$20, ,IF(AA$166='2.2 Input_General_Information'!$H$20,$H228,Z255/Z246*AA246)))</f>
        <v>5.7792651749950102E-2</v>
      </c>
      <c r="AB255" s="469">
        <f ca="1">IF($G$228=0,0,IF(AB$166&lt;'2.2 Input_General_Information'!$H$20, ,IF(AB$166='2.2 Input_General_Information'!$H$20,$H228,AA255/AA246*AB246)))</f>
        <v>5.724008824907912E-2</v>
      </c>
      <c r="AC255" s="469">
        <f ca="1">IF($G$228=0,0,IF(AC$166&lt;'2.2 Input_General_Information'!$H$20, ,IF(AC$166='2.2 Input_General_Information'!$H$20,$H228,AB255/AB246*AC246)))</f>
        <v>5.6691169782060069E-2</v>
      </c>
      <c r="AD255" s="469">
        <f ca="1">IF($G$228=0,0,IF(AD$166&lt;'2.2 Input_General_Information'!$H$20, ,IF(AD$166='2.2 Input_General_Information'!$H$20,$H228,AC255/AC246*AD246)))</f>
        <v>5.614965469081664E-2</v>
      </c>
      <c r="AE255" s="469">
        <f ca="1">IF($G$228=0,0,IF(AE$166&lt;'2.2 Input_General_Information'!$H$20, ,IF(AE$166='2.2 Input_General_Information'!$H$20,$H228,AD255/AD246*AE246)))</f>
        <v>5.562123740033522E-2</v>
      </c>
      <c r="AF255" s="469">
        <f ca="1">IF($G$228=0,0,IF(AF$166&lt;'2.2 Input_General_Information'!$H$20, ,IF(AF$166='2.2 Input_General_Information'!$H$20,$H228,AE255/AE246*AF246)))</f>
        <v>5.5114581980835152E-2</v>
      </c>
      <c r="AG255" s="469">
        <f ca="1">IF($G$228=0,0,IF(AG$166&lt;'2.2 Input_General_Information'!$H$20, ,IF(AG$166='2.2 Input_General_Information'!$H$20,$H228,AF255/AF246*AG246)))</f>
        <v>5.4642883909340627E-2</v>
      </c>
      <c r="AH255" s="469">
        <f ca="1">IF($G$228=0,0,IF(AH$166&lt;'2.2 Input_General_Information'!$H$20, ,IF(AH$166='2.2 Input_General_Information'!$H$20,$H228,AG255/AG246*AH246)))</f>
        <v>5.4226193402825168E-2</v>
      </c>
      <c r="AI255" s="469">
        <f ca="1">IF($G$228=0,0,IF(AI$166&lt;'2.2 Input_General_Information'!$H$20, ,IF(AI$166='2.2 Input_General_Information'!$H$20,$H228,AH255/AH246*AI246)))</f>
        <v>5.3894782576264545E-2</v>
      </c>
      <c r="AJ255" s="469">
        <f ca="1">IF($G$228=0,0,IF(AJ$166&lt;'2.2 Input_General_Information'!$H$20, ,IF(AJ$166='2.2 Input_General_Information'!$H$20,$H228,AI255/AI246*AJ246)))</f>
        <v>5.3693808839082362E-2</v>
      </c>
      <c r="AK255" s="469">
        <f ca="1">IF($G$228=0,0,IF(AK$166&lt;'2.2 Input_General_Information'!$H$20, ,IF(AK$166='2.2 Input_General_Information'!$H$20,$H228,AJ255/AJ246*AK246)))</f>
        <v>5.3689250153550049E-2</v>
      </c>
      <c r="AL255" s="469">
        <f ca="1">IF($G$228=0,0,IF(AL$166&lt;'2.2 Input_General_Information'!$H$20, ,IF(AL$166='2.2 Input_General_Information'!$H$20,$H228,AK255/AK246*AL246)))</f>
        <v>5.3974198911620405E-2</v>
      </c>
      <c r="AM255" s="469">
        <f ca="1">IF($G$228=0,0,IF(AM$166&lt;'2.2 Input_General_Information'!$H$20, ,IF(AM$166='2.2 Input_General_Information'!$H$20,$H228,AL255/AL246*AM246)))</f>
        <v>5.467246064220934E-2</v>
      </c>
      <c r="AN255" s="469">
        <f ca="1">IF($G$228=0,0,IF(AN$166&lt;'2.2 Input_General_Information'!$H$20, ,IF(AN$166='2.2 Input_General_Information'!$H$20,$H228,AM255/AM246*AN246)))</f>
        <v>5.5932346052611485E-2</v>
      </c>
      <c r="AO255" s="469">
        <f ca="1">IF($G$228=0,0,IF(AO$166&lt;'2.2 Input_General_Information'!$H$20, ,IF(AO$166='2.2 Input_General_Information'!$H$20,$H228,AN255/AN246*AO246)))</f>
        <v>5.7898342652184021E-2</v>
      </c>
      <c r="AP255" s="469">
        <f ca="1">IF($G$228=0,0,IF(AP$166&lt;'2.2 Input_General_Information'!$H$20, ,IF(AP$166='2.2 Input_General_Information'!$H$20,$H228,AO255/AO246*AP246)))</f>
        <v>6.0647962891854638E-2</v>
      </c>
      <c r="AQ255" s="469">
        <f ca="1">IF($G$228=0,0,IF(AQ$166&lt;'2.2 Input_General_Information'!$H$20, ,IF(AQ$166='2.2 Input_General_Information'!$H$20,$H228,AP255/AP246*AQ246)))</f>
        <v>6.409953545709797E-2</v>
      </c>
      <c r="AR255" s="469">
        <f ca="1">IF($G$228=0,0,IF(AR$166&lt;'2.2 Input_General_Information'!$H$20, ,IF(AR$166='2.2 Input_General_Information'!$H$20,$H228,AQ255/AQ246*AR246)))</f>
        <v>6.7942443090145146E-2</v>
      </c>
      <c r="AS255" s="469">
        <f ca="1">IF($G$228=0,0,IF(AS$166&lt;'2.2 Input_General_Information'!$H$20, ,IF(AS$166='2.2 Input_General_Information'!$H$20,$H228,AR255/AR246*AS246)))</f>
        <v>7.1675938350055451E-2</v>
      </c>
      <c r="AT255" s="469">
        <f ca="1">IF($G$228=0,0,IF(AT$166&lt;'2.2 Input_General_Information'!$H$20, ,IF(AT$166='2.2 Input_General_Information'!$H$20,$H228,AS255/AS246*AT246)))</f>
        <v>7.4783662638675585E-2</v>
      </c>
      <c r="AU255" s="469">
        <f ca="1">IF($G$228=0,0,IF(AU$166&lt;'2.2 Input_General_Information'!$H$20, ,IF(AU$166='2.2 Input_General_Information'!$H$20,$H228,AT255/AT246*AU246)))</f>
        <v>7.6934245877646482E-2</v>
      </c>
      <c r="AV255" s="469">
        <f ca="1">IF($G$228=0,0,IF(AV$166&lt;'2.2 Input_General_Information'!$H$20, ,IF(AV$166='2.2 Input_General_Information'!$H$20,$H228,AU255/AU246*AV246)))</f>
        <v>7.8060549970208226E-2</v>
      </c>
      <c r="AW255" s="469">
        <f ca="1">IF($G$228=0,0,IF(AW$166&lt;'2.2 Input_General_Information'!$H$20, ,IF(AW$166='2.2 Input_General_Information'!$H$20,$H228,AV255/AV246*AW246)))</f>
        <v>7.8295316367949688E-2</v>
      </c>
      <c r="AX255" s="469">
        <f ca="1">IF($G$228=0,0,IF(AX$166&lt;'2.2 Input_General_Information'!$H$20, ,IF(AX$166='2.2 Input_General_Information'!$H$20,$H228,AW255/AW246*AX246)))</f>
        <v>7.7854624623136887E-2</v>
      </c>
      <c r="AY255" s="469">
        <f ca="1">IF($G$228=0,0,IF(AY$166&lt;'2.2 Input_General_Information'!$H$20, ,IF(AY$166='2.2 Input_General_Information'!$H$20,$H228,AX255/AX246*AY246)))</f>
        <v>7.695053538812921E-2</v>
      </c>
      <c r="AZ255" s="469">
        <f ca="1">IF($G$228=0,0,IF(AZ$166&lt;'2.2 Input_General_Information'!$H$20, ,IF(AZ$166='2.2 Input_General_Information'!$H$20,$H228,AY255/AY246*AZ246)))</f>
        <v>7.5752372946854787E-2</v>
      </c>
      <c r="BA255" s="469">
        <f ca="1">IF($G$228=0,0,IF(BA$166&lt;'2.2 Input_General_Information'!$H$20, ,IF(BA$166='2.2 Input_General_Information'!$H$20,$H228,AZ255/AZ246*BA246)))</f>
        <v>7.4380966737782842E-2</v>
      </c>
      <c r="BB255" s="469">
        <f ca="1">IF($G$228=0,0,IF(BB$166&lt;'2.2 Input_General_Information'!$H$20, ,IF(BB$166='2.2 Input_General_Information'!$H$20,$H228,BA255/BA246*BB246)))</f>
        <v>7.2916939494693966E-2</v>
      </c>
      <c r="BC255" s="469">
        <f ca="1">IF($G$228=0,0,IF(BC$166&lt;'2.2 Input_General_Information'!$H$20, ,IF(BC$166='2.2 Input_General_Information'!$H$20,$H228,BB255/BB246*BC246)))</f>
        <v>7.1411859523712984E-2</v>
      </c>
      <c r="BD255" s="469">
        <f ca="1">IF($G$228=0,0,IF(BD$166&lt;'2.2 Input_General_Information'!$H$20, ,IF(BD$166='2.2 Input_General_Information'!$H$20,$H228,BC255/BC246*BD246)))</f>
        <v>6.9897788538097902E-2</v>
      </c>
      <c r="BE255" s="469">
        <f ca="1">IF($G$228=0,0,IF(BE$166&lt;'2.2 Input_General_Information'!$H$20, ,IF(BE$166='2.2 Input_General_Information'!$H$20,$H228,BD255/BD246*BE246)))</f>
        <v>6.8394236837311426E-2</v>
      </c>
      <c r="BF255" s="469">
        <f ca="1">IF($G$228=0,0,IF(BF$166&lt;'2.2 Input_General_Information'!$H$20, ,IF(BF$166='2.2 Input_General_Information'!$H$20,$H228,BE255/BE246*BF246)))</f>
        <v>6.6912841726527061E-2</v>
      </c>
      <c r="BG255" s="469">
        <f ca="1">IF($G$228=0,0,IF(BG$166&lt;'2.2 Input_General_Information'!$H$20, ,IF(BG$166='2.2 Input_General_Information'!$H$20,$H228,BF255/BF246*BG246)))</f>
        <v>6.5460378648141179E-2</v>
      </c>
      <c r="BH255" s="469">
        <f ca="1">IF($G$228=0,0,IF(BH$166&lt;'2.2 Input_General_Information'!$H$20, ,IF(BH$166='2.2 Input_General_Information'!$H$20,$H228,BG255/BG246*BH246)))</f>
        <v>6.4040649957411863E-2</v>
      </c>
      <c r="BI255" s="469">
        <f ca="1">IF($G$228=0,0,IF(BI$166&lt;'2.2 Input_General_Information'!$H$20, ,IF(BI$166='2.2 Input_General_Information'!$H$20,$H228,BH255/BH246*BI246)))</f>
        <v>6.265565154707807E-2</v>
      </c>
      <c r="BJ255" s="469">
        <f ca="1">IF($G$228=0,0,IF(BJ$166&lt;'2.2 Input_General_Information'!$H$20, ,IF(BJ$166='2.2 Input_General_Information'!$H$20,$H228,BI255/BI246*BJ246)))</f>
        <v>6.1306286705354845E-2</v>
      </c>
      <c r="BK255" s="469">
        <f ca="1">IF($G$228=0,0,IF(BK$166&lt;'2.2 Input_General_Information'!$H$20, ,IF(BK$166='2.2 Input_General_Information'!$H$20,$H228,BJ255/BJ246*BK246)))</f>
        <v>5.999280043197399E-2</v>
      </c>
      <c r="BL255" s="6"/>
      <c r="BM255" s="6"/>
      <c r="BN255" s="6"/>
      <c r="BO255" s="6"/>
      <c r="BP255" s="6"/>
      <c r="BQ255" s="6"/>
      <c r="BR255" s="6"/>
      <c r="BS255" s="6"/>
      <c r="BT255" s="6"/>
      <c r="BU255" s="6"/>
    </row>
    <row r="256" spans="1:73">
      <c r="A256" s="6"/>
      <c r="B256" s="108"/>
      <c r="C256" s="1"/>
      <c r="D256" s="25"/>
      <c r="E256" s="4"/>
      <c r="F256" s="4"/>
      <c r="G256" s="79"/>
      <c r="H256" s="79"/>
      <c r="I256" s="79"/>
      <c r="J256" s="79"/>
      <c r="K256" s="79"/>
      <c r="L256" s="79"/>
      <c r="M256" s="79"/>
      <c r="N256" s="79"/>
      <c r="O256" s="1"/>
      <c r="P256" s="1"/>
      <c r="Q256" s="1"/>
      <c r="R256" s="162"/>
      <c r="S256" s="1"/>
      <c r="BL256" s="6"/>
      <c r="BM256" s="6"/>
      <c r="BN256" s="6"/>
      <c r="BO256" s="6"/>
      <c r="BP256" s="6"/>
      <c r="BQ256" s="6"/>
      <c r="BR256" s="6"/>
      <c r="BS256" s="6"/>
      <c r="BT256" s="6"/>
      <c r="BU256" s="6"/>
    </row>
    <row r="257" spans="1:73">
      <c r="A257" s="6"/>
      <c r="B257" s="108"/>
      <c r="C257" s="1"/>
      <c r="D257" s="25"/>
      <c r="E257" s="4"/>
      <c r="F257" s="4"/>
      <c r="G257" s="79"/>
      <c r="H257" s="79"/>
      <c r="I257" s="79"/>
      <c r="J257" s="79"/>
      <c r="K257" s="79"/>
      <c r="L257" s="79"/>
      <c r="M257" s="79"/>
      <c r="N257" s="79"/>
      <c r="O257" s="1"/>
      <c r="P257" s="1"/>
      <c r="Q257" s="1"/>
      <c r="R257" s="162"/>
      <c r="S257" s="1"/>
      <c r="T257" s="102" t="str">
        <f>D265</f>
        <v>Time saved in accessing more easily data not immediately available</v>
      </c>
      <c r="W257" s="495">
        <f ca="1">IF(W$166&lt;'2.2 Input_General_Information'!$H$20, ,IF(W$166='2.2 Input_General_Information'!$H$20,0,SUM(V250:V255)-SUM(W250:W255)))</f>
        <v>0</v>
      </c>
      <c r="X257" s="495">
        <f ca="1">IF(X$166&lt;'2.2 Input_General_Information'!$H$20, ,IF(X$166='2.2 Input_General_Information'!$H$20,0,SUM(W250:W255)-SUM(X250:X255)))</f>
        <v>4.5673493446851676E-3</v>
      </c>
      <c r="Y257" s="495">
        <f ca="1">IF(Y$166&lt;'2.2 Input_General_Information'!$H$20, ,IF(Y$166='2.2 Input_General_Information'!$H$20,0,SUM(X250:X255)-SUM(Y250:Y255)))</f>
        <v>4.6001605818646318E-3</v>
      </c>
      <c r="Z257" s="495">
        <f ca="1">IF(Z$166&lt;'2.2 Input_General_Information'!$H$20, ,IF(Z$166='2.2 Input_General_Information'!$H$20,0,SUM(Y250:Y255)-SUM(Z250:Z255)))</f>
        <v>4.634036005520259E-3</v>
      </c>
      <c r="AA257" s="495">
        <f ca="1">IF(AA$166&lt;'2.2 Input_General_Information'!$H$20, ,IF(AA$166='2.2 Input_General_Information'!$H$20,0,SUM(Z250:Z255)-SUM(AA250:AA255)))</f>
        <v>4.6705543969811636E-3</v>
      </c>
      <c r="AB257" s="495">
        <f ca="1">IF(AB$166&lt;'2.2 Input_General_Information'!$H$20, ,IF(AB$166='2.2 Input_General_Information'!$H$20,0,SUM(AA250:AA255)-SUM(AB250:AB255)))</f>
        <v>4.712268195275704E-3</v>
      </c>
      <c r="AC257" s="495">
        <f ca="1">IF(AC$166&lt;'2.2 Input_General_Information'!$H$20, ,IF(AC$166='2.2 Input_General_Information'!$H$20,0,SUM(AB250:AB255)-SUM(AC250:AC255)))</f>
        <v>4.7632773698771391E-3</v>
      </c>
      <c r="AD257" s="495">
        <f ca="1">IF(AD$166&lt;'2.2 Input_General_Information'!$H$20, ,IF(AD$166='2.2 Input_General_Information'!$H$20,0,SUM(AC250:AC255)-SUM(AD250:AD255)))</f>
        <v>4.8301362494533873E-3</v>
      </c>
      <c r="AE257" s="495">
        <f ca="1">IF(AE$166&lt;'2.2 Input_General_Information'!$H$20, ,IF(AE$166='2.2 Input_General_Information'!$H$20,0,SUM(AD250:AD255)-SUM(AE250:AE255)))</f>
        <v>4.923278852463131E-3</v>
      </c>
      <c r="AF257" s="495">
        <f ca="1">IF(AF$166&lt;'2.2 Input_General_Information'!$H$20, ,IF(AF$166='2.2 Input_General_Information'!$H$20,0,SUM(AE250:AE255)-SUM(AF250:AF255)))</f>
        <v>5.0592402232022549E-3</v>
      </c>
      <c r="AG257" s="495">
        <f ca="1">IF(AG$166&lt;'2.2 Input_General_Information'!$H$20, ,IF(AG$166='2.2 Input_General_Information'!$H$20,0,SUM(AF250:AF255)-SUM(AG250:AG255)))</f>
        <v>5.2640708564102301E-3</v>
      </c>
      <c r="AH257" s="495">
        <f ca="1">IF(AH$166&lt;'2.2 Input_General_Information'!$H$20, ,IF(AH$166='2.2 Input_General_Information'!$H$20,0,SUM(AG250:AG255)-SUM(AH250:AH255)))</f>
        <v>5.5784657284498884E-3</v>
      </c>
      <c r="AI257" s="495">
        <f ca="1">IF(AI$166&lt;'2.2 Input_General_Information'!$H$20, ,IF(AI$166='2.2 Input_General_Information'!$H$20,0,SUM(AH250:AH255)-SUM(AI250:AI255)))</f>
        <v>6.0651686217338963E-3</v>
      </c>
      <c r="AJ257" s="495">
        <f ca="1">IF(AJ$166&lt;'2.2 Input_General_Information'!$H$20, ,IF(AJ$166='2.2 Input_General_Information'!$H$20,0,SUM(AI250:AI255)-SUM(AJ250:AJ255)))</f>
        <v>6.818904597233777E-3</v>
      </c>
      <c r="AK257" s="495">
        <f ca="1">IF(AK$166&lt;'2.2 Input_General_Information'!$H$20, ,IF(AK$166='2.2 Input_General_Information'!$H$20,0,SUM(AJ250:AJ255)-SUM(AK250:AK255)))</f>
        <v>7.9777918222181388E-3</v>
      </c>
      <c r="AL257" s="495">
        <f ca="1">IF(AL$166&lt;'2.2 Input_General_Information'!$H$20, ,IF(AL$166='2.2 Input_General_Information'!$H$20,0,SUM(AK250:AK255)-SUM(AL250:AL255)))</f>
        <v>9.7315251098574196E-3</v>
      </c>
      <c r="AM257" s="495">
        <f ca="1">IF(AM$166&lt;'2.2 Input_General_Information'!$H$20, ,IF(AM$166='2.2 Input_General_Information'!$H$20,0,SUM(AL250:AL255)-SUM(AM250:AM255)))</f>
        <v>1.2313402853721289E-2</v>
      </c>
      <c r="AN257" s="495">
        <f ca="1">IF(AN$166&lt;'2.2 Input_General_Information'!$H$20, ,IF(AN$166='2.2 Input_General_Information'!$H$20,0,SUM(AM250:AM255)-SUM(AN250:AN255)))</f>
        <v>1.5949091563823181E-2</v>
      </c>
      <c r="AO257" s="495">
        <f ca="1">IF(AO$166&lt;'2.2 Input_General_Information'!$H$20, ,IF(AO$166='2.2 Input_General_Information'!$H$20,0,SUM(AN250:AN255)-SUM(AO250:AO255)))</f>
        <v>2.0721912031981482E-2</v>
      </c>
      <c r="AP257" s="495">
        <f ca="1">IF(AP$166&lt;'2.2 Input_General_Information'!$H$20, ,IF(AP$166='2.2 Input_General_Information'!$H$20,0,SUM(AO250:AO255)-SUM(AP250:AP255)))</f>
        <v>2.6334831647041645E-2</v>
      </c>
      <c r="AQ257" s="495">
        <f ca="1">IF(AQ$166&lt;'2.2 Input_General_Information'!$H$20, ,IF(AQ$166='2.2 Input_General_Information'!$H$20,0,SUM(AP250:AP255)-SUM(AQ250:AQ255)))</f>
        <v>3.186459370812178E-2</v>
      </c>
      <c r="AR257" s="495">
        <f ca="1">IF(AR$166&lt;'2.2 Input_General_Information'!$H$20, ,IF(AR$166='2.2 Input_General_Information'!$H$20,0,SUM(AQ250:AQ255)-SUM(AR250:AR255)))</f>
        <v>3.5805310399548596E-2</v>
      </c>
      <c r="AS257" s="495">
        <f ca="1">IF(AS$166&lt;'2.2 Input_General_Information'!$H$20, ,IF(AS$166='2.2 Input_General_Information'!$H$20,0,SUM(AR250:AR255)-SUM(AS250:AS255)))</f>
        <v>3.6699766424509117E-2</v>
      </c>
      <c r="AT257" s="495">
        <f ca="1">IF(AT$166&lt;'2.2 Input_General_Information'!$H$20, ,IF(AT$166='2.2 Input_General_Information'!$H$20,0,SUM(AS250:AS255)-SUM(AT250:AT255)))</f>
        <v>3.4086864694818586E-2</v>
      </c>
      <c r="AU257" s="495">
        <f ca="1">IF(AU$166&lt;'2.2 Input_General_Information'!$H$20, ,IF(AU$166='2.2 Input_General_Information'!$H$20,0,SUM(AT250:AT255)-SUM(AU250:AU255)))</f>
        <v>2.8866436969827158E-2</v>
      </c>
      <c r="AV257" s="495">
        <f ca="1">IF(AV$166&lt;'2.2 Input_General_Information'!$H$20, ,IF(AV$166='2.2 Input_General_Information'!$H$20,0,SUM(AU250:AU255)-SUM(AV250:AV255)))</f>
        <v>2.2659725087597837E-2</v>
      </c>
      <c r="AW257" s="495">
        <f ca="1">IF(AW$166&lt;'2.2 Input_General_Information'!$H$20, ,IF(AW$166='2.2 Input_General_Information'!$H$20,0,SUM(AV250:AV255)-SUM(AW250:AW255)))</f>
        <v>1.6858637079597116E-2</v>
      </c>
      <c r="AX257" s="495">
        <f ca="1">IF(AX$166&lt;'2.2 Input_General_Information'!$H$20, ,IF(AX$166='2.2 Input_General_Information'!$H$20,0,SUM(AW250:AW255)-SUM(AX250:AX255)))</f>
        <v>1.2171703540423406E-2</v>
      </c>
      <c r="AY257" s="495">
        <f ca="1">IF(AY$166&lt;'2.2 Input_General_Information'!$H$20, ,IF(AY$166='2.2 Input_General_Information'!$H$20,0,SUM(AX250:AX255)-SUM(AY250:AY255)))</f>
        <v>8.7207168681510128E-3</v>
      </c>
      <c r="AZ257" s="495">
        <f ca="1">IF(AZ$166&lt;'2.2 Input_General_Information'!$H$20, ,IF(AZ$166='2.2 Input_General_Information'!$H$20,0,SUM(AY250:AY255)-SUM(AZ250:AZ255)))</f>
        <v>6.3242765720318284E-3</v>
      </c>
      <c r="BA257" s="495">
        <f ca="1">IF(BA$166&lt;'2.2 Input_General_Information'!$H$20, ,IF(BA$166='2.2 Input_General_Information'!$H$20,0,SUM(AZ250:AZ255)-SUM(BA250:BA255)))</f>
        <v>4.7176032474414153E-3</v>
      </c>
      <c r="BB257" s="495">
        <f ca="1">IF(BB$166&lt;'2.2 Input_General_Information'!$H$20, ,IF(BB$166='2.2 Input_General_Information'!$H$20,0,SUM(BA250:BA255)-SUM(BB250:BB255)))</f>
        <v>3.6601670112186291E-3</v>
      </c>
      <c r="BC257" s="495">
        <f ca="1">IF(BC$166&lt;'2.2 Input_General_Information'!$H$20, ,IF(BC$166='2.2 Input_General_Information'!$H$20,0,SUM(BB250:BB255)-SUM(BC250:BC255)))</f>
        <v>2.968225170922989E-3</v>
      </c>
      <c r="BD257" s="495">
        <f ca="1">IF(BD$166&lt;'2.2 Input_General_Information'!$H$20, ,IF(BD$166='2.2 Input_General_Information'!$H$20,0,SUM(BC250:BC255)-SUM(BD250:BD255)))</f>
        <v>2.5131349449181162E-3</v>
      </c>
      <c r="BE257" s="495">
        <f ca="1">IF(BE$166&lt;'2.2 Input_General_Information'!$H$20, ,IF(BE$166='2.2 Input_General_Information'!$H$20,0,SUM(BD250:BD255)-SUM(BE250:BE255)))</f>
        <v>2.209133370998706E-3</v>
      </c>
      <c r="BF257" s="495">
        <f ca="1">IF(BF$166&lt;'2.2 Input_General_Information'!$H$20, ,IF(BF$166='2.2 Input_General_Information'!$H$20,0,SUM(BE250:BE255)-SUM(BF250:BF255)))</f>
        <v>2.0006711649076525E-3</v>
      </c>
      <c r="BG257" s="495">
        <f ca="1">IF(BG$166&lt;'2.2 Input_General_Information'!$H$20, ,IF(BG$166='2.2 Input_General_Information'!$H$20,0,SUM(BF250:BF255)-SUM(BG250:BG255)))</f>
        <v>1.8523908183539772E-3</v>
      </c>
      <c r="BH257" s="495">
        <f ca="1">IF(BH$166&lt;'2.2 Input_General_Information'!$H$20, ,IF(BH$166='2.2 Input_General_Information'!$H$20,0,SUM(BG250:BG255)-SUM(BH250:BH255)))</f>
        <v>1.7420260230286422E-3</v>
      </c>
      <c r="BI257" s="495">
        <f ca="1">IF(BI$166&lt;'2.2 Input_General_Information'!$H$20, ,IF(BI$166='2.2 Input_General_Information'!$H$20,0,SUM(BH250:BH255)-SUM(BI250:BI255)))</f>
        <v>1.6556463727673831E-3</v>
      </c>
      <c r="BJ257" s="495">
        <f ca="1">IF(BJ$166&lt;'2.2 Input_General_Information'!$H$20, ,IF(BJ$166='2.2 Input_General_Information'!$H$20,0,SUM(BI250:BI255)-SUM(BJ250:BJ255)))</f>
        <v>1.5845715429617657E-3</v>
      </c>
      <c r="BK257" s="495">
        <f ca="1">IF(BK$166&lt;'2.2 Input_General_Information'!$H$20, ,IF(BK$166='2.2 Input_General_Information'!$H$20,0,SUM(BJ250:BJ255)-SUM(BK250:BK255)))</f>
        <v>1.5234055350391573E-3</v>
      </c>
      <c r="BL257" s="6"/>
      <c r="BM257" s="6"/>
      <c r="BN257" s="6"/>
      <c r="BO257" s="6"/>
      <c r="BP257" s="6"/>
      <c r="BQ257" s="6"/>
      <c r="BR257" s="6"/>
      <c r="BS257" s="6"/>
      <c r="BT257" s="6"/>
      <c r="BU257" s="6"/>
    </row>
    <row r="258" spans="1:73">
      <c r="A258" s="6"/>
      <c r="B258" s="108"/>
      <c r="C258" s="1"/>
      <c r="D258" s="25"/>
      <c r="E258" s="4"/>
      <c r="F258" s="4"/>
      <c r="G258" s="79"/>
      <c r="H258" s="79"/>
      <c r="I258" s="79"/>
      <c r="J258" s="79"/>
      <c r="K258" s="79"/>
      <c r="L258" s="79"/>
      <c r="M258" s="79"/>
      <c r="N258" s="79"/>
      <c r="O258" s="1"/>
      <c r="P258" s="1"/>
      <c r="Q258" s="1"/>
      <c r="R258" s="162"/>
      <c r="S258" s="1"/>
      <c r="U258" s="9" t="s">
        <v>29</v>
      </c>
      <c r="BL258" s="6"/>
      <c r="BM258" s="6"/>
      <c r="BN258" s="6"/>
      <c r="BO258" s="6"/>
      <c r="BP258" s="6"/>
      <c r="BQ258" s="6"/>
      <c r="BR258" s="6"/>
      <c r="BS258" s="6"/>
      <c r="BT258" s="6"/>
      <c r="BU258" s="6"/>
    </row>
    <row r="259" spans="1:73" ht="15.75" thickBot="1">
      <c r="A259" s="6"/>
      <c r="B259" s="108"/>
      <c r="C259" s="1"/>
      <c r="D259" s="41"/>
      <c r="E259" s="46"/>
      <c r="F259" s="46"/>
      <c r="G259" s="72" t="str">
        <f>'2.3 Input_Main_Questionnaire'!H$24</f>
        <v>PhD researcher</v>
      </c>
      <c r="H259" s="72" t="str">
        <f>'2.3 Input_Main_Questionnaire'!I$24</f>
        <v>Lecturer assistant/Research assistant (Academic)</v>
      </c>
      <c r="I259" s="72" t="str">
        <f>'2.3 Input_Main_Questionnaire'!J$24</f>
        <v>Lecturer/Researcher (Academic)</v>
      </c>
      <c r="J259" s="72" t="str">
        <f>'2.3 Input_Main_Questionnaire'!K$24</f>
        <v>Other</v>
      </c>
      <c r="K259" s="72" t="str">
        <f>'2.3 Input_Main_Questionnaire'!L$24</f>
        <v>Profile 5</v>
      </c>
      <c r="L259" s="72" t="str">
        <f>'2.3 Input_Main_Questionnaire'!M$24</f>
        <v>Profile 6</v>
      </c>
      <c r="M259" s="72" t="str">
        <f>'2.3 Input_Main_Questionnaire'!N$24</f>
        <v>Profile 7</v>
      </c>
      <c r="N259" s="72" t="str">
        <f>'2.3 Input_Main_Questionnaire'!O$24</f>
        <v>Profile 8</v>
      </c>
      <c r="O259" s="1"/>
      <c r="P259" s="1"/>
      <c r="Q259" s="1"/>
      <c r="R259" s="162"/>
      <c r="S259" s="1"/>
      <c r="T259" s="103"/>
      <c r="U259" s="103"/>
      <c r="V259" s="103"/>
      <c r="W259" s="81"/>
      <c r="X259" s="81"/>
      <c r="Y259" s="81"/>
      <c r="Z259" s="81"/>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81"/>
      <c r="BE259" s="81"/>
      <c r="BF259" s="81"/>
      <c r="BG259" s="81"/>
      <c r="BH259" s="81"/>
      <c r="BI259" s="81"/>
      <c r="BJ259" s="81"/>
      <c r="BK259" s="81"/>
      <c r="BL259" s="6"/>
      <c r="BM259" s="6"/>
      <c r="BN259" s="6"/>
      <c r="BO259" s="6"/>
      <c r="BP259" s="6"/>
      <c r="BQ259" s="6"/>
      <c r="BR259" s="6"/>
      <c r="BS259" s="6"/>
      <c r="BT259" s="6"/>
      <c r="BU259" s="6"/>
    </row>
    <row r="260" spans="1:73" ht="5.25" customHeight="1" thickTop="1">
      <c r="A260" s="6"/>
      <c r="B260" s="97"/>
      <c r="C260" s="37"/>
      <c r="D260" s="551"/>
      <c r="E260" s="552"/>
      <c r="F260" s="552"/>
      <c r="G260" s="553"/>
      <c r="H260" s="553"/>
      <c r="I260" s="553"/>
      <c r="J260" s="553"/>
      <c r="K260" s="553"/>
      <c r="L260" s="553"/>
      <c r="M260" s="553"/>
      <c r="N260" s="553"/>
      <c r="O260" s="10"/>
      <c r="P260" s="10"/>
      <c r="Q260" s="10"/>
      <c r="R260" s="193"/>
      <c r="S260" s="10"/>
      <c r="T260" s="103"/>
      <c r="U260" s="103"/>
      <c r="V260" s="103"/>
      <c r="W260" s="366"/>
      <c r="X260" s="366"/>
      <c r="Y260" s="366"/>
      <c r="Z260" s="366"/>
      <c r="AA260" s="366"/>
      <c r="AB260" s="366"/>
      <c r="AC260" s="366"/>
      <c r="AD260" s="366"/>
      <c r="AE260" s="366"/>
      <c r="AF260" s="366"/>
      <c r="AG260" s="366"/>
      <c r="AH260" s="366"/>
      <c r="AI260" s="366"/>
      <c r="AJ260" s="366"/>
      <c r="AK260" s="366"/>
      <c r="AL260" s="366"/>
      <c r="AM260" s="366"/>
      <c r="AN260" s="366"/>
      <c r="AO260" s="366"/>
      <c r="AP260" s="366"/>
      <c r="AQ260" s="366"/>
      <c r="AR260" s="366"/>
      <c r="AS260" s="366"/>
      <c r="AT260" s="366"/>
      <c r="AU260" s="366"/>
      <c r="AV260" s="366"/>
      <c r="AW260" s="366"/>
      <c r="AX260" s="366"/>
      <c r="AY260" s="366"/>
      <c r="AZ260" s="366"/>
      <c r="BA260" s="366"/>
      <c r="BB260" s="366"/>
      <c r="BC260" s="366"/>
      <c r="BD260" s="366"/>
      <c r="BE260" s="366"/>
      <c r="BF260" s="366"/>
      <c r="BG260" s="366"/>
      <c r="BH260" s="366"/>
      <c r="BI260" s="366"/>
      <c r="BJ260" s="366"/>
      <c r="BK260" s="366"/>
      <c r="BL260" s="367"/>
      <c r="BM260" s="367"/>
      <c r="BN260" s="367"/>
      <c r="BO260" s="367"/>
      <c r="BP260" s="367"/>
      <c r="BQ260" s="367"/>
      <c r="BR260" s="367"/>
      <c r="BS260" s="367"/>
      <c r="BT260" s="367"/>
      <c r="BU260" s="367"/>
    </row>
    <row r="261" spans="1:73">
      <c r="A261" s="6"/>
      <c r="B261" s="554" t="s">
        <v>606</v>
      </c>
      <c r="C261" s="37"/>
      <c r="D261" s="147" t="str">
        <f>IF(G190&gt;=0,"Time saved for finding relevant data thanks to metadata","Time lost for finding relevant data due to metadata")</f>
        <v>Time saved for finding relevant data thanks to metadata</v>
      </c>
      <c r="E261" s="200"/>
      <c r="F261" s="200"/>
      <c r="G261" s="365">
        <f>$G$190*'2.3 Input_Main_Questionnaire'!$I$60*'2.3 Input_Main_Questionnaire'!H$29</f>
        <v>3.8380549999999999E-2</v>
      </c>
      <c r="H261" s="365">
        <f>$G$190*'2.3 Input_Main_Questionnaire'!$I$60*'2.3 Input_Main_Questionnaire'!I$29</f>
        <v>3.6198825000000004E-2</v>
      </c>
      <c r="I261" s="365">
        <f>$G$190*'2.3 Input_Main_Questionnaire'!$I$60*'2.3 Input_Main_Questionnaire'!J$29</f>
        <v>3.15904875E-2</v>
      </c>
      <c r="J261" s="365">
        <f>$G$190*'2.3 Input_Main_Questionnaire'!$I$60*'2.3 Input_Main_Questionnaire'!K$29</f>
        <v>4.3434137500000004E-2</v>
      </c>
      <c r="K261" s="365">
        <f>$G$190*'2.3 Input_Main_Questionnaire'!$I$60*'2.3 Input_Main_Questionnaire'!L$29</f>
        <v>3.7400999999999997E-2</v>
      </c>
      <c r="L261" s="365">
        <f>$G$190*'2.3 Input_Main_Questionnaire'!$I$60*'2.3 Input_Main_Questionnaire'!M$29</f>
        <v>3.7400999999999997E-2</v>
      </c>
      <c r="M261" s="365">
        <f>$G$190*'2.3 Input_Main_Questionnaire'!$I$60*'2.3 Input_Main_Questionnaire'!N$29</f>
        <v>3.7400999999999997E-2</v>
      </c>
      <c r="N261" s="365">
        <f>$G$190*'2.3 Input_Main_Questionnaire'!$I$60*'2.3 Input_Main_Questionnaire'!O$29</f>
        <v>3.7400999999999997E-2</v>
      </c>
      <c r="O261" s="10"/>
      <c r="P261" s="3"/>
      <c r="Q261" s="10"/>
      <c r="R261" s="193"/>
      <c r="S261" s="10"/>
      <c r="T261" s="103"/>
      <c r="U261" s="103"/>
      <c r="V261" s="103"/>
      <c r="W261" s="366"/>
      <c r="X261" s="366"/>
      <c r="Y261" s="366"/>
      <c r="Z261" s="366"/>
      <c r="AA261" s="366"/>
      <c r="AB261" s="366"/>
      <c r="AC261" s="366"/>
      <c r="AD261" s="366"/>
      <c r="AE261" s="366"/>
      <c r="AF261" s="366"/>
      <c r="AG261" s="366"/>
      <c r="AH261" s="366"/>
      <c r="AI261" s="366"/>
      <c r="AJ261" s="366"/>
      <c r="AK261" s="366"/>
      <c r="AL261" s="366"/>
      <c r="AM261" s="366"/>
      <c r="AN261" s="366"/>
      <c r="AO261" s="366"/>
      <c r="AP261" s="366"/>
      <c r="AQ261" s="366"/>
      <c r="AR261" s="366"/>
      <c r="AS261" s="366"/>
      <c r="AT261" s="366"/>
      <c r="AU261" s="366"/>
      <c r="AV261" s="366"/>
      <c r="AW261" s="366"/>
      <c r="AX261" s="366"/>
      <c r="AY261" s="366"/>
      <c r="AZ261" s="366"/>
      <c r="BA261" s="366"/>
      <c r="BB261" s="366"/>
      <c r="BC261" s="366"/>
      <c r="BD261" s="366"/>
      <c r="BE261" s="366"/>
      <c r="BF261" s="366"/>
      <c r="BG261" s="366"/>
      <c r="BH261" s="366"/>
      <c r="BI261" s="366"/>
      <c r="BJ261" s="366"/>
      <c r="BK261" s="366"/>
      <c r="BL261" s="367"/>
      <c r="BM261" s="367"/>
      <c r="BN261" s="367"/>
      <c r="BO261" s="367"/>
      <c r="BP261" s="367"/>
      <c r="BQ261" s="367"/>
      <c r="BR261" s="367"/>
      <c r="BS261" s="367"/>
      <c r="BT261" s="367"/>
      <c r="BU261" s="367"/>
    </row>
    <row r="262" spans="1:73" ht="5.25" customHeight="1">
      <c r="A262" s="6"/>
      <c r="B262" s="97"/>
      <c r="C262" s="37"/>
      <c r="D262" s="12"/>
      <c r="E262" s="1"/>
      <c r="F262" s="1"/>
      <c r="G262" s="183"/>
      <c r="H262" s="183"/>
      <c r="I262" s="183"/>
      <c r="J262" s="183"/>
      <c r="K262" s="183"/>
      <c r="L262" s="183"/>
      <c r="M262" s="183"/>
      <c r="N262" s="183"/>
      <c r="O262" s="10"/>
      <c r="P262" s="10"/>
      <c r="Q262" s="10"/>
      <c r="R262" s="193"/>
      <c r="S262" s="10"/>
      <c r="T262" s="103"/>
      <c r="U262" s="103"/>
      <c r="V262" s="103"/>
      <c r="W262" s="366"/>
      <c r="X262" s="366"/>
      <c r="Y262" s="366"/>
      <c r="Z262" s="366"/>
      <c r="AA262" s="366"/>
      <c r="AB262" s="366"/>
      <c r="AC262" s="366"/>
      <c r="AD262" s="366"/>
      <c r="AE262" s="366"/>
      <c r="AF262" s="366"/>
      <c r="AG262" s="366"/>
      <c r="AH262" s="366"/>
      <c r="AI262" s="366"/>
      <c r="AJ262" s="366"/>
      <c r="AK262" s="366"/>
      <c r="AL262" s="366"/>
      <c r="AM262" s="366"/>
      <c r="AN262" s="366"/>
      <c r="AO262" s="366"/>
      <c r="AP262" s="366"/>
      <c r="AQ262" s="366"/>
      <c r="AR262" s="366"/>
      <c r="AS262" s="366"/>
      <c r="AT262" s="366"/>
      <c r="AU262" s="366"/>
      <c r="AV262" s="366"/>
      <c r="AW262" s="366"/>
      <c r="AX262" s="366"/>
      <c r="AY262" s="366"/>
      <c r="AZ262" s="366"/>
      <c r="BA262" s="366"/>
      <c r="BB262" s="366"/>
      <c r="BC262" s="366"/>
      <c r="BD262" s="366"/>
      <c r="BE262" s="366"/>
      <c r="BF262" s="366"/>
      <c r="BG262" s="366"/>
      <c r="BH262" s="366"/>
      <c r="BI262" s="366"/>
      <c r="BJ262" s="366"/>
      <c r="BK262" s="366"/>
      <c r="BL262" s="367"/>
      <c r="BM262" s="367"/>
      <c r="BN262" s="367"/>
      <c r="BO262" s="367"/>
      <c r="BP262" s="367"/>
      <c r="BQ262" s="367"/>
      <c r="BR262" s="367"/>
      <c r="BS262" s="367"/>
      <c r="BT262" s="367"/>
      <c r="BU262" s="367"/>
    </row>
    <row r="263" spans="1:73">
      <c r="A263" s="6"/>
      <c r="B263" s="554" t="s">
        <v>606</v>
      </c>
      <c r="C263" s="37"/>
      <c r="D263" s="147" t="str">
        <f>IF(G215&gt;=0,"Time saved for finding relevant data thanks to global standardised PIDs","Time lost for finding relevant data due to global standardised PIDs")</f>
        <v>Time saved for finding relevant data thanks to global standardised PIDs</v>
      </c>
      <c r="E263" s="200"/>
      <c r="F263" s="200"/>
      <c r="G263" s="365">
        <f>$G$215*'2.3 Input_Main_Questionnaire'!$I$60*'2.3 Input_Main_Questionnaire'!H$29</f>
        <v>2.8015000000000002E-2</v>
      </c>
      <c r="H263" s="365">
        <f>$G$215*'2.3 Input_Main_Questionnaire'!$I$60*'2.3 Input_Main_Questionnaire'!I$29</f>
        <v>2.6422500000000002E-2</v>
      </c>
      <c r="I263" s="365">
        <f>$G$215*'2.3 Input_Main_Questionnaire'!$I$60*'2.3 Input_Main_Questionnaire'!J$29</f>
        <v>2.3058749999999999E-2</v>
      </c>
      <c r="J263" s="365">
        <f>$G$215*'2.3 Input_Main_Questionnaire'!$I$60*'2.3 Input_Main_Questionnaire'!K$29</f>
        <v>3.1703750000000003E-2</v>
      </c>
      <c r="K263" s="365">
        <f>$G$215*'2.3 Input_Main_Questionnaire'!$I$60*'2.3 Input_Main_Questionnaire'!L$29</f>
        <v>2.7299999999999998E-2</v>
      </c>
      <c r="L263" s="365">
        <f>$G$215*'2.3 Input_Main_Questionnaire'!$I$60*'2.3 Input_Main_Questionnaire'!M$29</f>
        <v>2.7299999999999998E-2</v>
      </c>
      <c r="M263" s="365">
        <f>$G$215*'2.3 Input_Main_Questionnaire'!$I$60*'2.3 Input_Main_Questionnaire'!N$29</f>
        <v>2.7299999999999998E-2</v>
      </c>
      <c r="N263" s="365">
        <f>$G$215*'2.3 Input_Main_Questionnaire'!$I$60*'2.3 Input_Main_Questionnaire'!O$29</f>
        <v>2.7299999999999998E-2</v>
      </c>
      <c r="O263" s="10"/>
      <c r="P263" s="10"/>
      <c r="Q263" s="10"/>
      <c r="R263" s="193"/>
      <c r="S263" s="10"/>
      <c r="T263" s="103"/>
      <c r="U263" s="103"/>
      <c r="V263" s="103"/>
      <c r="W263" s="366"/>
      <c r="X263" s="366"/>
      <c r="Y263" s="366"/>
      <c r="Z263" s="366"/>
      <c r="AA263" s="366"/>
      <c r="AB263" s="366"/>
      <c r="AC263" s="366"/>
      <c r="AD263" s="366"/>
      <c r="AE263" s="366"/>
      <c r="AF263" s="366"/>
      <c r="AG263" s="366"/>
      <c r="AH263" s="366"/>
      <c r="AI263" s="366"/>
      <c r="AJ263" s="366"/>
      <c r="AK263" s="366"/>
      <c r="AL263" s="366"/>
      <c r="AM263" s="366"/>
      <c r="AN263" s="366"/>
      <c r="AO263" s="366"/>
      <c r="AP263" s="366"/>
      <c r="AQ263" s="366"/>
      <c r="AR263" s="366"/>
      <c r="AS263" s="366"/>
      <c r="AT263" s="366"/>
      <c r="AU263" s="366"/>
      <c r="AV263" s="366"/>
      <c r="AW263" s="366"/>
      <c r="AX263" s="366"/>
      <c r="AY263" s="366"/>
      <c r="AZ263" s="366"/>
      <c r="BA263" s="366"/>
      <c r="BB263" s="366"/>
      <c r="BC263" s="366"/>
      <c r="BD263" s="366"/>
      <c r="BE263" s="366"/>
      <c r="BF263" s="366"/>
      <c r="BG263" s="366"/>
      <c r="BH263" s="366"/>
      <c r="BI263" s="366"/>
      <c r="BJ263" s="366"/>
      <c r="BK263" s="366"/>
      <c r="BL263" s="367"/>
      <c r="BM263" s="367"/>
      <c r="BN263" s="367"/>
      <c r="BO263" s="367"/>
      <c r="BP263" s="367"/>
      <c r="BQ263" s="367"/>
      <c r="BR263" s="367"/>
      <c r="BS263" s="367"/>
      <c r="BT263" s="367"/>
      <c r="BU263" s="367"/>
    </row>
    <row r="264" spans="1:73" ht="5.25" customHeight="1">
      <c r="A264" s="6"/>
      <c r="B264" s="97"/>
      <c r="C264" s="37"/>
      <c r="D264" s="12"/>
      <c r="E264" s="1"/>
      <c r="F264" s="1"/>
      <c r="G264" s="183"/>
      <c r="H264" s="183"/>
      <c r="I264" s="183"/>
      <c r="J264" s="183"/>
      <c r="K264" s="183"/>
      <c r="L264" s="183"/>
      <c r="M264" s="183"/>
      <c r="N264" s="183"/>
      <c r="O264" s="10"/>
      <c r="P264" s="10"/>
      <c r="Q264" s="10"/>
      <c r="R264" s="193"/>
      <c r="S264" s="10"/>
      <c r="T264" s="103"/>
      <c r="U264" s="103"/>
      <c r="V264" s="103"/>
      <c r="W264" s="366"/>
      <c r="X264" s="366"/>
      <c r="Y264" s="366"/>
      <c r="Z264" s="366"/>
      <c r="AA264" s="366"/>
      <c r="AB264" s="366"/>
      <c r="AC264" s="366"/>
      <c r="AD264" s="366"/>
      <c r="AE264" s="366"/>
      <c r="AF264" s="366"/>
      <c r="AG264" s="366"/>
      <c r="AH264" s="366"/>
      <c r="AI264" s="366"/>
      <c r="AJ264" s="366"/>
      <c r="AK264" s="366"/>
      <c r="AL264" s="366"/>
      <c r="AM264" s="366"/>
      <c r="AN264" s="366"/>
      <c r="AO264" s="366"/>
      <c r="AP264" s="366"/>
      <c r="AQ264" s="366"/>
      <c r="AR264" s="366"/>
      <c r="AS264" s="366"/>
      <c r="AT264" s="366"/>
      <c r="AU264" s="366"/>
      <c r="AV264" s="366"/>
      <c r="AW264" s="366"/>
      <c r="AX264" s="366"/>
      <c r="AY264" s="366"/>
      <c r="AZ264" s="366"/>
      <c r="BA264" s="366"/>
      <c r="BB264" s="366"/>
      <c r="BC264" s="366"/>
      <c r="BD264" s="366"/>
      <c r="BE264" s="366"/>
      <c r="BF264" s="366"/>
      <c r="BG264" s="366"/>
      <c r="BH264" s="366"/>
      <c r="BI264" s="366"/>
      <c r="BJ264" s="366"/>
      <c r="BK264" s="366"/>
      <c r="BL264" s="367"/>
      <c r="BM264" s="367"/>
      <c r="BN264" s="367"/>
      <c r="BO264" s="367"/>
      <c r="BP264" s="367"/>
      <c r="BQ264" s="367"/>
      <c r="BR264" s="367"/>
      <c r="BS264" s="367"/>
      <c r="BT264" s="367"/>
      <c r="BU264" s="367"/>
    </row>
    <row r="265" spans="1:73">
      <c r="A265" s="6"/>
      <c r="B265" s="554" t="s">
        <v>606</v>
      </c>
      <c r="C265" s="37"/>
      <c r="D265" s="147" t="s">
        <v>1009</v>
      </c>
      <c r="E265" s="200"/>
      <c r="F265" s="200"/>
      <c r="G265" s="365">
        <f>$N$230*'2.3 Input_Main_Questionnaire'!$I$62*'2.3 Input_Main_Questionnaire'!H$29</f>
        <v>1.8101999999999997E-2</v>
      </c>
      <c r="H265" s="365">
        <f>$N$230*'2.3 Input_Main_Questionnaire'!$I$62*'2.3 Input_Main_Questionnaire'!I$29</f>
        <v>1.7072999999999998E-2</v>
      </c>
      <c r="I265" s="365">
        <f>$N$230*'2.3 Input_Main_Questionnaire'!$I$62*'2.3 Input_Main_Questionnaire'!J$29</f>
        <v>1.4899499999999998E-2</v>
      </c>
      <c r="J265" s="365">
        <f>$N$230*'2.3 Input_Main_Questionnaire'!$I$62*'2.3 Input_Main_Questionnaire'!K$29</f>
        <v>2.0485499999999997E-2</v>
      </c>
      <c r="K265" s="365">
        <f>$N$230*'2.3 Input_Main_Questionnaire'!$I$62*'2.3 Input_Main_Questionnaire'!L$29</f>
        <v>1.7639999999999996E-2</v>
      </c>
      <c r="L265" s="365">
        <f>$N$230*'2.3 Input_Main_Questionnaire'!$I$62*'2.3 Input_Main_Questionnaire'!M$29</f>
        <v>1.7639999999999996E-2</v>
      </c>
      <c r="M265" s="365">
        <f>$N$230*'2.3 Input_Main_Questionnaire'!$I$62*'2.3 Input_Main_Questionnaire'!N$29</f>
        <v>1.7639999999999996E-2</v>
      </c>
      <c r="N265" s="365">
        <f>$N$230*'2.3 Input_Main_Questionnaire'!$I$62*'2.3 Input_Main_Questionnaire'!O$29</f>
        <v>1.7639999999999996E-2</v>
      </c>
      <c r="O265" s="1173"/>
      <c r="P265" s="1174"/>
      <c r="Q265" s="10"/>
      <c r="R265" s="193"/>
      <c r="S265" s="10"/>
      <c r="T265" s="103"/>
      <c r="U265" s="103"/>
      <c r="V265" s="103"/>
      <c r="W265" s="366"/>
      <c r="X265" s="366"/>
      <c r="Y265" s="366"/>
      <c r="Z265" s="366"/>
      <c r="AA265" s="366"/>
      <c r="AB265" s="366"/>
      <c r="AC265" s="366"/>
      <c r="AD265" s="366"/>
      <c r="AE265" s="366"/>
      <c r="AF265" s="366"/>
      <c r="AG265" s="366"/>
      <c r="AH265" s="366"/>
      <c r="AI265" s="366"/>
      <c r="AJ265" s="366"/>
      <c r="AK265" s="366"/>
      <c r="AL265" s="366"/>
      <c r="AM265" s="366"/>
      <c r="AN265" s="366"/>
      <c r="AO265" s="366"/>
      <c r="AP265" s="366"/>
      <c r="AQ265" s="366"/>
      <c r="AR265" s="366"/>
      <c r="AS265" s="366"/>
      <c r="AT265" s="366"/>
      <c r="AU265" s="366"/>
      <c r="AV265" s="366"/>
      <c r="AW265" s="366"/>
      <c r="AX265" s="366"/>
      <c r="AY265" s="366"/>
      <c r="AZ265" s="366"/>
      <c r="BA265" s="366"/>
      <c r="BB265" s="366"/>
      <c r="BC265" s="366"/>
      <c r="BD265" s="366"/>
      <c r="BE265" s="366"/>
      <c r="BF265" s="366"/>
      <c r="BG265" s="366"/>
      <c r="BH265" s="366"/>
      <c r="BI265" s="366"/>
      <c r="BJ265" s="366"/>
      <c r="BK265" s="366"/>
      <c r="BL265" s="367"/>
      <c r="BM265" s="367"/>
      <c r="BN265" s="367"/>
      <c r="BO265" s="367"/>
      <c r="BP265" s="367"/>
      <c r="BQ265" s="367"/>
      <c r="BR265" s="367"/>
      <c r="BS265" s="367"/>
      <c r="BT265" s="367"/>
      <c r="BU265" s="367"/>
    </row>
    <row r="266" spans="1:73">
      <c r="A266" s="6"/>
      <c r="B266" s="108"/>
      <c r="C266" s="1"/>
      <c r="D266" s="1"/>
      <c r="E266" s="1"/>
      <c r="F266" s="1"/>
      <c r="G266" s="3"/>
      <c r="H266" s="3"/>
      <c r="I266" s="3"/>
      <c r="J266" s="3"/>
      <c r="K266" s="3"/>
      <c r="L266" s="3"/>
      <c r="M266" s="3"/>
      <c r="N266" s="3"/>
      <c r="O266" s="1"/>
      <c r="P266" s="1"/>
      <c r="Q266" s="1"/>
      <c r="R266" s="162"/>
      <c r="S266" s="1"/>
      <c r="T266" s="103"/>
      <c r="U266" s="103"/>
      <c r="V266" s="103"/>
      <c r="W266" s="98"/>
      <c r="X266" s="98"/>
      <c r="Y266" s="98"/>
      <c r="Z266" s="98"/>
      <c r="AA266" s="98"/>
      <c r="AB266" s="98"/>
      <c r="AC266" s="98"/>
      <c r="AD266" s="98"/>
      <c r="AE266" s="98"/>
      <c r="AF266" s="98"/>
      <c r="AG266" s="98"/>
      <c r="AH266" s="98"/>
      <c r="AI266" s="98"/>
      <c r="AJ266" s="98"/>
      <c r="AK266" s="98"/>
      <c r="AL266" s="98"/>
      <c r="AM266" s="98"/>
      <c r="AN266" s="98"/>
      <c r="AO266" s="98"/>
      <c r="AP266" s="98"/>
      <c r="AQ266" s="98"/>
      <c r="AR266" s="98"/>
      <c r="AS266" s="98"/>
      <c r="AT266" s="98"/>
      <c r="AU266" s="98"/>
      <c r="AV266" s="98"/>
      <c r="AW266" s="98"/>
      <c r="AX266" s="98"/>
      <c r="AY266" s="98"/>
      <c r="AZ266" s="98"/>
      <c r="BA266" s="98"/>
      <c r="BB266" s="98"/>
      <c r="BC266" s="98"/>
      <c r="BD266" s="98"/>
      <c r="BE266" s="98"/>
      <c r="BF266" s="98"/>
      <c r="BG266" s="98"/>
      <c r="BH266" s="98"/>
      <c r="BI266" s="98"/>
      <c r="BJ266" s="98"/>
      <c r="BK266" s="98"/>
      <c r="BL266" s="99"/>
      <c r="BM266" s="99"/>
      <c r="BN266" s="99"/>
      <c r="BO266" s="99"/>
      <c r="BP266" s="99"/>
      <c r="BQ266" s="99"/>
      <c r="BR266" s="99"/>
      <c r="BS266" s="99"/>
      <c r="BT266" s="99"/>
      <c r="BU266" s="99"/>
    </row>
    <row r="267" spans="1:73">
      <c r="A267" s="6"/>
      <c r="B267" s="108"/>
      <c r="C267" s="1"/>
      <c r="D267" s="25" t="s">
        <v>1010</v>
      </c>
      <c r="E267" s="1"/>
      <c r="F267" s="1"/>
      <c r="G267" s="1175" t="s">
        <v>908</v>
      </c>
      <c r="H267" s="1174"/>
      <c r="I267" s="1175" t="s">
        <v>909</v>
      </c>
      <c r="J267" s="1174"/>
      <c r="K267" s="3"/>
      <c r="L267" s="3"/>
      <c r="M267" s="3"/>
      <c r="N267" s="3"/>
      <c r="O267" s="1"/>
      <c r="P267" s="1"/>
      <c r="Q267" s="1"/>
      <c r="R267" s="162"/>
      <c r="S267" s="1"/>
      <c r="T267" s="6"/>
      <c r="U267" s="6"/>
      <c r="V267" s="6"/>
      <c r="W267" s="81"/>
      <c r="X267" s="81"/>
      <c r="Y267" s="81"/>
      <c r="Z267" s="81"/>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6"/>
      <c r="BM267" s="6"/>
      <c r="BN267" s="6"/>
      <c r="BO267" s="6"/>
      <c r="BP267" s="6"/>
      <c r="BQ267" s="6"/>
      <c r="BR267" s="6"/>
      <c r="BS267" s="6"/>
      <c r="BT267" s="6"/>
      <c r="BU267" s="6"/>
    </row>
    <row r="268" spans="1:73">
      <c r="A268" s="6"/>
      <c r="B268" s="108"/>
      <c r="C268" s="1"/>
      <c r="D268" s="1"/>
      <c r="E268" s="12"/>
      <c r="F268" s="1"/>
      <c r="G268" s="50" t="s">
        <v>389</v>
      </c>
      <c r="H268" s="50" t="s">
        <v>910</v>
      </c>
      <c r="I268" s="50" t="s">
        <v>246</v>
      </c>
      <c r="J268" s="50" t="s">
        <v>449</v>
      </c>
      <c r="K268" s="3"/>
      <c r="L268" s="3"/>
      <c r="M268" s="3"/>
      <c r="N268" s="3"/>
      <c r="O268" s="1"/>
      <c r="P268" s="1"/>
      <c r="Q268" s="1"/>
      <c r="R268" s="162"/>
      <c r="S268" s="1"/>
      <c r="T268" s="6"/>
      <c r="U268" s="6"/>
      <c r="V268" s="6"/>
      <c r="W268" s="81"/>
      <c r="X268" s="81"/>
      <c r="Y268" s="81"/>
      <c r="Z268" s="81"/>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c r="BG268" s="81"/>
      <c r="BH268" s="81"/>
      <c r="BI268" s="81"/>
      <c r="BJ268" s="81"/>
      <c r="BK268" s="81"/>
      <c r="BL268" s="6"/>
      <c r="BM268" s="6"/>
      <c r="BN268" s="6"/>
      <c r="BO268" s="6"/>
      <c r="BP268" s="6"/>
      <c r="BQ268" s="6"/>
      <c r="BR268" s="6"/>
      <c r="BS268" s="6"/>
      <c r="BT268" s="6"/>
      <c r="BU268" s="6"/>
    </row>
    <row r="269" spans="1:73">
      <c r="A269" s="6"/>
      <c r="B269" s="108"/>
      <c r="C269" s="1"/>
      <c r="D269" s="49" t="s">
        <v>289</v>
      </c>
      <c r="E269" s="12" t="str">
        <f>'2.3 Input_Main_Questionnaire'!F124</f>
        <v>There is no licence</v>
      </c>
      <c r="F269" s="1"/>
      <c r="G269" s="555">
        <f>'2.3 Input_Main_Questionnaire'!H124</f>
        <v>0.7</v>
      </c>
      <c r="H269" s="538">
        <f>'2.3 Input_Main_Questionnaire'!I124</f>
        <v>0.2</v>
      </c>
      <c r="I269" s="538">
        <v>0</v>
      </c>
      <c r="J269" s="538">
        <f t="shared" ref="J269:J271" si="56">H269/G269*I269</f>
        <v>0</v>
      </c>
      <c r="K269" s="3"/>
      <c r="L269" s="3"/>
      <c r="M269" s="3"/>
      <c r="N269" s="3"/>
      <c r="O269" s="1173"/>
      <c r="P269" s="1174"/>
      <c r="Q269" s="1"/>
      <c r="R269" s="162"/>
      <c r="S269" s="1"/>
      <c r="T269" s="6"/>
      <c r="U269" s="6"/>
      <c r="V269" s="6"/>
      <c r="W269" s="81"/>
      <c r="X269" s="81"/>
      <c r="Y269" s="81"/>
      <c r="Z269" s="81"/>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6"/>
      <c r="BM269" s="6"/>
      <c r="BN269" s="6"/>
      <c r="BO269" s="6"/>
      <c r="BP269" s="6"/>
      <c r="BQ269" s="6"/>
      <c r="BR269" s="6"/>
      <c r="BS269" s="6"/>
      <c r="BT269" s="6"/>
      <c r="BU269" s="6"/>
    </row>
    <row r="270" spans="1:73">
      <c r="A270" s="6"/>
      <c r="B270" s="108"/>
      <c r="C270" s="1"/>
      <c r="D270" s="49" t="s">
        <v>289</v>
      </c>
      <c r="E270" s="12" t="str">
        <f>'2.3 Input_Main_Questionnaire'!F125</f>
        <v>There is a local licence (human readable)</v>
      </c>
      <c r="F270" s="1"/>
      <c r="G270" s="555">
        <f>'2.3 Input_Main_Questionnaire'!H125</f>
        <v>0.2</v>
      </c>
      <c r="H270" s="538">
        <f>'2.3 Input_Main_Questionnaire'!I125</f>
        <v>0.15</v>
      </c>
      <c r="I270" s="538">
        <v>0</v>
      </c>
      <c r="J270" s="538">
        <f t="shared" si="56"/>
        <v>0</v>
      </c>
      <c r="K270" s="3"/>
      <c r="L270" s="3"/>
      <c r="M270" s="3"/>
      <c r="N270" s="3"/>
      <c r="O270" s="1173"/>
      <c r="P270" s="1174"/>
      <c r="Q270" s="1"/>
      <c r="R270" s="162"/>
      <c r="S270" s="1"/>
      <c r="T270" s="6"/>
      <c r="U270" s="6"/>
      <c r="V270" s="6"/>
      <c r="W270" s="81"/>
      <c r="X270" s="81"/>
      <c r="Y270" s="81"/>
      <c r="Z270" s="81"/>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6"/>
      <c r="BM270" s="6"/>
      <c r="BN270" s="6"/>
      <c r="BO270" s="6"/>
      <c r="BP270" s="6"/>
      <c r="BQ270" s="6"/>
      <c r="BR270" s="6"/>
      <c r="BS270" s="6"/>
      <c r="BT270" s="6"/>
      <c r="BU270" s="6"/>
    </row>
    <row r="271" spans="1:73">
      <c r="A271" s="6"/>
      <c r="B271" s="108"/>
      <c r="C271" s="1"/>
      <c r="D271" s="49" t="s">
        <v>289</v>
      </c>
      <c r="E271" s="12" t="str">
        <f>'2.3 Input_Main_Questionnaire'!F126</f>
        <v>There is a standardised licence (human and machine readable)</v>
      </c>
      <c r="F271" s="1"/>
      <c r="G271" s="555">
        <f>'2.3 Input_Main_Questionnaire'!H126</f>
        <v>0.1</v>
      </c>
      <c r="H271" s="538">
        <f>'2.3 Input_Main_Questionnaire'!I126</f>
        <v>0.02</v>
      </c>
      <c r="I271" s="538">
        <v>1</v>
      </c>
      <c r="J271" s="538">
        <f t="shared" si="56"/>
        <v>0.19999999999999998</v>
      </c>
      <c r="K271" s="3"/>
      <c r="L271" s="3"/>
      <c r="M271" s="3"/>
      <c r="N271" s="3"/>
      <c r="O271" s="1"/>
      <c r="P271" s="1"/>
      <c r="Q271" s="1"/>
      <c r="R271" s="162"/>
      <c r="S271" s="1"/>
      <c r="T271" s="6"/>
      <c r="U271" s="6"/>
      <c r="V271" s="6"/>
      <c r="W271" s="81"/>
      <c r="X271" s="81"/>
      <c r="Y271" s="81"/>
      <c r="Z271" s="81"/>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c r="BG271" s="81"/>
      <c r="BH271" s="81"/>
      <c r="BI271" s="81"/>
      <c r="BJ271" s="81"/>
      <c r="BK271" s="81"/>
      <c r="BL271" s="6"/>
      <c r="BM271" s="6"/>
      <c r="BN271" s="6"/>
      <c r="BO271" s="6"/>
      <c r="BP271" s="6"/>
      <c r="BQ271" s="6"/>
      <c r="BR271" s="6"/>
      <c r="BS271" s="6"/>
      <c r="BT271" s="6"/>
      <c r="BU271" s="6"/>
    </row>
    <row r="272" spans="1:73" hidden="1">
      <c r="A272" s="6"/>
      <c r="B272" s="108"/>
      <c r="C272" s="1"/>
      <c r="D272" s="49"/>
      <c r="E272" s="12"/>
      <c r="F272" s="1"/>
      <c r="G272" s="189"/>
      <c r="H272" s="183"/>
      <c r="I272" s="244"/>
      <c r="J272" s="244"/>
      <c r="K272" s="3"/>
      <c r="L272" s="3"/>
      <c r="M272" s="3"/>
      <c r="N272" s="3"/>
      <c r="O272" s="1"/>
      <c r="P272" s="1"/>
      <c r="Q272" s="1"/>
      <c r="R272" s="162"/>
      <c r="S272" s="1"/>
      <c r="T272" s="103"/>
      <c r="U272" s="9" t="s">
        <v>5</v>
      </c>
      <c r="V272" s="103"/>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98"/>
      <c r="BI272" s="98"/>
      <c r="BJ272" s="98"/>
      <c r="BK272" s="98"/>
      <c r="BL272" s="99"/>
      <c r="BM272" s="99"/>
      <c r="BN272" s="99"/>
      <c r="BO272" s="99"/>
      <c r="BP272" s="99"/>
      <c r="BQ272" s="99"/>
      <c r="BR272" s="99"/>
      <c r="BS272" s="99"/>
      <c r="BT272" s="99"/>
      <c r="BU272" s="99"/>
    </row>
    <row r="273" spans="1:73" hidden="1">
      <c r="A273" s="6"/>
      <c r="B273" s="108"/>
      <c r="C273" s="1"/>
      <c r="D273" s="49"/>
      <c r="E273" s="12"/>
      <c r="F273" s="1"/>
      <c r="G273" s="189"/>
      <c r="H273" s="183"/>
      <c r="I273" s="244"/>
      <c r="J273" s="244"/>
      <c r="K273" s="3"/>
      <c r="L273" s="3"/>
      <c r="M273" s="3"/>
      <c r="N273" s="3"/>
      <c r="O273" s="1"/>
      <c r="P273" s="1"/>
      <c r="Q273" s="1"/>
      <c r="R273" s="162"/>
      <c r="S273" s="1"/>
      <c r="T273" s="103"/>
      <c r="U273" s="103"/>
      <c r="V273" s="103"/>
      <c r="W273" s="98">
        <f>Growth!B20</f>
        <v>2018</v>
      </c>
      <c r="X273" s="98">
        <f t="shared" ref="X273:BK273" si="57">W273+1</f>
        <v>2019</v>
      </c>
      <c r="Y273" s="98">
        <f t="shared" si="57"/>
        <v>2020</v>
      </c>
      <c r="Z273" s="98">
        <f t="shared" si="57"/>
        <v>2021</v>
      </c>
      <c r="AA273" s="98">
        <f t="shared" si="57"/>
        <v>2022</v>
      </c>
      <c r="AB273" s="98">
        <f t="shared" si="57"/>
        <v>2023</v>
      </c>
      <c r="AC273" s="98">
        <f t="shared" si="57"/>
        <v>2024</v>
      </c>
      <c r="AD273" s="98">
        <f t="shared" si="57"/>
        <v>2025</v>
      </c>
      <c r="AE273" s="98">
        <f t="shared" si="57"/>
        <v>2026</v>
      </c>
      <c r="AF273" s="98">
        <f t="shared" si="57"/>
        <v>2027</v>
      </c>
      <c r="AG273" s="98">
        <f t="shared" si="57"/>
        <v>2028</v>
      </c>
      <c r="AH273" s="98">
        <f t="shared" si="57"/>
        <v>2029</v>
      </c>
      <c r="AI273" s="98">
        <f t="shared" si="57"/>
        <v>2030</v>
      </c>
      <c r="AJ273" s="98">
        <f t="shared" si="57"/>
        <v>2031</v>
      </c>
      <c r="AK273" s="98">
        <f t="shared" si="57"/>
        <v>2032</v>
      </c>
      <c r="AL273" s="98">
        <f t="shared" si="57"/>
        <v>2033</v>
      </c>
      <c r="AM273" s="98">
        <f t="shared" si="57"/>
        <v>2034</v>
      </c>
      <c r="AN273" s="98">
        <f t="shared" si="57"/>
        <v>2035</v>
      </c>
      <c r="AO273" s="98">
        <f t="shared" si="57"/>
        <v>2036</v>
      </c>
      <c r="AP273" s="98">
        <f t="shared" si="57"/>
        <v>2037</v>
      </c>
      <c r="AQ273" s="98">
        <f t="shared" si="57"/>
        <v>2038</v>
      </c>
      <c r="AR273" s="98">
        <f t="shared" si="57"/>
        <v>2039</v>
      </c>
      <c r="AS273" s="98">
        <f t="shared" si="57"/>
        <v>2040</v>
      </c>
      <c r="AT273" s="98">
        <f t="shared" si="57"/>
        <v>2041</v>
      </c>
      <c r="AU273" s="98">
        <f t="shared" si="57"/>
        <v>2042</v>
      </c>
      <c r="AV273" s="98">
        <f t="shared" si="57"/>
        <v>2043</v>
      </c>
      <c r="AW273" s="98">
        <f t="shared" si="57"/>
        <v>2044</v>
      </c>
      <c r="AX273" s="98">
        <f t="shared" si="57"/>
        <v>2045</v>
      </c>
      <c r="AY273" s="98">
        <f t="shared" si="57"/>
        <v>2046</v>
      </c>
      <c r="AZ273" s="98">
        <f t="shared" si="57"/>
        <v>2047</v>
      </c>
      <c r="BA273" s="98">
        <f t="shared" si="57"/>
        <v>2048</v>
      </c>
      <c r="BB273" s="98">
        <f t="shared" si="57"/>
        <v>2049</v>
      </c>
      <c r="BC273" s="98">
        <f t="shared" si="57"/>
        <v>2050</v>
      </c>
      <c r="BD273" s="98">
        <f t="shared" si="57"/>
        <v>2051</v>
      </c>
      <c r="BE273" s="98">
        <f t="shared" si="57"/>
        <v>2052</v>
      </c>
      <c r="BF273" s="98">
        <f t="shared" si="57"/>
        <v>2053</v>
      </c>
      <c r="BG273" s="98">
        <f t="shared" si="57"/>
        <v>2054</v>
      </c>
      <c r="BH273" s="98">
        <f t="shared" si="57"/>
        <v>2055</v>
      </c>
      <c r="BI273" s="98">
        <f t="shared" si="57"/>
        <v>2056</v>
      </c>
      <c r="BJ273" s="98">
        <f t="shared" si="57"/>
        <v>2057</v>
      </c>
      <c r="BK273" s="98">
        <f t="shared" si="57"/>
        <v>2058</v>
      </c>
      <c r="BL273" s="99"/>
      <c r="BM273" s="99"/>
      <c r="BN273" s="99"/>
      <c r="BO273" s="99"/>
      <c r="BP273" s="99"/>
      <c r="BQ273" s="99"/>
      <c r="BR273" s="99"/>
      <c r="BS273" s="99"/>
      <c r="BT273" s="99"/>
      <c r="BU273" s="99"/>
    </row>
    <row r="274" spans="1:73" hidden="1">
      <c r="A274" s="6"/>
      <c r="B274" s="108"/>
      <c r="C274" s="1"/>
      <c r="D274" s="49"/>
      <c r="E274" s="12"/>
      <c r="F274" s="1"/>
      <c r="G274" s="189"/>
      <c r="H274" s="183"/>
      <c r="I274" s="244"/>
      <c r="J274" s="244"/>
      <c r="K274" s="3"/>
      <c r="L274" s="3"/>
      <c r="M274" s="3"/>
      <c r="N274" s="3"/>
      <c r="O274" s="1"/>
      <c r="P274" s="1"/>
      <c r="Q274" s="1"/>
      <c r="R274" s="162"/>
      <c r="S274" s="1"/>
      <c r="T274" s="103"/>
      <c r="U274" s="103"/>
      <c r="V274" s="103"/>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98"/>
      <c r="BI274" s="98"/>
      <c r="BJ274" s="98"/>
      <c r="BK274" s="98"/>
      <c r="BL274" s="99"/>
      <c r="BM274" s="99"/>
      <c r="BN274" s="99"/>
      <c r="BO274" s="99"/>
      <c r="BP274" s="99"/>
      <c r="BQ274" s="99"/>
      <c r="BR274" s="99"/>
      <c r="BS274" s="99"/>
      <c r="BT274" s="99"/>
      <c r="BU274" s="99"/>
    </row>
    <row r="275" spans="1:73" hidden="1">
      <c r="A275" s="6"/>
      <c r="B275" s="108"/>
      <c r="C275" s="1"/>
      <c r="D275" s="49"/>
      <c r="E275" s="12"/>
      <c r="F275" s="1"/>
      <c r="G275" s="189"/>
      <c r="H275" s="183"/>
      <c r="I275" s="244"/>
      <c r="J275" s="244"/>
      <c r="K275" s="3"/>
      <c r="L275" s="3"/>
      <c r="M275" s="3"/>
      <c r="N275" s="3"/>
      <c r="O275" s="1"/>
      <c r="P275" s="1"/>
      <c r="Q275" s="1"/>
      <c r="R275" s="162"/>
      <c r="S275" s="1"/>
      <c r="T275" s="101" t="s">
        <v>200</v>
      </c>
      <c r="U275" s="101" t="s">
        <v>289</v>
      </c>
      <c r="V275" s="101" t="str">
        <f t="shared" ref="V275:V277" si="58">E269</f>
        <v>There is no licence</v>
      </c>
      <c r="W275" s="495">
        <f ca="1">IF(W$273 &gt;='2.2 Input_General_Information'!$H$20, VLOOKUP(W$273, Growth!$B$197:$Y$237, 22, FALSE),)</f>
        <v>0.70000000000000162</v>
      </c>
      <c r="X275" s="495">
        <f ca="1">IF(X$273 &gt;='2.2 Input_General_Information'!$H$20, VLOOKUP(X$273, Growth!$B$197:$Y$237, 22, FALSE),)</f>
        <v>0.64470843296401836</v>
      </c>
      <c r="Y275" s="495">
        <f ca="1">IF(Y$273 &gt;='2.2 Input_General_Information'!$H$20, VLOOKUP(Y$273, Growth!$B$197:$Y$237, 22, FALSE),)</f>
        <v>0.58526402300100466</v>
      </c>
      <c r="Z275" s="495">
        <f ca="1">IF(Z$273 &gt;='2.2 Input_General_Information'!$H$20, VLOOKUP(Z$273, Growth!$B$197:$Y$237, 22, FALSE),)</f>
        <v>0.52322888982512528</v>
      </c>
      <c r="AA275" s="495">
        <f ca="1">IF(AA$273 &gt;='2.2 Input_General_Information'!$H$20, VLOOKUP(AA$273, Growth!$B$197:$Y$237, 22, FALSE),)</f>
        <v>0.46046868846288208</v>
      </c>
      <c r="AB275" s="495">
        <f ca="1">IF(AB$273 &gt;='2.2 Input_General_Information'!$H$20, VLOOKUP(AB$273, Growth!$B$197:$Y$237, 22, FALSE),)</f>
        <v>0.39893743799682202</v>
      </c>
      <c r="AC275" s="495">
        <f ca="1">IF(AC$273 &gt;='2.2 Input_General_Information'!$H$20, VLOOKUP(AC$273, Growth!$B$197:$Y$237, 22, FALSE),)</f>
        <v>0.34044026354487705</v>
      </c>
      <c r="AD275" s="495">
        <f ca="1">IF(AD$273 &gt;='2.2 Input_General_Information'!$H$20, VLOOKUP(AD$273, Growth!$B$197:$Y$237, 22, FALSE),)</f>
        <v>0.28643307245351979</v>
      </c>
      <c r="AE275" s="495">
        <f ca="1">IF(AE$273 &gt;='2.2 Input_General_Information'!$H$20, VLOOKUP(AE$273, Growth!$B$197:$Y$237, 22, FALSE),)</f>
        <v>0.2379031870195473</v>
      </c>
      <c r="AF275" s="495">
        <f ca="1">IF(AF$273 &gt;='2.2 Input_General_Information'!$H$20, VLOOKUP(AF$273, Growth!$B$197:$Y$237, 22, FALSE),)</f>
        <v>0.195344708778148</v>
      </c>
      <c r="AG275" s="495">
        <f ca="1">IF(AG$273 &gt;='2.2 Input_General_Information'!$H$20, VLOOKUP(AG$273, Growth!$B$197:$Y$237, 22, FALSE),)</f>
        <v>0.15881298446334302</v>
      </c>
      <c r="AH275" s="495">
        <f ca="1">IF(AH$273 &gt;='2.2 Input_General_Information'!$H$20, VLOOKUP(AH$273, Growth!$B$197:$Y$237, 22, FALSE),)</f>
        <v>0.12802612129414262</v>
      </c>
      <c r="AI275" s="495">
        <f ca="1">IF(AI$273 &gt;='2.2 Input_General_Information'!$H$20, VLOOKUP(AI$273, Growth!$B$197:$Y$237, 22, FALSE),)</f>
        <v>0.10248038068098998</v>
      </c>
      <c r="AJ275" s="495">
        <f ca="1">IF(AJ$273 &gt;='2.2 Input_General_Information'!$H$20, VLOOKUP(AJ$273, Growth!$B$197:$Y$237, 22, FALSE),)</f>
        <v>8.155517376578153E-2</v>
      </c>
      <c r="AK275" s="495">
        <f ca="1">IF(AK$273 &gt;='2.2 Input_General_Information'!$H$20, VLOOKUP(AK$273, Growth!$B$197:$Y$237, 22, FALSE),)</f>
        <v>6.4595124650624891E-2</v>
      </c>
      <c r="AL275" s="495">
        <f ca="1">IF(AL$273 &gt;='2.2 Input_General_Information'!$H$20, VLOOKUP(AL$273, Growth!$B$197:$Y$237, 22, FALSE),)</f>
        <v>5.0966334059985581E-2</v>
      </c>
      <c r="AM275" s="495">
        <f ca="1">IF(AM$273 &gt;='2.2 Input_General_Information'!$H$20, VLOOKUP(AM$273, Growth!$B$197:$Y$237, 22, FALSE),)</f>
        <v>4.0089814238382426E-2</v>
      </c>
      <c r="AN275" s="495">
        <f ca="1">IF(AN$273 &gt;='2.2 Input_General_Information'!$H$20, VLOOKUP(AN$273, Growth!$B$197:$Y$237, 22, FALSE),)</f>
        <v>3.1457471038737791E-2</v>
      </c>
      <c r="AO275" s="495">
        <f ca="1">IF(AO$273 &gt;='2.2 Input_General_Information'!$H$20, VLOOKUP(AO$273, Growth!$B$197:$Y$237, 22, FALSE),)</f>
        <v>2.4636182739524452E-2</v>
      </c>
      <c r="AP275" s="495">
        <f ca="1">IF(AP$273 &gt;='2.2 Input_General_Information'!$H$20, VLOOKUP(AP$273, Growth!$B$197:$Y$237, 22, FALSE),)</f>
        <v>1.9264612960577455E-2</v>
      </c>
      <c r="AQ275" s="495">
        <f ca="1">IF(AQ$273 &gt;='2.2 Input_General_Information'!$H$20, VLOOKUP(AQ$273, Growth!$B$197:$Y$237, 22, FALSE),)</f>
        <v>1.5046170591672623E-2</v>
      </c>
      <c r="AR275" s="495">
        <f ca="1">IF(AR$273 &gt;='2.2 Input_General_Information'!$H$20, VLOOKUP(AR$273, Growth!$B$197:$Y$237, 22, FALSE),)</f>
        <v>1.1740397933845877E-2</v>
      </c>
      <c r="AS275" s="495">
        <f ca="1">IF(AS$273 &gt;='2.2 Input_General_Information'!$H$20, VLOOKUP(AS$273, Growth!$B$197:$Y$237, 22, FALSE),)</f>
        <v>9.1541815580056061E-3</v>
      </c>
      <c r="AT275" s="495">
        <f ca="1">IF(AT$273 &gt;='2.2 Input_General_Information'!$H$20, VLOOKUP(AT$273, Growth!$B$197:$Y$237, 22, FALSE),)</f>
        <v>7.1335537997330211E-3</v>
      </c>
      <c r="AU275" s="495">
        <f ca="1">IF(AU$273 &gt;='2.2 Input_General_Information'!$H$20, VLOOKUP(AU$273, Growth!$B$197:$Y$237, 22, FALSE),)</f>
        <v>5.5564436087219915E-3</v>
      </c>
      <c r="AV275" s="495">
        <f ca="1">IF(AV$273 &gt;='2.2 Input_General_Information'!$H$20, VLOOKUP(AV$273, Growth!$B$197:$Y$237, 22, FALSE),)</f>
        <v>4.3264869035820469E-3</v>
      </c>
      <c r="AW275" s="495">
        <f ca="1">IF(AW$273 &gt;='2.2 Input_General_Information'!$H$20, VLOOKUP(AW$273, Growth!$B$197:$Y$237, 22, FALSE),)</f>
        <v>3.3678674506620429E-3</v>
      </c>
      <c r="AX275" s="495">
        <f ca="1">IF(AX$273 &gt;='2.2 Input_General_Information'!$H$20, VLOOKUP(AX$273, Growth!$B$197:$Y$237, 22, FALSE),)</f>
        <v>2.621090112510863E-3</v>
      </c>
      <c r="AY275" s="495">
        <f ca="1">IF(AY$273 &gt;='2.2 Input_General_Information'!$H$20, VLOOKUP(AY$273, Growth!$B$197:$Y$237, 22, FALSE),)</f>
        <v>2.0395613009515606E-3</v>
      </c>
      <c r="AZ275" s="495">
        <f ca="1">IF(AZ$273 &gt;='2.2 Input_General_Information'!$H$20, VLOOKUP(AZ$273, Growth!$B$197:$Y$237, 22, FALSE),)</f>
        <v>1.5868482493655136E-3</v>
      </c>
      <c r="BA275" s="495">
        <f ca="1">IF(BA$273 &gt;='2.2 Input_General_Information'!$H$20, VLOOKUP(BA$273, Growth!$B$197:$Y$237, 22, FALSE),)</f>
        <v>1.2344977515730488E-3</v>
      </c>
      <c r="BB275" s="495">
        <f ca="1">IF(BB$273 &gt;='2.2 Input_General_Information'!$H$20, VLOOKUP(BB$273, Growth!$B$197:$Y$237, 22, FALSE),)</f>
        <v>9.6030939726468264E-4</v>
      </c>
      <c r="BC275" s="495">
        <f ca="1">IF(BC$273 &gt;='2.2 Input_General_Information'!$H$20, VLOOKUP(BC$273, Growth!$B$197:$Y$237, 22, FALSE),)</f>
        <v>7.4697415279145567E-4</v>
      </c>
      <c r="BD275" s="495">
        <f ca="1">IF(BD$273 &gt;='2.2 Input_General_Information'!$H$20, VLOOKUP(BD$273, Growth!$B$197:$Y$237, 22, FALSE),)</f>
        <v>5.8100432890056052E-4</v>
      </c>
      <c r="BE275" s="495">
        <f ca="1">IF(BE$273 &gt;='2.2 Input_General_Information'!$H$20, VLOOKUP(BE$273, Growth!$B$197:$Y$237, 22, FALSE),)</f>
        <v>4.518945826362429E-4</v>
      </c>
      <c r="BF275" s="495">
        <f ca="1">IF(BF$273 &gt;='2.2 Input_General_Information'!$H$20, VLOOKUP(BF$273, Growth!$B$197:$Y$237, 22, FALSE),)</f>
        <v>3.5146528444441721E-4</v>
      </c>
      <c r="BG275" s="495">
        <f ca="1">IF(BG$273 &gt;='2.2 Input_General_Information'!$H$20, VLOOKUP(BG$273, Growth!$B$197:$Y$237, 22, FALSE),)</f>
        <v>2.7334934441798267E-4</v>
      </c>
      <c r="BH275" s="495">
        <f ca="1">IF(BH$273 &gt;='2.2 Input_General_Information'!$H$20, VLOOKUP(BH$273, Growth!$B$197:$Y$237, 22, FALSE),)</f>
        <v>2.125915977748574E-4</v>
      </c>
      <c r="BI275" s="495">
        <f ca="1">IF(BI$273 &gt;='2.2 Input_General_Information'!$H$20, VLOOKUP(BI$273, Growth!$B$197:$Y$237, 22, FALSE),)</f>
        <v>1.6533632825838104E-4</v>
      </c>
      <c r="BJ275" s="495">
        <f ca="1">IF(BJ$273 &gt;='2.2 Input_General_Information'!$H$20, VLOOKUP(BJ$273, Growth!$B$197:$Y$237, 22, FALSE),)</f>
        <v>1.2858370007019819E-4</v>
      </c>
      <c r="BK275" s="495">
        <f ca="1">IF(BK$273 &gt;='2.2 Input_General_Information'!$H$20, VLOOKUP(BK$273, Growth!$B$197:$Y$237, 22, FALSE),)</f>
        <v>1.0000000000000071E-4</v>
      </c>
      <c r="BL275" s="172"/>
      <c r="BM275" s="172"/>
      <c r="BN275" s="172"/>
      <c r="BO275" s="172"/>
      <c r="BP275" s="172"/>
      <c r="BQ275" s="172"/>
      <c r="BR275" s="172"/>
      <c r="BS275" s="172"/>
      <c r="BT275" s="172"/>
      <c r="BU275" s="172"/>
    </row>
    <row r="276" spans="1:73" hidden="1">
      <c r="A276" s="6"/>
      <c r="B276" s="108"/>
      <c r="C276" s="1"/>
      <c r="D276" s="49"/>
      <c r="E276" s="12"/>
      <c r="F276" s="1"/>
      <c r="G276" s="189"/>
      <c r="H276" s="183"/>
      <c r="I276" s="244"/>
      <c r="J276" s="244"/>
      <c r="K276" s="3"/>
      <c r="L276" s="3"/>
      <c r="M276" s="3"/>
      <c r="N276" s="3"/>
      <c r="O276" s="1"/>
      <c r="P276" s="1"/>
      <c r="Q276" s="1"/>
      <c r="R276" s="162"/>
      <c r="S276" s="1"/>
      <c r="T276" s="101" t="s">
        <v>200</v>
      </c>
      <c r="U276" s="101" t="s">
        <v>289</v>
      </c>
      <c r="V276" s="101" t="str">
        <f t="shared" si="58"/>
        <v>There is a local licence (human readable)</v>
      </c>
      <c r="W276" s="495">
        <f ca="1">IF(W$273 &gt;='2.2 Input_General_Information'!$H$20, VLOOKUP(W$273, Growth!$B$197:$Y$237, 23, FALSE),)</f>
        <v>0.19999999999999712</v>
      </c>
      <c r="X276" s="495">
        <f ca="1">IF(X$273 &gt;='2.2 Input_General_Information'!$H$20, VLOOKUP(X$273, Growth!$B$197:$Y$237, 23, FALSE),)</f>
        <v>0.1705275525157626</v>
      </c>
      <c r="Y276" s="495">
        <f ca="1">IF(Y$273 &gt;='2.2 Input_General_Information'!$H$20, VLOOKUP(Y$273, Growth!$B$197:$Y$237, 23, FALSE),)</f>
        <v>0.14461313951289351</v>
      </c>
      <c r="Z276" s="495">
        <f ca="1">IF(Z$273 &gt;='2.2 Input_General_Information'!$H$20, VLOOKUP(Z$273, Growth!$B$197:$Y$237, 23, FALSE),)</f>
        <v>0.12205734408367623</v>
      </c>
      <c r="AA276" s="495">
        <f ca="1">IF(AA$273 &gt;='2.2 Input_General_Information'!$H$20, VLOOKUP(AA$273, Growth!$B$197:$Y$237, 23, FALSE),)</f>
        <v>0.10259767969469692</v>
      </c>
      <c r="AB276" s="495">
        <f ca="1">IF(AB$273 &gt;='2.2 Input_General_Information'!$H$20, VLOOKUP(AB$273, Growth!$B$197:$Y$237, 23, FALSE),)</f>
        <v>8.5936796971587806E-2</v>
      </c>
      <c r="AC276" s="495">
        <f ca="1">IF(AC$273 &gt;='2.2 Input_General_Information'!$H$20, VLOOKUP(AC$273, Growth!$B$197:$Y$237, 23, FALSE),)</f>
        <v>7.1765118538779801E-2</v>
      </c>
      <c r="AD276" s="495">
        <f ca="1">IF(AD$273 &gt;='2.2 Input_General_Information'!$H$20, VLOOKUP(AD$273, Growth!$B$197:$Y$237, 23, FALSE),)</f>
        <v>5.9777629340655107E-2</v>
      </c>
      <c r="AE276" s="495">
        <f ca="1">IF(AE$273 &gt;='2.2 Input_General_Information'!$H$20, VLOOKUP(AE$273, Growth!$B$197:$Y$237, 23, FALSE),)</f>
        <v>4.9685324359138514E-2</v>
      </c>
      <c r="AF276" s="495">
        <f ca="1">IF(AF$273 &gt;='2.2 Input_General_Information'!$H$20, VLOOKUP(AF$273, Growth!$B$197:$Y$237, 23, FALSE),)</f>
        <v>4.122220749847804E-2</v>
      </c>
      <c r="AG276" s="495">
        <f ca="1">IF(AG$273 &gt;='2.2 Input_General_Information'!$H$20, VLOOKUP(AG$273, Growth!$B$197:$Y$237, 23, FALSE),)</f>
        <v>3.4148848688686229E-2</v>
      </c>
      <c r="AH276" s="495">
        <f ca="1">IF(AH$273 &gt;='2.2 Input_General_Information'!$H$20, VLOOKUP(AH$273, Growth!$B$197:$Y$237, 23, FALSE),)</f>
        <v>2.8253448151445665E-2</v>
      </c>
      <c r="AI276" s="495">
        <f ca="1">IF(AI$273 &gt;='2.2 Input_General_Information'!$H$20, VLOOKUP(AI$273, Growth!$B$197:$Y$237, 23, FALSE),)</f>
        <v>2.3351213275929809E-2</v>
      </c>
      <c r="AJ276" s="495">
        <f ca="1">IF(AJ$273 &gt;='2.2 Input_General_Information'!$H$20, VLOOKUP(AJ$273, Growth!$B$197:$Y$237, 23, FALSE),)</f>
        <v>1.9282683146807249E-2</v>
      </c>
      <c r="AK276" s="495">
        <f ca="1">IF(AK$273 &gt;='2.2 Input_General_Information'!$H$20, VLOOKUP(AK$273, Growth!$B$197:$Y$237, 23, FALSE),)</f>
        <v>1.5911472607827774E-2</v>
      </c>
      <c r="AL276" s="495">
        <f ca="1">IF(AL$273 &gt;='2.2 Input_General_Information'!$H$20, VLOOKUP(AL$273, Growth!$B$197:$Y$237, 23, FALSE),)</f>
        <v>1.3121768208981751E-2</v>
      </c>
      <c r="AM276" s="495">
        <f ca="1">IF(AM$273 &gt;='2.2 Input_General_Information'!$H$20, VLOOKUP(AM$273, Growth!$B$197:$Y$237, 23, FALSE),)</f>
        <v>1.081579755584439E-2</v>
      </c>
      <c r="AN276" s="495">
        <f ca="1">IF(AN$273 &gt;='2.2 Input_General_Information'!$H$20, VLOOKUP(AN$273, Growth!$B$197:$Y$237, 23, FALSE),)</f>
        <v>8.9114102928329053E-3</v>
      </c>
      <c r="AO276" s="495">
        <f ca="1">IF(AO$273 &gt;='2.2 Input_General_Information'!$H$20, VLOOKUP(AO$273, Growth!$B$197:$Y$237, 23, FALSE),)</f>
        <v>7.3398491951932911E-3</v>
      </c>
      <c r="AP276" s="495">
        <f ca="1">IF(AP$273 &gt;='2.2 Input_General_Information'!$H$20, VLOOKUP(AP$273, Growth!$B$197:$Y$237, 23, FALSE),)</f>
        <v>6.0437487834320968E-3</v>
      </c>
      <c r="AQ276" s="495">
        <f ca="1">IF(AQ$273 &gt;='2.2 Input_General_Information'!$H$20, VLOOKUP(AQ$273, Growth!$B$197:$Y$237, 23, FALSE),)</f>
        <v>4.9753719152390036E-3</v>
      </c>
      <c r="AR276" s="495">
        <f ca="1">IF(AR$273 &gt;='2.2 Input_General_Information'!$H$20, VLOOKUP(AR$273, Growth!$B$197:$Y$237, 23, FALSE),)</f>
        <v>4.0950780581228158E-3</v>
      </c>
      <c r="AS276" s="495">
        <f ca="1">IF(AS$273 &gt;='2.2 Input_General_Information'!$H$20, VLOOKUP(AS$273, Growth!$B$197:$Y$237, 23, FALSE),)</f>
        <v>3.3700073186163941E-3</v>
      </c>
      <c r="AT276" s="495">
        <f ca="1">IF(AT$273 &gt;='2.2 Input_General_Information'!$H$20, VLOOKUP(AT$273, Growth!$B$197:$Y$237, 23, FALSE),)</f>
        <v>2.7729594773648523E-3</v>
      </c>
      <c r="AU276" s="495">
        <f ca="1">IF(AU$273 &gt;='2.2 Input_General_Information'!$H$20, VLOOKUP(AU$273, Growth!$B$197:$Y$237, 23, FALSE),)</f>
        <v>2.28144556619284E-3</v>
      </c>
      <c r="AV276" s="495">
        <f ca="1">IF(AV$273 &gt;='2.2 Input_General_Information'!$H$20, VLOOKUP(AV$273, Growth!$B$197:$Y$237, 23, FALSE),)</f>
        <v>1.8768897356785366E-3</v>
      </c>
      <c r="AW276" s="495">
        <f ca="1">IF(AW$273 &gt;='2.2 Input_General_Information'!$H$20, VLOOKUP(AW$273, Growth!$B$197:$Y$237, 23, FALSE),)</f>
        <v>1.543960487739533E-3</v>
      </c>
      <c r="AX276" s="495">
        <f ca="1">IF(AX$273 &gt;='2.2 Input_General_Information'!$H$20, VLOOKUP(AX$273, Growth!$B$197:$Y$237, 23, FALSE),)</f>
        <v>1.270012247992329E-3</v>
      </c>
      <c r="AY276" s="495">
        <f ca="1">IF(AY$273 &gt;='2.2 Input_General_Information'!$H$20, VLOOKUP(AY$273, Growth!$B$197:$Y$237, 23, FALSE),)</f>
        <v>1.0446203807272729E-3</v>
      </c>
      <c r="AZ276" s="495">
        <f ca="1">IF(AZ$273 &gt;='2.2 Input_General_Information'!$H$20, VLOOKUP(AZ$273, Growth!$B$197:$Y$237, 23, FALSE),)</f>
        <v>8.5919489175581478E-4</v>
      </c>
      <c r="BA276" s="495">
        <f ca="1">IF(BA$273 &gt;='2.2 Input_General_Information'!$H$20, VLOOKUP(BA$273, Growth!$B$197:$Y$237, 23, FALSE),)</f>
        <v>7.0666009720961613E-4</v>
      </c>
      <c r="BB276" s="495">
        <f ca="1">IF(BB$273 &gt;='2.2 Input_General_Information'!$H$20, VLOOKUP(BB$273, Growth!$B$197:$Y$237, 23, FALSE),)</f>
        <v>5.8118939450989033E-4</v>
      </c>
      <c r="BC276" s="495">
        <f ca="1">IF(BC$273 &gt;='2.2 Input_General_Information'!$H$20, VLOOKUP(BC$273, Growth!$B$197:$Y$237, 23, FALSE),)</f>
        <v>4.7798592763324647E-4</v>
      </c>
      <c r="BD276" s="495">
        <f ca="1">IF(BD$273 &gt;='2.2 Input_General_Information'!$H$20, VLOOKUP(BD$273, Growth!$B$197:$Y$237, 23, FALSE),)</f>
        <v>3.9310138800426286E-4</v>
      </c>
      <c r="BE276" s="495">
        <f ca="1">IF(BE$273 &gt;='2.2 Input_General_Information'!$H$20, VLOOKUP(BE$273, Growth!$B$197:$Y$237, 23, FALSE),)</f>
        <v>3.2328644380546487E-4</v>
      </c>
      <c r="BF276" s="495">
        <f ca="1">IF(BF$273 &gt;='2.2 Input_General_Information'!$H$20, VLOOKUP(BF$273, Growth!$B$197:$Y$237, 23, FALSE),)</f>
        <v>2.6586736032209788E-4</v>
      </c>
      <c r="BG276" s="495">
        <f ca="1">IF(BG$273 &gt;='2.2 Input_General_Information'!$H$20, VLOOKUP(BG$273, Growth!$B$197:$Y$237, 23, FALSE),)</f>
        <v>2.1864428139937777E-4</v>
      </c>
      <c r="BH276" s="495">
        <f ca="1">IF(BH$273 &gt;='2.2 Input_General_Information'!$H$20, VLOOKUP(BH$273, Growth!$B$197:$Y$237, 23, FALSE),)</f>
        <v>1.798074071602221E-4</v>
      </c>
      <c r="BI276" s="495">
        <f ca="1">IF(BI$273 &gt;='2.2 Input_General_Information'!$H$20, VLOOKUP(BI$273, Growth!$B$197:$Y$237, 23, FALSE),)</f>
        <v>1.4786794506743201E-4</v>
      </c>
      <c r="BJ276" s="495">
        <f ca="1">IF(BJ$273 &gt;='2.2 Input_General_Information'!$H$20, VLOOKUP(BJ$273, Growth!$B$197:$Y$237, 23, FALSE),)</f>
        <v>1.2160124798242826E-4</v>
      </c>
      <c r="BK276" s="495">
        <f ca="1">IF(BK$273 &gt;='2.2 Input_General_Information'!$H$20, VLOOKUP(BK$273, Growth!$B$197:$Y$237, 23, FALSE),)</f>
        <v>9.9999999999998216E-5</v>
      </c>
      <c r="BL276" s="172"/>
      <c r="BM276" s="172"/>
      <c r="BN276" s="172"/>
      <c r="BO276" s="172"/>
      <c r="BP276" s="172"/>
      <c r="BQ276" s="172"/>
      <c r="BR276" s="172"/>
      <c r="BS276" s="172"/>
      <c r="BT276" s="172"/>
      <c r="BU276" s="172"/>
    </row>
    <row r="277" spans="1:73" hidden="1">
      <c r="A277" s="6"/>
      <c r="B277" s="108"/>
      <c r="C277" s="1"/>
      <c r="D277" s="37"/>
      <c r="E277" s="10"/>
      <c r="F277" s="10"/>
      <c r="G277" s="244"/>
      <c r="H277" s="244"/>
      <c r="I277" s="244"/>
      <c r="J277" s="244"/>
      <c r="K277" s="244"/>
      <c r="L277" s="3"/>
      <c r="M277" s="3"/>
      <c r="N277" s="3"/>
      <c r="O277" s="1"/>
      <c r="P277" s="1"/>
      <c r="Q277" s="1"/>
      <c r="R277" s="193"/>
      <c r="S277" s="10"/>
      <c r="T277" s="101" t="s">
        <v>200</v>
      </c>
      <c r="U277" s="372" t="s">
        <v>866</v>
      </c>
      <c r="V277" s="103" t="str">
        <f t="shared" si="58"/>
        <v>There is a standardised licence (human and machine readable)</v>
      </c>
      <c r="W277" s="495">
        <f ca="1">IF(W$273 &gt;='2.2 Input_General_Information'!$H$20, VLOOKUP(W$273, Growth!$B$197:$Y$237, 24, FALSE),)</f>
        <v>0.10000000000000255</v>
      </c>
      <c r="X277" s="495">
        <f ca="1">IF(X$273 &gt;='2.2 Input_General_Information'!$H$20, VLOOKUP(X$273, Growth!$B$197:$Y$237, 24, FALSE),)</f>
        <v>0.12875207172326991</v>
      </c>
      <c r="Y277" s="495">
        <f ca="1">IF(Y$273 &gt;='2.2 Input_General_Information'!$H$20, VLOOKUP(Y$273, Growth!$B$197:$Y$237, 24, FALSE),)</f>
        <v>0.16426215411869144</v>
      </c>
      <c r="Z277" s="495">
        <f ca="1">IF(Z$273 &gt;='2.2 Input_General_Information'!$H$20, VLOOKUP(Z$273, Growth!$B$197:$Y$237, 24, FALSE),)</f>
        <v>0.20723643147756948</v>
      </c>
      <c r="AA277" s="495">
        <f ca="1">IF(AA$273 &gt;='2.2 Input_General_Information'!$H$20, VLOOKUP(AA$273, Growth!$B$197:$Y$237, 24, FALSE),)</f>
        <v>0.25798307269918763</v>
      </c>
      <c r="AB277" s="495">
        <f ca="1">IF(AB$273 &gt;='2.2 Input_General_Information'!$H$20, VLOOKUP(AB$273, Growth!$B$197:$Y$237, 24, FALSE),)</f>
        <v>0.31619980391940877</v>
      </c>
      <c r="AC277" s="495">
        <f ca="1">IF(AC$273 &gt;='2.2 Input_General_Information'!$H$20, VLOOKUP(AC$273, Growth!$B$197:$Y$237, 24, FALSE),)</f>
        <v>0.38081159715220347</v>
      </c>
      <c r="AD277" s="495">
        <f ca="1">IF(AD$273 &gt;='2.2 Input_General_Information'!$H$20, VLOOKUP(AD$273, Growth!$B$197:$Y$237, 24, FALSE),)</f>
        <v>0.44993874039517884</v>
      </c>
      <c r="AE277" s="495">
        <f ca="1">IF(AE$273 &gt;='2.2 Input_General_Information'!$H$20, VLOOKUP(AE$273, Growth!$B$197:$Y$237, 24, FALSE),)</f>
        <v>0.52105464497996323</v>
      </c>
      <c r="AF277" s="495">
        <f ca="1">IF(AF$273 &gt;='2.2 Input_General_Information'!$H$20, VLOOKUP(AF$273, Growth!$B$197:$Y$237, 24, FALSE),)</f>
        <v>0.59132728914793631</v>
      </c>
      <c r="AG277" s="495">
        <f ca="1">IF(AG$273 &gt;='2.2 Input_General_Information'!$H$20, VLOOKUP(AG$273, Growth!$B$197:$Y$237, 24, FALSE),)</f>
        <v>0.65805568623898658</v>
      </c>
      <c r="AH277" s="495">
        <f ca="1">IF(AH$273 &gt;='2.2 Input_General_Information'!$H$20, VLOOKUP(AH$273, Growth!$B$197:$Y$237, 24, FALSE),)</f>
        <v>0.71906496994626734</v>
      </c>
      <c r="AI277" s="495">
        <f ca="1">IF(AI$273 &gt;='2.2 Input_General_Information'!$H$20, VLOOKUP(AI$273, Growth!$B$197:$Y$237, 24, FALSE),)</f>
        <v>0.77294487541927603</v>
      </c>
      <c r="AJ277" s="495">
        <f ca="1">IF(AJ$273 &gt;='2.2 Input_General_Information'!$H$20, VLOOKUP(AJ$273, Growth!$B$197:$Y$237, 24, FALSE),)</f>
        <v>0.81909107159822758</v>
      </c>
      <c r="AK277" s="495">
        <f ca="1">IF(AK$273 &gt;='2.2 Input_General_Information'!$H$20, VLOOKUP(AK$273, Growth!$B$197:$Y$237, 24, FALSE),)</f>
        <v>0.85758661021670479</v>
      </c>
      <c r="AL277" s="495">
        <f ca="1">IF(AL$273 &gt;='2.2 Input_General_Information'!$H$20, VLOOKUP(AL$273, Growth!$B$197:$Y$237, 24, FALSE),)</f>
        <v>0.88900076402770878</v>
      </c>
      <c r="AM277" s="495">
        <f ca="1">IF(AM$273 &gt;='2.2 Input_General_Information'!$H$20, VLOOKUP(AM$273, Growth!$B$197:$Y$237, 24, FALSE),)</f>
        <v>0.91417890094560805</v>
      </c>
      <c r="AN277" s="495">
        <f ca="1">IF(AN$273 &gt;='2.2 Input_General_Information'!$H$20, VLOOKUP(AN$273, Growth!$B$197:$Y$237, 24, FALSE),)</f>
        <v>0.93406939741993855</v>
      </c>
      <c r="AO277" s="495">
        <f ca="1">IF(AO$273 &gt;='2.2 Input_General_Information'!$H$20, VLOOKUP(AO$273, Growth!$B$197:$Y$237, 24, FALSE),)</f>
        <v>0.9496040669444531</v>
      </c>
      <c r="AP277" s="495">
        <f ca="1">IF(AP$273 &gt;='2.2 Input_General_Information'!$H$20, VLOOKUP(AP$273, Growth!$B$197:$Y$237, 24, FALSE),)</f>
        <v>0.96162879763846498</v>
      </c>
      <c r="AQ277" s="495">
        <f ca="1">IF(AQ$273 &gt;='2.2 Input_General_Information'!$H$20, VLOOKUP(AQ$273, Growth!$B$197:$Y$237, 24, FALSE),)</f>
        <v>0.97087237240992441</v>
      </c>
      <c r="AR277" s="495">
        <f ca="1">IF(AR$273 &gt;='2.2 Input_General_Information'!$H$20, VLOOKUP(AR$273, Growth!$B$197:$Y$237, 24, FALSE),)</f>
        <v>0.9779402634909895</v>
      </c>
      <c r="AS277" s="495">
        <f ca="1">IF(AS$273 &gt;='2.2 Input_General_Information'!$H$20, VLOOKUP(AS$273, Growth!$B$197:$Y$237, 24, FALSE),)</f>
        <v>0.98332257386225796</v>
      </c>
      <c r="AT277" s="495">
        <f ca="1">IF(AT$273 &gt;='2.2 Input_General_Information'!$H$20, VLOOKUP(AT$273, Growth!$B$197:$Y$237, 24, FALSE),)</f>
        <v>0.98740857353480671</v>
      </c>
      <c r="AU277" s="495">
        <f ca="1">IF(AU$273 &gt;='2.2 Input_General_Information'!$H$20, VLOOKUP(AU$273, Growth!$B$197:$Y$237, 24, FALSE),)</f>
        <v>0.99050316418128792</v>
      </c>
      <c r="AV277" s="495">
        <f ca="1">IF(AV$273 &gt;='2.2 Input_General_Information'!$H$20, VLOOKUP(AV$273, Growth!$B$197:$Y$237, 24, FALSE),)</f>
        <v>0.99284271126387413</v>
      </c>
      <c r="AW277" s="495">
        <f ca="1">IF(AW$273 &gt;='2.2 Input_General_Information'!$H$20, VLOOKUP(AW$273, Growth!$B$197:$Y$237, 24, FALSE),)</f>
        <v>0.99460904738769851</v>
      </c>
      <c r="AX277" s="495">
        <f ca="1">IF(AX$273 &gt;='2.2 Input_General_Information'!$H$20, VLOOKUP(AX$273, Growth!$B$197:$Y$237, 24, FALSE),)</f>
        <v>0.99594125418217305</v>
      </c>
      <c r="AY277" s="495">
        <f ca="1">IF(AY$273 &gt;='2.2 Input_General_Information'!$H$20, VLOOKUP(AY$273, Growth!$B$197:$Y$237, 24, FALSE),)</f>
        <v>0.99694525848509541</v>
      </c>
      <c r="AZ277" s="495">
        <f ca="1">IF(AZ$273 &gt;='2.2 Input_General_Information'!$H$20, VLOOKUP(AZ$273, Growth!$B$197:$Y$237, 24, FALSE),)</f>
        <v>0.99770147732038261</v>
      </c>
      <c r="BA277" s="495">
        <f ca="1">IF(BA$273 &gt;='2.2 Input_General_Information'!$H$20, VLOOKUP(BA$273, Growth!$B$197:$Y$237, 24, FALSE),)</f>
        <v>0.9982708145389757</v>
      </c>
      <c r="BB277" s="495">
        <f ca="1">IF(BB$273 &gt;='2.2 Input_General_Information'!$H$20, VLOOKUP(BB$273, Growth!$B$197:$Y$237, 24, FALSE),)</f>
        <v>0.9986993124746486</v>
      </c>
      <c r="BC277" s="495">
        <f ca="1">IF(BC$273 &gt;='2.2 Input_General_Information'!$H$20, VLOOKUP(BC$273, Growth!$B$197:$Y$237, 24, FALSE),)</f>
        <v>0.99902173124560556</v>
      </c>
      <c r="BD277" s="495">
        <f ca="1">IF(BD$273 &gt;='2.2 Input_General_Information'!$H$20, VLOOKUP(BD$273, Growth!$B$197:$Y$237, 24, FALSE),)</f>
        <v>0.99926428665046663</v>
      </c>
      <c r="BE277" s="495">
        <f ca="1">IF(BE$273 &gt;='2.2 Input_General_Information'!$H$20, VLOOKUP(BE$273, Growth!$B$197:$Y$237, 24, FALSE),)</f>
        <v>0.99944673531881023</v>
      </c>
      <c r="BF277" s="495">
        <f ca="1">IF(BF$273 &gt;='2.2 Input_General_Information'!$H$20, VLOOKUP(BF$273, Growth!$B$197:$Y$237, 24, FALSE),)</f>
        <v>0.99958395759920471</v>
      </c>
      <c r="BG277" s="495">
        <f ca="1">IF(BG$273 &gt;='2.2 Input_General_Information'!$H$20, VLOOKUP(BG$273, Growth!$B$197:$Y$237, 24, FALSE),)</f>
        <v>0.9996871562724855</v>
      </c>
      <c r="BH277" s="495">
        <f ca="1">IF(BH$273 &gt;='2.2 Input_General_Information'!$H$20, VLOOKUP(BH$273, Growth!$B$197:$Y$237, 24, FALSE),)</f>
        <v>0.99976476269883519</v>
      </c>
      <c r="BI277" s="495">
        <f ca="1">IF(BI$273 &gt;='2.2 Input_General_Information'!$H$20, VLOOKUP(BI$273, Growth!$B$197:$Y$237, 24, FALSE),)</f>
        <v>0.99982312088317882</v>
      </c>
      <c r="BJ277" s="495">
        <f ca="1">IF(BJ$273 &gt;='2.2 Input_General_Information'!$H$20, VLOOKUP(BJ$273, Growth!$B$197:$Y$237, 24, FALSE),)</f>
        <v>0.9998670033673982</v>
      </c>
      <c r="BK277" s="495">
        <f ca="1">IF(BK$273 &gt;='2.2 Input_General_Information'!$H$20, VLOOKUP(BK$273, Growth!$B$197:$Y$237, 24, FALSE),)</f>
        <v>0.99990000000000012</v>
      </c>
      <c r="BL277" s="556"/>
      <c r="BM277" s="556"/>
      <c r="BN277" s="556"/>
      <c r="BO277" s="556"/>
      <c r="BP277" s="556"/>
      <c r="BQ277" s="556"/>
      <c r="BR277" s="556"/>
      <c r="BS277" s="556"/>
      <c r="BT277" s="556"/>
      <c r="BU277" s="556"/>
    </row>
    <row r="278" spans="1:73" hidden="1">
      <c r="A278" s="6"/>
      <c r="B278" s="108"/>
      <c r="C278" s="1"/>
      <c r="D278" s="37"/>
      <c r="E278" s="10"/>
      <c r="F278" s="10"/>
      <c r="G278" s="244"/>
      <c r="H278" s="244"/>
      <c r="I278" s="244"/>
      <c r="J278" s="244"/>
      <c r="K278" s="244"/>
      <c r="L278" s="3"/>
      <c r="M278" s="3"/>
      <c r="N278" s="3"/>
      <c r="O278" s="1"/>
      <c r="P278" s="1"/>
      <c r="Q278" s="1"/>
      <c r="R278" s="193"/>
      <c r="S278" s="10"/>
      <c r="T278" s="103"/>
      <c r="U278" s="9"/>
      <c r="V278" s="103"/>
      <c r="W278" s="469"/>
      <c r="X278" s="469"/>
      <c r="Y278" s="469"/>
      <c r="Z278" s="469"/>
      <c r="AA278" s="469"/>
      <c r="AB278" s="469"/>
      <c r="AC278" s="469"/>
      <c r="AD278" s="469"/>
      <c r="AE278" s="469"/>
      <c r="AF278" s="469"/>
      <c r="AG278" s="469"/>
      <c r="AH278" s="469"/>
      <c r="AI278" s="469"/>
      <c r="AJ278" s="469"/>
      <c r="AK278" s="469"/>
      <c r="AL278" s="469"/>
      <c r="AM278" s="469"/>
      <c r="AN278" s="469"/>
      <c r="AO278" s="469"/>
      <c r="AP278" s="469"/>
      <c r="AQ278" s="469"/>
      <c r="AR278" s="469"/>
      <c r="AS278" s="469"/>
      <c r="AT278" s="469"/>
      <c r="AU278" s="469"/>
      <c r="AV278" s="469"/>
      <c r="AW278" s="469"/>
      <c r="AX278" s="469"/>
      <c r="AY278" s="469"/>
      <c r="AZ278" s="469"/>
      <c r="BA278" s="469"/>
      <c r="BB278" s="469"/>
      <c r="BC278" s="469"/>
      <c r="BD278" s="469"/>
      <c r="BE278" s="469"/>
      <c r="BF278" s="469"/>
      <c r="BG278" s="469"/>
      <c r="BH278" s="469"/>
      <c r="BI278" s="469"/>
      <c r="BJ278" s="469"/>
      <c r="BK278" s="469"/>
      <c r="BL278" s="556"/>
      <c r="BM278" s="556"/>
      <c r="BN278" s="556"/>
      <c r="BO278" s="556"/>
      <c r="BP278" s="556"/>
      <c r="BQ278" s="556"/>
      <c r="BR278" s="556"/>
      <c r="BS278" s="556"/>
      <c r="BT278" s="556"/>
      <c r="BU278" s="556"/>
    </row>
    <row r="279" spans="1:73" hidden="1">
      <c r="A279" s="6"/>
      <c r="B279" s="108"/>
      <c r="C279" s="1"/>
      <c r="D279" s="37"/>
      <c r="E279" s="10"/>
      <c r="F279" s="10"/>
      <c r="G279" s="244"/>
      <c r="H279" s="244"/>
      <c r="I279" s="244"/>
      <c r="J279" s="244"/>
      <c r="K279" s="244"/>
      <c r="L279" s="3"/>
      <c r="M279" s="3"/>
      <c r="N279" s="3"/>
      <c r="O279" s="1"/>
      <c r="P279" s="1"/>
      <c r="Q279" s="1"/>
      <c r="R279" s="193"/>
      <c r="S279" s="10"/>
      <c r="T279" s="103"/>
      <c r="U279" s="9"/>
      <c r="V279" s="101" t="s">
        <v>932</v>
      </c>
      <c r="W279" s="469">
        <f ca="1">IF(W$166&gt;='2.2 Input_General_Information'!$H$20,SUM(W275:W277),)</f>
        <v>1.0000000000000013</v>
      </c>
      <c r="X279" s="469">
        <f ca="1">IF(X$166&gt;='2.2 Input_General_Information'!$H$20,SUM(X275:X277),)</f>
        <v>0.94398805720305079</v>
      </c>
      <c r="Y279" s="469">
        <f ca="1">IF(Y$166&gt;='2.2 Input_General_Information'!$H$20,SUM(Y275:Y277),)</f>
        <v>0.89413931663258972</v>
      </c>
      <c r="Z279" s="469">
        <f ca="1">IF(Z$166&gt;='2.2 Input_General_Information'!$H$20,SUM(Z275:Z277),)</f>
        <v>0.85252266538637089</v>
      </c>
      <c r="AA279" s="469">
        <f ca="1">IF(AA$166&gt;='2.2 Input_General_Information'!$H$20,SUM(AA275:AA277),)</f>
        <v>0.82104944085676668</v>
      </c>
      <c r="AB279" s="469">
        <f ca="1">IF(AB$166&gt;='2.2 Input_General_Information'!$H$20,SUM(AB275:AB277),)</f>
        <v>0.80107403888781858</v>
      </c>
      <c r="AC279" s="469">
        <f ca="1">IF(AC$166&gt;='2.2 Input_General_Information'!$H$20,SUM(AC275:AC277),)</f>
        <v>0.79301697923586034</v>
      </c>
      <c r="AD279" s="469">
        <f ca="1">IF(AD$166&gt;='2.2 Input_General_Information'!$H$20,SUM(AD275:AD277),)</f>
        <v>0.7961494421893538</v>
      </c>
      <c r="AE279" s="469">
        <f ca="1">IF(AE$166&gt;='2.2 Input_General_Information'!$H$20,SUM(AE275:AE277),)</f>
        <v>0.80864315635864903</v>
      </c>
      <c r="AF279" s="469">
        <f ca="1">IF(AF$166&gt;='2.2 Input_General_Information'!$H$20,SUM(AF275:AF277),)</f>
        <v>0.82789420542456238</v>
      </c>
      <c r="AG279" s="469">
        <f ca="1">IF(AG$166&gt;='2.2 Input_General_Information'!$H$20,SUM(AG275:AG277),)</f>
        <v>0.85101751939101589</v>
      </c>
      <c r="AH279" s="469">
        <f ca="1">IF(AH$166&gt;='2.2 Input_General_Information'!$H$20,SUM(AH275:AH277),)</f>
        <v>0.87534453939185564</v>
      </c>
      <c r="AI279" s="469">
        <f ca="1">IF(AI$166&gt;='2.2 Input_General_Information'!$H$20,SUM(AI275:AI277),)</f>
        <v>0.89877646937619582</v>
      </c>
      <c r="AJ279" s="469">
        <f ca="1">IF(AJ$166&gt;='2.2 Input_General_Information'!$H$20,SUM(AJ275:AJ277),)</f>
        <v>0.91992892851081631</v>
      </c>
      <c r="AK279" s="469">
        <f ca="1">IF(AK$166&gt;='2.2 Input_General_Information'!$H$20,SUM(AK275:AK277),)</f>
        <v>0.93809320747515745</v>
      </c>
      <c r="AL279" s="469">
        <f ca="1">IF(AL$166&gt;='2.2 Input_General_Information'!$H$20,SUM(AL275:AL277),)</f>
        <v>0.95308886629667611</v>
      </c>
      <c r="AM279" s="469">
        <f ca="1">IF(AM$166&gt;='2.2 Input_General_Information'!$H$20,SUM(AM275:AM277),)</f>
        <v>0.96508451273983487</v>
      </c>
      <c r="AN279" s="469">
        <f ca="1">IF(AN$166&gt;='2.2 Input_General_Information'!$H$20,SUM(AN275:AN277),)</f>
        <v>0.97443827875150923</v>
      </c>
      <c r="AO279" s="469">
        <f ca="1">IF(AO$166&gt;='2.2 Input_General_Information'!$H$20,SUM(AO275:AO277),)</f>
        <v>0.98158009887917086</v>
      </c>
      <c r="AP279" s="469">
        <f ca="1">IF(AP$166&gt;='2.2 Input_General_Information'!$H$20,SUM(AP275:AP277),)</f>
        <v>0.9869371593824745</v>
      </c>
      <c r="AQ279" s="469">
        <f ca="1">IF(AQ$166&gt;='2.2 Input_General_Information'!$H$20,SUM(AQ275:AQ277),)</f>
        <v>0.99089391491683609</v>
      </c>
      <c r="AR279" s="469">
        <f ca="1">IF(AR$166&gt;='2.2 Input_General_Information'!$H$20,SUM(AR275:AR277),)</f>
        <v>0.99377573948295816</v>
      </c>
      <c r="AS279" s="469">
        <f ca="1">IF(AS$166&gt;='2.2 Input_General_Information'!$H$20,SUM(AS275:AS277),)</f>
        <v>0.99584676273887995</v>
      </c>
      <c r="AT279" s="469">
        <f ca="1">IF(AT$166&gt;='2.2 Input_General_Information'!$H$20,SUM(AT275:AT277),)</f>
        <v>0.99731508681190462</v>
      </c>
      <c r="AU279" s="469">
        <f ca="1">IF(AU$166&gt;='2.2 Input_General_Information'!$H$20,SUM(AU275:AU277),)</f>
        <v>0.99834105335620271</v>
      </c>
      <c r="AV279" s="469">
        <f ca="1">IF(AV$166&gt;='2.2 Input_General_Information'!$H$20,SUM(AV275:AV277),)</f>
        <v>0.99904608790313476</v>
      </c>
      <c r="AW279" s="469">
        <f ca="1">IF(AW$166&gt;='2.2 Input_General_Information'!$H$20,SUM(AW275:AW277),)</f>
        <v>0.99952087532610012</v>
      </c>
      <c r="AX279" s="469">
        <f ca="1">IF(AX$166&gt;='2.2 Input_General_Information'!$H$20,SUM(AX275:AX277),)</f>
        <v>0.99983235654267621</v>
      </c>
      <c r="AY279" s="469">
        <f ca="1">IF(AY$166&gt;='2.2 Input_General_Information'!$H$20,SUM(AY275:AY277),)</f>
        <v>1.0000294401667742</v>
      </c>
      <c r="AZ279" s="469">
        <f ca="1">IF(AZ$166&gt;='2.2 Input_General_Information'!$H$20,SUM(AZ275:AZ277),)</f>
        <v>1.000147520461504</v>
      </c>
      <c r="BA279" s="469">
        <f ca="1">IF(BA$166&gt;='2.2 Input_General_Information'!$H$20,SUM(BA275:BA277),)</f>
        <v>1.0002119723877583</v>
      </c>
      <c r="BB279" s="469">
        <f ca="1">IF(BB$166&gt;='2.2 Input_General_Information'!$H$20,SUM(BB275:BB277),)</f>
        <v>1.0002408112664232</v>
      </c>
      <c r="BC279" s="469">
        <f ca="1">IF(BC$166&gt;='2.2 Input_General_Information'!$H$20,SUM(BC275:BC277),)</f>
        <v>1.0002466913260302</v>
      </c>
      <c r="BD279" s="469">
        <f ca="1">IF(BD$166&gt;='2.2 Input_General_Information'!$H$20,SUM(BD275:BD277),)</f>
        <v>1.0002383923673714</v>
      </c>
      <c r="BE279" s="469">
        <f ca="1">IF(BE$166&gt;='2.2 Input_General_Information'!$H$20,SUM(BE275:BE277),)</f>
        <v>1.0002219163452519</v>
      </c>
      <c r="BF279" s="469">
        <f ca="1">IF(BF$166&gt;='2.2 Input_General_Information'!$H$20,SUM(BF275:BF277),)</f>
        <v>1.0002012902439712</v>
      </c>
      <c r="BG279" s="469">
        <f ca="1">IF(BG$166&gt;='2.2 Input_General_Information'!$H$20,SUM(BG275:BG277),)</f>
        <v>1.0001791498983028</v>
      </c>
      <c r="BH279" s="469">
        <f ca="1">IF(BH$166&gt;='2.2 Input_General_Information'!$H$20,SUM(BH275:BH277),)</f>
        <v>1.0001571617037703</v>
      </c>
      <c r="BI279" s="469">
        <f ca="1">IF(BI$166&gt;='2.2 Input_General_Information'!$H$20,SUM(BI275:BI277),)</f>
        <v>1.0001363251565045</v>
      </c>
      <c r="BJ279" s="469">
        <f ca="1">IF(BJ$166&gt;='2.2 Input_General_Information'!$H$20,SUM(BJ275:BJ277),)</f>
        <v>1.0001171883154509</v>
      </c>
      <c r="BK279" s="469">
        <f ca="1">IF(BK$166&gt;='2.2 Input_General_Information'!$H$20,SUM(BK275:BK277),)</f>
        <v>1.0001000000000002</v>
      </c>
      <c r="BL279" s="556"/>
      <c r="BM279" s="556"/>
      <c r="BN279" s="556"/>
      <c r="BO279" s="556"/>
      <c r="BP279" s="556"/>
      <c r="BQ279" s="556"/>
      <c r="BR279" s="556"/>
      <c r="BS279" s="556"/>
      <c r="BT279" s="556"/>
      <c r="BU279" s="556"/>
    </row>
    <row r="280" spans="1:73" hidden="1">
      <c r="A280" s="6"/>
      <c r="B280" s="108"/>
      <c r="C280" s="1"/>
      <c r="D280" s="37"/>
      <c r="E280" s="10"/>
      <c r="F280" s="10"/>
      <c r="G280" s="244"/>
      <c r="H280" s="244"/>
      <c r="I280" s="244"/>
      <c r="J280" s="244"/>
      <c r="K280" s="244"/>
      <c r="L280" s="3"/>
      <c r="M280" s="3"/>
      <c r="N280" s="3"/>
      <c r="O280" s="1"/>
      <c r="P280" s="1"/>
      <c r="Q280" s="1"/>
      <c r="R280" s="193"/>
      <c r="S280" s="10"/>
      <c r="T280" s="103"/>
      <c r="U280" s="9"/>
      <c r="V280" s="101" t="s">
        <v>936</v>
      </c>
      <c r="W280" s="469">
        <f ca="1">IF(W$166&gt;='2.2 Input_General_Information'!$H$20,W275/W$279,)</f>
        <v>0.70000000000000073</v>
      </c>
      <c r="X280" s="469">
        <f ca="1">IF(X$166&gt;='2.2 Input_General_Information'!$H$20,X275/X$279,)</f>
        <v>0.6829624888202821</v>
      </c>
      <c r="Y280" s="469">
        <f ca="1">IF(Y$166&gt;='2.2 Input_General_Information'!$H$20,Y275/Y$279,)</f>
        <v>0.65455574105069259</v>
      </c>
      <c r="Z280" s="469">
        <f ca="1">IF(Z$166&gt;='2.2 Input_General_Information'!$H$20,Z275/Z$279,)</f>
        <v>0.61374191100009434</v>
      </c>
      <c r="AA280" s="469">
        <f ca="1">IF(AA$166&gt;='2.2 Input_General_Information'!$H$20,AA275/AA$279,)</f>
        <v>0.56082942822831972</v>
      </c>
      <c r="AB280" s="469">
        <f ca="1">IF(AB$166&gt;='2.2 Input_General_Information'!$H$20,AB275/AB$279,)</f>
        <v>0.49800320398685238</v>
      </c>
      <c r="AC280" s="469">
        <f ca="1">IF(AC$166&gt;='2.2 Input_General_Information'!$H$20,AC275/AC$279,)</f>
        <v>0.42929757175302896</v>
      </c>
      <c r="AD280" s="469">
        <f ca="1">IF(AD$166&gt;='2.2 Input_General_Information'!$H$20,AD275/AD$279,)</f>
        <v>0.35977299898100712</v>
      </c>
      <c r="AE280" s="469">
        <f ca="1">IF(AE$166&gt;='2.2 Input_General_Information'!$H$20,AE275/AE$279,)</f>
        <v>0.29420045807452871</v>
      </c>
      <c r="AF280" s="469">
        <f ca="1">IF(AF$166&gt;='2.2 Input_General_Information'!$H$20,AF275/AF$279,)</f>
        <v>0.2359537094210859</v>
      </c>
      <c r="AG280" s="469">
        <f ca="1">IF(AG$166&gt;='2.2 Input_General_Information'!$H$20,AG275/AG$279,)</f>
        <v>0.18661541136895612</v>
      </c>
      <c r="AH280" s="469">
        <f ca="1">IF(AH$166&gt;='2.2 Input_General_Information'!$H$20,AH275/AH$279,)</f>
        <v>0.14625797675403171</v>
      </c>
      <c r="AI280" s="469">
        <f ca="1">IF(AI$166&gt;='2.2 Input_General_Information'!$H$20,AI275/AI$279,)</f>
        <v>0.11402210023602136</v>
      </c>
      <c r="AJ280" s="469">
        <f ca="1">IF(AJ$166&gt;='2.2 Input_General_Information'!$H$20,AJ275/AJ$279,)</f>
        <v>8.8653776654032707E-2</v>
      </c>
      <c r="AK280" s="469">
        <f ca="1">IF(AK$166&gt;='2.2 Input_General_Information'!$H$20,AK275/AK$279,)</f>
        <v>6.8857896140704644E-2</v>
      </c>
      <c r="AL280" s="469">
        <f ca="1">IF(AL$166&gt;='2.2 Input_General_Information'!$H$20,AL275/AL$279,)</f>
        <v>5.3474902354090512E-2</v>
      </c>
      <c r="AM280" s="469">
        <f ca="1">IF(AM$166&gt;='2.2 Input_General_Information'!$H$20,AM275/AM$279,)</f>
        <v>4.1540210944396062E-2</v>
      </c>
      <c r="AN280" s="469">
        <f ca="1">IF(AN$166&gt;='2.2 Input_General_Information'!$H$20,AN275/AN$279,)</f>
        <v>3.2282671693729448E-2</v>
      </c>
      <c r="AO280" s="469">
        <f ca="1">IF(AO$166&gt;='2.2 Input_General_Information'!$H$20,AO275/AO$279,)</f>
        <v>2.509849452699334E-2</v>
      </c>
      <c r="AP280" s="469">
        <f ca="1">IF(AP$166&gt;='2.2 Input_General_Information'!$H$20,AP275/AP$279,)</f>
        <v>1.9519594309967317E-2</v>
      </c>
      <c r="AQ280" s="469">
        <f ca="1">IF(AQ$166&gt;='2.2 Input_General_Information'!$H$20,AQ275/AQ$279,)</f>
        <v>1.5184441407065681E-2</v>
      </c>
      <c r="AR280" s="469">
        <f ca="1">IF(AR$166&gt;='2.2 Input_General_Information'!$H$20,AR275/AR$279,)</f>
        <v>1.18139309176074E-2</v>
      </c>
      <c r="AS280" s="469">
        <f ca="1">IF(AS$166&gt;='2.2 Input_General_Information'!$H$20,AS275/AS$279,)</f>
        <v>9.1923596084490314E-3</v>
      </c>
      <c r="AT280" s="469">
        <f ca="1">IF(AT$166&gt;='2.2 Input_General_Information'!$H$20,AT275/AT$279,)</f>
        <v>7.1527583349177007E-3</v>
      </c>
      <c r="AU280" s="469">
        <f ca="1">IF(AU$166&gt;='2.2 Input_General_Information'!$H$20,AU275/AU$279,)</f>
        <v>5.5656767695192464E-3</v>
      </c>
      <c r="AV280" s="469">
        <f ca="1">IF(AV$166&gt;='2.2 Input_General_Information'!$H$20,AV275/AV$279,)</f>
        <v>4.3306179324146786E-3</v>
      </c>
      <c r="AW280" s="469">
        <f ca="1">IF(AW$166&gt;='2.2 Input_General_Information'!$H$20,AW275/AW$279,)</f>
        <v>3.3694818525558602E-3</v>
      </c>
      <c r="AX280" s="469">
        <f ca="1">IF(AX$166&gt;='2.2 Input_General_Information'!$H$20,AX275/AX$279,)</f>
        <v>2.6215295947956112E-3</v>
      </c>
      <c r="AY280" s="469">
        <f ca="1">IF(AY$166&gt;='2.2 Input_General_Information'!$H$20,AY275/AY$279,)</f>
        <v>2.0395012576943979E-3</v>
      </c>
      <c r="AZ280" s="469">
        <f ca="1">IF(AZ$166&gt;='2.2 Input_General_Information'!$H$20,AZ275/AZ$279,)</f>
        <v>1.5866141913077831E-3</v>
      </c>
      <c r="BA280" s="469">
        <f ca="1">IF(BA$166&gt;='2.2 Input_General_Information'!$H$20,BA275/BA$279,)</f>
        <v>1.2342361275940251E-3</v>
      </c>
      <c r="BB280" s="469">
        <f ca="1">IF(BB$166&gt;='2.2 Input_General_Information'!$H$20,BB275/BB$279,)</f>
        <v>9.6007819961756744E-4</v>
      </c>
      <c r="BC280" s="469">
        <f ca="1">IF(BC$166&gt;='2.2 Input_General_Information'!$H$20,BC275/BC$279,)</f>
        <v>7.467899261942968E-4</v>
      </c>
      <c r="BD280" s="469">
        <f ca="1">IF(BD$166&gt;='2.2 Input_General_Information'!$H$20,BD275/BD$279,)</f>
        <v>5.8086585491428223E-4</v>
      </c>
      <c r="BE280" s="469">
        <f ca="1">IF(BE$166&gt;='2.2 Input_General_Information'!$H$20,BE275/BE$279,)</f>
        <v>4.517943220914788E-4</v>
      </c>
      <c r="BF280" s="469">
        <f ca="1">IF(BF$166&gt;='2.2 Input_General_Information'!$H$20,BF275/BF$279,)</f>
        <v>3.5139455214928494E-4</v>
      </c>
      <c r="BG280" s="469">
        <f ca="1">IF(BG$166&gt;='2.2 Input_General_Information'!$H$20,BG275/BG$279,)</f>
        <v>2.7330038268221906E-4</v>
      </c>
      <c r="BH280" s="469">
        <f ca="1">IF(BH$166&gt;='2.2 Input_General_Information'!$H$20,BH275/BH$279,)</f>
        <v>2.125581917672889E-4</v>
      </c>
      <c r="BI280" s="469">
        <f ca="1">IF(BI$166&gt;='2.2 Input_General_Information'!$H$20,BI275/BI$279,)</f>
        <v>1.6531379182983748E-4</v>
      </c>
      <c r="BJ280" s="469">
        <f ca="1">IF(BJ$166&gt;='2.2 Input_General_Information'!$H$20,BJ275/BJ$279,)</f>
        <v>1.2856863332863858E-4</v>
      </c>
      <c r="BK280" s="469">
        <f ca="1">IF(BK$166&gt;='2.2 Input_General_Information'!$H$20,BK275/BK$279,)</f>
        <v>9.9990000999900693E-5</v>
      </c>
      <c r="BL280" s="556"/>
      <c r="BM280" s="556"/>
      <c r="BN280" s="556"/>
      <c r="BO280" s="556"/>
      <c r="BP280" s="556"/>
      <c r="BQ280" s="556"/>
      <c r="BR280" s="556"/>
      <c r="BS280" s="556"/>
      <c r="BT280" s="556"/>
      <c r="BU280" s="556"/>
    </row>
    <row r="281" spans="1:73" hidden="1">
      <c r="A281" s="6"/>
      <c r="B281" s="108"/>
      <c r="C281" s="1"/>
      <c r="D281" s="37"/>
      <c r="E281" s="10"/>
      <c r="F281" s="10"/>
      <c r="G281" s="244"/>
      <c r="H281" s="244"/>
      <c r="I281" s="244"/>
      <c r="J281" s="244"/>
      <c r="K281" s="244"/>
      <c r="L281" s="3"/>
      <c r="M281" s="3"/>
      <c r="N281" s="3"/>
      <c r="O281" s="1"/>
      <c r="P281" s="1"/>
      <c r="Q281" s="1"/>
      <c r="R281" s="193"/>
      <c r="S281" s="10"/>
      <c r="T281" s="103"/>
      <c r="U281" s="9"/>
      <c r="V281" s="101" t="s">
        <v>936</v>
      </c>
      <c r="W281" s="469">
        <f ca="1">IF(W$166&gt;='2.2 Input_General_Information'!$H$20,W276/W$279,)</f>
        <v>0.19999999999999685</v>
      </c>
      <c r="X281" s="469">
        <f ca="1">IF(X$166&gt;='2.2 Input_General_Information'!$H$20,X276/X$279,)</f>
        <v>0.1806458791661199</v>
      </c>
      <c r="Y281" s="469">
        <f ca="1">IF(Y$166&gt;='2.2 Input_General_Information'!$H$20,Y276/Y$279,)</f>
        <v>0.161734459969303</v>
      </c>
      <c r="Z281" s="469">
        <f ca="1">IF(Z$166&gt;='2.2 Input_General_Information'!$H$20,Z276/Z$279,)</f>
        <v>0.1431719636783601</v>
      </c>
      <c r="AA281" s="469">
        <f ca="1">IF(AA$166&gt;='2.2 Input_General_Information'!$H$20,AA276/AA$279,)</f>
        <v>0.12495919805710609</v>
      </c>
      <c r="AB281" s="469">
        <f ca="1">IF(AB$166&gt;='2.2 Input_General_Information'!$H$20,AB276/AB$279,)</f>
        <v>0.1072769716653148</v>
      </c>
      <c r="AC281" s="469">
        <f ca="1">IF(AC$166&gt;='2.2 Input_General_Information'!$H$20,AC276/AC$279,)</f>
        <v>9.0496320277948683E-2</v>
      </c>
      <c r="AD281" s="469">
        <f ca="1">IF(AD$166&gt;='2.2 Input_General_Information'!$H$20,AD276/AD$279,)</f>
        <v>7.5083428026113938E-2</v>
      </c>
      <c r="AE281" s="469">
        <f ca="1">IF(AE$166&gt;='2.2 Input_General_Information'!$H$20,AE276/AE$279,)</f>
        <v>6.1442830460438726E-2</v>
      </c>
      <c r="AF281" s="469">
        <f ca="1">IF(AF$166&gt;='2.2 Input_General_Information'!$H$20,AF276/AF$279,)</f>
        <v>4.9791636695099686E-2</v>
      </c>
      <c r="AG281" s="469">
        <f ca="1">IF(AG$166&gt;='2.2 Input_General_Information'!$H$20,AG276/AG$279,)</f>
        <v>4.0127080712889417E-2</v>
      </c>
      <c r="AH281" s="469">
        <f ca="1">IF(AH$166&gt;='2.2 Input_General_Information'!$H$20,AH276/AH$279,)</f>
        <v>3.2276945682524857E-2</v>
      </c>
      <c r="AI281" s="469">
        <f ca="1">IF(AI$166&gt;='2.2 Input_General_Information'!$H$20,AI276/AI$279,)</f>
        <v>2.5981113292982555E-2</v>
      </c>
      <c r="AJ281" s="469">
        <f ca="1">IF(AJ$166&gt;='2.2 Input_General_Information'!$H$20,AJ276/AJ$279,)</f>
        <v>2.0961057478670785E-2</v>
      </c>
      <c r="AK281" s="469">
        <f ca="1">IF(AK$166&gt;='2.2 Input_General_Information'!$H$20,AK276/AK$279,)</f>
        <v>1.6961504977370961E-2</v>
      </c>
      <c r="AL281" s="469">
        <f ca="1">IF(AL$166&gt;='2.2 Input_General_Information'!$H$20,AL276/AL$279,)</f>
        <v>1.3767623012917691E-2</v>
      </c>
      <c r="AM281" s="469">
        <f ca="1">IF(AM$166&gt;='2.2 Input_General_Information'!$H$20,AM276/AM$279,)</f>
        <v>1.1207098873795819E-2</v>
      </c>
      <c r="AN281" s="469">
        <f ca="1">IF(AN$166&gt;='2.2 Input_General_Information'!$H$20,AN276/AN$279,)</f>
        <v>9.1451767517287744E-3</v>
      </c>
      <c r="AO281" s="469">
        <f ca="1">IF(AO$166&gt;='2.2 Input_General_Information'!$H$20,AO276/AO$279,)</f>
        <v>7.4775855822407028E-3</v>
      </c>
      <c r="AP281" s="469">
        <f ca="1">IF(AP$166&gt;='2.2 Input_General_Information'!$H$20,AP276/AP$279,)</f>
        <v>6.1237422524587724E-3</v>
      </c>
      <c r="AQ281" s="469">
        <f ca="1">IF(AQ$166&gt;='2.2 Input_General_Information'!$H$20,AQ276/AQ$279,)</f>
        <v>5.02109442831383E-3</v>
      </c>
      <c r="AR281" s="469">
        <f ca="1">IF(AR$166&gt;='2.2 Input_General_Information'!$H$20,AR276/AR$279,)</f>
        <v>4.1207265335873504E-3</v>
      </c>
      <c r="AS281" s="469">
        <f ca="1">IF(AS$166&gt;='2.2 Input_General_Information'!$H$20,AS276/AS$279,)</f>
        <v>3.3840621315551142E-3</v>
      </c>
      <c r="AT281" s="469">
        <f ca="1">IF(AT$166&gt;='2.2 Input_General_Information'!$H$20,AT276/AT$279,)</f>
        <v>2.7804246762466126E-3</v>
      </c>
      <c r="AU281" s="469">
        <f ca="1">IF(AU$166&gt;='2.2 Input_General_Information'!$H$20,AU276/AU$279,)</f>
        <v>2.2852366518667368E-3</v>
      </c>
      <c r="AV281" s="469">
        <f ca="1">IF(AV$166&gt;='2.2 Input_General_Information'!$H$20,AV276/AV$279,)</f>
        <v>1.8786818330052012E-3</v>
      </c>
      <c r="AW281" s="469">
        <f ca="1">IF(AW$166&gt;='2.2 Input_General_Information'!$H$20,AW276/AW$279,)</f>
        <v>1.5447005919069035E-3</v>
      </c>
      <c r="AX281" s="469">
        <f ca="1">IF(AX$166&gt;='2.2 Input_General_Information'!$H$20,AX276/AX$279,)</f>
        <v>1.2702251929352525E-3</v>
      </c>
      <c r="AY281" s="469">
        <f ca="1">IF(AY$166&gt;='2.2 Input_General_Information'!$H$20,AY276/AY$279,)</f>
        <v>1.0445896278344188E-3</v>
      </c>
      <c r="AZ281" s="469">
        <f ca="1">IF(AZ$166&gt;='2.2 Input_General_Information'!$H$20,AZ276/AZ$279,)</f>
        <v>8.5906816162414858E-4</v>
      </c>
      <c r="BA281" s="469">
        <f ca="1">IF(BA$166&gt;='2.2 Input_General_Information'!$H$20,BA276/BA$279,)</f>
        <v>7.0651033652660664E-4</v>
      </c>
      <c r="BB281" s="469">
        <f ca="1">IF(BB$166&gt;='2.2 Input_General_Information'!$H$20,BB276/BB$279,)</f>
        <v>5.8104947125086389E-4</v>
      </c>
      <c r="BC281" s="469">
        <f ca="1">IF(BC$166&gt;='2.2 Input_General_Information'!$H$20,BC276/BC$279,)</f>
        <v>4.7786804173236409E-4</v>
      </c>
      <c r="BD281" s="469">
        <f ca="1">IF(BD$166&gt;='2.2 Input_General_Information'!$H$20,BD276/BD$279,)</f>
        <v>3.9300769796874889E-4</v>
      </c>
      <c r="BE281" s="469">
        <f ca="1">IF(BE$166&gt;='2.2 Input_General_Information'!$H$20,BE276/BE$279,)</f>
        <v>3.2321471717669737E-4</v>
      </c>
      <c r="BF281" s="469">
        <f ca="1">IF(BF$166&gt;='2.2 Input_General_Information'!$H$20,BF276/BF$279,)</f>
        <v>2.6581385458645726E-4</v>
      </c>
      <c r="BG281" s="469">
        <f ca="1">IF(BG$166&gt;='2.2 Input_General_Information'!$H$20,BG276/BG$279,)</f>
        <v>2.1860511831466324E-4</v>
      </c>
      <c r="BH281" s="469">
        <f ca="1">IF(BH$166&gt;='2.2 Input_General_Information'!$H$20,BH276/BH$279,)</f>
        <v>1.7977915276227161E-4</v>
      </c>
      <c r="BI281" s="469">
        <f ca="1">IF(BI$166&gt;='2.2 Input_General_Information'!$H$20,BI276/BI$279,)</f>
        <v>1.4784778969436309E-4</v>
      </c>
      <c r="BJ281" s="469">
        <f ca="1">IF(BJ$166&gt;='2.2 Input_General_Information'!$H$20,BJ276/BJ$279,)</f>
        <v>1.2158699940678703E-4</v>
      </c>
      <c r="BK281" s="469">
        <f ca="1">IF(BK$166&gt;='2.2 Input_General_Information'!$H$20,BK276/BK$279,)</f>
        <v>9.9990000999898199E-5</v>
      </c>
      <c r="BL281" s="556"/>
      <c r="BM281" s="556"/>
      <c r="BN281" s="556"/>
      <c r="BO281" s="556"/>
      <c r="BP281" s="556"/>
      <c r="BQ281" s="556"/>
      <c r="BR281" s="556"/>
      <c r="BS281" s="556"/>
      <c r="BT281" s="556"/>
      <c r="BU281" s="556"/>
    </row>
    <row r="282" spans="1:73" hidden="1">
      <c r="A282" s="6"/>
      <c r="B282" s="108"/>
      <c r="C282" s="1"/>
      <c r="D282" s="37"/>
      <c r="E282" s="10"/>
      <c r="F282" s="10"/>
      <c r="G282" s="244"/>
      <c r="H282" s="244"/>
      <c r="I282" s="244"/>
      <c r="J282" s="244"/>
      <c r="K282" s="244"/>
      <c r="L282" s="3"/>
      <c r="M282" s="3"/>
      <c r="N282" s="3"/>
      <c r="O282" s="1"/>
      <c r="P282" s="1"/>
      <c r="Q282" s="1"/>
      <c r="R282" s="193"/>
      <c r="S282" s="10"/>
      <c r="T282" s="103"/>
      <c r="U282" s="9"/>
      <c r="V282" s="101" t="s">
        <v>936</v>
      </c>
      <c r="W282" s="469">
        <f ca="1">IF(W$166&gt;='2.2 Input_General_Information'!$H$20,W277/W$279,)</f>
        <v>0.10000000000000241</v>
      </c>
      <c r="X282" s="469">
        <f ca="1">IF(X$166&gt;='2.2 Input_General_Information'!$H$20,X277/X$279,)</f>
        <v>0.13639163201359811</v>
      </c>
      <c r="Y282" s="469">
        <f ca="1">IF(Y$166&gt;='2.2 Input_General_Information'!$H$20,Y277/Y$279,)</f>
        <v>0.18370979898000425</v>
      </c>
      <c r="Z282" s="469">
        <f ca="1">IF(Z$166&gt;='2.2 Input_General_Information'!$H$20,Z277/Z$279,)</f>
        <v>0.24308612532154564</v>
      </c>
      <c r="AA282" s="469">
        <f ca="1">IF(AA$166&gt;='2.2 Input_General_Information'!$H$20,AA277/AA$279,)</f>
        <v>0.31421137371457414</v>
      </c>
      <c r="AB282" s="469">
        <f ca="1">IF(AB$166&gt;='2.2 Input_General_Information'!$H$20,AB277/AB$279,)</f>
        <v>0.39471982434783287</v>
      </c>
      <c r="AC282" s="469">
        <f ca="1">IF(AC$166&gt;='2.2 Input_General_Information'!$H$20,AC277/AC$279,)</f>
        <v>0.4802061079690223</v>
      </c>
      <c r="AD282" s="469">
        <f ca="1">IF(AD$166&gt;='2.2 Input_General_Information'!$H$20,AD277/AD$279,)</f>
        <v>0.56514357299287887</v>
      </c>
      <c r="AE282" s="469">
        <f ca="1">IF(AE$166&gt;='2.2 Input_General_Information'!$H$20,AE277/AE$279,)</f>
        <v>0.64435671146503259</v>
      </c>
      <c r="AF282" s="469">
        <f ca="1">IF(AF$166&gt;='2.2 Input_General_Information'!$H$20,AF277/AF$279,)</f>
        <v>0.71425465388381437</v>
      </c>
      <c r="AG282" s="469">
        <f ca="1">IF(AG$166&gt;='2.2 Input_General_Information'!$H$20,AG277/AG$279,)</f>
        <v>0.7732575079181544</v>
      </c>
      <c r="AH282" s="469">
        <f ca="1">IF(AH$166&gt;='2.2 Input_General_Information'!$H$20,AH277/AH$279,)</f>
        <v>0.82146507756344345</v>
      </c>
      <c r="AI282" s="469">
        <f ca="1">IF(AI$166&gt;='2.2 Input_General_Information'!$H$20,AI277/AI$279,)</f>
        <v>0.85999678647099609</v>
      </c>
      <c r="AJ282" s="469">
        <f ca="1">IF(AJ$166&gt;='2.2 Input_General_Information'!$H$20,AJ277/AJ$279,)</f>
        <v>0.89038516586729655</v>
      </c>
      <c r="AK282" s="469">
        <f ca="1">IF(AK$166&gt;='2.2 Input_General_Information'!$H$20,AK277/AK$279,)</f>
        <v>0.91418059888192438</v>
      </c>
      <c r="AL282" s="469">
        <f ca="1">IF(AL$166&gt;='2.2 Input_General_Information'!$H$20,AL277/AL$279,)</f>
        <v>0.93275747463299186</v>
      </c>
      <c r="AM282" s="469">
        <f ca="1">IF(AM$166&gt;='2.2 Input_General_Information'!$H$20,AM277/AM$279,)</f>
        <v>0.94725269018180813</v>
      </c>
      <c r="AN282" s="469">
        <f ca="1">IF(AN$166&gt;='2.2 Input_General_Information'!$H$20,AN277/AN$279,)</f>
        <v>0.95857215155454178</v>
      </c>
      <c r="AO282" s="469">
        <f ca="1">IF(AO$166&gt;='2.2 Input_General_Information'!$H$20,AO277/AO$279,)</f>
        <v>0.96742391989076593</v>
      </c>
      <c r="AP282" s="469">
        <f ca="1">IF(AP$166&gt;='2.2 Input_General_Information'!$H$20,AP277/AP$279,)</f>
        <v>0.97435666343757399</v>
      </c>
      <c r="AQ282" s="469">
        <f ca="1">IF(AQ$166&gt;='2.2 Input_General_Information'!$H$20,AQ277/AQ$279,)</f>
        <v>0.97979446416462046</v>
      </c>
      <c r="AR282" s="469">
        <f ca="1">IF(AR$166&gt;='2.2 Input_General_Information'!$H$20,AR277/AR$279,)</f>
        <v>0.98406534254880529</v>
      </c>
      <c r="AS282" s="469">
        <f ca="1">IF(AS$166&gt;='2.2 Input_General_Information'!$H$20,AS277/AS$279,)</f>
        <v>0.98742357825999583</v>
      </c>
      <c r="AT282" s="469">
        <f ca="1">IF(AT$166&gt;='2.2 Input_General_Information'!$H$20,AT277/AT$279,)</f>
        <v>0.9900668169888357</v>
      </c>
      <c r="AU282" s="469">
        <f ca="1">IF(AU$166&gt;='2.2 Input_General_Information'!$H$20,AU277/AU$279,)</f>
        <v>0.992149086578614</v>
      </c>
      <c r="AV282" s="469">
        <f ca="1">IF(AV$166&gt;='2.2 Input_General_Information'!$H$20,AV277/AV$279,)</f>
        <v>0.99379070023458005</v>
      </c>
      <c r="AW282" s="469">
        <f ca="1">IF(AW$166&gt;='2.2 Input_General_Information'!$H$20,AW277/AW$279,)</f>
        <v>0.99508581755553716</v>
      </c>
      <c r="AX282" s="469">
        <f ca="1">IF(AX$166&gt;='2.2 Input_General_Information'!$H$20,AX277/AX$279,)</f>
        <v>0.99610824521226915</v>
      </c>
      <c r="AY282" s="469">
        <f ca="1">IF(AY$166&gt;='2.2 Input_General_Information'!$H$20,AY277/AY$279,)</f>
        <v>0.99691590911447125</v>
      </c>
      <c r="AZ282" s="469">
        <f ca="1">IF(AZ$166&gt;='2.2 Input_General_Information'!$H$20,AZ277/AZ$279,)</f>
        <v>0.99755431764706803</v>
      </c>
      <c r="BA282" s="469">
        <f ca="1">IF(BA$166&gt;='2.2 Input_General_Information'!$H$20,BA277/BA$279,)</f>
        <v>0.99805925353587943</v>
      </c>
      <c r="BB282" s="469">
        <f ca="1">IF(BB$166&gt;='2.2 Input_General_Information'!$H$20,BB277/BB$279,)</f>
        <v>0.99845887232913155</v>
      </c>
      <c r="BC282" s="469">
        <f ca="1">IF(BC$166&gt;='2.2 Input_General_Information'!$H$20,BC277/BC$279,)</f>
        <v>0.99877534203207341</v>
      </c>
      <c r="BD282" s="469">
        <f ca="1">IF(BD$166&gt;='2.2 Input_General_Information'!$H$20,BD277/BD$279,)</f>
        <v>0.99902612644711697</v>
      </c>
      <c r="BE282" s="469">
        <f ca="1">IF(BE$166&gt;='2.2 Input_General_Information'!$H$20,BE277/BE$279,)</f>
        <v>0.99922499096073181</v>
      </c>
      <c r="BF282" s="469">
        <f ca="1">IF(BF$166&gt;='2.2 Input_General_Information'!$H$20,BF277/BF$279,)</f>
        <v>0.99938279159326426</v>
      </c>
      <c r="BG282" s="469">
        <f ca="1">IF(BG$166&gt;='2.2 Input_General_Information'!$H$20,BG277/BG$279,)</f>
        <v>0.99950809449900313</v>
      </c>
      <c r="BH282" s="469">
        <f ca="1">IF(BH$166&gt;='2.2 Input_General_Information'!$H$20,BH277/BH$279,)</f>
        <v>0.99960766265547041</v>
      </c>
      <c r="BI282" s="469">
        <f ca="1">IF(BI$166&gt;='2.2 Input_General_Information'!$H$20,BI277/BI$279,)</f>
        <v>0.99968683841847594</v>
      </c>
      <c r="BJ282" s="469">
        <f ca="1">IF(BJ$166&gt;='2.2 Input_General_Information'!$H$20,BJ277/BJ$279,)</f>
        <v>0.99974984436726444</v>
      </c>
      <c r="BK282" s="469">
        <f ca="1">IF(BK$166&gt;='2.2 Input_General_Information'!$H$20,BK277/BK$279,)</f>
        <v>0.99980001999800006</v>
      </c>
      <c r="BL282" s="556"/>
      <c r="BM282" s="556"/>
      <c r="BN282" s="556"/>
      <c r="BO282" s="556"/>
      <c r="BP282" s="556"/>
      <c r="BQ282" s="556"/>
      <c r="BR282" s="556"/>
      <c r="BS282" s="556"/>
      <c r="BT282" s="556"/>
      <c r="BU282" s="556"/>
    </row>
    <row r="283" spans="1:73" hidden="1">
      <c r="A283" s="6"/>
      <c r="B283" s="108"/>
      <c r="C283" s="1"/>
      <c r="D283" s="37"/>
      <c r="E283" s="10"/>
      <c r="F283" s="10"/>
      <c r="G283" s="244"/>
      <c r="H283" s="244"/>
      <c r="I283" s="244"/>
      <c r="J283" s="244"/>
      <c r="K283" s="244"/>
      <c r="L283" s="3"/>
      <c r="M283" s="3"/>
      <c r="N283" s="3"/>
      <c r="O283" s="1"/>
      <c r="P283" s="1"/>
      <c r="Q283" s="1"/>
      <c r="R283" s="193"/>
      <c r="S283" s="10"/>
      <c r="T283" s="103"/>
      <c r="U283" s="9"/>
      <c r="V283" s="101" t="s">
        <v>1008</v>
      </c>
      <c r="W283" s="469">
        <f t="shared" ref="W283:BK283" ca="1" si="59">SUM(W280:W282)</f>
        <v>1</v>
      </c>
      <c r="X283" s="469">
        <f t="shared" ca="1" si="59"/>
        <v>1</v>
      </c>
      <c r="Y283" s="469">
        <f t="shared" ca="1" si="59"/>
        <v>0.99999999999999989</v>
      </c>
      <c r="Z283" s="469">
        <f t="shared" ca="1" si="59"/>
        <v>1.0000000000000002</v>
      </c>
      <c r="AA283" s="469">
        <f t="shared" ca="1" si="59"/>
        <v>1</v>
      </c>
      <c r="AB283" s="469">
        <f t="shared" ca="1" si="59"/>
        <v>1</v>
      </c>
      <c r="AC283" s="469">
        <f t="shared" ca="1" si="59"/>
        <v>1</v>
      </c>
      <c r="AD283" s="469">
        <f t="shared" ca="1" si="59"/>
        <v>1</v>
      </c>
      <c r="AE283" s="469">
        <f t="shared" ca="1" si="59"/>
        <v>1</v>
      </c>
      <c r="AF283" s="469">
        <f t="shared" ca="1" si="59"/>
        <v>1</v>
      </c>
      <c r="AG283" s="469">
        <f t="shared" ca="1" si="59"/>
        <v>1</v>
      </c>
      <c r="AH283" s="469">
        <f t="shared" ca="1" si="59"/>
        <v>1</v>
      </c>
      <c r="AI283" s="469">
        <f t="shared" ca="1" si="59"/>
        <v>1</v>
      </c>
      <c r="AJ283" s="469">
        <f t="shared" ca="1" si="59"/>
        <v>1</v>
      </c>
      <c r="AK283" s="469">
        <f t="shared" ca="1" si="59"/>
        <v>1</v>
      </c>
      <c r="AL283" s="469">
        <f t="shared" ca="1" si="59"/>
        <v>1</v>
      </c>
      <c r="AM283" s="469">
        <f t="shared" ca="1" si="59"/>
        <v>1</v>
      </c>
      <c r="AN283" s="469">
        <f t="shared" ca="1" si="59"/>
        <v>1</v>
      </c>
      <c r="AO283" s="469">
        <f t="shared" ca="1" si="59"/>
        <v>1</v>
      </c>
      <c r="AP283" s="469">
        <f t="shared" ca="1" si="59"/>
        <v>1</v>
      </c>
      <c r="AQ283" s="469">
        <f t="shared" ca="1" si="59"/>
        <v>1</v>
      </c>
      <c r="AR283" s="469">
        <f t="shared" ca="1" si="59"/>
        <v>1</v>
      </c>
      <c r="AS283" s="469">
        <f t="shared" ca="1" si="59"/>
        <v>1</v>
      </c>
      <c r="AT283" s="469">
        <f t="shared" ca="1" si="59"/>
        <v>1</v>
      </c>
      <c r="AU283" s="469">
        <f t="shared" ca="1" si="59"/>
        <v>1</v>
      </c>
      <c r="AV283" s="469">
        <f t="shared" ca="1" si="59"/>
        <v>0.99999999999999989</v>
      </c>
      <c r="AW283" s="469">
        <f t="shared" ca="1" si="59"/>
        <v>0.99999999999999989</v>
      </c>
      <c r="AX283" s="469">
        <f t="shared" ca="1" si="59"/>
        <v>1</v>
      </c>
      <c r="AY283" s="469">
        <f t="shared" ca="1" si="59"/>
        <v>1</v>
      </c>
      <c r="AZ283" s="469">
        <f t="shared" ca="1" si="59"/>
        <v>1</v>
      </c>
      <c r="BA283" s="469">
        <f t="shared" ca="1" si="59"/>
        <v>1</v>
      </c>
      <c r="BB283" s="469">
        <f t="shared" ca="1" si="59"/>
        <v>1</v>
      </c>
      <c r="BC283" s="469">
        <f t="shared" ca="1" si="59"/>
        <v>1</v>
      </c>
      <c r="BD283" s="469">
        <f t="shared" ca="1" si="59"/>
        <v>1</v>
      </c>
      <c r="BE283" s="469">
        <f t="shared" ca="1" si="59"/>
        <v>1</v>
      </c>
      <c r="BF283" s="469">
        <f t="shared" ca="1" si="59"/>
        <v>1</v>
      </c>
      <c r="BG283" s="469">
        <f t="shared" ca="1" si="59"/>
        <v>1</v>
      </c>
      <c r="BH283" s="469">
        <f t="shared" ca="1" si="59"/>
        <v>1</v>
      </c>
      <c r="BI283" s="469">
        <f t="shared" ca="1" si="59"/>
        <v>1.0000000000000002</v>
      </c>
      <c r="BJ283" s="469">
        <f t="shared" ca="1" si="59"/>
        <v>0.99999999999999989</v>
      </c>
      <c r="BK283" s="469">
        <f t="shared" ca="1" si="59"/>
        <v>0.99999999999999989</v>
      </c>
      <c r="BL283" s="556"/>
      <c r="BM283" s="556"/>
      <c r="BN283" s="556"/>
      <c r="BO283" s="556"/>
      <c r="BP283" s="556"/>
      <c r="BQ283" s="556"/>
      <c r="BR283" s="556"/>
      <c r="BS283" s="556"/>
      <c r="BT283" s="556"/>
      <c r="BU283" s="556"/>
    </row>
    <row r="284" spans="1:73" hidden="1">
      <c r="A284" s="6"/>
      <c r="B284" s="108"/>
      <c r="C284" s="1"/>
      <c r="D284" s="37"/>
      <c r="E284" s="10"/>
      <c r="F284" s="10"/>
      <c r="G284" s="244"/>
      <c r="H284" s="244"/>
      <c r="I284" s="244"/>
      <c r="J284" s="244"/>
      <c r="K284" s="244"/>
      <c r="L284" s="3"/>
      <c r="M284" s="3"/>
      <c r="N284" s="3"/>
      <c r="O284" s="1"/>
      <c r="P284" s="1"/>
      <c r="Q284" s="1"/>
      <c r="R284" s="193"/>
      <c r="S284" s="10"/>
      <c r="T284" s="103"/>
      <c r="U284" s="9"/>
      <c r="V284" s="103"/>
      <c r="W284" s="469"/>
      <c r="X284" s="469"/>
      <c r="Y284" s="469"/>
      <c r="Z284" s="469"/>
      <c r="AA284" s="469"/>
      <c r="AB284" s="469"/>
      <c r="AC284" s="469"/>
      <c r="AD284" s="469"/>
      <c r="AE284" s="469"/>
      <c r="AF284" s="469"/>
      <c r="AG284" s="469"/>
      <c r="AH284" s="469"/>
      <c r="AI284" s="469"/>
      <c r="AJ284" s="469"/>
      <c r="AK284" s="469"/>
      <c r="AL284" s="469"/>
      <c r="AM284" s="469"/>
      <c r="AN284" s="469"/>
      <c r="AO284" s="469"/>
      <c r="AP284" s="469"/>
      <c r="AQ284" s="469"/>
      <c r="AR284" s="469"/>
      <c r="AS284" s="469"/>
      <c r="AT284" s="469"/>
      <c r="AU284" s="469"/>
      <c r="AV284" s="469"/>
      <c r="AW284" s="469"/>
      <c r="AX284" s="469"/>
      <c r="AY284" s="469"/>
      <c r="AZ284" s="469"/>
      <c r="BA284" s="469"/>
      <c r="BB284" s="469"/>
      <c r="BC284" s="469"/>
      <c r="BD284" s="469"/>
      <c r="BE284" s="469"/>
      <c r="BF284" s="469"/>
      <c r="BG284" s="469"/>
      <c r="BH284" s="469"/>
      <c r="BI284" s="469"/>
      <c r="BJ284" s="469"/>
      <c r="BK284" s="469"/>
      <c r="BL284" s="556"/>
      <c r="BM284" s="556"/>
      <c r="BN284" s="556"/>
      <c r="BO284" s="556"/>
      <c r="BP284" s="556"/>
      <c r="BQ284" s="556"/>
      <c r="BR284" s="556"/>
      <c r="BS284" s="556"/>
      <c r="BT284" s="556"/>
      <c r="BU284" s="556"/>
    </row>
    <row r="285" spans="1:73" hidden="1">
      <c r="A285" s="6"/>
      <c r="B285" s="108"/>
      <c r="C285" s="1"/>
      <c r="D285" s="37"/>
      <c r="E285" s="10"/>
      <c r="F285" s="10"/>
      <c r="G285" s="244"/>
      <c r="H285" s="244"/>
      <c r="I285" s="244"/>
      <c r="J285" s="244"/>
      <c r="K285" s="244"/>
      <c r="L285" s="3"/>
      <c r="M285" s="3"/>
      <c r="N285" s="3"/>
      <c r="O285" s="1"/>
      <c r="P285" s="1"/>
      <c r="Q285" s="1"/>
      <c r="R285" s="193"/>
      <c r="S285" s="10"/>
      <c r="T285" s="103"/>
      <c r="U285" s="9"/>
      <c r="V285" s="101" t="s">
        <v>449</v>
      </c>
      <c r="W285" s="469">
        <f ca="1">IF(W$166&lt;'2.2 Input_General_Information'!$H$20, ,IF(W$166='2.2 Input_General_Information'!$H$20,$H269,V285/V280*W280))</f>
        <v>0.2</v>
      </c>
      <c r="X285" s="469">
        <f ca="1">IF(X$166&lt;'2.2 Input_General_Information'!$H$20, ,IF(X$166='2.2 Input_General_Information'!$H$20,$H269,W285/W280*X280))</f>
        <v>0.19513213966293755</v>
      </c>
      <c r="Y285" s="469">
        <f ca="1">IF(Y$166&lt;'2.2 Input_General_Information'!$H$20, ,IF(Y$166='2.2 Input_General_Information'!$H$20,$H269,X285/X280*Y280))</f>
        <v>0.18701592601448341</v>
      </c>
      <c r="Z285" s="469">
        <f ca="1">IF(Z$166&lt;'2.2 Input_General_Information'!$H$20, ,IF(Z$166='2.2 Input_General_Information'!$H$20,$H269,Y285/Y280*Z280))</f>
        <v>0.17535483171431249</v>
      </c>
      <c r="AA285" s="469">
        <f ca="1">IF(AA$166&lt;'2.2 Input_General_Information'!$H$20, ,IF(AA$166='2.2 Input_General_Information'!$H$20,$H269,Z285/Z280*AA280))</f>
        <v>0.16023697949380547</v>
      </c>
      <c r="AB285" s="469">
        <f ca="1">IF(AB$166&lt;'2.2 Input_General_Information'!$H$20, ,IF(AB$166='2.2 Input_General_Information'!$H$20,$H269,AA285/AA280*AB280))</f>
        <v>0.14228662971052911</v>
      </c>
      <c r="AC285" s="469">
        <f ca="1">IF(AC$166&lt;'2.2 Input_General_Information'!$H$20, ,IF(AC$166='2.2 Input_General_Information'!$H$20,$H269,AB285/AB280*AC280))</f>
        <v>0.12265644907229387</v>
      </c>
      <c r="AD285" s="469">
        <f ca="1">IF(AD$166&lt;'2.2 Input_General_Information'!$H$20, ,IF(AD$166='2.2 Input_General_Information'!$H$20,$H269,AC285/AC280*AD280))</f>
        <v>0.10279228542314478</v>
      </c>
      <c r="AE285" s="469">
        <f ca="1">IF(AE$166&lt;'2.2 Input_General_Information'!$H$20, ,IF(AE$166='2.2 Input_General_Information'!$H$20,$H269,AD285/AD280*AE280))</f>
        <v>8.4057273735579544E-2</v>
      </c>
      <c r="AF285" s="469">
        <f ca="1">IF(AF$166&lt;'2.2 Input_General_Information'!$H$20, ,IF(AF$166='2.2 Input_General_Information'!$H$20,$H269,AE285/AE280*AF280))</f>
        <v>6.7415345548881622E-2</v>
      </c>
      <c r="AG285" s="469">
        <f ca="1">IF(AG$166&lt;'2.2 Input_General_Information'!$H$20, ,IF(AG$166='2.2 Input_General_Information'!$H$20,$H269,AF285/AF280*AG280))</f>
        <v>5.3318688962558841E-2</v>
      </c>
      <c r="AH285" s="469">
        <f ca="1">IF(AH$166&lt;'2.2 Input_General_Information'!$H$20, ,IF(AH$166='2.2 Input_General_Information'!$H$20,$H269,AG285/AG280*AH280))</f>
        <v>4.178799335829473E-2</v>
      </c>
      <c r="AI285" s="469">
        <f ca="1">IF(AI$166&lt;'2.2 Input_General_Information'!$H$20, ,IF(AI$166='2.2 Input_General_Information'!$H$20,$H269,AH285/AH280*AI280))</f>
        <v>3.2577742924577498E-2</v>
      </c>
      <c r="AJ285" s="469">
        <f ca="1">IF(AJ$166&lt;'2.2 Input_General_Information'!$H$20, ,IF(AJ$166='2.2 Input_General_Information'!$H$20,$H269,AI285/AI280*AJ280))</f>
        <v>2.5329650472580748E-2</v>
      </c>
      <c r="AK285" s="469">
        <f ca="1">IF(AK$166&lt;'2.2 Input_General_Information'!$H$20, ,IF(AK$166='2.2 Input_General_Information'!$H$20,$H269,AJ285/AJ280*AK280))</f>
        <v>1.9673684611629879E-2</v>
      </c>
      <c r="AL285" s="469">
        <f ca="1">IF(AL$166&lt;'2.2 Input_General_Information'!$H$20, ,IF(AL$166='2.2 Input_General_Information'!$H$20,$H269,AK285/AK280*AL280))</f>
        <v>1.5278543529740131E-2</v>
      </c>
      <c r="AM285" s="469">
        <f ca="1">IF(AM$166&lt;'2.2 Input_General_Information'!$H$20, ,IF(AM$166='2.2 Input_General_Information'!$H$20,$H269,AL285/AL280*AM280))</f>
        <v>1.1868631698398862E-2</v>
      </c>
      <c r="AN285" s="469">
        <f ca="1">IF(AN$166&lt;'2.2 Input_General_Information'!$H$20, ,IF(AN$166='2.2 Input_General_Information'!$H$20,$H269,AM285/AM280*AN280))</f>
        <v>9.2236204839226902E-3</v>
      </c>
      <c r="AO285" s="469">
        <f ca="1">IF(AO$166&lt;'2.2 Input_General_Information'!$H$20, ,IF(AO$166='2.2 Input_General_Information'!$H$20,$H269,AN285/AN280*AO280))</f>
        <v>7.1709984362838038E-3</v>
      </c>
      <c r="AP285" s="469">
        <f ca="1">IF(AP$166&lt;'2.2 Input_General_Information'!$H$20, ,IF(AP$166='2.2 Input_General_Information'!$H$20,$H269,AO285/AO280*AP280))</f>
        <v>5.577026945704942E-3</v>
      </c>
      <c r="AQ285" s="469">
        <f ca="1">IF(AQ$166&lt;'2.2 Input_General_Information'!$H$20, ,IF(AQ$166='2.2 Input_General_Information'!$H$20,$H269,AP285/AP280*AQ280))</f>
        <v>4.3384118305901899E-3</v>
      </c>
      <c r="AR285" s="469">
        <f ca="1">IF(AR$166&lt;'2.2 Input_General_Information'!$H$20, ,IF(AR$166='2.2 Input_General_Information'!$H$20,$H269,AQ285/AQ280*AR280))</f>
        <v>3.3754088336021108E-3</v>
      </c>
      <c r="AS285" s="469">
        <f ca="1">IF(AS$166&lt;'2.2 Input_General_Information'!$H$20, ,IF(AS$166='2.2 Input_General_Information'!$H$20,$H269,AR285/AR280*AS280))</f>
        <v>2.6263884595568634E-3</v>
      </c>
      <c r="AT285" s="469">
        <f ca="1">IF(AT$166&lt;'2.2 Input_General_Information'!$H$20, ,IF(AT$166='2.2 Input_General_Information'!$H$20,$H269,AS285/AS280*AT280))</f>
        <v>2.0436452385479125E-3</v>
      </c>
      <c r="AU285" s="469">
        <f ca="1">IF(AU$166&lt;'2.2 Input_General_Information'!$H$20, ,IF(AU$166='2.2 Input_General_Information'!$H$20,$H269,AT285/AT280*AU280))</f>
        <v>1.590193362719783E-3</v>
      </c>
      <c r="AV285" s="469">
        <f ca="1">IF(AV$166&lt;'2.2 Input_General_Information'!$H$20, ,IF(AV$166='2.2 Input_General_Information'!$H$20,$H269,AU285/AU280*AV280))</f>
        <v>1.2373194092613355E-3</v>
      </c>
      <c r="AW285" s="469">
        <f ca="1">IF(AW$166&lt;'2.2 Input_General_Information'!$H$20, ,IF(AW$166='2.2 Input_General_Information'!$H$20,$H269,AV285/AV280*AW280))</f>
        <v>9.6270910073024474E-4</v>
      </c>
      <c r="AX285" s="469">
        <f ca="1">IF(AX$166&lt;'2.2 Input_General_Information'!$H$20, ,IF(AX$166='2.2 Input_General_Information'!$H$20,$H269,AW285/AW280*AX280))</f>
        <v>7.4900845565588814E-4</v>
      </c>
      <c r="AY285" s="469">
        <f ca="1">IF(AY$166&lt;'2.2 Input_General_Information'!$H$20, ,IF(AY$166='2.2 Input_General_Information'!$H$20,$H269,AX285/AX280*AY280))</f>
        <v>5.8271464505554166E-4</v>
      </c>
      <c r="AZ285" s="469">
        <f ca="1">IF(AZ$166&lt;'2.2 Input_General_Information'!$H$20, ,IF(AZ$166='2.2 Input_General_Information'!$H$20,$H269,AY285/AY280*AZ280))</f>
        <v>4.5331834037365182E-4</v>
      </c>
      <c r="BA285" s="469">
        <f ca="1">IF(BA$166&lt;'2.2 Input_General_Information'!$H$20, ,IF(BA$166='2.2 Input_General_Information'!$H$20,$H269,AZ285/AZ280*BA280))</f>
        <v>3.5263889359829254E-4</v>
      </c>
      <c r="BB285" s="469">
        <f ca="1">IF(BB$166&lt;'2.2 Input_General_Information'!$H$20, ,IF(BB$166='2.2 Input_General_Information'!$H$20,$H269,BA285/BA280*BB280))</f>
        <v>2.7430805703359043E-4</v>
      </c>
      <c r="BC285" s="469">
        <f ca="1">IF(BC$166&lt;'2.2 Input_General_Information'!$H$20, ,IF(BC$166='2.2 Input_General_Information'!$H$20,$H269,BB285/BB280*BC280))</f>
        <v>2.1336855034122745E-4</v>
      </c>
      <c r="BD285" s="469">
        <f ca="1">IF(BD$166&lt;'2.2 Input_General_Information'!$H$20, ,IF(BD$166='2.2 Input_General_Information'!$H$20,$H269,BC285/BC280*BD280))</f>
        <v>1.659616728326519E-4</v>
      </c>
      <c r="BE285" s="469">
        <f ca="1">IF(BE$166&lt;'2.2 Input_General_Information'!$H$20, ,IF(BE$166='2.2 Input_General_Information'!$H$20,$H269,BD285/BD280*BE280))</f>
        <v>1.2908409202613667E-4</v>
      </c>
      <c r="BF285" s="469">
        <f ca="1">IF(BF$166&lt;'2.2 Input_General_Information'!$H$20, ,IF(BF$166='2.2 Input_General_Information'!$H$20,$H269,BE285/BE280*BF280))</f>
        <v>1.0039844347122416E-4</v>
      </c>
      <c r="BG285" s="469">
        <f ca="1">IF(BG$166&lt;'2.2 Input_General_Information'!$H$20, ,IF(BG$166='2.2 Input_General_Information'!$H$20,$H269,BF285/BF280*BG280))</f>
        <v>7.8085823623491086E-5</v>
      </c>
      <c r="BH285" s="469">
        <f ca="1">IF(BH$166&lt;'2.2 Input_General_Information'!$H$20, ,IF(BH$166='2.2 Input_General_Information'!$H$20,$H269,BG285/BG280*BH280))</f>
        <v>6.0730911933511056E-5</v>
      </c>
      <c r="BI285" s="469">
        <f ca="1">IF(BI$166&lt;'2.2 Input_General_Information'!$H$20, ,IF(BI$166='2.2 Input_General_Information'!$H$20,$H269,BH285/BH280*BI280))</f>
        <v>4.7232511951382089E-5</v>
      </c>
      <c r="BJ285" s="469">
        <f ca="1">IF(BJ$166&lt;'2.2 Input_General_Information'!$H$20, ,IF(BJ$166='2.2 Input_General_Information'!$H$20,$H269,BI285/BI280*BJ280))</f>
        <v>3.6733895236753844E-5</v>
      </c>
      <c r="BK285" s="469">
        <f ca="1">IF(BK$166&lt;'2.2 Input_General_Information'!$H$20, ,IF(BK$166='2.2 Input_General_Information'!$H$20,$H269,BJ285/BJ280*BK280))</f>
        <v>2.8568571714257311E-5</v>
      </c>
      <c r="BL285" s="556"/>
      <c r="BM285" s="556"/>
      <c r="BN285" s="556"/>
      <c r="BO285" s="556"/>
      <c r="BP285" s="556"/>
      <c r="BQ285" s="556"/>
      <c r="BR285" s="556"/>
      <c r="BS285" s="556"/>
      <c r="BT285" s="556"/>
      <c r="BU285" s="556"/>
    </row>
    <row r="286" spans="1:73" hidden="1">
      <c r="A286" s="6"/>
      <c r="B286" s="108"/>
      <c r="C286" s="1"/>
      <c r="D286" s="37"/>
      <c r="E286" s="10"/>
      <c r="F286" s="10"/>
      <c r="G286" s="244"/>
      <c r="H286" s="244"/>
      <c r="I286" s="244"/>
      <c r="J286" s="244"/>
      <c r="K286" s="244"/>
      <c r="L286" s="3"/>
      <c r="M286" s="3"/>
      <c r="N286" s="3"/>
      <c r="O286" s="1"/>
      <c r="P286" s="1"/>
      <c r="Q286" s="1"/>
      <c r="R286" s="193"/>
      <c r="S286" s="10"/>
      <c r="T286" s="103"/>
      <c r="U286" s="9"/>
      <c r="V286" s="101" t="s">
        <v>449</v>
      </c>
      <c r="W286" s="469">
        <f ca="1">IF(W$166&lt;'2.2 Input_General_Information'!$H$20, ,IF(W$166='2.2 Input_General_Information'!$H$20,$H270,V286/V281*W281))</f>
        <v>0.15</v>
      </c>
      <c r="X286" s="469">
        <f ca="1">IF(X$166&lt;'2.2 Input_General_Information'!$H$20, ,IF(X$166='2.2 Input_General_Information'!$H$20,$H270,W286/W281*X281))</f>
        <v>0.13548440937459205</v>
      </c>
      <c r="Y286" s="469">
        <f ca="1">IF(Y$166&lt;'2.2 Input_General_Information'!$H$20, ,IF(Y$166='2.2 Input_General_Information'!$H$20,$H270,X286/X281*Y281))</f>
        <v>0.12130084497697916</v>
      </c>
      <c r="Z286" s="469">
        <f ca="1">IF(Z$166&lt;'2.2 Input_General_Information'!$H$20, ,IF(Z$166='2.2 Input_General_Information'!$H$20,$H270,Y286/Y281*Z281))</f>
        <v>0.10737897275877176</v>
      </c>
      <c r="AA286" s="469">
        <f ca="1">IF(AA$166&lt;'2.2 Input_General_Information'!$H$20, ,IF(AA$166='2.2 Input_General_Information'!$H$20,$H270,Z286/Z281*AA281))</f>
        <v>9.3719398542831039E-2</v>
      </c>
      <c r="AB286" s="469">
        <f ca="1">IF(AB$166&lt;'2.2 Input_General_Information'!$H$20, ,IF(AB$166='2.2 Input_General_Information'!$H$20,$H270,AA286/AA281*AB281))</f>
        <v>8.0457728748987364E-2</v>
      </c>
      <c r="AC286" s="469">
        <f ca="1">IF(AC$166&lt;'2.2 Input_General_Information'!$H$20, ,IF(AC$166='2.2 Input_General_Information'!$H$20,$H270,AB286/AB281*AC281))</f>
        <v>6.7872240208462581E-2</v>
      </c>
      <c r="AD286" s="469">
        <f ca="1">IF(AD$166&lt;'2.2 Input_General_Information'!$H$20, ,IF(AD$166='2.2 Input_General_Information'!$H$20,$H270,AC286/AC281*AD281))</f>
        <v>5.6312571019586338E-2</v>
      </c>
      <c r="AE286" s="469">
        <f ca="1">IF(AE$166&lt;'2.2 Input_General_Information'!$H$20, ,IF(AE$166='2.2 Input_General_Information'!$H$20,$H270,AD286/AD281*AE281))</f>
        <v>4.6082122845329768E-2</v>
      </c>
      <c r="AF286" s="469">
        <f ca="1">IF(AF$166&lt;'2.2 Input_General_Information'!$H$20, ,IF(AF$166='2.2 Input_General_Information'!$H$20,$H270,AE286/AE281*AF281))</f>
        <v>3.7343727521325351E-2</v>
      </c>
      <c r="AG286" s="469">
        <f ca="1">IF(AG$166&lt;'2.2 Input_General_Information'!$H$20, ,IF(AG$166='2.2 Input_General_Information'!$H$20,$H270,AF286/AF281*AG281))</f>
        <v>3.0095310534667536E-2</v>
      </c>
      <c r="AH286" s="469">
        <f ca="1">IF(AH$166&lt;'2.2 Input_General_Information'!$H$20, ,IF(AH$166='2.2 Input_General_Information'!$H$20,$H270,AG286/AG281*AH281))</f>
        <v>2.4207709261894021E-2</v>
      </c>
      <c r="AI286" s="469">
        <f ca="1">IF(AI$166&lt;'2.2 Input_General_Information'!$H$20, ,IF(AI$166='2.2 Input_General_Information'!$H$20,$H270,AH286/AH281*AI281))</f>
        <v>1.9485834969737222E-2</v>
      </c>
      <c r="AJ286" s="469">
        <f ca="1">IF(AJ$166&lt;'2.2 Input_General_Information'!$H$20, ,IF(AJ$166='2.2 Input_General_Information'!$H$20,$H270,AI286/AI281*AJ281))</f>
        <v>1.5720793109003334E-2</v>
      </c>
      <c r="AK286" s="469">
        <f ca="1">IF(AK$166&lt;'2.2 Input_General_Information'!$H$20, ,IF(AK$166='2.2 Input_General_Information'!$H$20,$H270,AJ286/AJ281*AK281))</f>
        <v>1.2721128733028417E-2</v>
      </c>
      <c r="AL286" s="469">
        <f ca="1">IF(AL$166&lt;'2.2 Input_General_Information'!$H$20, ,IF(AL$166='2.2 Input_General_Information'!$H$20,$H270,AK286/AK281*AL281))</f>
        <v>1.0325717259688429E-2</v>
      </c>
      <c r="AM286" s="469">
        <f ca="1">IF(AM$166&lt;'2.2 Input_General_Information'!$H$20, ,IF(AM$166='2.2 Input_General_Information'!$H$20,$H270,AL286/AL281*AM281))</f>
        <v>8.4053241553469944E-3</v>
      </c>
      <c r="AN286" s="469">
        <f ca="1">IF(AN$166&lt;'2.2 Input_General_Information'!$H$20, ,IF(AN$166='2.2 Input_General_Information'!$H$20,$H270,AM286/AM281*AN281))</f>
        <v>6.8588825637966875E-3</v>
      </c>
      <c r="AO286" s="469">
        <f ca="1">IF(AO$166&lt;'2.2 Input_General_Information'!$H$20, ,IF(AO$166='2.2 Input_General_Information'!$H$20,$H270,AN286/AN281*AO281))</f>
        <v>5.6081891866806141E-3</v>
      </c>
      <c r="AP286" s="469">
        <f ca="1">IF(AP$166&lt;'2.2 Input_General_Information'!$H$20, ,IF(AP$166='2.2 Input_General_Information'!$H$20,$H270,AO286/AO281*AP281))</f>
        <v>4.5928066893441508E-3</v>
      </c>
      <c r="AQ286" s="469">
        <f ca="1">IF(AQ$166&lt;'2.2 Input_General_Information'!$H$20, ,IF(AQ$166='2.2 Input_General_Information'!$H$20,$H270,AP286/AP281*AQ281))</f>
        <v>3.7658208212354308E-3</v>
      </c>
      <c r="AR286" s="469">
        <f ca="1">IF(AR$166&lt;'2.2 Input_General_Information'!$H$20, ,IF(AR$166='2.2 Input_General_Information'!$H$20,$H270,AQ286/AQ281*AR281))</f>
        <v>3.0905449001905607E-3</v>
      </c>
      <c r="AS286" s="469">
        <f ca="1">IF(AS$166&lt;'2.2 Input_General_Information'!$H$20, ,IF(AS$166='2.2 Input_General_Information'!$H$20,$H270,AR286/AR281*AS281))</f>
        <v>2.5380465986663751E-3</v>
      </c>
      <c r="AT286" s="469">
        <f ca="1">IF(AT$166&lt;'2.2 Input_General_Information'!$H$20, ,IF(AT$166='2.2 Input_General_Information'!$H$20,$H270,AS286/AS281*AT281))</f>
        <v>2.085318507184992E-3</v>
      </c>
      <c r="AU286" s="469">
        <f ca="1">IF(AU$166&lt;'2.2 Input_General_Information'!$H$20, ,IF(AU$166='2.2 Input_General_Information'!$H$20,$H270,AT286/AT281*AU281))</f>
        <v>1.7139274889000791E-3</v>
      </c>
      <c r="AV286" s="469">
        <f ca="1">IF(AV$166&lt;'2.2 Input_General_Information'!$H$20, ,IF(AV$166='2.2 Input_General_Information'!$H$20,$H270,AU286/AU281*AV281))</f>
        <v>1.4090113747539227E-3</v>
      </c>
      <c r="AW286" s="469">
        <f ca="1">IF(AW$166&lt;'2.2 Input_General_Information'!$H$20, ,IF(AW$166='2.2 Input_General_Information'!$H$20,$H270,AV286/AV281*AW281))</f>
        <v>1.1585254439301956E-3</v>
      </c>
      <c r="AX286" s="469">
        <f ca="1">IF(AX$166&lt;'2.2 Input_General_Information'!$H$20, ,IF(AX$166='2.2 Input_General_Information'!$H$20,$H270,AW286/AW281*AX281))</f>
        <v>9.5266889470145414E-4</v>
      </c>
      <c r="AY286" s="469">
        <f ca="1">IF(AY$166&lt;'2.2 Input_General_Information'!$H$20, ,IF(AY$166='2.2 Input_General_Information'!$H$20,$H270,AX286/AX281*AY281))</f>
        <v>7.8344222087582628E-4</v>
      </c>
      <c r="AZ286" s="469">
        <f ca="1">IF(AZ$166&lt;'2.2 Input_General_Information'!$H$20, ,IF(AZ$166='2.2 Input_General_Information'!$H$20,$H270,AY286/AY281*AZ281))</f>
        <v>6.4430112121812149E-4</v>
      </c>
      <c r="BA286" s="469">
        <f ca="1">IF(BA$166&lt;'2.2 Input_General_Information'!$H$20, ,IF(BA$166='2.2 Input_General_Information'!$H$20,$H270,AZ286/AZ281*BA281))</f>
        <v>5.2988275239496325E-4</v>
      </c>
      <c r="BB286" s="469">
        <f ca="1">IF(BB$166&lt;'2.2 Input_General_Information'!$H$20, ,IF(BB$166='2.2 Input_General_Information'!$H$20,$H270,BA286/BA281*BB281))</f>
        <v>4.3578710343815467E-4</v>
      </c>
      <c r="BC286" s="469">
        <f ca="1">IF(BC$166&lt;'2.2 Input_General_Information'!$H$20, ,IF(BC$166='2.2 Input_General_Information'!$H$20,$H270,BB286/BB281*BC281))</f>
        <v>3.5840103129927865E-4</v>
      </c>
      <c r="BD286" s="469">
        <f ca="1">IF(BD$166&lt;'2.2 Input_General_Information'!$H$20, ,IF(BD$166='2.2 Input_General_Information'!$H$20,$H270,BC286/BC281*BD281))</f>
        <v>2.9475577347656628E-4</v>
      </c>
      <c r="BE286" s="469">
        <f ca="1">IF(BE$166&lt;'2.2 Input_General_Information'!$H$20, ,IF(BE$166='2.2 Input_General_Information'!$H$20,$H270,BD286/BD281*BE281))</f>
        <v>2.4241103788252683E-4</v>
      </c>
      <c r="BF286" s="469">
        <f ca="1">IF(BF$166&lt;'2.2 Input_General_Information'!$H$20, ,IF(BF$166='2.2 Input_General_Information'!$H$20,$H270,BE286/BE281*BF281))</f>
        <v>1.9936039093984608E-4</v>
      </c>
      <c r="BG286" s="469">
        <f ca="1">IF(BG$166&lt;'2.2 Input_General_Information'!$H$20, ,IF(BG$166='2.2 Input_General_Information'!$H$20,$H270,BF286/BF281*BG281))</f>
        <v>1.63953838736E-4</v>
      </c>
      <c r="BH286" s="469">
        <f ca="1">IF(BH$166&lt;'2.2 Input_General_Information'!$H$20, ,IF(BH$166='2.2 Input_General_Information'!$H$20,$H270,BG286/BG281*BH281))</f>
        <v>1.3483436457170582E-4</v>
      </c>
      <c r="BI286" s="469">
        <f ca="1">IF(BI$166&lt;'2.2 Input_General_Information'!$H$20, ,IF(BI$166='2.2 Input_General_Information'!$H$20,$H270,BH286/BH281*BI281))</f>
        <v>1.1088584227077406E-4</v>
      </c>
      <c r="BJ286" s="469">
        <f ca="1">IF(BJ$166&lt;'2.2 Input_General_Information'!$H$20, ,IF(BJ$166='2.2 Input_General_Information'!$H$20,$H270,BI286/BI281*BJ281))</f>
        <v>9.1190249555091706E-5</v>
      </c>
      <c r="BK286" s="469">
        <f ca="1">IF(BK$166&lt;'2.2 Input_General_Information'!$H$20, ,IF(BK$166='2.2 Input_General_Information'!$H$20,$H270,BJ286/BJ281*BK281))</f>
        <v>7.4992500749924832E-5</v>
      </c>
      <c r="BL286" s="556"/>
      <c r="BM286" s="556"/>
      <c r="BN286" s="556"/>
      <c r="BO286" s="556"/>
      <c r="BP286" s="556"/>
      <c r="BQ286" s="556"/>
      <c r="BR286" s="556"/>
      <c r="BS286" s="556"/>
      <c r="BT286" s="556"/>
      <c r="BU286" s="556"/>
    </row>
    <row r="287" spans="1:73" hidden="1">
      <c r="A287" s="6"/>
      <c r="B287" s="108"/>
      <c r="C287" s="1"/>
      <c r="D287" s="37"/>
      <c r="E287" s="10"/>
      <c r="F287" s="10"/>
      <c r="G287" s="244"/>
      <c r="H287" s="244"/>
      <c r="I287" s="244"/>
      <c r="J287" s="244"/>
      <c r="K287" s="244"/>
      <c r="L287" s="3"/>
      <c r="M287" s="3"/>
      <c r="N287" s="3"/>
      <c r="O287" s="1"/>
      <c r="P287" s="1"/>
      <c r="Q287" s="1"/>
      <c r="R287" s="193"/>
      <c r="S287" s="10"/>
      <c r="T287" s="103"/>
      <c r="U287" s="9"/>
      <c r="V287" s="101" t="s">
        <v>449</v>
      </c>
      <c r="W287" s="469">
        <f ca="1">IF(W$166&lt;'2.2 Input_General_Information'!$H$20, ,IF(W$166='2.2 Input_General_Information'!$H$20,$H271,V287/V282*W282))</f>
        <v>0.02</v>
      </c>
      <c r="X287" s="469">
        <f ca="1">IF(X$166&lt;'2.2 Input_General_Information'!$H$20, ,IF(X$166='2.2 Input_General_Information'!$H$20,$H271,W287/W282*X282))</f>
        <v>2.7278326402718964E-2</v>
      </c>
      <c r="Y287" s="469">
        <f ca="1">IF(Y$166&lt;'2.2 Input_General_Information'!$H$20, ,IF(Y$166='2.2 Input_General_Information'!$H$20,$H271,X287/X282*Y282))</f>
        <v>3.6741959795999965E-2</v>
      </c>
      <c r="Z287" s="469">
        <f ca="1">IF(Z$166&lt;'2.2 Input_General_Information'!$H$20, ,IF(Z$166='2.2 Input_General_Information'!$H$20,$H271,Y287/Y282*Z282))</f>
        <v>4.8617225064307955E-2</v>
      </c>
      <c r="AA287" s="469">
        <f ca="1">IF(AA$166&lt;'2.2 Input_General_Information'!$H$20, ,IF(AA$166='2.2 Input_General_Information'!$H$20,$H271,Z287/Z282*AA282))</f>
        <v>6.2842274742913318E-2</v>
      </c>
      <c r="AB287" s="469">
        <f ca="1">IF(AB$166&lt;'2.2 Input_General_Information'!$H$20, ,IF(AB$166='2.2 Input_General_Information'!$H$20,$H271,AA287/AA282*AB282))</f>
        <v>7.8943964869564676E-2</v>
      </c>
      <c r="AC287" s="469">
        <f ca="1">IF(AC$166&lt;'2.2 Input_General_Information'!$H$20, ,IF(AC$166='2.2 Input_General_Information'!$H$20,$H271,AB287/AB282*AC282))</f>
        <v>9.6041221593802142E-2</v>
      </c>
      <c r="AD287" s="469">
        <f ca="1">IF(AD$166&lt;'2.2 Input_General_Information'!$H$20, ,IF(AD$166='2.2 Input_General_Information'!$H$20,$H271,AC287/AC282*AD282))</f>
        <v>0.11302871459857305</v>
      </c>
      <c r="AE287" s="469">
        <f ca="1">IF(AE$166&lt;'2.2 Input_General_Information'!$H$20, ,IF(AE$166='2.2 Input_General_Information'!$H$20,$H271,AD287/AD282*AE282))</f>
        <v>0.12887134229300343</v>
      </c>
      <c r="AF287" s="469">
        <f ca="1">IF(AF$166&lt;'2.2 Input_General_Information'!$H$20, ,IF(AF$166='2.2 Input_General_Information'!$H$20,$H271,AE287/AE282*AF282))</f>
        <v>0.14285093077675945</v>
      </c>
      <c r="AG287" s="469">
        <f ca="1">IF(AG$166&lt;'2.2 Input_General_Information'!$H$20, ,IF(AG$166='2.2 Input_General_Information'!$H$20,$H271,AF287/AF282*AG282))</f>
        <v>0.15465150158362717</v>
      </c>
      <c r="AH287" s="469">
        <f ca="1">IF(AH$166&lt;'2.2 Input_General_Information'!$H$20, ,IF(AH$166='2.2 Input_General_Information'!$H$20,$H271,AG287/AG282*AH282))</f>
        <v>0.16429301551268474</v>
      </c>
      <c r="AI287" s="469">
        <f ca="1">IF(AI$166&lt;'2.2 Input_General_Information'!$H$20, ,IF(AI$166='2.2 Input_General_Information'!$H$20,$H271,AH287/AH282*AI282))</f>
        <v>0.17199935729419508</v>
      </c>
      <c r="AJ287" s="469">
        <f ca="1">IF(AJ$166&lt;'2.2 Input_General_Information'!$H$20, ,IF(AJ$166='2.2 Input_General_Information'!$H$20,$H271,AI287/AI282*AJ282))</f>
        <v>0.17807703317345502</v>
      </c>
      <c r="AK287" s="469">
        <f ca="1">IF(AK$166&lt;'2.2 Input_General_Information'!$H$20, ,IF(AK$166='2.2 Input_General_Information'!$H$20,$H271,AJ287/AJ282*AK282))</f>
        <v>0.18283611977638048</v>
      </c>
      <c r="AL287" s="469">
        <f ca="1">IF(AL$166&lt;'2.2 Input_General_Information'!$H$20, ,IF(AL$166='2.2 Input_General_Information'!$H$20,$H271,AK287/AK282*AL282))</f>
        <v>0.18655149492659387</v>
      </c>
      <c r="AM287" s="469">
        <f ca="1">IF(AM$166&lt;'2.2 Input_General_Information'!$H$20, ,IF(AM$166='2.2 Input_General_Information'!$H$20,$H271,AL287/AL282*AM282))</f>
        <v>0.18945053803635706</v>
      </c>
      <c r="AN287" s="469">
        <f ca="1">IF(AN$166&lt;'2.2 Input_General_Information'!$H$20, ,IF(AN$166='2.2 Input_General_Information'!$H$20,$H271,AM287/AM282*AN282))</f>
        <v>0.19171443031090374</v>
      </c>
      <c r="AO287" s="469">
        <f ca="1">IF(AO$166&lt;'2.2 Input_General_Information'!$H$20, ,IF(AO$166='2.2 Input_General_Information'!$H$20,$H271,AN287/AN282*AO282))</f>
        <v>0.19348478397814853</v>
      </c>
      <c r="AP287" s="469">
        <f ca="1">IF(AP$166&lt;'2.2 Input_General_Information'!$H$20, ,IF(AP$166='2.2 Input_General_Information'!$H$20,$H271,AO287/AO282*AP282))</f>
        <v>0.19487133268751011</v>
      </c>
      <c r="AQ287" s="469">
        <f ca="1">IF(AQ$166&lt;'2.2 Input_General_Information'!$H$20, ,IF(AQ$166='2.2 Input_General_Information'!$H$20,$H271,AP287/AP282*AQ282))</f>
        <v>0.19595889283291937</v>
      </c>
      <c r="AR287" s="469">
        <f ca="1">IF(AR$166&lt;'2.2 Input_General_Information'!$H$20, ,IF(AR$166='2.2 Input_General_Information'!$H$20,$H271,AQ287/AQ282*AR282))</f>
        <v>0.19681306850975633</v>
      </c>
      <c r="AS287" s="469">
        <f ca="1">IF(AS$166&lt;'2.2 Input_General_Information'!$H$20, ,IF(AS$166='2.2 Input_General_Information'!$H$20,$H271,AR287/AR282*AS282))</f>
        <v>0.19748471565199441</v>
      </c>
      <c r="AT287" s="469">
        <f ca="1">IF(AT$166&lt;'2.2 Input_General_Information'!$H$20, ,IF(AT$166='2.2 Input_General_Information'!$H$20,$H271,AS287/AS282*AT282))</f>
        <v>0.19801336339776238</v>
      </c>
      <c r="AU287" s="469">
        <f ca="1">IF(AU$166&lt;'2.2 Input_General_Information'!$H$20, ,IF(AU$166='2.2 Input_General_Information'!$H$20,$H271,AT287/AT282*AU282))</f>
        <v>0.19842981731571802</v>
      </c>
      <c r="AV287" s="469">
        <f ca="1">IF(AV$166&lt;'2.2 Input_General_Information'!$H$20, ,IF(AV$166='2.2 Input_General_Information'!$H$20,$H271,AU287/AU282*AV282))</f>
        <v>0.19875814004691122</v>
      </c>
      <c r="AW287" s="469">
        <f ca="1">IF(AW$166&lt;'2.2 Input_General_Information'!$H$20, ,IF(AW$166='2.2 Input_General_Information'!$H$20,$H271,AV287/AV282*AW282))</f>
        <v>0.19901716351110263</v>
      </c>
      <c r="AX287" s="469">
        <f ca="1">IF(AX$166&lt;'2.2 Input_General_Information'!$H$20, ,IF(AX$166='2.2 Input_General_Information'!$H$20,$H271,AW287/AW282*AX282))</f>
        <v>0.19922164904244902</v>
      </c>
      <c r="AY287" s="469">
        <f ca="1">IF(AY$166&lt;'2.2 Input_General_Information'!$H$20, ,IF(AY$166='2.2 Input_General_Information'!$H$20,$H271,AX287/AX282*AY282))</f>
        <v>0.19938318182288944</v>
      </c>
      <c r="AZ287" s="469">
        <f ca="1">IF(AZ$166&lt;'2.2 Input_General_Information'!$H$20, ,IF(AZ$166='2.2 Input_General_Information'!$H$20,$H271,AY287/AY282*AZ282))</f>
        <v>0.19951086352940881</v>
      </c>
      <c r="BA287" s="469">
        <f ca="1">IF(BA$166&lt;'2.2 Input_General_Information'!$H$20, ,IF(BA$166='2.2 Input_General_Information'!$H$20,$H271,AZ287/AZ282*BA282))</f>
        <v>0.19961185070717108</v>
      </c>
      <c r="BB287" s="469">
        <f ca="1">IF(BB$166&lt;'2.2 Input_General_Information'!$H$20, ,IF(BB$166='2.2 Input_General_Information'!$H$20,$H271,BA287/BA282*BB282))</f>
        <v>0.19969177446582151</v>
      </c>
      <c r="BC287" s="469">
        <f ca="1">IF(BC$166&lt;'2.2 Input_General_Information'!$H$20, ,IF(BC$166='2.2 Input_General_Information'!$H$20,$H271,BB287/BB282*BC282))</f>
        <v>0.19975506840640986</v>
      </c>
      <c r="BD287" s="469">
        <f ca="1">IF(BD$166&lt;'2.2 Input_General_Information'!$H$20, ,IF(BD$166='2.2 Input_General_Information'!$H$20,$H271,BC287/BC282*BD282))</f>
        <v>0.19980522528941858</v>
      </c>
      <c r="BE287" s="469">
        <f ca="1">IF(BE$166&lt;'2.2 Input_General_Information'!$H$20, ,IF(BE$166='2.2 Input_General_Information'!$H$20,$H271,BD287/BD282*BE282))</f>
        <v>0.19984499819214155</v>
      </c>
      <c r="BF287" s="469">
        <f ca="1">IF(BF$166&lt;'2.2 Input_General_Information'!$H$20, ,IF(BF$166='2.2 Input_General_Information'!$H$20,$H271,BE287/BE282*BF282))</f>
        <v>0.19987655831864803</v>
      </c>
      <c r="BG287" s="469">
        <f ca="1">IF(BG$166&lt;'2.2 Input_General_Information'!$H$20, ,IF(BG$166='2.2 Input_General_Information'!$H$20,$H271,BF287/BF282*BG282))</f>
        <v>0.1999016188997958</v>
      </c>
      <c r="BH287" s="469">
        <f ca="1">IF(BH$166&lt;'2.2 Input_General_Information'!$H$20, ,IF(BH$166='2.2 Input_General_Information'!$H$20,$H271,BG287/BG282*BH282))</f>
        <v>0.19992153253108927</v>
      </c>
      <c r="BI287" s="469">
        <f ca="1">IF(BI$166&lt;'2.2 Input_General_Information'!$H$20, ,IF(BI$166='2.2 Input_General_Information'!$H$20,$H271,BH287/BH282*BI282))</f>
        <v>0.19993736768369036</v>
      </c>
      <c r="BJ287" s="469">
        <f ca="1">IF(BJ$166&lt;'2.2 Input_General_Information'!$H$20, ,IF(BJ$166='2.2 Input_General_Information'!$H$20,$H271,BI287/BI282*BJ282))</f>
        <v>0.19994996887344807</v>
      </c>
      <c r="BK287" s="469">
        <f ca="1">IF(BK$166&lt;'2.2 Input_General_Information'!$H$20, ,IF(BK$166='2.2 Input_General_Information'!$H$20,$H271,BJ287/BJ282*BK282))</f>
        <v>0.19996000399959518</v>
      </c>
      <c r="BL287" s="556"/>
      <c r="BM287" s="556"/>
      <c r="BN287" s="556"/>
      <c r="BO287" s="556"/>
      <c r="BP287" s="556"/>
      <c r="BQ287" s="556"/>
      <c r="BR287" s="556"/>
      <c r="BS287" s="556"/>
      <c r="BT287" s="556"/>
      <c r="BU287" s="556"/>
    </row>
    <row r="288" spans="1:73" hidden="1">
      <c r="A288" s="6"/>
      <c r="B288" s="108"/>
      <c r="C288" s="1"/>
      <c r="D288" s="37"/>
      <c r="E288" s="10"/>
      <c r="F288" s="10"/>
      <c r="G288" s="244"/>
      <c r="H288" s="244"/>
      <c r="I288" s="244"/>
      <c r="J288" s="244"/>
      <c r="K288" s="244"/>
      <c r="L288" s="3"/>
      <c r="M288" s="3"/>
      <c r="N288" s="3"/>
      <c r="O288" s="1"/>
      <c r="P288" s="1"/>
      <c r="Q288" s="1"/>
      <c r="R288" s="193"/>
      <c r="S288" s="10"/>
      <c r="T288" s="103"/>
      <c r="U288" s="9"/>
      <c r="V288" s="103"/>
      <c r="W288" s="469"/>
      <c r="X288" s="469"/>
      <c r="Y288" s="469"/>
      <c r="Z288" s="469"/>
      <c r="AA288" s="469"/>
      <c r="AB288" s="469"/>
      <c r="AC288" s="469"/>
      <c r="AD288" s="469"/>
      <c r="AE288" s="469"/>
      <c r="AF288" s="469"/>
      <c r="AG288" s="469"/>
      <c r="AH288" s="469"/>
      <c r="AI288" s="469"/>
      <c r="AJ288" s="469"/>
      <c r="AK288" s="469"/>
      <c r="AL288" s="469"/>
      <c r="AM288" s="469"/>
      <c r="AN288" s="469"/>
      <c r="AO288" s="469"/>
      <c r="AP288" s="469"/>
      <c r="AQ288" s="469"/>
      <c r="AR288" s="469"/>
      <c r="AS288" s="469"/>
      <c r="AT288" s="469"/>
      <c r="AU288" s="469"/>
      <c r="AV288" s="469"/>
      <c r="AW288" s="469"/>
      <c r="AX288" s="469"/>
      <c r="AY288" s="469"/>
      <c r="AZ288" s="469"/>
      <c r="BA288" s="469"/>
      <c r="BB288" s="469"/>
      <c r="BC288" s="469"/>
      <c r="BD288" s="469"/>
      <c r="BE288" s="469"/>
      <c r="BF288" s="469"/>
      <c r="BG288" s="469"/>
      <c r="BH288" s="469"/>
      <c r="BI288" s="469"/>
      <c r="BJ288" s="469"/>
      <c r="BK288" s="469"/>
      <c r="BL288" s="556"/>
      <c r="BM288" s="556"/>
      <c r="BN288" s="556"/>
      <c r="BO288" s="556"/>
      <c r="BP288" s="556"/>
      <c r="BQ288" s="556"/>
      <c r="BR288" s="556"/>
      <c r="BS288" s="556"/>
      <c r="BT288" s="556"/>
      <c r="BU288" s="556"/>
    </row>
    <row r="289" spans="1:73" hidden="1">
      <c r="A289" s="6"/>
      <c r="B289" s="108"/>
      <c r="C289" s="1"/>
      <c r="D289" s="37"/>
      <c r="E289" s="10"/>
      <c r="F289" s="10"/>
      <c r="G289" s="244"/>
      <c r="H289" s="183"/>
      <c r="I289" s="244"/>
      <c r="J289" s="244"/>
      <c r="K289" s="244"/>
      <c r="L289" s="244"/>
      <c r="M289" s="244"/>
      <c r="N289" s="244"/>
      <c r="O289" s="10"/>
      <c r="P289" s="10"/>
      <c r="Q289" s="10"/>
      <c r="R289" s="193"/>
      <c r="S289" s="10"/>
      <c r="T289" s="101"/>
      <c r="U289" s="101"/>
      <c r="V289" s="101" t="str">
        <f>D296</f>
        <v>Time saved in identifying and understanding more easily the licence of a dataset</v>
      </c>
      <c r="W289" s="469">
        <f ca="1">IF(W$166&lt;'2.2 Input_General_Information'!$H$20, ,IF(W$166='2.2 Input_General_Information'!$H$20,0,SUM(V285:V287)-SUM(W285:W287)))</f>
        <v>0</v>
      </c>
      <c r="X289" s="469">
        <f ca="1">IF(X$166&lt;'2.2 Input_General_Information'!$H$20, ,IF(X$166='2.2 Input_General_Information'!$H$20,0,SUM(W285:W287)-SUM(X285:X287)))</f>
        <v>1.2105124559751435E-2</v>
      </c>
      <c r="Y289" s="469">
        <f ca="1">IF(Y$166&lt;'2.2 Input_General_Information'!$H$20, ,IF(Y$166='2.2 Input_General_Information'!$H$20,0,SUM(X285:X287)-SUM(Y285:Y287)))</f>
        <v>1.2836144652785986E-2</v>
      </c>
      <c r="Z289" s="469">
        <f ca="1">IF(Z$166&lt;'2.2 Input_General_Information'!$H$20, ,IF(Z$166='2.2 Input_General_Information'!$H$20,0,SUM(Y285:Y287)-SUM(Z285:Z287)))</f>
        <v>1.370770125007037E-2</v>
      </c>
      <c r="AA289" s="469">
        <f ca="1">IF(AA$166&lt;'2.2 Input_General_Information'!$H$20, ,IF(AA$166='2.2 Input_General_Information'!$H$20,0,SUM(Z285:Z287)-SUM(AA285:AA287)))</f>
        <v>1.4552376757842378E-2</v>
      </c>
      <c r="AB289" s="469">
        <f ca="1">IF(AB$166&lt;'2.2 Input_General_Information'!$H$20, ,IF(AB$166='2.2 Input_General_Information'!$H$20,0,SUM(AA285:AA287)-SUM(AB285:AB287)))</f>
        <v>1.5110329450468696E-2</v>
      </c>
      <c r="AC289" s="469">
        <f ca="1">IF(AC$166&lt;'2.2 Input_General_Information'!$H$20, ,IF(AC$166='2.2 Input_General_Information'!$H$20,0,SUM(AB285:AB287)-SUM(AC285:AC287)))</f>
        <v>1.5118412454522556E-2</v>
      </c>
      <c r="AD289" s="469">
        <f ca="1">IF(AD$166&lt;'2.2 Input_General_Information'!$H$20, ,IF(AD$166='2.2 Input_General_Information'!$H$20,0,SUM(AC285:AC287)-SUM(AD285:AD287)))</f>
        <v>1.4436339833254375E-2</v>
      </c>
      <c r="AE289" s="469">
        <f ca="1">IF(AE$166&lt;'2.2 Input_General_Information'!$H$20, ,IF(AE$166='2.2 Input_General_Information'!$H$20,0,SUM(AD285:AD287)-SUM(AE285:AE287)))</f>
        <v>1.3122832167391463E-2</v>
      </c>
      <c r="AF289" s="469">
        <f ca="1">IF(AF$166&lt;'2.2 Input_General_Information'!$H$20, ,IF(AF$166='2.2 Input_General_Information'!$H$20,0,SUM(AE285:AE287)-SUM(AF285:AF287)))</f>
        <v>1.1400735026946329E-2</v>
      </c>
      <c r="AG289" s="469">
        <f ca="1">IF(AG$166&lt;'2.2 Input_General_Information'!$H$20, ,IF(AG$166='2.2 Input_General_Information'!$H$20,0,SUM(AF285:AF287)-SUM(AG285:AG287)))</f>
        <v>9.5445027661128501E-3</v>
      </c>
      <c r="AH289" s="469">
        <f ca="1">IF(AH$166&lt;'2.2 Input_General_Information'!$H$20, ,IF(AH$166='2.2 Input_General_Information'!$H$20,0,SUM(AG285:AG287)-SUM(AH285:AH287)))</f>
        <v>7.7767829479800654E-3</v>
      </c>
      <c r="AI289" s="469">
        <f ca="1">IF(AI$166&lt;'2.2 Input_General_Information'!$H$20, ,IF(AI$166='2.2 Input_General_Information'!$H$20,0,SUM(AH285:AH287)-SUM(AI285:AI287)))</f>
        <v>6.2257829443637114E-3</v>
      </c>
      <c r="AJ289" s="469">
        <f ca="1">IF(AJ$166&lt;'2.2 Input_General_Information'!$H$20, ,IF(AJ$166='2.2 Input_General_Information'!$H$20,0,SUM(AI285:AI287)-SUM(AJ285:AJ287)))</f>
        <v>4.9354584334706797E-3</v>
      </c>
      <c r="AK289" s="469">
        <f ca="1">IF(AK$166&lt;'2.2 Input_General_Information'!$H$20, ,IF(AK$166='2.2 Input_General_Information'!$H$20,0,SUM(AJ285:AJ287)-SUM(AK285:AK287)))</f>
        <v>3.8965436340003268E-3</v>
      </c>
      <c r="AL289" s="469">
        <f ca="1">IF(AL$166&lt;'2.2 Input_General_Information'!$H$20, ,IF(AL$166='2.2 Input_General_Information'!$H$20,0,SUM(AK285:AK287)-SUM(AL285:AL287)))</f>
        <v>3.0751774050163383E-3</v>
      </c>
      <c r="AM289" s="469">
        <f ca="1">IF(AM$166&lt;'2.2 Input_General_Information'!$H$20, ,IF(AM$166='2.2 Input_General_Information'!$H$20,0,SUM(AL285:AL287)-SUM(AM285:AM287)))</f>
        <v>2.4312618259195173E-3</v>
      </c>
      <c r="AN289" s="469">
        <f ca="1">IF(AN$166&lt;'2.2 Input_General_Information'!$H$20, ,IF(AN$166='2.2 Input_General_Information'!$H$20,0,SUM(AM285:AM287)-SUM(AN285:AN287)))</f>
        <v>1.9275605314797994E-3</v>
      </c>
      <c r="AO289" s="469">
        <f ca="1">IF(AO$166&lt;'2.2 Input_General_Information'!$H$20, ,IF(AO$166='2.2 Input_General_Information'!$H$20,0,SUM(AN285:AN287)-SUM(AO285:AO287)))</f>
        <v>1.5329617575101651E-3</v>
      </c>
      <c r="AP289" s="469">
        <f ca="1">IF(AP$166&lt;'2.2 Input_General_Information'!$H$20, ,IF(AP$166='2.2 Input_General_Information'!$H$20,0,SUM(AO285:AO287)-SUM(AP285:AP287)))</f>
        <v>1.2228052785537569E-3</v>
      </c>
      <c r="AQ289" s="469">
        <f ca="1">IF(AQ$166&lt;'2.2 Input_General_Information'!$H$20, ,IF(AQ$166='2.2 Input_General_Information'!$H$20,0,SUM(AP285:AP287)-SUM(AQ285:AQ287)))</f>
        <v>9.7804083781422024E-4</v>
      </c>
      <c r="AR289" s="469">
        <f ca="1">IF(AR$166&lt;'2.2 Input_General_Information'!$H$20, ,IF(AR$166='2.2 Input_General_Information'!$H$20,0,SUM(AQ285:AQ287)-SUM(AR285:AR287)))</f>
        <v>7.8410324119598807E-4</v>
      </c>
      <c r="AS289" s="469">
        <f ca="1">IF(AS$166&lt;'2.2 Input_General_Information'!$H$20, ,IF(AS$166='2.2 Input_General_Information'!$H$20,0,SUM(AR285:AR287)-SUM(AS285:AS287)))</f>
        <v>6.2987153333135537E-4</v>
      </c>
      <c r="AT289" s="469">
        <f ca="1">IF(AT$166&lt;'2.2 Input_General_Information'!$H$20, ,IF(AT$166='2.2 Input_General_Information'!$H$20,0,SUM(AS285:AS287)-SUM(AT285:AT287)))</f>
        <v>5.0682356672235307E-4</v>
      </c>
      <c r="AU289" s="469">
        <f ca="1">IF(AU$166&lt;'2.2 Input_General_Information'!$H$20, ,IF(AU$166='2.2 Input_General_Information'!$H$20,0,SUM(AT285:AT287)-SUM(AU285:AU287)))</f>
        <v>4.0838897615741443E-4</v>
      </c>
      <c r="AV289" s="469">
        <f ca="1">IF(AV$166&lt;'2.2 Input_General_Information'!$H$20, ,IF(AV$166='2.2 Input_General_Information'!$H$20,0,SUM(AU285:AU287)-SUM(AV285:AV287)))</f>
        <v>3.2946733641137094E-4</v>
      </c>
      <c r="AW289" s="469">
        <f ca="1">IF(AW$166&lt;'2.2 Input_General_Information'!$H$20, ,IF(AW$166='2.2 Input_General_Information'!$H$20,0,SUM(AV285:AV287)-SUM(AW285:AW287)))</f>
        <v>2.6607277516343952E-4</v>
      </c>
      <c r="AX289" s="469">
        <f ca="1">IF(AX$166&lt;'2.2 Input_General_Information'!$H$20, ,IF(AX$166='2.2 Input_General_Information'!$H$20,0,SUM(AW285:AW287)-SUM(AX285:AX287)))</f>
        <v>2.1507166295670066E-4</v>
      </c>
      <c r="AY289" s="469">
        <f ca="1">IF(AY$166&lt;'2.2 Input_General_Information'!$H$20, ,IF(AY$166='2.2 Input_General_Information'!$H$20,0,SUM(AX285:AX287)-SUM(AY285:AY287)))</f>
        <v>1.7398770398555086E-4</v>
      </c>
      <c r="AZ289" s="469">
        <f ca="1">IF(AZ$166&lt;'2.2 Input_General_Information'!$H$20, ,IF(AZ$166='2.2 Input_General_Information'!$H$20,0,SUM(AY285:AY287)-SUM(AZ285:AZ287)))</f>
        <v>1.4085569782021357E-4</v>
      </c>
      <c r="BA289" s="469">
        <f ca="1">IF(BA$166&lt;'2.2 Input_General_Information'!$H$20, ,IF(BA$166='2.2 Input_General_Information'!$H$20,0,SUM(AZ285:AZ287)-SUM(BA285:BA287)))</f>
        <v>1.1411063783625663E-4</v>
      </c>
      <c r="BB289" s="469">
        <f ca="1">IF(BB$166&lt;'2.2 Input_General_Information'!$H$20, ,IF(BB$166='2.2 Input_General_Information'!$H$20,0,SUM(BA285:BA287)-SUM(BB285:BB287)))</f>
        <v>9.2502726871085406E-5</v>
      </c>
      <c r="BC289" s="469">
        <f ca="1">IF(BC$166&lt;'2.2 Input_General_Information'!$H$20, ,IF(BC$166='2.2 Input_General_Information'!$H$20,0,SUM(BB285:BB287)-SUM(BC285:BC287)))</f>
        <v>7.5031638242878396E-5</v>
      </c>
      <c r="BD289" s="469">
        <f ca="1">IF(BD$166&lt;'2.2 Input_General_Information'!$H$20, ,IF(BD$166='2.2 Input_General_Information'!$H$20,0,SUM(BC285:BC287)-SUM(BD285:BD287)))</f>
        <v>6.0895252322584748E-5</v>
      </c>
      <c r="BE289" s="469">
        <f ca="1">IF(BE$166&lt;'2.2 Input_General_Information'!$H$20, ,IF(BE$166='2.2 Input_General_Information'!$H$20,0,SUM(BD285:BD287)-SUM(BE285:BE287)))</f>
        <v>4.9449413677571386E-5</v>
      </c>
      <c r="BF289" s="469">
        <f ca="1">IF(BF$166&lt;'2.2 Input_General_Information'!$H$20, ,IF(BF$166='2.2 Input_General_Information'!$H$20,0,SUM(BE285:BE287)-SUM(BF285:BF287)))</f>
        <v>4.0176168991101768E-5</v>
      </c>
      <c r="BG289" s="469">
        <f ca="1">IF(BG$166&lt;'2.2 Input_General_Information'!$H$20, ,IF(BG$166='2.2 Input_General_Information'!$H$20,0,SUM(BF285:BF287)-SUM(BG285:BG287)))</f>
        <v>3.2658590903816842E-5</v>
      </c>
      <c r="BH289" s="469">
        <f ca="1">IF(BH$166&lt;'2.2 Input_General_Information'!$H$20, ,IF(BH$166='2.2 Input_General_Information'!$H$20,0,SUM(BG285:BG287)-SUM(BH285:BH287)))</f>
        <v>2.6560754560811528E-5</v>
      </c>
      <c r="BI289" s="469">
        <f ca="1">IF(BI$166&lt;'2.2 Input_General_Information'!$H$20, ,IF(BI$166='2.2 Input_General_Information'!$H$20,0,SUM(BH285:BH287)-SUM(BI285:BI287)))</f>
        <v>2.1611769681961768E-5</v>
      </c>
      <c r="BJ289" s="469">
        <f ca="1">IF(BJ$166&lt;'2.2 Input_General_Information'!$H$20, ,IF(BJ$166='2.2 Input_General_Information'!$H$20,0,SUM(BI285:BI287)-SUM(BJ285:BJ287)))</f>
        <v>1.7593019672607069E-5</v>
      </c>
      <c r="BK289" s="469">
        <f ca="1">IF(BK$166&lt;'2.2 Input_General_Information'!$H$20, ,IF(BK$166='2.2 Input_General_Information'!$H$20,0,SUM(BJ285:BJ287)-SUM(BK285:BK287)))</f>
        <v>1.4327946180558992E-5</v>
      </c>
      <c r="BL289" s="349"/>
      <c r="BM289" s="349"/>
      <c r="BN289" s="349"/>
      <c r="BO289" s="349"/>
      <c r="BP289" s="349"/>
      <c r="BQ289" s="349"/>
      <c r="BR289" s="349"/>
      <c r="BS289" s="349"/>
      <c r="BT289" s="349"/>
      <c r="BU289" s="349"/>
    </row>
    <row r="290" spans="1:73" hidden="1">
      <c r="A290" s="6"/>
      <c r="B290" s="108"/>
      <c r="C290" s="1"/>
      <c r="D290" s="37"/>
      <c r="E290" s="10"/>
      <c r="F290" s="10"/>
      <c r="G290" s="244"/>
      <c r="H290" s="244"/>
      <c r="I290" s="244"/>
      <c r="J290" s="244"/>
      <c r="K290" s="244"/>
      <c r="L290" s="3"/>
      <c r="M290" s="3"/>
      <c r="N290" s="3"/>
      <c r="O290" s="1"/>
      <c r="P290" s="1"/>
      <c r="Q290" s="1"/>
      <c r="R290" s="193"/>
      <c r="S290" s="10"/>
      <c r="T290" s="103"/>
      <c r="U290" s="9" t="s">
        <v>29</v>
      </c>
      <c r="V290" s="103"/>
      <c r="W290" s="469"/>
      <c r="X290" s="469"/>
      <c r="Y290" s="469"/>
      <c r="Z290" s="469"/>
      <c r="AA290" s="469"/>
      <c r="AB290" s="469"/>
      <c r="AC290" s="469"/>
      <c r="AD290" s="469"/>
      <c r="AE290" s="469"/>
      <c r="AF290" s="469"/>
      <c r="AG290" s="469"/>
      <c r="AH290" s="469"/>
      <c r="AI290" s="469"/>
      <c r="AJ290" s="469"/>
      <c r="AK290" s="469"/>
      <c r="AL290" s="469"/>
      <c r="AM290" s="469"/>
      <c r="AN290" s="469"/>
      <c r="AO290" s="469"/>
      <c r="AP290" s="469"/>
      <c r="AQ290" s="469"/>
      <c r="AR290" s="469"/>
      <c r="AS290" s="469"/>
      <c r="AT290" s="469"/>
      <c r="AU290" s="469"/>
      <c r="AV290" s="469"/>
      <c r="AW290" s="469"/>
      <c r="AX290" s="469"/>
      <c r="AY290" s="469"/>
      <c r="AZ290" s="469"/>
      <c r="BA290" s="469"/>
      <c r="BB290" s="469"/>
      <c r="BC290" s="469"/>
      <c r="BD290" s="469"/>
      <c r="BE290" s="469"/>
      <c r="BF290" s="469"/>
      <c r="BG290" s="469"/>
      <c r="BH290" s="469"/>
      <c r="BI290" s="469"/>
      <c r="BJ290" s="469"/>
      <c r="BK290" s="469"/>
      <c r="BL290" s="556"/>
      <c r="BM290" s="556"/>
      <c r="BN290" s="556"/>
      <c r="BO290" s="556"/>
      <c r="BP290" s="556"/>
      <c r="BQ290" s="556"/>
      <c r="BR290" s="556"/>
      <c r="BS290" s="556"/>
      <c r="BT290" s="556"/>
      <c r="BU290" s="556"/>
    </row>
    <row r="291" spans="1:73">
      <c r="A291" s="6"/>
      <c r="B291" s="108"/>
      <c r="C291" s="1"/>
      <c r="D291" s="37"/>
      <c r="E291" s="10"/>
      <c r="F291" s="10"/>
      <c r="G291" s="244"/>
      <c r="H291" s="244"/>
      <c r="I291" s="244"/>
      <c r="J291" s="244"/>
      <c r="K291" s="244"/>
      <c r="L291" s="244"/>
      <c r="M291" s="244"/>
      <c r="N291" s="244"/>
      <c r="O291" s="10"/>
      <c r="P291" s="10"/>
      <c r="Q291" s="10"/>
      <c r="R291" s="193"/>
      <c r="S291" s="10"/>
      <c r="T291" s="103"/>
      <c r="U291" s="103"/>
      <c r="V291" s="103"/>
      <c r="W291" s="469"/>
      <c r="X291" s="469"/>
      <c r="Y291" s="469"/>
      <c r="Z291" s="469"/>
      <c r="AA291" s="469"/>
      <c r="AB291" s="469"/>
      <c r="AC291" s="469"/>
      <c r="AD291" s="469"/>
      <c r="AE291" s="469"/>
      <c r="AF291" s="469"/>
      <c r="AG291" s="469"/>
      <c r="AH291" s="469"/>
      <c r="AI291" s="469"/>
      <c r="AJ291" s="469"/>
      <c r="AK291" s="469"/>
      <c r="AL291" s="469"/>
      <c r="AM291" s="469"/>
      <c r="AN291" s="469"/>
      <c r="AO291" s="469"/>
      <c r="AP291" s="469"/>
      <c r="AQ291" s="469"/>
      <c r="AR291" s="469"/>
      <c r="AS291" s="469"/>
      <c r="AT291" s="469"/>
      <c r="AU291" s="469"/>
      <c r="AV291" s="469"/>
      <c r="AW291" s="469"/>
      <c r="AX291" s="469"/>
      <c r="AY291" s="469"/>
      <c r="AZ291" s="469"/>
      <c r="BA291" s="469"/>
      <c r="BB291" s="469"/>
      <c r="BC291" s="469"/>
      <c r="BD291" s="469"/>
      <c r="BE291" s="469"/>
      <c r="BF291" s="469"/>
      <c r="BG291" s="469"/>
      <c r="BH291" s="469"/>
      <c r="BI291" s="469"/>
      <c r="BJ291" s="469"/>
      <c r="BK291" s="469"/>
      <c r="BL291" s="556"/>
      <c r="BM291" s="556"/>
      <c r="BN291" s="556"/>
      <c r="BO291" s="556"/>
      <c r="BP291" s="556"/>
      <c r="BQ291" s="556"/>
      <c r="BR291" s="556"/>
      <c r="BS291" s="556"/>
      <c r="BT291" s="556"/>
      <c r="BU291" s="556"/>
    </row>
    <row r="292" spans="1:73" ht="15.75" thickBot="1">
      <c r="A292" s="6"/>
      <c r="B292" s="108"/>
      <c r="C292" s="1"/>
      <c r="D292" s="37"/>
      <c r="E292" s="10"/>
      <c r="F292" s="10"/>
      <c r="G292" s="244"/>
      <c r="H292" s="557" t="s">
        <v>824</v>
      </c>
      <c r="I292" s="244"/>
      <c r="J292" s="244"/>
      <c r="K292" s="244"/>
      <c r="L292" s="244"/>
      <c r="M292" s="244"/>
      <c r="N292" s="244"/>
      <c r="O292" s="10"/>
      <c r="P292" s="10"/>
      <c r="Q292" s="10"/>
      <c r="R292" s="193"/>
      <c r="S292" s="10"/>
      <c r="T292" s="103"/>
      <c r="U292" s="103"/>
      <c r="V292" s="103"/>
      <c r="W292" s="558"/>
      <c r="X292" s="558"/>
      <c r="Y292" s="558"/>
      <c r="Z292" s="558"/>
      <c r="AA292" s="558"/>
      <c r="AB292" s="558"/>
      <c r="AC292" s="558"/>
      <c r="AD292" s="558"/>
      <c r="AE292" s="558"/>
      <c r="AF292" s="558"/>
      <c r="AG292" s="558"/>
      <c r="AH292" s="558"/>
      <c r="AI292" s="558"/>
      <c r="AJ292" s="558"/>
      <c r="AK292" s="558"/>
      <c r="AL292" s="558"/>
      <c r="AM292" s="558"/>
      <c r="AN292" s="558"/>
      <c r="AO292" s="558"/>
      <c r="AP292" s="558"/>
      <c r="AQ292" s="558"/>
      <c r="AR292" s="558"/>
      <c r="AS292" s="558"/>
      <c r="AT292" s="558"/>
      <c r="AU292" s="558"/>
      <c r="AV292" s="558"/>
      <c r="AW292" s="558"/>
      <c r="AX292" s="558"/>
      <c r="AY292" s="558"/>
      <c r="AZ292" s="558"/>
      <c r="BA292" s="558"/>
      <c r="BB292" s="558"/>
      <c r="BC292" s="558"/>
      <c r="BD292" s="558"/>
      <c r="BE292" s="558"/>
      <c r="BF292" s="558"/>
      <c r="BG292" s="558"/>
      <c r="BH292" s="558"/>
      <c r="BI292" s="558"/>
      <c r="BJ292" s="558"/>
      <c r="BK292" s="558"/>
      <c r="BL292" s="559"/>
      <c r="BM292" s="559"/>
      <c r="BN292" s="559"/>
      <c r="BO292" s="559"/>
      <c r="BP292" s="559"/>
      <c r="BQ292" s="559"/>
      <c r="BR292" s="559"/>
      <c r="BS292" s="559"/>
      <c r="BT292" s="559"/>
      <c r="BU292" s="559"/>
    </row>
    <row r="293" spans="1:73" ht="5.25" customHeight="1">
      <c r="A293" s="6"/>
      <c r="B293" s="108"/>
      <c r="C293" s="1"/>
      <c r="D293" s="37"/>
      <c r="E293" s="10"/>
      <c r="F293" s="10"/>
      <c r="G293" s="244"/>
      <c r="H293" s="183"/>
      <c r="I293" s="244"/>
      <c r="J293" s="244"/>
      <c r="K293" s="244"/>
      <c r="L293" s="244"/>
      <c r="M293" s="244"/>
      <c r="N293" s="244"/>
      <c r="O293" s="10"/>
      <c r="P293" s="10"/>
      <c r="Q293" s="10"/>
      <c r="R293" s="193"/>
      <c r="S293" s="10"/>
      <c r="T293" s="103"/>
      <c r="U293" s="103"/>
      <c r="V293" s="103"/>
      <c r="W293" s="558"/>
      <c r="X293" s="558"/>
      <c r="Y293" s="558"/>
      <c r="Z293" s="558"/>
      <c r="AA293" s="558"/>
      <c r="AB293" s="558"/>
      <c r="AC293" s="558"/>
      <c r="AD293" s="558"/>
      <c r="AE293" s="558"/>
      <c r="AF293" s="558"/>
      <c r="AG293" s="558"/>
      <c r="AH293" s="558"/>
      <c r="AI293" s="558"/>
      <c r="AJ293" s="558"/>
      <c r="AK293" s="558"/>
      <c r="AL293" s="558"/>
      <c r="AM293" s="558"/>
      <c r="AN293" s="558"/>
      <c r="AO293" s="558"/>
      <c r="AP293" s="558"/>
      <c r="AQ293" s="558"/>
      <c r="AR293" s="558"/>
      <c r="AS293" s="558"/>
      <c r="AT293" s="558"/>
      <c r="AU293" s="558"/>
      <c r="AV293" s="558"/>
      <c r="AW293" s="558"/>
      <c r="AX293" s="558"/>
      <c r="AY293" s="558"/>
      <c r="AZ293" s="558"/>
      <c r="BA293" s="558"/>
      <c r="BB293" s="558"/>
      <c r="BC293" s="558"/>
      <c r="BD293" s="558"/>
      <c r="BE293" s="558"/>
      <c r="BF293" s="558"/>
      <c r="BG293" s="558"/>
      <c r="BH293" s="558"/>
      <c r="BI293" s="558"/>
      <c r="BJ293" s="558"/>
      <c r="BK293" s="558"/>
      <c r="BL293" s="559"/>
      <c r="BM293" s="559"/>
      <c r="BN293" s="559"/>
      <c r="BO293" s="559"/>
      <c r="BP293" s="559"/>
      <c r="BQ293" s="559"/>
      <c r="BR293" s="559"/>
      <c r="BS293" s="559"/>
      <c r="BT293" s="559"/>
      <c r="BU293" s="559"/>
    </row>
    <row r="294" spans="1:73">
      <c r="A294" s="6"/>
      <c r="B294" s="108"/>
      <c r="C294" s="1"/>
      <c r="D294" s="37"/>
      <c r="E294" s="10"/>
      <c r="F294" s="10"/>
      <c r="G294" s="244"/>
      <c r="H294" s="538">
        <f>AVERAGE(H269:H271)</f>
        <v>0.12333333333333334</v>
      </c>
      <c r="I294" s="244"/>
      <c r="J294" s="244"/>
      <c r="K294" s="244"/>
      <c r="L294" s="244"/>
      <c r="M294" s="244"/>
      <c r="N294" s="244"/>
      <c r="O294" s="10"/>
      <c r="P294" s="10"/>
      <c r="Q294" s="10"/>
      <c r="R294" s="193"/>
      <c r="S294" s="10"/>
      <c r="T294" s="101"/>
      <c r="U294" s="101"/>
      <c r="V294" s="6"/>
      <c r="W294" s="81"/>
      <c r="X294" s="81"/>
      <c r="Y294" s="81"/>
      <c r="Z294" s="81"/>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6"/>
      <c r="BM294" s="6"/>
      <c r="BN294" s="6"/>
      <c r="BO294" s="6"/>
      <c r="BP294" s="6"/>
      <c r="BQ294" s="6"/>
      <c r="BR294" s="6"/>
      <c r="BS294" s="6"/>
      <c r="BT294" s="6"/>
      <c r="BU294" s="6"/>
    </row>
    <row r="295" spans="1:73">
      <c r="A295" s="6"/>
      <c r="B295" s="108"/>
      <c r="C295" s="1"/>
      <c r="D295" s="37"/>
      <c r="E295" s="10"/>
      <c r="F295" s="10"/>
      <c r="G295" s="244"/>
      <c r="H295" s="244"/>
      <c r="I295" s="244"/>
      <c r="J295" s="244"/>
      <c r="K295" s="244"/>
      <c r="L295" s="244"/>
      <c r="M295" s="244"/>
      <c r="N295" s="244"/>
      <c r="O295" s="10"/>
      <c r="P295" s="10"/>
      <c r="Q295" s="10"/>
      <c r="R295" s="193"/>
      <c r="S295" s="10"/>
      <c r="T295" s="103"/>
      <c r="U295" s="103"/>
      <c r="V295" s="103"/>
      <c r="W295" s="366"/>
      <c r="X295" s="366"/>
      <c r="Y295" s="366"/>
      <c r="Z295" s="366"/>
      <c r="AA295" s="366"/>
      <c r="AB295" s="366"/>
      <c r="AC295" s="366"/>
      <c r="AD295" s="366"/>
      <c r="AE295" s="366"/>
      <c r="AF295" s="366"/>
      <c r="AG295" s="366"/>
      <c r="AH295" s="366"/>
      <c r="AI295" s="366"/>
      <c r="AJ295" s="366"/>
      <c r="AK295" s="366"/>
      <c r="AL295" s="366"/>
      <c r="AM295" s="366"/>
      <c r="AN295" s="366"/>
      <c r="AO295" s="366"/>
      <c r="AP295" s="366"/>
      <c r="AQ295" s="366"/>
      <c r="AR295" s="366"/>
      <c r="AS295" s="366"/>
      <c r="AT295" s="366"/>
      <c r="AU295" s="366"/>
      <c r="AV295" s="366"/>
      <c r="AW295" s="366"/>
      <c r="AX295" s="366"/>
      <c r="AY295" s="366"/>
      <c r="AZ295" s="366"/>
      <c r="BA295" s="366"/>
      <c r="BB295" s="366"/>
      <c r="BC295" s="366"/>
      <c r="BD295" s="366"/>
      <c r="BE295" s="366"/>
      <c r="BF295" s="366"/>
      <c r="BG295" s="366"/>
      <c r="BH295" s="366"/>
      <c r="BI295" s="366"/>
      <c r="BJ295" s="366"/>
      <c r="BK295" s="366"/>
      <c r="BL295" s="367"/>
      <c r="BM295" s="367"/>
      <c r="BN295" s="367"/>
      <c r="BO295" s="367"/>
      <c r="BP295" s="367"/>
      <c r="BQ295" s="367"/>
      <c r="BR295" s="367"/>
      <c r="BS295" s="367"/>
      <c r="BT295" s="367"/>
      <c r="BU295" s="367"/>
    </row>
    <row r="296" spans="1:73">
      <c r="A296" s="6"/>
      <c r="B296" s="97" t="s">
        <v>606</v>
      </c>
      <c r="C296" s="1"/>
      <c r="D296" s="147" t="s">
        <v>1011</v>
      </c>
      <c r="E296" s="200"/>
      <c r="F296" s="200"/>
      <c r="G296" s="365">
        <f>($H$294*'2.3 Input_Main_Questionnaire'!$H$102*'2.3 Input_Main_Questionnaire'!$I$61)*'2.3 Input_Main_Questionnaire'!H$29</f>
        <v>2.1262666666666672E-4</v>
      </c>
      <c r="H296" s="365">
        <f>($H$294*'2.3 Input_Main_Questionnaire'!$H$102*'2.3 Input_Main_Questionnaire'!$I$61)*'2.3 Input_Main_Questionnaire'!I$29</f>
        <v>2.0054000000000006E-4</v>
      </c>
      <c r="I296" s="365">
        <f>($H$294*'2.3 Input_Main_Questionnaire'!$H$102*'2.3 Input_Main_Questionnaire'!$I$61)*'2.3 Input_Main_Questionnaire'!J$29</f>
        <v>1.7501000000000005E-4</v>
      </c>
      <c r="J296" s="365">
        <f>($H$294*'2.3 Input_Main_Questionnaire'!$H$102*'2.3 Input_Main_Questionnaire'!$I$61)*'2.3 Input_Main_Questionnaire'!K$29</f>
        <v>2.4062333333333341E-4</v>
      </c>
      <c r="K296" s="365">
        <f>($H$294*'2.3 Input_Main_Questionnaire'!$H$102*'2.3 Input_Main_Questionnaire'!$I$61)*'2.3 Input_Main_Questionnaire'!L$29</f>
        <v>2.0720000000000005E-4</v>
      </c>
      <c r="L296" s="365">
        <f>($H$294*'2.3 Input_Main_Questionnaire'!$H$102*'2.3 Input_Main_Questionnaire'!$I$61)*'2.3 Input_Main_Questionnaire'!M$29</f>
        <v>2.0720000000000005E-4</v>
      </c>
      <c r="M296" s="365">
        <f>($H$294*'2.3 Input_Main_Questionnaire'!$H$102*'2.3 Input_Main_Questionnaire'!$I$61)*'2.3 Input_Main_Questionnaire'!N$29</f>
        <v>2.0720000000000005E-4</v>
      </c>
      <c r="N296" s="365">
        <f>($H$294*'2.3 Input_Main_Questionnaire'!$H$102*'2.3 Input_Main_Questionnaire'!$I$61)*'2.3 Input_Main_Questionnaire'!O$29</f>
        <v>2.0720000000000005E-4</v>
      </c>
      <c r="O296" s="10"/>
      <c r="P296" s="10"/>
      <c r="Q296" s="10"/>
      <c r="R296" s="193"/>
      <c r="S296" s="10"/>
      <c r="T296" s="103"/>
      <c r="U296" s="103"/>
      <c r="V296" s="103"/>
      <c r="W296" s="366"/>
      <c r="X296" s="366"/>
      <c r="Y296" s="366"/>
      <c r="Z296" s="366"/>
      <c r="AA296" s="366"/>
      <c r="AB296" s="366"/>
      <c r="AC296" s="366"/>
      <c r="AD296" s="366"/>
      <c r="AE296" s="366"/>
      <c r="AF296" s="366"/>
      <c r="AG296" s="366"/>
      <c r="AH296" s="366"/>
      <c r="AI296" s="366"/>
      <c r="AJ296" s="366"/>
      <c r="AK296" s="366"/>
      <c r="AL296" s="366"/>
      <c r="AM296" s="366"/>
      <c r="AN296" s="366"/>
      <c r="AO296" s="366"/>
      <c r="AP296" s="366"/>
      <c r="AQ296" s="366"/>
      <c r="AR296" s="366"/>
      <c r="AS296" s="366"/>
      <c r="AT296" s="366"/>
      <c r="AU296" s="366"/>
      <c r="AV296" s="366"/>
      <c r="AW296" s="366"/>
      <c r="AX296" s="366"/>
      <c r="AY296" s="366"/>
      <c r="AZ296" s="366"/>
      <c r="BA296" s="366"/>
      <c r="BB296" s="366"/>
      <c r="BC296" s="366"/>
      <c r="BD296" s="366"/>
      <c r="BE296" s="366"/>
      <c r="BF296" s="366"/>
      <c r="BG296" s="366"/>
      <c r="BH296" s="366"/>
      <c r="BI296" s="366"/>
      <c r="BJ296" s="366"/>
      <c r="BK296" s="366"/>
      <c r="BL296" s="367"/>
      <c r="BM296" s="367"/>
      <c r="BN296" s="367"/>
      <c r="BO296" s="367"/>
      <c r="BP296" s="367"/>
      <c r="BQ296" s="367"/>
      <c r="BR296" s="367"/>
      <c r="BS296" s="367"/>
      <c r="BT296" s="367"/>
      <c r="BU296" s="367"/>
    </row>
    <row r="297" spans="1:73" ht="5.25" customHeight="1">
      <c r="A297" s="6"/>
      <c r="B297" s="108"/>
      <c r="C297" s="1"/>
      <c r="D297" s="37"/>
      <c r="E297" s="10"/>
      <c r="F297" s="10"/>
      <c r="G297" s="244"/>
      <c r="H297" s="244"/>
      <c r="I297" s="244"/>
      <c r="J297" s="244"/>
      <c r="K297" s="244"/>
      <c r="L297" s="244"/>
      <c r="M297" s="244"/>
      <c r="N297" s="244"/>
      <c r="O297" s="10"/>
      <c r="P297" s="10"/>
      <c r="Q297" s="10"/>
      <c r="R297" s="193"/>
      <c r="S297" s="10"/>
      <c r="T297" s="103"/>
      <c r="U297" s="103"/>
      <c r="V297" s="103"/>
      <c r="W297" s="366"/>
      <c r="X297" s="366"/>
      <c r="Y297" s="366"/>
      <c r="Z297" s="366"/>
      <c r="AA297" s="366"/>
      <c r="AB297" s="366"/>
      <c r="AC297" s="366"/>
      <c r="AD297" s="366"/>
      <c r="AE297" s="366"/>
      <c r="AF297" s="366"/>
      <c r="AG297" s="366"/>
      <c r="AH297" s="366"/>
      <c r="AI297" s="366"/>
      <c r="AJ297" s="366"/>
      <c r="AK297" s="366"/>
      <c r="AL297" s="366"/>
      <c r="AM297" s="366"/>
      <c r="AN297" s="366"/>
      <c r="AO297" s="366"/>
      <c r="AP297" s="366"/>
      <c r="AQ297" s="366"/>
      <c r="AR297" s="366"/>
      <c r="AS297" s="366"/>
      <c r="AT297" s="366"/>
      <c r="AU297" s="366"/>
      <c r="AV297" s="366"/>
      <c r="AW297" s="366"/>
      <c r="AX297" s="366"/>
      <c r="AY297" s="366"/>
      <c r="AZ297" s="366"/>
      <c r="BA297" s="366"/>
      <c r="BB297" s="366"/>
      <c r="BC297" s="366"/>
      <c r="BD297" s="366"/>
      <c r="BE297" s="366"/>
      <c r="BF297" s="366"/>
      <c r="BG297" s="366"/>
      <c r="BH297" s="366"/>
      <c r="BI297" s="366"/>
      <c r="BJ297" s="366"/>
      <c r="BK297" s="366"/>
      <c r="BL297" s="367"/>
      <c r="BM297" s="367"/>
      <c r="BN297" s="367"/>
      <c r="BO297" s="367"/>
      <c r="BP297" s="367"/>
      <c r="BQ297" s="367"/>
      <c r="BR297" s="367"/>
      <c r="BS297" s="367"/>
      <c r="BT297" s="367"/>
      <c r="BU297" s="367"/>
    </row>
    <row r="298" spans="1:73">
      <c r="A298" s="6"/>
      <c r="B298" s="97" t="s">
        <v>606</v>
      </c>
      <c r="C298" s="1"/>
      <c r="D298" s="560" t="s">
        <v>1012</v>
      </c>
      <c r="E298" s="561"/>
      <c r="F298" s="561"/>
      <c r="G298" s="562">
        <f t="shared" ref="G298:N298" si="60">G296 + SUM(G261:G265)</f>
        <v>8.4710176666666651E-2</v>
      </c>
      <c r="H298" s="562">
        <f t="shared" si="60"/>
        <v>7.9894865000000009E-2</v>
      </c>
      <c r="I298" s="562">
        <f t="shared" si="60"/>
        <v>6.9723747500000002E-2</v>
      </c>
      <c r="J298" s="562">
        <f t="shared" si="60"/>
        <v>9.5864010833333319E-2</v>
      </c>
      <c r="K298" s="562">
        <f t="shared" si="60"/>
        <v>8.2548200000000002E-2</v>
      </c>
      <c r="L298" s="562">
        <f t="shared" si="60"/>
        <v>8.2548200000000002E-2</v>
      </c>
      <c r="M298" s="562">
        <f t="shared" si="60"/>
        <v>8.2548200000000002E-2</v>
      </c>
      <c r="N298" s="563">
        <f t="shared" si="60"/>
        <v>8.2548200000000002E-2</v>
      </c>
      <c r="O298" s="10"/>
      <c r="P298" s="10"/>
      <c r="Q298" s="10"/>
      <c r="R298" s="193"/>
      <c r="S298" s="10"/>
      <c r="T298" s="81"/>
      <c r="U298" s="81"/>
      <c r="V298" s="81"/>
      <c r="W298" s="81"/>
      <c r="X298" s="366"/>
      <c r="Y298" s="366"/>
      <c r="Z298" s="366"/>
      <c r="AA298" s="366"/>
      <c r="AB298" s="366"/>
      <c r="AC298" s="366"/>
      <c r="AD298" s="366"/>
      <c r="AE298" s="366"/>
      <c r="AF298" s="366"/>
      <c r="AG298" s="366"/>
      <c r="AH298" s="366"/>
      <c r="AI298" s="366"/>
      <c r="AJ298" s="366"/>
      <c r="AK298" s="366"/>
      <c r="AL298" s="366"/>
      <c r="AM298" s="366"/>
      <c r="AN298" s="366"/>
      <c r="AO298" s="366"/>
      <c r="AP298" s="366"/>
      <c r="AQ298" s="366"/>
      <c r="AR298" s="366"/>
      <c r="AS298" s="366"/>
      <c r="AT298" s="366"/>
      <c r="AU298" s="366"/>
      <c r="AV298" s="366"/>
      <c r="AW298" s="366"/>
      <c r="AX298" s="366"/>
      <c r="AY298" s="366"/>
      <c r="AZ298" s="366"/>
      <c r="BA298" s="366"/>
      <c r="BB298" s="366"/>
      <c r="BC298" s="366"/>
      <c r="BD298" s="366"/>
      <c r="BE298" s="366"/>
      <c r="BF298" s="366"/>
      <c r="BG298" s="366"/>
      <c r="BH298" s="366"/>
      <c r="BI298" s="366"/>
      <c r="BJ298" s="366"/>
      <c r="BK298" s="366"/>
      <c r="BL298" s="367"/>
      <c r="BM298" s="367"/>
      <c r="BN298" s="367"/>
      <c r="BO298" s="367"/>
      <c r="BP298" s="367"/>
      <c r="BQ298" s="367"/>
      <c r="BR298" s="367"/>
      <c r="BS298" s="367"/>
      <c r="BT298" s="367"/>
      <c r="BU298" s="367"/>
    </row>
    <row r="299" spans="1:73" hidden="1">
      <c r="A299" s="6"/>
      <c r="B299" s="97"/>
      <c r="C299" s="1"/>
      <c r="D299" s="30"/>
      <c r="E299" s="23"/>
      <c r="F299" s="23"/>
      <c r="G299" s="204"/>
      <c r="H299" s="204"/>
      <c r="I299" s="204"/>
      <c r="J299" s="204"/>
      <c r="K299" s="204"/>
      <c r="L299" s="204"/>
      <c r="M299" s="204"/>
      <c r="N299" s="204"/>
      <c r="O299" s="10"/>
      <c r="P299" s="10"/>
      <c r="Q299" s="10"/>
      <c r="R299" s="193"/>
      <c r="S299" s="10"/>
      <c r="T299" s="81"/>
      <c r="U299" s="9" t="s">
        <v>5</v>
      </c>
      <c r="V299" s="81"/>
      <c r="W299" s="81"/>
      <c r="X299" s="366"/>
      <c r="Y299" s="366"/>
      <c r="Z299" s="366"/>
      <c r="AA299" s="366"/>
      <c r="AB299" s="366"/>
      <c r="AC299" s="366"/>
      <c r="AD299" s="366"/>
      <c r="AE299" s="366"/>
      <c r="AF299" s="366"/>
      <c r="AG299" s="366"/>
      <c r="AH299" s="366"/>
      <c r="AI299" s="366"/>
      <c r="AJ299" s="366"/>
      <c r="AK299" s="366"/>
      <c r="AL299" s="366"/>
      <c r="AM299" s="366"/>
      <c r="AN299" s="366"/>
      <c r="AO299" s="366"/>
      <c r="AP299" s="366"/>
      <c r="AQ299" s="366"/>
      <c r="AR299" s="366"/>
      <c r="AS299" s="366"/>
      <c r="AT299" s="366"/>
      <c r="AU299" s="366"/>
      <c r="AV299" s="366"/>
      <c r="AW299" s="366"/>
      <c r="AX299" s="366"/>
      <c r="AY299" s="366"/>
      <c r="AZ299" s="366"/>
      <c r="BA299" s="366"/>
      <c r="BB299" s="366"/>
      <c r="BC299" s="366"/>
      <c r="BD299" s="366"/>
      <c r="BE299" s="366"/>
      <c r="BF299" s="366"/>
      <c r="BG299" s="366"/>
      <c r="BH299" s="366"/>
      <c r="BI299" s="366"/>
      <c r="BJ299" s="366"/>
      <c r="BK299" s="366"/>
      <c r="BL299" s="367"/>
      <c r="BM299" s="367"/>
      <c r="BN299" s="367"/>
      <c r="BO299" s="367"/>
      <c r="BP299" s="367"/>
      <c r="BQ299" s="367"/>
      <c r="BR299" s="367"/>
      <c r="BS299" s="367"/>
      <c r="BT299" s="367"/>
      <c r="BU299" s="367"/>
    </row>
    <row r="300" spans="1:73" hidden="1">
      <c r="A300" s="6"/>
      <c r="B300" s="108"/>
      <c r="C300" s="1"/>
      <c r="D300" s="1"/>
      <c r="E300" s="1"/>
      <c r="F300" s="1"/>
      <c r="G300" s="3"/>
      <c r="H300" s="3"/>
      <c r="I300" s="3"/>
      <c r="J300" s="3"/>
      <c r="K300" s="3"/>
      <c r="L300" s="3"/>
      <c r="M300" s="3"/>
      <c r="N300" s="3"/>
      <c r="O300" s="1"/>
      <c r="P300" s="1"/>
      <c r="Q300" s="1"/>
      <c r="R300" s="162"/>
      <c r="S300" s="1"/>
      <c r="T300" s="81"/>
      <c r="U300" s="81"/>
      <c r="V300" s="374" t="str">
        <f>D261</f>
        <v>Time saved for finding relevant data thanks to metadata</v>
      </c>
      <c r="W300" s="375"/>
      <c r="X300" s="376"/>
      <c r="Y300" s="376"/>
      <c r="Z300" s="376"/>
      <c r="AA300" s="376"/>
      <c r="AB300" s="376"/>
      <c r="AC300" s="376"/>
      <c r="AD300" s="376"/>
      <c r="AE300" s="376"/>
      <c r="AF300" s="376"/>
      <c r="AG300" s="376"/>
      <c r="AH300" s="376"/>
      <c r="AI300" s="376"/>
      <c r="AJ300" s="376"/>
      <c r="AK300" s="376"/>
      <c r="AL300" s="376"/>
      <c r="AM300" s="376"/>
      <c r="AN300" s="376"/>
      <c r="AO300" s="376"/>
      <c r="AP300" s="376"/>
      <c r="AQ300" s="376"/>
      <c r="AR300" s="376"/>
      <c r="AS300" s="376"/>
      <c r="AT300" s="376"/>
      <c r="AU300" s="376"/>
      <c r="AV300" s="376"/>
      <c r="AW300" s="376"/>
      <c r="AX300" s="376"/>
      <c r="AY300" s="376"/>
      <c r="AZ300" s="376"/>
      <c r="BA300" s="376"/>
      <c r="BB300" s="376"/>
      <c r="BC300" s="376"/>
      <c r="BD300" s="376"/>
      <c r="BE300" s="376"/>
      <c r="BF300" s="376"/>
      <c r="BG300" s="376"/>
      <c r="BH300" s="376"/>
      <c r="BI300" s="376"/>
      <c r="BJ300" s="376"/>
      <c r="BK300" s="376"/>
      <c r="BL300" s="99"/>
      <c r="BM300" s="99"/>
      <c r="BN300" s="99"/>
      <c r="BO300" s="99"/>
      <c r="BP300" s="99"/>
      <c r="BQ300" s="99"/>
      <c r="BR300" s="99"/>
      <c r="BS300" s="99"/>
      <c r="BT300" s="99"/>
      <c r="BU300" s="99"/>
    </row>
    <row r="301" spans="1:73" hidden="1">
      <c r="A301" s="377"/>
      <c r="B301" s="79"/>
      <c r="C301" s="15"/>
      <c r="D301" s="25"/>
      <c r="E301" s="15"/>
      <c r="F301" s="15"/>
      <c r="G301" s="24"/>
      <c r="H301" s="24"/>
      <c r="I301" s="24"/>
      <c r="J301" s="24"/>
      <c r="K301" s="24"/>
      <c r="L301" s="24"/>
      <c r="M301" s="24"/>
      <c r="N301" s="24"/>
      <c r="O301" s="15"/>
      <c r="P301" s="15"/>
      <c r="Q301" s="15"/>
      <c r="R301" s="378"/>
      <c r="S301" s="15"/>
      <c r="T301" s="377"/>
      <c r="U301" s="103"/>
      <c r="V301" s="101" t="s">
        <v>208</v>
      </c>
      <c r="W301" s="379">
        <f>Growth!B20</f>
        <v>2018</v>
      </c>
      <c r="X301" s="379">
        <f t="shared" ref="X301:BK301" si="61">W301+1</f>
        <v>2019</v>
      </c>
      <c r="Y301" s="379">
        <f t="shared" si="61"/>
        <v>2020</v>
      </c>
      <c r="Z301" s="379">
        <f t="shared" si="61"/>
        <v>2021</v>
      </c>
      <c r="AA301" s="379">
        <f t="shared" si="61"/>
        <v>2022</v>
      </c>
      <c r="AB301" s="379">
        <f t="shared" si="61"/>
        <v>2023</v>
      </c>
      <c r="AC301" s="379">
        <f t="shared" si="61"/>
        <v>2024</v>
      </c>
      <c r="AD301" s="379">
        <f t="shared" si="61"/>
        <v>2025</v>
      </c>
      <c r="AE301" s="379">
        <f t="shared" si="61"/>
        <v>2026</v>
      </c>
      <c r="AF301" s="379">
        <f t="shared" si="61"/>
        <v>2027</v>
      </c>
      <c r="AG301" s="379">
        <f t="shared" si="61"/>
        <v>2028</v>
      </c>
      <c r="AH301" s="379">
        <f t="shared" si="61"/>
        <v>2029</v>
      </c>
      <c r="AI301" s="379">
        <f t="shared" si="61"/>
        <v>2030</v>
      </c>
      <c r="AJ301" s="379">
        <f t="shared" si="61"/>
        <v>2031</v>
      </c>
      <c r="AK301" s="379">
        <f t="shared" si="61"/>
        <v>2032</v>
      </c>
      <c r="AL301" s="379">
        <f t="shared" si="61"/>
        <v>2033</v>
      </c>
      <c r="AM301" s="379">
        <f t="shared" si="61"/>
        <v>2034</v>
      </c>
      <c r="AN301" s="379">
        <f t="shared" si="61"/>
        <v>2035</v>
      </c>
      <c r="AO301" s="379">
        <f t="shared" si="61"/>
        <v>2036</v>
      </c>
      <c r="AP301" s="379">
        <f t="shared" si="61"/>
        <v>2037</v>
      </c>
      <c r="AQ301" s="379">
        <f t="shared" si="61"/>
        <v>2038</v>
      </c>
      <c r="AR301" s="379">
        <f t="shared" si="61"/>
        <v>2039</v>
      </c>
      <c r="AS301" s="379">
        <f t="shared" si="61"/>
        <v>2040</v>
      </c>
      <c r="AT301" s="379">
        <f t="shared" si="61"/>
        <v>2041</v>
      </c>
      <c r="AU301" s="379">
        <f t="shared" si="61"/>
        <v>2042</v>
      </c>
      <c r="AV301" s="379">
        <f t="shared" si="61"/>
        <v>2043</v>
      </c>
      <c r="AW301" s="379">
        <f t="shared" si="61"/>
        <v>2044</v>
      </c>
      <c r="AX301" s="379">
        <f t="shared" si="61"/>
        <v>2045</v>
      </c>
      <c r="AY301" s="379">
        <f t="shared" si="61"/>
        <v>2046</v>
      </c>
      <c r="AZ301" s="379">
        <f t="shared" si="61"/>
        <v>2047</v>
      </c>
      <c r="BA301" s="379">
        <f t="shared" si="61"/>
        <v>2048</v>
      </c>
      <c r="BB301" s="379">
        <f t="shared" si="61"/>
        <v>2049</v>
      </c>
      <c r="BC301" s="379">
        <f t="shared" si="61"/>
        <v>2050</v>
      </c>
      <c r="BD301" s="379">
        <f t="shared" si="61"/>
        <v>2051</v>
      </c>
      <c r="BE301" s="379">
        <f t="shared" si="61"/>
        <v>2052</v>
      </c>
      <c r="BF301" s="379">
        <f t="shared" si="61"/>
        <v>2053</v>
      </c>
      <c r="BG301" s="379">
        <f t="shared" si="61"/>
        <v>2054</v>
      </c>
      <c r="BH301" s="379">
        <f t="shared" si="61"/>
        <v>2055</v>
      </c>
      <c r="BI301" s="379">
        <f t="shared" si="61"/>
        <v>2056</v>
      </c>
      <c r="BJ301" s="379">
        <f t="shared" si="61"/>
        <v>2057</v>
      </c>
      <c r="BK301" s="379">
        <f t="shared" si="61"/>
        <v>2058</v>
      </c>
      <c r="BL301" s="380"/>
      <c r="BM301" s="380"/>
      <c r="BN301" s="380"/>
      <c r="BO301" s="380"/>
      <c r="BP301" s="380"/>
      <c r="BQ301" s="380"/>
      <c r="BR301" s="380"/>
      <c r="BS301" s="380"/>
      <c r="BT301" s="380"/>
      <c r="BU301" s="380"/>
    </row>
    <row r="302" spans="1:73" hidden="1">
      <c r="A302" s="6"/>
      <c r="B302" s="108"/>
      <c r="C302" s="1"/>
      <c r="D302" s="37"/>
      <c r="E302" s="1"/>
      <c r="F302" s="1"/>
      <c r="G302" s="183"/>
      <c r="H302" s="3"/>
      <c r="I302" s="3"/>
      <c r="J302" s="3"/>
      <c r="K302" s="3"/>
      <c r="L302" s="3"/>
      <c r="M302" s="3"/>
      <c r="N302" s="3"/>
      <c r="O302" s="1"/>
      <c r="P302" s="1"/>
      <c r="Q302" s="1"/>
      <c r="R302" s="162"/>
      <c r="S302" s="1"/>
      <c r="T302" s="103"/>
      <c r="U302" s="103"/>
      <c r="V302" s="103" t="str">
        <f>G$10</f>
        <v>PhD researcher</v>
      </c>
      <c r="W302" s="373">
        <f ca="1">IF(W$301&gt;='2.2 Input_General_Information'!$H$20,W187*'2.3 Input_Main_Questionnaire'!$I$60*'2.3 Input_Main_Questionnaire'!$H$29,)</f>
        <v>0</v>
      </c>
      <c r="X302" s="373">
        <f ca="1">IF(X$301&gt;='2.2 Input_General_Information'!$H$20,X187*'2.3 Input_Main_Questionnaire'!$I$60*'2.3 Input_Main_Questionnaire'!$H$29,)</f>
        <v>4.3118916998936417E-4</v>
      </c>
      <c r="Y302" s="373">
        <f ca="1">IF(Y$301&gt;='2.2 Input_General_Information'!$H$20,Y187*'2.3 Input_Main_Questionnaire'!$I$60*'2.3 Input_Main_Questionnaire'!$H$29,)</f>
        <v>4.3434334148742342E-4</v>
      </c>
      <c r="Z302" s="373">
        <f ca="1">IF(Z$301&gt;='2.2 Input_General_Information'!$H$20,Z187*'2.3 Input_Main_Questionnaire'!$I$60*'2.3 Input_Main_Questionnaire'!$H$29,)</f>
        <v>4.3718464584769723E-4</v>
      </c>
      <c r="AA302" s="373">
        <f ca="1">IF(AA$301&gt;='2.2 Input_General_Information'!$H$20,AA187*'2.3 Input_Main_Questionnaire'!$I$60*'2.3 Input_Main_Questionnaire'!$H$29,)</f>
        <v>4.3986321051052739E-4</v>
      </c>
      <c r="AB302" s="373">
        <f ca="1">IF(AB$301&gt;='2.2 Input_General_Information'!$H$20,AB187*'2.3 Input_Main_Questionnaire'!$I$60*'2.3 Input_Main_Questionnaire'!$H$29,)</f>
        <v>4.4263349752217353E-4</v>
      </c>
      <c r="AC302" s="373">
        <f ca="1">IF(AC$301&gt;='2.2 Input_General_Information'!$H$20,AC187*'2.3 Input_Main_Questionnaire'!$I$60*'2.3 Input_Main_Questionnaire'!$H$29,)</f>
        <v>4.4591299487587669E-4</v>
      </c>
      <c r="AD302" s="373">
        <f ca="1">IF(AD$301&gt;='2.2 Input_General_Information'!$H$20,AD187*'2.3 Input_Main_Questionnaire'!$I$60*'2.3 Input_Main_Questionnaire'!$H$29,)</f>
        <v>4.5037425029405579E-4</v>
      </c>
      <c r="AE302" s="373">
        <f ca="1">IF(AE$301&gt;='2.2 Input_General_Information'!$H$20,AE187*'2.3 Input_Main_Questionnaire'!$I$60*'2.3 Input_Main_Questionnaire'!$H$29,)</f>
        <v>4.570885738772172E-4</v>
      </c>
      <c r="AF302" s="373">
        <f ca="1">IF(AF$301&gt;='2.2 Input_General_Information'!$H$20,AF187*'2.3 Input_Main_Questionnaire'!$I$60*'2.3 Input_Main_Questionnaire'!$H$29,)</f>
        <v>4.6774865812337105E-4</v>
      </c>
      <c r="AG302" s="373">
        <f ca="1">IF(AG$301&gt;='2.2 Input_General_Information'!$H$20,AG187*'2.3 Input_Main_Questionnaire'!$I$60*'2.3 Input_Main_Questionnaire'!$H$29,)</f>
        <v>4.8500883388833039E-4</v>
      </c>
      <c r="AH302" s="373">
        <f ca="1">IF(AH$301&gt;='2.2 Input_General_Information'!$H$20,AH187*'2.3 Input_Main_Questionnaire'!$I$60*'2.3 Input_Main_Questionnaire'!$H$29,)</f>
        <v>5.1299331391547011E-4</v>
      </c>
      <c r="AI302" s="373">
        <f ca="1">IF(AI$301&gt;='2.2 Input_General_Information'!$H$20,AI187*'2.3 Input_Main_Questionnaire'!$I$60*'2.3 Input_Main_Questionnaire'!$H$29,)</f>
        <v>5.5802546840620041E-4</v>
      </c>
      <c r="AJ302" s="373">
        <f ca="1">IF(AJ$301&gt;='2.2 Input_General_Information'!$H$20,AJ187*'2.3 Input_Main_Questionnaire'!$I$60*'2.3 Input_Main_Questionnaire'!$H$29,)</f>
        <v>6.295988271323679E-4</v>
      </c>
      <c r="AK302" s="373">
        <f ca="1">IF(AK$301&gt;='2.2 Input_General_Information'!$H$20,AK187*'2.3 Input_Main_Questionnaire'!$I$60*'2.3 Input_Main_Questionnaire'!$H$29,)</f>
        <v>7.4147902444053745E-4</v>
      </c>
      <c r="AL302" s="373">
        <f ca="1">IF(AL$301&gt;='2.2 Input_General_Information'!$H$20,AL187*'2.3 Input_Main_Questionnaire'!$I$60*'2.3 Input_Main_Questionnaire'!$H$29,)</f>
        <v>9.1246074727511356E-4</v>
      </c>
      <c r="AM302" s="373">
        <f ca="1">IF(AM$301&gt;='2.2 Input_General_Information'!$H$20,AM187*'2.3 Input_Main_Questionnaire'!$I$60*'2.3 Input_Main_Questionnaire'!$H$29,)</f>
        <v>1.1654880140960764E-3</v>
      </c>
      <c r="AN302" s="373">
        <f ca="1">IF(AN$301&gt;='2.2 Input_General_Information'!$H$20,AN187*'2.3 Input_Main_Questionnaire'!$I$60*'2.3 Input_Main_Questionnaire'!$H$29,)</f>
        <v>1.5224442544244936E-3</v>
      </c>
      <c r="AO302" s="373">
        <f ca="1">IF(AO$301&gt;='2.2 Input_General_Information'!$H$20,AO187*'2.3 Input_Main_Questionnaire'!$I$60*'2.3 Input_Main_Questionnaire'!$H$29,)</f>
        <v>1.9906311865784637E-3</v>
      </c>
      <c r="AP302" s="373">
        <f ca="1">IF(AP$301&gt;='2.2 Input_General_Information'!$H$20,AP187*'2.3 Input_Main_Questionnaire'!$I$60*'2.3 Input_Main_Questionnaire'!$H$29,)</f>
        <v>2.5390154182936024E-3</v>
      </c>
      <c r="AQ302" s="373">
        <f ca="1">IF(AQ$301&gt;='2.2 Input_General_Information'!$H$20,AQ187*'2.3 Input_Main_Questionnaire'!$I$60*'2.3 Input_Main_Questionnaire'!$H$29,)</f>
        <v>3.0738750991573778E-3</v>
      </c>
      <c r="AR302" s="373">
        <f ca="1">IF(AR$301&gt;='2.2 Input_General_Information'!$H$20,AR187*'2.3 Input_Main_Questionnaire'!$I$60*'2.3 Input_Main_Questionnaire'!$H$29,)</f>
        <v>3.4437709522240258E-3</v>
      </c>
      <c r="AS302" s="373">
        <f ca="1">IF(AS$301&gt;='2.2 Input_General_Information'!$H$20,AS187*'2.3 Input_Main_Questionnaire'!$I$60*'2.3 Input_Main_Questionnaire'!$H$29,)</f>
        <v>3.5038410326108937E-3</v>
      </c>
      <c r="AT302" s="373">
        <f ca="1">IF(AT$301&gt;='2.2 Input_General_Information'!$H$20,AT187*'2.3 Input_Main_Questionnaire'!$I$60*'2.3 Input_Main_Questionnaire'!$H$29,)</f>
        <v>3.2115733453810017E-3</v>
      </c>
      <c r="AU302" s="373">
        <f ca="1">IF(AU$301&gt;='2.2 Input_General_Information'!$H$20,AU187*'2.3 Input_Main_Questionnaire'!$I$60*'2.3 Input_Main_Questionnaire'!$H$29,)</f>
        <v>2.6624243538506294E-3</v>
      </c>
      <c r="AV302" s="373">
        <f ca="1">IF(AV$301&gt;='2.2 Input_General_Information'!$H$20,AV187*'2.3 Input_Main_Questionnaire'!$I$60*'2.3 Input_Main_Questionnaire'!$H$29,)</f>
        <v>2.0229598985841463E-3</v>
      </c>
      <c r="AW302" s="373">
        <f ca="1">IF(AW$301&gt;='2.2 Input_General_Information'!$H$20,AW187*'2.3 Input_Main_Questionnaire'!$I$60*'2.3 Input_Main_Questionnaire'!$H$29,)</f>
        <v>1.4335917553578758E-3</v>
      </c>
      <c r="AX302" s="373">
        <f ca="1">IF(AX$301&gt;='2.2 Input_General_Information'!$H$20,AX187*'2.3 Input_Main_Questionnaire'!$I$60*'2.3 Input_Main_Questionnaire'!$H$29,)</f>
        <v>9.6356582301753129E-4</v>
      </c>
      <c r="AY302" s="373">
        <f ca="1">IF(AY$301&gt;='2.2 Input_General_Information'!$H$20,AY187*'2.3 Input_Main_Questionnaire'!$I$60*'2.3 Input_Main_Questionnaire'!$H$29,)</f>
        <v>6.2239398330185406E-4</v>
      </c>
      <c r="AZ302" s="373">
        <f ca="1">IF(AZ$301&gt;='2.2 Input_General_Information'!$H$20,AZ187*'2.3 Input_Main_Questionnaire'!$I$60*'2.3 Input_Main_Questionnaire'!$H$29,)</f>
        <v>3.8956895195286687E-4</v>
      </c>
      <c r="BA302" s="373">
        <f ca="1">IF(BA$301&gt;='2.2 Input_General_Information'!$H$20,BA187*'2.3 Input_Main_Questionnaire'!$I$60*'2.3 Input_Main_Questionnaire'!$H$29,)</f>
        <v>2.3701293594285196E-4</v>
      </c>
      <c r="BB302" s="373">
        <f ca="1">IF(BB$301&gt;='2.2 Input_General_Information'!$H$20,BB187*'2.3 Input_Main_Questionnaire'!$I$60*'2.3 Input_Main_Questionnaire'!$H$29,)</f>
        <v>1.3976574740832496E-4</v>
      </c>
      <c r="BC302" s="373">
        <f ca="1">IF(BC$301&gt;='2.2 Input_General_Information'!$H$20,BC187*'2.3 Input_Main_Questionnaire'!$I$60*'2.3 Input_Main_Questionnaire'!$H$29,)</f>
        <v>7.9008766020775348E-5</v>
      </c>
      <c r="BD302" s="373">
        <f ca="1">IF(BD$301&gt;='2.2 Input_General_Information'!$H$20,BD187*'2.3 Input_Main_Questionnaire'!$I$60*'2.3 Input_Main_Questionnaire'!$H$29,)</f>
        <v>4.1694585147972107E-5</v>
      </c>
      <c r="BE302" s="373">
        <f ca="1">IF(BE$301&gt;='2.2 Input_General_Information'!$H$20,BE187*'2.3 Input_Main_Questionnaire'!$I$60*'2.3 Input_Main_Questionnaire'!$H$29,)</f>
        <v>1.9193359398215989E-5</v>
      </c>
      <c r="BF302" s="373">
        <f ca="1">IF(BF$301&gt;='2.2 Input_General_Information'!$H$20,BF187*'2.3 Input_Main_Questionnaire'!$I$60*'2.3 Input_Main_Questionnaire'!$H$29,)</f>
        <v>5.9525819366076226E-6</v>
      </c>
      <c r="BG302" s="373">
        <f ca="1">IF(BG$301&gt;='2.2 Input_General_Information'!$H$20,BG187*'2.3 Input_Main_Questionnaire'!$I$60*'2.3 Input_Main_Questionnaire'!$H$29,)</f>
        <v>-1.5418641335074445E-6</v>
      </c>
      <c r="BH302" s="373">
        <f ca="1">IF(BH$301&gt;='2.2 Input_General_Information'!$H$20,BH187*'2.3 Input_Main_Questionnaire'!$I$60*'2.3 Input_Main_Questionnaire'!$H$29,)</f>
        <v>-5.492123254376298E-6</v>
      </c>
      <c r="BI302" s="373">
        <f ca="1">IF(BI$301&gt;='2.2 Input_General_Information'!$H$20,BI187*'2.3 Input_Main_Questionnaire'!$I$60*'2.3 Input_Main_Questionnaire'!$H$29,)</f>
        <v>-7.2700174469809809E-6</v>
      </c>
      <c r="BJ302" s="373">
        <f ca="1">IF(BJ$301&gt;='2.2 Input_General_Information'!$H$20,BJ187*'2.3 Input_Main_Questionnaire'!$I$60*'2.3 Input_Main_Questionnaire'!$H$29,)</f>
        <v>-7.727079965158519E-6</v>
      </c>
      <c r="BK302" s="373">
        <f ca="1">IF(BK$301&gt;='2.2 Input_General_Information'!$H$20,BK187*'2.3 Input_Main_Questionnaire'!$I$60*'2.3 Input_Main_Questionnaire'!$H$29,)</f>
        <v>-7.3907227292686822E-6</v>
      </c>
      <c r="BL302" s="381"/>
      <c r="BM302" s="381"/>
      <c r="BN302" s="381"/>
      <c r="BO302" s="381"/>
      <c r="BP302" s="381"/>
      <c r="BQ302" s="381"/>
      <c r="BR302" s="381"/>
      <c r="BS302" s="381"/>
      <c r="BT302" s="381"/>
      <c r="BU302" s="381"/>
    </row>
    <row r="303" spans="1:73" hidden="1">
      <c r="A303" s="6"/>
      <c r="B303" s="108"/>
      <c r="C303" s="1"/>
      <c r="D303" s="37"/>
      <c r="E303" s="1"/>
      <c r="F303" s="1"/>
      <c r="G303" s="3"/>
      <c r="H303" s="3"/>
      <c r="I303" s="3"/>
      <c r="J303" s="3"/>
      <c r="K303" s="3"/>
      <c r="L303" s="3"/>
      <c r="M303" s="3"/>
      <c r="N303" s="3"/>
      <c r="O303" s="1"/>
      <c r="P303" s="1"/>
      <c r="Q303" s="1"/>
      <c r="R303" s="162"/>
      <c r="S303" s="1"/>
      <c r="T303" s="103"/>
      <c r="U303" s="103"/>
      <c r="V303" s="103" t="str">
        <f>$H$10</f>
        <v>Lecturer assistant/Research assistant (Academic)</v>
      </c>
      <c r="W303" s="373">
        <f ca="1">IF(W$301&gt;='2.2 Input_General_Information'!$H$20,W187*'2.3 Input_Main_Questionnaire'!$I$60*'2.3 Input_Main_Questionnaire'!$I$29,)</f>
        <v>0</v>
      </c>
      <c r="X303" s="373">
        <f ca="1">IF(X$301&gt;='2.2 Input_General_Information'!$H$20,X187*'2.3 Input_Main_Questionnaire'!$I$60*'2.3 Input_Main_Questionnaire'!$I$29,)</f>
        <v>4.0667841670690612E-4</v>
      </c>
      <c r="Y303" s="373">
        <f ca="1">IF(Y$301&gt;='2.2 Input_General_Information'!$H$20,Y187*'2.3 Input_Main_Questionnaire'!$I$60*'2.3 Input_Main_Questionnaire'!$I$29,)</f>
        <v>4.0965329075321952E-4</v>
      </c>
      <c r="Z303" s="373">
        <f ca="1">IF(Z$301&gt;='2.2 Input_General_Information'!$H$20,Z187*'2.3 Input_Main_Questionnaire'!$I$60*'2.3 Input_Main_Questionnaire'!$I$29,)</f>
        <v>4.123330824526425E-4</v>
      </c>
      <c r="AA303" s="373">
        <f ca="1">IF(AA$301&gt;='2.2 Input_General_Information'!$H$20,AA187*'2.3 Input_Main_Questionnaire'!$I$60*'2.3 Input_Main_Questionnaire'!$I$29,)</f>
        <v>4.148593853190937E-4</v>
      </c>
      <c r="AB303" s="373">
        <f ca="1">IF(AB$301&gt;='2.2 Input_General_Information'!$H$20,AB187*'2.3 Input_Main_Questionnaire'!$I$60*'2.3 Input_Main_Questionnaire'!$I$29,)</f>
        <v>4.1747219661894091E-4</v>
      </c>
      <c r="AC303" s="373">
        <f ca="1">IF(AC$301&gt;='2.2 Input_General_Information'!$H$20,AC187*'2.3 Input_Main_Questionnaire'!$I$60*'2.3 Input_Main_Questionnaire'!$I$29,)</f>
        <v>4.2056527242933611E-4</v>
      </c>
      <c r="AD303" s="373">
        <f ca="1">IF(AD$301&gt;='2.2 Input_General_Information'!$H$20,AD187*'2.3 Input_Main_Questionnaire'!$I$60*'2.3 Input_Main_Questionnaire'!$I$29,)</f>
        <v>4.2477292980170223E-4</v>
      </c>
      <c r="AE303" s="373">
        <f ca="1">IF(AE$301&gt;='2.2 Input_General_Information'!$H$20,AE187*'2.3 Input_Main_Questionnaire'!$I$60*'2.3 Input_Main_Questionnaire'!$I$29,)</f>
        <v>4.3110558069858187E-4</v>
      </c>
      <c r="AF303" s="373">
        <f ca="1">IF(AF$301&gt;='2.2 Input_General_Information'!$H$20,AF187*'2.3 Input_Main_Questionnaire'!$I$60*'2.3 Input_Main_Questionnaire'!$I$29,)</f>
        <v>4.4115969727877107E-4</v>
      </c>
      <c r="AG303" s="373">
        <f ca="1">IF(AG$301&gt;='2.2 Input_General_Information'!$H$20,AG187*'2.3 Input_Main_Questionnaire'!$I$60*'2.3 Input_Main_Questionnaire'!$I$29,)</f>
        <v>4.5743872616149954E-4</v>
      </c>
      <c r="AH303" s="373">
        <f ca="1">IF(AH$301&gt;='2.2 Input_General_Information'!$H$20,AH187*'2.3 Input_Main_Questionnaire'!$I$60*'2.3 Input_Main_Questionnaire'!$I$29,)</f>
        <v>4.8383244108268824E-4</v>
      </c>
      <c r="AI303" s="373">
        <f ca="1">IF(AI$301&gt;='2.2 Input_General_Information'!$H$20,AI187*'2.3 Input_Main_Questionnaire'!$I$60*'2.3 Input_Main_Questionnaire'!$I$29,)</f>
        <v>5.2630476312556958E-4</v>
      </c>
      <c r="AJ303" s="373">
        <f ca="1">IF(AJ$301&gt;='2.2 Input_General_Information'!$H$20,AJ187*'2.3 Input_Main_Questionnaire'!$I$60*'2.3 Input_Main_Questionnaire'!$I$29,)</f>
        <v>5.9380956665732604E-4</v>
      </c>
      <c r="AK303" s="373">
        <f ca="1">IF(AK$301&gt;='2.2 Input_General_Information'!$H$20,AK187*'2.3 Input_Main_Questionnaire'!$I$60*'2.3 Input_Main_Questionnaire'!$I$29,)</f>
        <v>6.9932998476816344E-4</v>
      </c>
      <c r="AL303" s="373">
        <f ca="1">IF(AL$301&gt;='2.2 Input_General_Information'!$H$20,AL187*'2.3 Input_Main_Questionnaire'!$I$60*'2.3 Input_Main_Questionnaire'!$I$29,)</f>
        <v>8.6059232892652824E-4</v>
      </c>
      <c r="AM303" s="373">
        <f ca="1">IF(AM$301&gt;='2.2 Input_General_Information'!$H$20,AM187*'2.3 Input_Main_Questionnaire'!$I$60*'2.3 Input_Main_Questionnaire'!$I$29,)</f>
        <v>1.0992363752437473E-3</v>
      </c>
      <c r="AN303" s="373">
        <f ca="1">IF(AN$301&gt;='2.2 Input_General_Information'!$H$20,AN187*'2.3 Input_Main_Questionnaire'!$I$60*'2.3 Input_Main_Questionnaire'!$I$29,)</f>
        <v>1.4359015995906185E-3</v>
      </c>
      <c r="AO303" s="373">
        <f ca="1">IF(AO$301&gt;='2.2 Input_General_Information'!$H$20,AO187*'2.3 Input_Main_Questionnaire'!$I$60*'2.3 Input_Main_Questionnaire'!$I$29,)</f>
        <v>1.8774746574110105E-3</v>
      </c>
      <c r="AP303" s="373">
        <f ca="1">IF(AP$301&gt;='2.2 Input_General_Information'!$H$20,AP187*'2.3 Input_Main_Questionnaire'!$I$60*'2.3 Input_Main_Questionnaire'!$I$29,)</f>
        <v>2.3946862355831771E-3</v>
      </c>
      <c r="AQ303" s="373">
        <f ca="1">IF(AQ$301&gt;='2.2 Input_General_Information'!$H$20,AQ187*'2.3 Input_Main_Questionnaire'!$I$60*'2.3 Input_Main_Questionnaire'!$I$29,)</f>
        <v>2.8991420598781297E-3</v>
      </c>
      <c r="AR303" s="373">
        <f ca="1">IF(AR$301&gt;='2.2 Input_General_Information'!$H$20,AR187*'2.3 Input_Main_Questionnaire'!$I$60*'2.3 Input_Main_Questionnaire'!$I$29,)</f>
        <v>3.248011350531477E-3</v>
      </c>
      <c r="AS303" s="373">
        <f ca="1">IF(AS$301&gt;='2.2 Input_General_Information'!$H$20,AS187*'2.3 Input_Main_Questionnaire'!$I$60*'2.3 Input_Main_Questionnaire'!$I$29,)</f>
        <v>3.3046667743766318E-3</v>
      </c>
      <c r="AT303" s="373">
        <f ca="1">IF(AT$301&gt;='2.2 Input_General_Information'!$H$20,AT187*'2.3 Input_Main_Questionnaire'!$I$60*'2.3 Input_Main_Questionnaire'!$I$29,)</f>
        <v>3.0290129115948428E-3</v>
      </c>
      <c r="AU303" s="373">
        <f ca="1">IF(AU$301&gt;='2.2 Input_General_Information'!$H$20,AU187*'2.3 Input_Main_Questionnaire'!$I$60*'2.3 Input_Main_Questionnaire'!$I$29,)</f>
        <v>2.5110800460331345E-3</v>
      </c>
      <c r="AV303" s="373">
        <f ca="1">IF(AV$301&gt;='2.2 Input_General_Information'!$H$20,AV187*'2.3 Input_Main_Questionnaire'!$I$60*'2.3 Input_Main_Questionnaire'!$I$29,)</f>
        <v>1.9079656584094096E-3</v>
      </c>
      <c r="AW303" s="373">
        <f ca="1">IF(AW$301&gt;='2.2 Input_General_Information'!$H$20,AW187*'2.3 Input_Main_Questionnaire'!$I$60*'2.3 Input_Main_Questionnaire'!$I$29,)</f>
        <v>1.3520998806333562E-3</v>
      </c>
      <c r="AX303" s="373">
        <f ca="1">IF(AX$301&gt;='2.2 Input_General_Information'!$H$20,AX187*'2.3 Input_Main_Questionnaire'!$I$60*'2.3 Input_Main_Questionnaire'!$I$29,)</f>
        <v>9.0879235976015424E-4</v>
      </c>
      <c r="AY303" s="373">
        <f ca="1">IF(AY$301&gt;='2.2 Input_General_Information'!$H$20,AY187*'2.3 Input_Main_Questionnaire'!$I$60*'2.3 Input_Main_Questionnaire'!$I$29,)</f>
        <v>5.8701427891462573E-4</v>
      </c>
      <c r="AZ303" s="373">
        <f ca="1">IF(AZ$301&gt;='2.2 Input_General_Information'!$H$20,AZ187*'2.3 Input_Main_Questionnaire'!$I$60*'2.3 Input_Main_Questionnaire'!$I$29,)</f>
        <v>3.6742408113420042E-4</v>
      </c>
      <c r="BA303" s="373">
        <f ca="1">IF(BA$301&gt;='2.2 Input_General_Information'!$H$20,BA187*'2.3 Input_Main_Questionnaire'!$I$60*'2.3 Input_Main_Questionnaire'!$I$29,)</f>
        <v>2.2354004283241141E-4</v>
      </c>
      <c r="BB303" s="373">
        <f ca="1">IF(BB$301&gt;='2.2 Input_General_Information'!$H$20,BB187*'2.3 Input_Main_Questionnaire'!$I$60*'2.3 Input_Main_Questionnaire'!$I$29,)</f>
        <v>1.3182082673198164E-4</v>
      </c>
      <c r="BC303" s="373">
        <f ca="1">IF(BC$301&gt;='2.2 Input_General_Information'!$H$20,BC187*'2.3 Input_Main_Questionnaire'!$I$60*'2.3 Input_Main_Questionnaire'!$I$29,)</f>
        <v>7.4517548462749831E-5</v>
      </c>
      <c r="BD303" s="373">
        <f ca="1">IF(BD$301&gt;='2.2 Input_General_Information'!$H$20,BD187*'2.3 Input_Main_Questionnaire'!$I$60*'2.3 Input_Main_Questionnaire'!$I$29,)</f>
        <v>3.9324475319375085E-5</v>
      </c>
      <c r="BE303" s="373">
        <f ca="1">IF(BE$301&gt;='2.2 Input_General_Information'!$H$20,BE187*'2.3 Input_Main_Questionnaire'!$I$60*'2.3 Input_Main_Questionnaire'!$I$29,)</f>
        <v>1.8102321566994892E-5</v>
      </c>
      <c r="BF303" s="373">
        <f ca="1">IF(BF$301&gt;='2.2 Input_General_Information'!$H$20,BF187*'2.3 Input_Main_Questionnaire'!$I$60*'2.3 Input_Main_Questionnaire'!$I$29,)</f>
        <v>5.6142101095846828E-6</v>
      </c>
      <c r="BG303" s="373">
        <f ca="1">IF(BG$301&gt;='2.2 Input_General_Information'!$H$20,BG187*'2.3 Input_Main_Questionnaire'!$I$60*'2.3 Input_Main_Questionnaire'!$I$29,)</f>
        <v>-1.4542175644333556E-6</v>
      </c>
      <c r="BH303" s="373">
        <f ca="1">IF(BH$301&gt;='2.2 Input_General_Information'!$H$20,BH187*'2.3 Input_Main_Questionnaire'!$I$60*'2.3 Input_Main_Questionnaire'!$I$29,)</f>
        <v>-5.179925992816624E-6</v>
      </c>
      <c r="BI303" s="373">
        <f ca="1">IF(BI$301&gt;='2.2 Input_General_Information'!$H$20,BI187*'2.3 Input_Main_Questionnaire'!$I$60*'2.3 Input_Main_Questionnaire'!$I$29,)</f>
        <v>-6.8567565944263769E-6</v>
      </c>
      <c r="BJ303" s="373">
        <f ca="1">IF(BJ$301&gt;='2.2 Input_General_Information'!$H$20,BJ187*'2.3 Input_Main_Questionnaire'!$I$60*'2.3 Input_Main_Questionnaire'!$I$29,)</f>
        <v>-7.2878376005497404E-6</v>
      </c>
      <c r="BK303" s="373">
        <f ca="1">IF(BK$301&gt;='2.2 Input_General_Information'!$H$20,BK187*'2.3 Input_Main_Questionnaire'!$I$60*'2.3 Input_Main_Questionnaire'!$I$29,)</f>
        <v>-6.9706004395538734E-6</v>
      </c>
      <c r="BL303" s="381"/>
      <c r="BM303" s="381"/>
      <c r="BN303" s="381"/>
      <c r="BO303" s="381"/>
      <c r="BP303" s="381"/>
      <c r="BQ303" s="381"/>
      <c r="BR303" s="381"/>
      <c r="BS303" s="381"/>
      <c r="BT303" s="381"/>
      <c r="BU303" s="381"/>
    </row>
    <row r="304" spans="1:73" hidden="1">
      <c r="A304" s="6"/>
      <c r="B304" s="108"/>
      <c r="C304" s="1"/>
      <c r="D304" s="37"/>
      <c r="E304" s="1"/>
      <c r="F304" s="1"/>
      <c r="G304" s="3"/>
      <c r="H304" s="3"/>
      <c r="I304" s="3"/>
      <c r="J304" s="3"/>
      <c r="K304" s="3"/>
      <c r="L304" s="3"/>
      <c r="M304" s="3"/>
      <c r="N304" s="3"/>
      <c r="O304" s="1"/>
      <c r="P304" s="1"/>
      <c r="Q304" s="1"/>
      <c r="R304" s="162"/>
      <c r="S304" s="1"/>
      <c r="T304" s="103"/>
      <c r="U304" s="103"/>
      <c r="V304" s="103" t="str">
        <f>$I$10</f>
        <v>Lecturer/Researcher (Academic)</v>
      </c>
      <c r="W304" s="373">
        <f ca="1">IF(W$301&gt;='2.2 Input_General_Information'!$H$20,W187*'2.3 Input_Main_Questionnaire'!$I$60*'2.3 Input_Main_Questionnaire'!$J$29,)</f>
        <v>0</v>
      </c>
      <c r="X304" s="373">
        <f ca="1">IF(X$301&gt;='2.2 Input_General_Information'!$H$20,X187*'2.3 Input_Main_Questionnaire'!$I$60*'2.3 Input_Main_Questionnaire'!$J$29,)</f>
        <v>3.5490570314089781E-4</v>
      </c>
      <c r="Y304" s="373">
        <f ca="1">IF(Y$301&gt;='2.2 Input_General_Information'!$H$20,Y187*'2.3 Input_Main_Questionnaire'!$I$60*'2.3 Input_Main_Questionnaire'!$J$29,)</f>
        <v>3.5750185705954397E-4</v>
      </c>
      <c r="Z304" s="373">
        <f ca="1">IF(Z$301&gt;='2.2 Input_General_Information'!$H$20,Z187*'2.3 Input_Main_Questionnaire'!$I$60*'2.3 Input_Main_Questionnaire'!$J$29,)</f>
        <v>3.59840494465129E-4</v>
      </c>
      <c r="AA304" s="373">
        <f ca="1">IF(AA$301&gt;='2.2 Input_General_Information'!$H$20,AA187*'2.3 Input_Main_Questionnaire'!$I$60*'2.3 Input_Main_Questionnaire'!$J$29,)</f>
        <v>3.6204518312902461E-4</v>
      </c>
      <c r="AB304" s="373">
        <f ca="1">IF(AB$301&gt;='2.2 Input_General_Information'!$H$20,AB187*'2.3 Input_Main_Questionnaire'!$I$60*'2.3 Input_Main_Questionnaire'!$J$29,)</f>
        <v>3.6432536716007207E-4</v>
      </c>
      <c r="AC304" s="373">
        <f ca="1">IF(AC$301&gt;='2.2 Input_General_Information'!$H$20,AC187*'2.3 Input_Main_Questionnaire'!$I$60*'2.3 Input_Main_Questionnaire'!$J$29,)</f>
        <v>3.6702467501674538E-4</v>
      </c>
      <c r="AD304" s="373">
        <f ca="1">IF(AD$301&gt;='2.2 Input_General_Information'!$H$20,AD187*'2.3 Input_Main_Questionnaire'!$I$60*'2.3 Input_Main_Questionnaire'!$J$29,)</f>
        <v>3.7069667121071066E-4</v>
      </c>
      <c r="AE304" s="373">
        <f ca="1">IF(AE$301&gt;='2.2 Input_General_Information'!$H$20,AE187*'2.3 Input_Main_Questionnaire'!$I$60*'2.3 Input_Main_Questionnaire'!$J$29,)</f>
        <v>3.7622313592330117E-4</v>
      </c>
      <c r="AF304" s="373">
        <f ca="1">IF(AF$301&gt;='2.2 Input_General_Information'!$H$20,AF187*'2.3 Input_Main_Questionnaire'!$I$60*'2.3 Input_Main_Questionnaire'!$J$29,)</f>
        <v>3.8499730039272826E-4</v>
      </c>
      <c r="AG304" s="373">
        <f ca="1">IF(AG$301&gt;='2.2 Input_General_Information'!$H$20,AG187*'2.3 Input_Main_Questionnaire'!$I$60*'2.3 Input_Main_Questionnaire'!$J$29,)</f>
        <v>3.9920390677931602E-4</v>
      </c>
      <c r="AH304" s="373">
        <f ca="1">IF(AH$301&gt;='2.2 Input_General_Information'!$H$20,AH187*'2.3 Input_Main_Questionnaire'!$I$60*'2.3 Input_Main_Questionnaire'!$J$29,)</f>
        <v>4.2223753622160797E-4</v>
      </c>
      <c r="AI304" s="373">
        <f ca="1">IF(AI$301&gt;='2.2 Input_General_Information'!$H$20,AI187*'2.3 Input_Main_Questionnaire'!$I$60*'2.3 Input_Main_Questionnaire'!$J$29,)</f>
        <v>4.5930286523689003E-4</v>
      </c>
      <c r="AJ304" s="373">
        <f ca="1">IF(AJ$301&gt;='2.2 Input_General_Information'!$H$20,AJ187*'2.3 Input_Main_Questionnaire'!$I$60*'2.3 Input_Main_Questionnaire'!$J$29,)</f>
        <v>5.1821388381718676E-4</v>
      </c>
      <c r="AK304" s="373">
        <f ca="1">IF(AK$301&gt;='2.2 Input_General_Information'!$H$20,AK187*'2.3 Input_Main_Questionnaire'!$I$60*'2.3 Input_Main_Questionnaire'!$J$29,)</f>
        <v>6.1030089076631242E-4</v>
      </c>
      <c r="AL304" s="373">
        <f ca="1">IF(AL$301&gt;='2.2 Input_General_Information'!$H$20,AL187*'2.3 Input_Main_Questionnaire'!$I$60*'2.3 Input_Main_Questionnaire'!$J$29,)</f>
        <v>7.5103352690451635E-4</v>
      </c>
      <c r="AM304" s="373">
        <f ca="1">IF(AM$301&gt;='2.2 Input_General_Information'!$H$20,AM187*'2.3 Input_Main_Questionnaire'!$I$60*'2.3 Input_Main_Questionnaire'!$J$29,)</f>
        <v>9.5929668909648051E-4</v>
      </c>
      <c r="AN304" s="373">
        <f ca="1">IF(AN$301&gt;='2.2 Input_General_Information'!$H$20,AN187*'2.3 Input_Main_Questionnaire'!$I$60*'2.3 Input_Main_Questionnaire'!$J$29,)</f>
        <v>1.2531023184619236E-3</v>
      </c>
      <c r="AO304" s="373">
        <f ca="1">IF(AO$301&gt;='2.2 Input_General_Information'!$H$20,AO187*'2.3 Input_Main_Questionnaire'!$I$60*'2.3 Input_Main_Questionnaire'!$J$29,)</f>
        <v>1.6384603560062878E-3</v>
      </c>
      <c r="AP304" s="373">
        <f ca="1">IF(AP$301&gt;='2.2 Input_General_Information'!$H$20,AP187*'2.3 Input_Main_Questionnaire'!$I$60*'2.3 Input_Main_Questionnaire'!$J$29,)</f>
        <v>2.0898276557764629E-3</v>
      </c>
      <c r="AQ304" s="373">
        <f ca="1">IF(AQ$301&gt;='2.2 Input_General_Information'!$H$20,AQ187*'2.3 Input_Main_Questionnaire'!$I$60*'2.3 Input_Main_Questionnaire'!$J$29,)</f>
        <v>2.5300630891556372E-3</v>
      </c>
      <c r="AR304" s="373">
        <f ca="1">IF(AR$301&gt;='2.2 Input_General_Information'!$H$20,AR187*'2.3 Input_Main_Questionnaire'!$I$60*'2.3 Input_Main_Questionnaire'!$J$29,)</f>
        <v>2.8345191306298682E-3</v>
      </c>
      <c r="AS304" s="373">
        <f ca="1">IF(AS$301&gt;='2.2 Input_General_Information'!$H$20,AS187*'2.3 Input_Main_Questionnaire'!$I$60*'2.3 Input_Main_Questionnaire'!$J$29,)</f>
        <v>2.8839619636165069E-3</v>
      </c>
      <c r="AT304" s="373">
        <f ca="1">IF(AT$301&gt;='2.2 Input_General_Information'!$H$20,AT187*'2.3 Input_Main_Questionnaire'!$I$60*'2.3 Input_Main_Questionnaire'!$J$29,)</f>
        <v>2.6434005667608129E-3</v>
      </c>
      <c r="AU304" s="373">
        <f ca="1">IF(AU$301&gt;='2.2 Input_General_Information'!$H$20,AU187*'2.3 Input_Main_Questionnaire'!$I$60*'2.3 Input_Main_Questionnaire'!$J$29,)</f>
        <v>2.191403804010466E-3</v>
      </c>
      <c r="AV304" s="373">
        <f ca="1">IF(AV$301&gt;='2.2 Input_General_Information'!$H$20,AV187*'2.3 Input_Main_Questionnaire'!$I$60*'2.3 Input_Main_Questionnaire'!$J$29,)</f>
        <v>1.6650696613056287E-3</v>
      </c>
      <c r="AW304" s="373">
        <f ca="1">IF(AW$301&gt;='2.2 Input_General_Information'!$H$20,AW187*'2.3 Input_Main_Questionnaire'!$I$60*'2.3 Input_Main_Questionnaire'!$J$29,)</f>
        <v>1.1799690840213607E-3</v>
      </c>
      <c r="AX304" s="373">
        <f ca="1">IF(AX$301&gt;='2.2 Input_General_Information'!$H$20,AX187*'2.3 Input_Main_Questionnaire'!$I$60*'2.3 Input_Main_Questionnaire'!$J$29,)</f>
        <v>7.9309739145120477E-4</v>
      </c>
      <c r="AY304" s="373">
        <f ca="1">IF(AY$301&gt;='2.2 Input_General_Information'!$H$20,AY187*'2.3 Input_Main_Questionnaire'!$I$60*'2.3 Input_Main_Questionnaire'!$J$29,)</f>
        <v>5.1228367883139852E-4</v>
      </c>
      <c r="AZ304" s="373">
        <f ca="1">IF(AZ$301&gt;='2.2 Input_General_Information'!$H$20,AZ187*'2.3 Input_Main_Questionnaire'!$I$60*'2.3 Input_Main_Questionnaire'!$J$29,)</f>
        <v>3.2064869073150697E-4</v>
      </c>
      <c r="BA304" s="373">
        <f ca="1">IF(BA$301&gt;='2.2 Input_General_Information'!$H$20,BA187*'2.3 Input_Main_Questionnaire'!$I$60*'2.3 Input_Main_Questionnaire'!$J$29,)</f>
        <v>1.9508199309913396E-4</v>
      </c>
      <c r="BB304" s="373">
        <f ca="1">IF(BB$301&gt;='2.2 Input_General_Information'!$H$20,BB187*'2.3 Input_Main_Questionnaire'!$I$60*'2.3 Input_Main_Questionnaire'!$J$29,)</f>
        <v>1.150392085686851E-4</v>
      </c>
      <c r="BC304" s="373">
        <f ca="1">IF(BC$301&gt;='2.2 Input_General_Information'!$H$20,BC187*'2.3 Input_Main_Questionnaire'!$I$60*'2.3 Input_Main_Questionnaire'!$J$29,)</f>
        <v>6.5030997090185746E-5</v>
      </c>
      <c r="BD304" s="373">
        <f ca="1">IF(BD$301&gt;='2.2 Input_General_Information'!$H$20,BD187*'2.3 Input_Main_Questionnaire'!$I$60*'2.3 Input_Main_Questionnaire'!$J$29,)</f>
        <v>3.4318222926318111E-5</v>
      </c>
      <c r="BE304" s="373">
        <f ca="1">IF(BE$301&gt;='2.2 Input_General_Information'!$H$20,BE187*'2.3 Input_Main_Questionnaire'!$I$60*'2.3 Input_Main_Questionnaire'!$J$29,)</f>
        <v>1.5797782474517683E-5</v>
      </c>
      <c r="BF304" s="373">
        <f ca="1">IF(BF$301&gt;='2.2 Input_General_Information'!$H$20,BF187*'2.3 Input_Main_Questionnaire'!$I$60*'2.3 Input_Main_Questionnaire'!$J$29,)</f>
        <v>4.899485944342353E-6</v>
      </c>
      <c r="BG304" s="373">
        <f ca="1">IF(BG$301&gt;='2.2 Input_General_Information'!$H$20,BG187*'2.3 Input_Main_Questionnaire'!$I$60*'2.3 Input_Main_Questionnaire'!$J$29,)</f>
        <v>-1.2690865460829838E-6</v>
      </c>
      <c r="BH304" s="373">
        <f ca="1">IF(BH$301&gt;='2.2 Input_General_Information'!$H$20,BH187*'2.3 Input_Main_Questionnaire'!$I$60*'2.3 Input_Main_Questionnaire'!$J$29,)</f>
        <v>-4.5204889199303754E-6</v>
      </c>
      <c r="BI304" s="373">
        <f ca="1">IF(BI$301&gt;='2.2 Input_General_Information'!$H$20,BI187*'2.3 Input_Main_Questionnaire'!$I$60*'2.3 Input_Main_Questionnaire'!$J$29,)</f>
        <v>-5.983848467091654E-6</v>
      </c>
      <c r="BJ304" s="373">
        <f ca="1">IF(BJ$301&gt;='2.2 Input_General_Information'!$H$20,BJ187*'2.3 Input_Main_Questionnaire'!$I$60*'2.3 Input_Main_Questionnaire'!$J$29,)</f>
        <v>-6.3600501569373194E-6</v>
      </c>
      <c r="BK304" s="373">
        <f ca="1">IF(BK$301&gt;='2.2 Input_General_Information'!$H$20,BK187*'2.3 Input_Main_Questionnaire'!$I$60*'2.3 Input_Main_Questionnaire'!$J$29,)</f>
        <v>-6.0831992765848381E-6</v>
      </c>
      <c r="BL304" s="381"/>
      <c r="BM304" s="381"/>
      <c r="BN304" s="381"/>
      <c r="BO304" s="381"/>
      <c r="BP304" s="381"/>
      <c r="BQ304" s="381"/>
      <c r="BR304" s="381"/>
      <c r="BS304" s="381"/>
      <c r="BT304" s="381"/>
      <c r="BU304" s="381"/>
    </row>
    <row r="305" spans="1:73" hidden="1">
      <c r="A305" s="6"/>
      <c r="B305" s="108"/>
      <c r="C305" s="1"/>
      <c r="D305" s="37"/>
      <c r="E305" s="1"/>
      <c r="F305" s="1"/>
      <c r="G305" s="3"/>
      <c r="H305" s="3"/>
      <c r="I305" s="3"/>
      <c r="J305" s="3"/>
      <c r="K305" s="3"/>
      <c r="L305" s="3"/>
      <c r="M305" s="3"/>
      <c r="N305" s="3"/>
      <c r="O305" s="1"/>
      <c r="P305" s="1"/>
      <c r="Q305" s="1"/>
      <c r="R305" s="162"/>
      <c r="S305" s="1"/>
      <c r="T305" s="103"/>
      <c r="U305" s="103"/>
      <c r="V305" s="103" t="str">
        <f>$J$10</f>
        <v>Other</v>
      </c>
      <c r="W305" s="373">
        <f ca="1">IF(W$301&gt;='2.2 Input_General_Information'!$H$20,W187*'2.3 Input_Main_Questionnaire'!$I$60*'2.3 Input_Main_Questionnaire'!$K$29,)</f>
        <v>0</v>
      </c>
      <c r="X305" s="373">
        <f ca="1">IF(X$301&gt;='2.2 Input_General_Information'!$H$20,X187*'2.3 Input_Main_Questionnaire'!$I$60*'2.3 Input_Main_Questionnaire'!$K$29,)</f>
        <v>4.8796407810281297E-4</v>
      </c>
      <c r="Y305" s="373">
        <f ca="1">IF(Y$301&gt;='2.2 Input_General_Information'!$H$20,Y187*'2.3 Input_Main_Questionnaire'!$I$60*'2.3 Input_Main_Questionnaire'!$K$29,)</f>
        <v>4.9153356104522216E-4</v>
      </c>
      <c r="Z305" s="373">
        <f ca="1">IF(Z$301&gt;='2.2 Input_General_Information'!$H$20,Z187*'2.3 Input_Main_Questionnaire'!$I$60*'2.3 Input_Main_Questionnaire'!$K$29,)</f>
        <v>4.9474898146685455E-4</v>
      </c>
      <c r="AA305" s="373">
        <f ca="1">IF(AA$301&gt;='2.2 Input_General_Information'!$H$20,AA187*'2.3 Input_Main_Questionnaire'!$I$60*'2.3 Input_Main_Questionnaire'!$K$29,)</f>
        <v>4.9778023416823609E-4</v>
      </c>
      <c r="AB305" s="373">
        <f ca="1">IF(AB$301&gt;='2.2 Input_General_Information'!$H$20,AB187*'2.3 Input_Main_Questionnaire'!$I$60*'2.3 Input_Main_Questionnaire'!$K$29,)</f>
        <v>5.0091528634904907E-4</v>
      </c>
      <c r="AC305" s="373">
        <f ca="1">IF(AC$301&gt;='2.2 Input_General_Information'!$H$20,AC187*'2.3 Input_Main_Questionnaire'!$I$60*'2.3 Input_Main_Questionnaire'!$K$29,)</f>
        <v>5.0462659686939407E-4</v>
      </c>
      <c r="AD305" s="373">
        <f ca="1">IF(AD$301&gt;='2.2 Input_General_Information'!$H$20,AD187*'2.3 Input_Main_Questionnaire'!$I$60*'2.3 Input_Main_Questionnaire'!$K$29,)</f>
        <v>5.0967526816920116E-4</v>
      </c>
      <c r="AE305" s="373">
        <f ca="1">IF(AE$301&gt;='2.2 Input_General_Information'!$H$20,AE187*'2.3 Input_Main_Questionnaire'!$I$60*'2.3 Input_Main_Questionnaire'!$K$29,)</f>
        <v>5.172736703216072E-4</v>
      </c>
      <c r="AF305" s="373">
        <f ca="1">IF(AF$301&gt;='2.2 Input_General_Information'!$H$20,AF187*'2.3 Input_Main_Questionnaire'!$I$60*'2.3 Input_Main_Questionnaire'!$K$29,)</f>
        <v>5.293373735491281E-4</v>
      </c>
      <c r="AG305" s="373">
        <f ca="1">IF(AG$301&gt;='2.2 Input_General_Information'!$H$20,AG187*'2.3 Input_Main_Questionnaire'!$I$60*'2.3 Input_Main_Questionnaire'!$K$29,)</f>
        <v>5.4887020586782628E-4</v>
      </c>
      <c r="AH305" s="373">
        <f ca="1">IF(AH$301&gt;='2.2 Input_General_Information'!$H$20,AH187*'2.3 Input_Main_Questionnaire'!$I$60*'2.3 Input_Main_Questionnaire'!$K$29,)</f>
        <v>5.8053941731385289E-4</v>
      </c>
      <c r="AI305" s="373">
        <f ca="1">IF(AI$301&gt;='2.2 Input_General_Information'!$H$20,AI187*'2.3 Input_Main_Questionnaire'!$I$60*'2.3 Input_Main_Questionnaire'!$K$29,)</f>
        <v>6.3150097961745769E-4</v>
      </c>
      <c r="AJ305" s="373">
        <f ca="1">IF(AJ$301&gt;='2.2 Input_General_Information'!$H$20,AJ187*'2.3 Input_Main_Questionnaire'!$I$60*'2.3 Input_Main_Questionnaire'!$K$29,)</f>
        <v>7.1249844068169935E-4</v>
      </c>
      <c r="AK305" s="373">
        <f ca="1">IF(AK$301&gt;='2.2 Input_General_Information'!$H$20,AK187*'2.3 Input_Main_Questionnaire'!$I$60*'2.3 Input_Main_Questionnaire'!$K$29,)</f>
        <v>8.3910996327348517E-4</v>
      </c>
      <c r="AL305" s="373">
        <f ca="1">IF(AL$301&gt;='2.2 Input_General_Information'!$H$20,AL187*'2.3 Input_Main_Questionnaire'!$I$60*'2.3 Input_Main_Questionnaire'!$K$29,)</f>
        <v>1.0326049407968368E-3</v>
      </c>
      <c r="AM305" s="373">
        <f ca="1">IF(AM$301&gt;='2.2 Input_General_Information'!$H$20,AM187*'2.3 Input_Main_Questionnaire'!$I$60*'2.3 Input_Main_Questionnaire'!$K$29,)</f>
        <v>1.3189484428662674E-3</v>
      </c>
      <c r="AN305" s="373">
        <f ca="1">IF(AN$301&gt;='2.2 Input_General_Information'!$H$20,AN187*'2.3 Input_Main_Questionnaire'!$I$60*'2.3 Input_Main_Questionnaire'!$K$29,)</f>
        <v>1.722905301845816E-3</v>
      </c>
      <c r="AO305" s="373">
        <f ca="1">IF(AO$301&gt;='2.2 Input_General_Information'!$H$20,AO187*'2.3 Input_Main_Questionnaire'!$I$60*'2.3 Input_Main_Questionnaire'!$K$29,)</f>
        <v>2.2527386572010343E-3</v>
      </c>
      <c r="AP305" s="373">
        <f ca="1">IF(AP$301&gt;='2.2 Input_General_Information'!$H$20,AP187*'2.3 Input_Main_Questionnaire'!$I$60*'2.3 Input_Main_Questionnaire'!$K$29,)</f>
        <v>2.8733289333473426E-3</v>
      </c>
      <c r="AQ305" s="373">
        <f ca="1">IF(AQ$301&gt;='2.2 Input_General_Information'!$H$20,AQ187*'2.3 Input_Main_Questionnaire'!$I$60*'2.3 Input_Main_Questionnaire'!$K$29,)</f>
        <v>3.4786138738144103E-3</v>
      </c>
      <c r="AR305" s="373">
        <f ca="1">IF(AR$301&gt;='2.2 Input_General_Information'!$H$20,AR187*'2.3 Input_Main_Questionnaire'!$I$60*'2.3 Input_Main_Questionnaire'!$K$29,)</f>
        <v>3.8972141112465632E-3</v>
      </c>
      <c r="AS305" s="373">
        <f ca="1">IF(AS$301&gt;='2.2 Input_General_Information'!$H$20,AS187*'2.3 Input_Main_Questionnaire'!$I$60*'2.3 Input_Main_Questionnaire'!$K$29,)</f>
        <v>3.9651936511739287E-3</v>
      </c>
      <c r="AT305" s="373">
        <f ca="1">IF(AT$301&gt;='2.2 Input_General_Information'!$H$20,AT187*'2.3 Input_Main_Questionnaire'!$I$60*'2.3 Input_Main_Questionnaire'!$K$29,)</f>
        <v>3.634442921599962E-3</v>
      </c>
      <c r="AU305" s="373">
        <f ca="1">IF(AU$301&gt;='2.2 Input_General_Information'!$H$20,AU187*'2.3 Input_Main_Questionnaire'!$I$60*'2.3 Input_Main_Questionnaire'!$K$29,)</f>
        <v>3.0129871893054398E-3</v>
      </c>
      <c r="AV305" s="373">
        <f ca="1">IF(AV$301&gt;='2.2 Input_General_Information'!$H$20,AV187*'2.3 Input_Main_Questionnaire'!$I$60*'2.3 Input_Main_Questionnaire'!$K$29,)</f>
        <v>2.2893241079684858E-3</v>
      </c>
      <c r="AW305" s="373">
        <f ca="1">IF(AW$301&gt;='2.2 Input_General_Information'!$H$20,AW187*'2.3 Input_Main_Questionnaire'!$I$60*'2.3 Input_Main_Questionnaire'!$K$29,)</f>
        <v>1.6223535468116101E-3</v>
      </c>
      <c r="AX305" s="373">
        <f ca="1">IF(AX$301&gt;='2.2 Input_General_Information'!$H$20,AX187*'2.3 Input_Main_Questionnaire'!$I$60*'2.3 Input_Main_Questionnaire'!$K$29,)</f>
        <v>1.0904390491341088E-3</v>
      </c>
      <c r="AY305" s="373">
        <f ca="1">IF(AY$301&gt;='2.2 Input_General_Information'!$H$20,AY187*'2.3 Input_Main_Questionnaire'!$I$60*'2.3 Input_Main_Questionnaire'!$K$29,)</f>
        <v>7.0434493121920958E-4</v>
      </c>
      <c r="AZ305" s="373">
        <f ca="1">IF(AZ$301&gt;='2.2 Input_General_Information'!$H$20,AZ187*'2.3 Input_Main_Questionnaire'!$I$60*'2.3 Input_Main_Questionnaire'!$K$29,)</f>
        <v>4.4086370374712481E-4</v>
      </c>
      <c r="BA305" s="373">
        <f ca="1">IF(BA$301&gt;='2.2 Input_General_Information'!$H$20,BA187*'2.3 Input_Main_Questionnaire'!$I$60*'2.3 Input_Main_Questionnaire'!$K$29,)</f>
        <v>2.6822055569866829E-4</v>
      </c>
      <c r="BB305" s="373">
        <f ca="1">IF(BB$301&gt;='2.2 Input_General_Information'!$H$20,BB187*'2.3 Input_Main_Questionnaire'!$I$60*'2.3 Input_Main_Questionnaire'!$K$29,)</f>
        <v>1.5816877795454872E-4</v>
      </c>
      <c r="BC305" s="373">
        <f ca="1">IF(BC$301&gt;='2.2 Input_General_Information'!$H$20,BC187*'2.3 Input_Main_Questionnaire'!$I$60*'2.3 Input_Main_Questionnaire'!$K$29,)</f>
        <v>8.9411892405181383E-5</v>
      </c>
      <c r="BD305" s="373">
        <f ca="1">IF(BD$301&gt;='2.2 Input_General_Information'!$H$20,BD187*'2.3 Input_Main_Questionnaire'!$I$60*'2.3 Input_Main_Questionnaire'!$K$29,)</f>
        <v>4.7184533424416232E-5</v>
      </c>
      <c r="BE305" s="373">
        <f ca="1">IF(BE$301&gt;='2.2 Input_General_Information'!$H$20,BE187*'2.3 Input_Main_Questionnaire'!$I$60*'2.3 Input_Main_Questionnaire'!$K$29,)</f>
        <v>2.1720559272575055E-5</v>
      </c>
      <c r="BF305" s="373">
        <f ca="1">IF(BF$301&gt;='2.2 Input_General_Information'!$H$20,BF187*'2.3 Input_Main_Questionnaire'!$I$60*'2.3 Input_Main_Questionnaire'!$K$29,)</f>
        <v>6.7363615767525938E-6</v>
      </c>
      <c r="BG305" s="373">
        <f ca="1">IF(BG$301&gt;='2.2 Input_General_Information'!$H$20,BG187*'2.3 Input_Main_Questionnaire'!$I$60*'2.3 Input_Main_Questionnaire'!$K$29,)</f>
        <v>-1.7448822067708957E-6</v>
      </c>
      <c r="BH305" s="373">
        <f ca="1">IF(BH$301&gt;='2.2 Input_General_Information'!$H$20,BH187*'2.3 Input_Main_Questionnaire'!$I$60*'2.3 Input_Main_Questionnaire'!$K$29,)</f>
        <v>-6.2152740541114599E-6</v>
      </c>
      <c r="BI305" s="373">
        <f ca="1">IF(BI$301&gt;='2.2 Input_General_Information'!$H$20,BI187*'2.3 Input_Main_Questionnaire'!$I$60*'2.3 Input_Main_Questionnaire'!$K$29,)</f>
        <v>-8.2272645238166432E-6</v>
      </c>
      <c r="BJ305" s="373">
        <f ca="1">IF(BJ$301&gt;='2.2 Input_General_Information'!$H$20,BJ187*'2.3 Input_Main_Questionnaire'!$I$60*'2.3 Input_Main_Questionnaire'!$K$29,)</f>
        <v>-8.7445087076706902E-6</v>
      </c>
      <c r="BK305" s="373">
        <f ca="1">IF(BK$301&gt;='2.2 Input_General_Information'!$H$20,BK187*'2.3 Input_Main_Questionnaire'!$I$60*'2.3 Input_Main_Questionnaire'!$K$29,)</f>
        <v>-8.363863135036659E-6</v>
      </c>
      <c r="BL305" s="381"/>
      <c r="BM305" s="381"/>
      <c r="BN305" s="381"/>
      <c r="BO305" s="381"/>
      <c r="BP305" s="381"/>
      <c r="BQ305" s="381"/>
      <c r="BR305" s="381"/>
      <c r="BS305" s="381"/>
      <c r="BT305" s="381"/>
      <c r="BU305" s="381"/>
    </row>
    <row r="306" spans="1:73" hidden="1">
      <c r="A306" s="6"/>
      <c r="B306" s="108"/>
      <c r="C306" s="1"/>
      <c r="D306" s="37"/>
      <c r="E306" s="1"/>
      <c r="F306" s="1"/>
      <c r="G306" s="3"/>
      <c r="H306" s="3"/>
      <c r="I306" s="3"/>
      <c r="J306" s="3"/>
      <c r="K306" s="3"/>
      <c r="L306" s="3"/>
      <c r="M306" s="3"/>
      <c r="N306" s="3"/>
      <c r="O306" s="1"/>
      <c r="P306" s="1"/>
      <c r="Q306" s="1"/>
      <c r="R306" s="162"/>
      <c r="S306" s="1"/>
      <c r="T306" s="103"/>
      <c r="U306" s="103"/>
      <c r="V306" s="103" t="str">
        <f>$K$10</f>
        <v>Profile 5</v>
      </c>
      <c r="W306" s="373">
        <f ca="1">IF(W$301&gt;='2.2 Input_General_Information'!$H$20,W187*'2.3 Input_Main_Questionnaire'!$I$60*'2.3 Input_Main_Questionnaire'!$L$29,)</f>
        <v>0</v>
      </c>
      <c r="X306" s="373">
        <f ca="1">IF(X$301&gt;='2.2 Input_General_Information'!$H$20,X187*'2.3 Input_Main_Questionnaire'!$I$60*'2.3 Input_Main_Questionnaire'!$L$29,)</f>
        <v>4.2018434198499521E-4</v>
      </c>
      <c r="Y306" s="373">
        <f ca="1">IF(Y$301&gt;='2.2 Input_General_Information'!$H$20,Y187*'2.3 Input_Main_Questionnaire'!$I$60*'2.3 Input_Main_Questionnaire'!$L$29,)</f>
        <v>4.2325801258635224E-4</v>
      </c>
      <c r="Z306" s="373">
        <f ca="1">IF(Z$301&gt;='2.2 Input_General_Information'!$H$20,Z187*'2.3 Input_Main_Questionnaire'!$I$60*'2.3 Input_Main_Questionnaire'!$L$29,)</f>
        <v>4.2602680105808079E-4</v>
      </c>
      <c r="AA306" s="373">
        <f ca="1">IF(AA$301&gt;='2.2 Input_General_Information'!$H$20,AA187*'2.3 Input_Main_Questionnaire'!$I$60*'2.3 Input_Main_Questionnaire'!$L$29,)</f>
        <v>4.2863700328172038E-4</v>
      </c>
      <c r="AB306" s="373">
        <f ca="1">IF(AB$301&gt;='2.2 Input_General_Information'!$H$20,AB187*'2.3 Input_Main_Questionnaire'!$I$60*'2.3 Input_Main_Questionnaire'!$L$29,)</f>
        <v>4.3133658691255885E-4</v>
      </c>
      <c r="AC306" s="373">
        <f ca="1">IF(AC$301&gt;='2.2 Input_General_Information'!$H$20,AC187*'2.3 Input_Main_Questionnaire'!$I$60*'2.3 Input_Main_Questionnaire'!$L$29,)</f>
        <v>4.3453238479783802E-4</v>
      </c>
      <c r="AD306" s="373">
        <f ca="1">IF(AD$301&gt;='2.2 Input_General_Information'!$H$20,AD187*'2.3 Input_Main_Questionnaire'!$I$60*'2.3 Input_Main_Questionnaire'!$L$29,)</f>
        <v>4.3887977986891742E-4</v>
      </c>
      <c r="AE306" s="373">
        <f ca="1">IF(AE$301&gt;='2.2 Input_General_Information'!$H$20,AE187*'2.3 Input_Main_Questionnaire'!$I$60*'2.3 Input_Main_Questionnaire'!$L$29,)</f>
        <v>4.4542274020517683E-4</v>
      </c>
      <c r="AF306" s="373">
        <f ca="1">IF(AF$301&gt;='2.2 Input_General_Information'!$H$20,AF187*'2.3 Input_Main_Questionnaire'!$I$60*'2.3 Input_Main_Questionnaire'!$L$29,)</f>
        <v>4.5581075733599959E-4</v>
      </c>
      <c r="AG306" s="373">
        <f ca="1">IF(AG$301&gt;='2.2 Input_General_Information'!$H$20,AG187*'2.3 Input_Main_Questionnaire'!$I$60*'2.3 Input_Main_Questionnaire'!$L$29,)</f>
        <v>4.7263041817424299E-4</v>
      </c>
      <c r="AH306" s="373">
        <f ca="1">IF(AH$301&gt;='2.2 Input_General_Information'!$H$20,AH187*'2.3 Input_Main_Questionnaire'!$I$60*'2.3 Input_Main_Questionnaire'!$L$29,)</f>
        <v>4.9990067713340475E-4</v>
      </c>
      <c r="AI306" s="373">
        <f ca="1">IF(AI$301&gt;='2.2 Input_General_Information'!$H$20,AI187*'2.3 Input_Main_Questionnaire'!$I$60*'2.3 Input_Main_Questionnaire'!$L$29,)</f>
        <v>5.4378351909652937E-4</v>
      </c>
      <c r="AJ306" s="373">
        <f ca="1">IF(AJ$301&gt;='2.2 Input_General_Information'!$H$20,AJ187*'2.3 Input_Main_Questionnaire'!$I$60*'2.3 Input_Main_Questionnaire'!$L$29,)</f>
        <v>6.1353017957214496E-4</v>
      </c>
      <c r="AK306" s="373">
        <f ca="1">IF(AK$301&gt;='2.2 Input_General_Information'!$H$20,AK187*'2.3 Input_Main_Questionnaire'!$I$60*'2.3 Input_Main_Questionnaire'!$L$29,)</f>
        <v>7.2255496581212454E-4</v>
      </c>
      <c r="AL306" s="373">
        <f ca="1">IF(AL$301&gt;='2.2 Input_General_Information'!$H$20,AL187*'2.3 Input_Main_Questionnaire'!$I$60*'2.3 Input_Main_Questionnaire'!$L$29,)</f>
        <v>8.8917288597574863E-4</v>
      </c>
      <c r="AM306" s="373">
        <f ca="1">IF(AM$301&gt;='2.2 Input_General_Information'!$H$20,AM187*'2.3 Input_Main_Questionnaire'!$I$60*'2.3 Input_Main_Questionnaire'!$L$29,)</f>
        <v>1.1357423803256429E-3</v>
      </c>
      <c r="AN306" s="373">
        <f ca="1">IF(AN$301&gt;='2.2 Input_General_Information'!$H$20,AN187*'2.3 Input_Main_Questionnaire'!$I$60*'2.3 Input_Main_Questionnaire'!$L$29,)</f>
        <v>1.4835883685807129E-3</v>
      </c>
      <c r="AO306" s="373">
        <f ca="1">IF(AO$301&gt;='2.2 Input_General_Information'!$H$20,AO187*'2.3 Input_Main_Questionnaire'!$I$60*'2.3 Input_Main_Questionnaire'!$L$29,)</f>
        <v>1.9398262142991988E-3</v>
      </c>
      <c r="AP306" s="373">
        <f ca="1">IF(AP$301&gt;='2.2 Input_General_Information'!$H$20,AP187*'2.3 Input_Main_Questionnaire'!$I$60*'2.3 Input_Main_Questionnaire'!$L$29,)</f>
        <v>2.4742145607501462E-3</v>
      </c>
      <c r="AQ306" s="373">
        <f ca="1">IF(AQ$301&gt;='2.2 Input_General_Information'!$H$20,AQ187*'2.3 Input_Main_Questionnaire'!$I$60*'2.3 Input_Main_Questionnaire'!$L$29,)</f>
        <v>2.9954235305013886E-3</v>
      </c>
      <c r="AR306" s="373">
        <f ca="1">IF(AR$301&gt;='2.2 Input_General_Information'!$H$20,AR187*'2.3 Input_Main_Questionnaire'!$I$60*'2.3 Input_Main_Questionnaire'!$L$29,)</f>
        <v>3.3558788861579834E-3</v>
      </c>
      <c r="AS306" s="373">
        <f ca="1">IF(AS$301&gt;='2.2 Input_General_Information'!$H$20,AS187*'2.3 Input_Main_Questionnaire'!$I$60*'2.3 Input_Main_Questionnaire'!$L$29,)</f>
        <v>3.4144158554444901E-3</v>
      </c>
      <c r="AT306" s="373">
        <f ca="1">IF(AT$301&gt;='2.2 Input_General_Information'!$H$20,AT187*'2.3 Input_Main_Questionnaire'!$I$60*'2.3 Input_Main_Questionnaire'!$L$29,)</f>
        <v>3.1296074363341545E-3</v>
      </c>
      <c r="AU306" s="373">
        <f ca="1">IF(AU$301&gt;='2.2 Input_General_Information'!$H$20,AU187*'2.3 Input_Main_Questionnaire'!$I$60*'2.3 Input_Main_Questionnaire'!$L$29,)</f>
        <v>2.5944738482999172E-3</v>
      </c>
      <c r="AV306" s="373">
        <f ca="1">IF(AV$301&gt;='2.2 Input_General_Information'!$H$20,AV187*'2.3 Input_Main_Questionnaire'!$I$60*'2.3 Input_Main_Questionnaire'!$L$29,)</f>
        <v>1.9713298315669173E-3</v>
      </c>
      <c r="AW306" s="373">
        <f ca="1">IF(AW$301&gt;='2.2 Input_General_Information'!$H$20,AW187*'2.3 Input_Main_Questionnaire'!$I$60*'2.3 Input_Main_Questionnaire'!$L$29,)</f>
        <v>1.3970035667060505E-3</v>
      </c>
      <c r="AX306" s="373">
        <f ca="1">IF(AX$301&gt;='2.2 Input_General_Information'!$H$20,AX187*'2.3 Input_Main_Questionnaire'!$I$60*'2.3 Input_Main_Questionnaire'!$L$29,)</f>
        <v>9.3897365584074972E-4</v>
      </c>
      <c r="AY306" s="373">
        <f ca="1">IF(AY$301&gt;='2.2 Input_General_Information'!$H$20,AY187*'2.3 Input_Main_Questionnaire'!$I$60*'2.3 Input_Main_Questionnaire'!$L$29,)</f>
        <v>6.0650921806677197E-4</v>
      </c>
      <c r="AZ306" s="373">
        <f ca="1">IF(AZ$301&gt;='2.2 Input_General_Information'!$H$20,AZ187*'2.3 Input_Main_Questionnaire'!$I$60*'2.3 Input_Main_Questionnaire'!$L$29,)</f>
        <v>3.7962635689142471E-4</v>
      </c>
      <c r="BA306" s="373">
        <f ca="1">IF(BA$301&gt;='2.2 Input_General_Information'!$H$20,BA187*'2.3 Input_Main_Questionnaire'!$I$60*'2.3 Input_Main_Questionnaire'!$L$29,)</f>
        <v>2.3096388189326638E-4</v>
      </c>
      <c r="BB306" s="373">
        <f ca="1">IF(BB$301&gt;='2.2 Input_General_Information'!$H$20,BB187*'2.3 Input_Main_Questionnaire'!$I$60*'2.3 Input_Main_Questionnaire'!$L$29,)</f>
        <v>1.3619864016588509E-4</v>
      </c>
      <c r="BC306" s="373">
        <f ca="1">IF(BC$301&gt;='2.2 Input_General_Information'!$H$20,BC187*'2.3 Input_Main_Questionnaire'!$I$60*'2.3 Input_Main_Questionnaire'!$L$29,)</f>
        <v>7.6992300994723067E-5</v>
      </c>
      <c r="BD306" s="373">
        <f ca="1">IF(BD$301&gt;='2.2 Input_General_Information'!$H$20,BD187*'2.3 Input_Main_Questionnaire'!$I$60*'2.3 Input_Main_Questionnaire'!$L$29,)</f>
        <v>4.0630454204520378E-5</v>
      </c>
      <c r="BE306" s="373">
        <f ca="1">IF(BE$301&gt;='2.2 Input_General_Information'!$H$20,BE187*'2.3 Input_Main_Questionnaire'!$I$60*'2.3 Input_Main_Questionnaire'!$L$29,)</f>
        <v>1.8703505678075904E-5</v>
      </c>
      <c r="BF306" s="373">
        <f ca="1">IF(BF$301&gt;='2.2 Input_General_Information'!$H$20,BF187*'2.3 Input_Main_Questionnaire'!$I$60*'2.3 Input_Main_Questionnaire'!$L$29,)</f>
        <v>5.8006598918218122E-6</v>
      </c>
      <c r="BG306" s="373">
        <f ca="1">IF(BG$301&gt;='2.2 Input_General_Information'!$H$20,BG187*'2.3 Input_Main_Questionnaire'!$I$60*'2.3 Input_Main_Questionnaire'!$L$29,)</f>
        <v>-1.5025126126986699E-6</v>
      </c>
      <c r="BH306" s="373">
        <f ca="1">IF(BH$301&gt;='2.2 Input_General_Information'!$H$20,BH187*'2.3 Input_Main_Questionnaire'!$I$60*'2.3 Input_Main_Questionnaire'!$L$29,)</f>
        <v>-5.3519530553086887E-6</v>
      </c>
      <c r="BI306" s="373">
        <f ca="1">IF(BI$301&gt;='2.2 Input_General_Information'!$H$20,BI187*'2.3 Input_Main_Questionnaire'!$I$60*'2.3 Input_Main_Questionnaire'!$L$29,)</f>
        <v>-7.0844717580789129E-6</v>
      </c>
      <c r="BJ306" s="373">
        <f ca="1">IF(BJ$301&gt;='2.2 Input_General_Information'!$H$20,BJ187*'2.3 Input_Main_Questionnaire'!$I$60*'2.3 Input_Main_Questionnaire'!$L$29,)</f>
        <v>-7.5298691075790668E-6</v>
      </c>
      <c r="BK306" s="373">
        <f ca="1">IF(BK$301&gt;='2.2 Input_General_Information'!$H$20,BK187*'2.3 Input_Main_Questionnaire'!$I$60*'2.3 Input_Main_Questionnaire'!$L$29,)</f>
        <v>-7.2020963951110128E-6</v>
      </c>
      <c r="BL306" s="381"/>
      <c r="BM306" s="381"/>
      <c r="BN306" s="381"/>
      <c r="BO306" s="381"/>
      <c r="BP306" s="381"/>
      <c r="BQ306" s="381"/>
      <c r="BR306" s="381"/>
      <c r="BS306" s="381"/>
      <c r="BT306" s="381"/>
      <c r="BU306" s="381"/>
    </row>
    <row r="307" spans="1:73" hidden="1">
      <c r="A307" s="6"/>
      <c r="B307" s="108"/>
      <c r="C307" s="1"/>
      <c r="D307" s="37"/>
      <c r="E307" s="1"/>
      <c r="F307" s="1"/>
      <c r="G307" s="3"/>
      <c r="H307" s="3"/>
      <c r="I307" s="3"/>
      <c r="J307" s="3"/>
      <c r="K307" s="3"/>
      <c r="L307" s="3"/>
      <c r="M307" s="3"/>
      <c r="N307" s="3"/>
      <c r="O307" s="1"/>
      <c r="P307" s="1"/>
      <c r="Q307" s="1"/>
      <c r="R307" s="162"/>
      <c r="S307" s="1"/>
      <c r="T307" s="103"/>
      <c r="U307" s="103"/>
      <c r="V307" s="103" t="str">
        <f>$L$10</f>
        <v>Profile 6</v>
      </c>
      <c r="W307" s="373">
        <f ca="1">IF(W$301&gt;='2.2 Input_General_Information'!$H$20,W187*'2.3 Input_Main_Questionnaire'!$I$60*'2.3 Input_Main_Questionnaire'!$M$29,)</f>
        <v>0</v>
      </c>
      <c r="X307" s="373">
        <f ca="1">IF(X$301&gt;='2.2 Input_General_Information'!$H$20,X187*'2.3 Input_Main_Questionnaire'!$I$60*'2.3 Input_Main_Questionnaire'!$M$29,)</f>
        <v>4.2018434198499521E-4</v>
      </c>
      <c r="Y307" s="373">
        <f ca="1">IF(Y$301&gt;='2.2 Input_General_Information'!$H$20,Y187*'2.3 Input_Main_Questionnaire'!$I$60*'2.3 Input_Main_Questionnaire'!$M$29,)</f>
        <v>4.2325801258635224E-4</v>
      </c>
      <c r="Z307" s="373">
        <f ca="1">IF(Z$301&gt;='2.2 Input_General_Information'!$H$20,Z187*'2.3 Input_Main_Questionnaire'!$I$60*'2.3 Input_Main_Questionnaire'!$M$29,)</f>
        <v>4.2602680105808079E-4</v>
      </c>
      <c r="AA307" s="373">
        <f ca="1">IF(AA$301&gt;='2.2 Input_General_Information'!$H$20,AA187*'2.3 Input_Main_Questionnaire'!$I$60*'2.3 Input_Main_Questionnaire'!$M$29,)</f>
        <v>4.2863700328172038E-4</v>
      </c>
      <c r="AB307" s="373">
        <f ca="1">IF(AB$301&gt;='2.2 Input_General_Information'!$H$20,AB187*'2.3 Input_Main_Questionnaire'!$I$60*'2.3 Input_Main_Questionnaire'!$M$29,)</f>
        <v>4.3133658691255885E-4</v>
      </c>
      <c r="AC307" s="373">
        <f ca="1">IF(AC$301&gt;='2.2 Input_General_Information'!$H$20,AC187*'2.3 Input_Main_Questionnaire'!$I$60*'2.3 Input_Main_Questionnaire'!$M$29,)</f>
        <v>4.3453238479783802E-4</v>
      </c>
      <c r="AD307" s="373">
        <f ca="1">IF(AD$301&gt;='2.2 Input_General_Information'!$H$20,AD187*'2.3 Input_Main_Questionnaire'!$I$60*'2.3 Input_Main_Questionnaire'!$M$29,)</f>
        <v>4.3887977986891742E-4</v>
      </c>
      <c r="AE307" s="373">
        <f ca="1">IF(AE$301&gt;='2.2 Input_General_Information'!$H$20,AE187*'2.3 Input_Main_Questionnaire'!$I$60*'2.3 Input_Main_Questionnaire'!$M$29,)</f>
        <v>4.4542274020517683E-4</v>
      </c>
      <c r="AF307" s="373">
        <f ca="1">IF(AF$301&gt;='2.2 Input_General_Information'!$H$20,AF187*'2.3 Input_Main_Questionnaire'!$I$60*'2.3 Input_Main_Questionnaire'!$M$29,)</f>
        <v>4.5581075733599959E-4</v>
      </c>
      <c r="AG307" s="373">
        <f ca="1">IF(AG$301&gt;='2.2 Input_General_Information'!$H$20,AG187*'2.3 Input_Main_Questionnaire'!$I$60*'2.3 Input_Main_Questionnaire'!$M$29,)</f>
        <v>4.7263041817424299E-4</v>
      </c>
      <c r="AH307" s="373">
        <f ca="1">IF(AH$301&gt;='2.2 Input_General_Information'!$H$20,AH187*'2.3 Input_Main_Questionnaire'!$I$60*'2.3 Input_Main_Questionnaire'!$M$29,)</f>
        <v>4.9990067713340475E-4</v>
      </c>
      <c r="AI307" s="373">
        <f ca="1">IF(AI$301&gt;='2.2 Input_General_Information'!$H$20,AI187*'2.3 Input_Main_Questionnaire'!$I$60*'2.3 Input_Main_Questionnaire'!$M$29,)</f>
        <v>5.4378351909652937E-4</v>
      </c>
      <c r="AJ307" s="373">
        <f ca="1">IF(AJ$301&gt;='2.2 Input_General_Information'!$H$20,AJ187*'2.3 Input_Main_Questionnaire'!$I$60*'2.3 Input_Main_Questionnaire'!$M$29,)</f>
        <v>6.1353017957214496E-4</v>
      </c>
      <c r="AK307" s="373">
        <f ca="1">IF(AK$301&gt;='2.2 Input_General_Information'!$H$20,AK187*'2.3 Input_Main_Questionnaire'!$I$60*'2.3 Input_Main_Questionnaire'!$M$29,)</f>
        <v>7.2255496581212454E-4</v>
      </c>
      <c r="AL307" s="373">
        <f ca="1">IF(AL$301&gt;='2.2 Input_General_Information'!$H$20,AL187*'2.3 Input_Main_Questionnaire'!$I$60*'2.3 Input_Main_Questionnaire'!$M$29,)</f>
        <v>8.8917288597574863E-4</v>
      </c>
      <c r="AM307" s="373">
        <f ca="1">IF(AM$301&gt;='2.2 Input_General_Information'!$H$20,AM187*'2.3 Input_Main_Questionnaire'!$I$60*'2.3 Input_Main_Questionnaire'!$M$29,)</f>
        <v>1.1357423803256429E-3</v>
      </c>
      <c r="AN307" s="373">
        <f ca="1">IF(AN$301&gt;='2.2 Input_General_Information'!$H$20,AN187*'2.3 Input_Main_Questionnaire'!$I$60*'2.3 Input_Main_Questionnaire'!$M$29,)</f>
        <v>1.4835883685807129E-3</v>
      </c>
      <c r="AO307" s="373">
        <f ca="1">IF(AO$301&gt;='2.2 Input_General_Information'!$H$20,AO187*'2.3 Input_Main_Questionnaire'!$I$60*'2.3 Input_Main_Questionnaire'!$M$29,)</f>
        <v>1.9398262142991988E-3</v>
      </c>
      <c r="AP307" s="373">
        <f ca="1">IF(AP$301&gt;='2.2 Input_General_Information'!$H$20,AP187*'2.3 Input_Main_Questionnaire'!$I$60*'2.3 Input_Main_Questionnaire'!$M$29,)</f>
        <v>2.4742145607501462E-3</v>
      </c>
      <c r="AQ307" s="373">
        <f ca="1">IF(AQ$301&gt;='2.2 Input_General_Information'!$H$20,AQ187*'2.3 Input_Main_Questionnaire'!$I$60*'2.3 Input_Main_Questionnaire'!$M$29,)</f>
        <v>2.9954235305013886E-3</v>
      </c>
      <c r="AR307" s="373">
        <f ca="1">IF(AR$301&gt;='2.2 Input_General_Information'!$H$20,AR187*'2.3 Input_Main_Questionnaire'!$I$60*'2.3 Input_Main_Questionnaire'!$M$29,)</f>
        <v>3.3558788861579834E-3</v>
      </c>
      <c r="AS307" s="373">
        <f ca="1">IF(AS$301&gt;='2.2 Input_General_Information'!$H$20,AS187*'2.3 Input_Main_Questionnaire'!$I$60*'2.3 Input_Main_Questionnaire'!$M$29,)</f>
        <v>3.4144158554444901E-3</v>
      </c>
      <c r="AT307" s="373">
        <f ca="1">IF(AT$301&gt;='2.2 Input_General_Information'!$H$20,AT187*'2.3 Input_Main_Questionnaire'!$I$60*'2.3 Input_Main_Questionnaire'!$M$29,)</f>
        <v>3.1296074363341545E-3</v>
      </c>
      <c r="AU307" s="373">
        <f ca="1">IF(AU$301&gt;='2.2 Input_General_Information'!$H$20,AU187*'2.3 Input_Main_Questionnaire'!$I$60*'2.3 Input_Main_Questionnaire'!$M$29,)</f>
        <v>2.5944738482999172E-3</v>
      </c>
      <c r="AV307" s="373">
        <f ca="1">IF(AV$301&gt;='2.2 Input_General_Information'!$H$20,AV187*'2.3 Input_Main_Questionnaire'!$I$60*'2.3 Input_Main_Questionnaire'!$M$29,)</f>
        <v>1.9713298315669173E-3</v>
      </c>
      <c r="AW307" s="373">
        <f ca="1">IF(AW$301&gt;='2.2 Input_General_Information'!$H$20,AW187*'2.3 Input_Main_Questionnaire'!$I$60*'2.3 Input_Main_Questionnaire'!$M$29,)</f>
        <v>1.3970035667060505E-3</v>
      </c>
      <c r="AX307" s="373">
        <f ca="1">IF(AX$301&gt;='2.2 Input_General_Information'!$H$20,AX187*'2.3 Input_Main_Questionnaire'!$I$60*'2.3 Input_Main_Questionnaire'!$M$29,)</f>
        <v>9.3897365584074972E-4</v>
      </c>
      <c r="AY307" s="373">
        <f ca="1">IF(AY$301&gt;='2.2 Input_General_Information'!$H$20,AY187*'2.3 Input_Main_Questionnaire'!$I$60*'2.3 Input_Main_Questionnaire'!$M$29,)</f>
        <v>6.0650921806677197E-4</v>
      </c>
      <c r="AZ307" s="373">
        <f ca="1">IF(AZ$301&gt;='2.2 Input_General_Information'!$H$20,AZ187*'2.3 Input_Main_Questionnaire'!$I$60*'2.3 Input_Main_Questionnaire'!$M$29,)</f>
        <v>3.7962635689142471E-4</v>
      </c>
      <c r="BA307" s="373">
        <f ca="1">IF(BA$301&gt;='2.2 Input_General_Information'!$H$20,BA187*'2.3 Input_Main_Questionnaire'!$I$60*'2.3 Input_Main_Questionnaire'!$M$29,)</f>
        <v>2.3096388189326638E-4</v>
      </c>
      <c r="BB307" s="373">
        <f ca="1">IF(BB$301&gt;='2.2 Input_General_Information'!$H$20,BB187*'2.3 Input_Main_Questionnaire'!$I$60*'2.3 Input_Main_Questionnaire'!$M$29,)</f>
        <v>1.3619864016588509E-4</v>
      </c>
      <c r="BC307" s="373">
        <f ca="1">IF(BC$301&gt;='2.2 Input_General_Information'!$H$20,BC187*'2.3 Input_Main_Questionnaire'!$I$60*'2.3 Input_Main_Questionnaire'!$M$29,)</f>
        <v>7.6992300994723067E-5</v>
      </c>
      <c r="BD307" s="373">
        <f ca="1">IF(BD$301&gt;='2.2 Input_General_Information'!$H$20,BD187*'2.3 Input_Main_Questionnaire'!$I$60*'2.3 Input_Main_Questionnaire'!$M$29,)</f>
        <v>4.0630454204520378E-5</v>
      </c>
      <c r="BE307" s="373">
        <f ca="1">IF(BE$301&gt;='2.2 Input_General_Information'!$H$20,BE187*'2.3 Input_Main_Questionnaire'!$I$60*'2.3 Input_Main_Questionnaire'!$M$29,)</f>
        <v>1.8703505678075904E-5</v>
      </c>
      <c r="BF307" s="373">
        <f ca="1">IF(BF$301&gt;='2.2 Input_General_Information'!$H$20,BF187*'2.3 Input_Main_Questionnaire'!$I$60*'2.3 Input_Main_Questionnaire'!$M$29,)</f>
        <v>5.8006598918218122E-6</v>
      </c>
      <c r="BG307" s="373">
        <f ca="1">IF(BG$301&gt;='2.2 Input_General_Information'!$H$20,BG187*'2.3 Input_Main_Questionnaire'!$I$60*'2.3 Input_Main_Questionnaire'!$M$29,)</f>
        <v>-1.5025126126986699E-6</v>
      </c>
      <c r="BH307" s="373">
        <f ca="1">IF(BH$301&gt;='2.2 Input_General_Information'!$H$20,BH187*'2.3 Input_Main_Questionnaire'!$I$60*'2.3 Input_Main_Questionnaire'!$M$29,)</f>
        <v>-5.3519530553086887E-6</v>
      </c>
      <c r="BI307" s="373">
        <f ca="1">IF(BI$301&gt;='2.2 Input_General_Information'!$H$20,BI187*'2.3 Input_Main_Questionnaire'!$I$60*'2.3 Input_Main_Questionnaire'!$M$29,)</f>
        <v>-7.0844717580789129E-6</v>
      </c>
      <c r="BJ307" s="373">
        <f ca="1">IF(BJ$301&gt;='2.2 Input_General_Information'!$H$20,BJ187*'2.3 Input_Main_Questionnaire'!$I$60*'2.3 Input_Main_Questionnaire'!$M$29,)</f>
        <v>-7.5298691075790668E-6</v>
      </c>
      <c r="BK307" s="373">
        <f ca="1">IF(BK$301&gt;='2.2 Input_General_Information'!$H$20,BK187*'2.3 Input_Main_Questionnaire'!$I$60*'2.3 Input_Main_Questionnaire'!$M$29,)</f>
        <v>-7.2020963951110128E-6</v>
      </c>
      <c r="BL307" s="381"/>
      <c r="BM307" s="381"/>
      <c r="BN307" s="381"/>
      <c r="BO307" s="381"/>
      <c r="BP307" s="381"/>
      <c r="BQ307" s="381"/>
      <c r="BR307" s="381"/>
      <c r="BS307" s="381"/>
      <c r="BT307" s="381"/>
      <c r="BU307" s="381"/>
    </row>
    <row r="308" spans="1:73" hidden="1">
      <c r="A308" s="6"/>
      <c r="B308" s="108"/>
      <c r="C308" s="1"/>
      <c r="D308" s="37"/>
      <c r="E308" s="1"/>
      <c r="F308" s="1"/>
      <c r="G308" s="3"/>
      <c r="H308" s="3"/>
      <c r="I308" s="3"/>
      <c r="J308" s="3"/>
      <c r="K308" s="3"/>
      <c r="L308" s="3"/>
      <c r="M308" s="3"/>
      <c r="N308" s="3"/>
      <c r="O308" s="1"/>
      <c r="P308" s="1"/>
      <c r="Q308" s="1"/>
      <c r="R308" s="162"/>
      <c r="S308" s="1"/>
      <c r="T308" s="103"/>
      <c r="U308" s="103"/>
      <c r="V308" s="103" t="str">
        <f>$M$10</f>
        <v>Profile 7</v>
      </c>
      <c r="W308" s="373">
        <f ca="1">IF(W$301&gt;='2.2 Input_General_Information'!$H$20,W187*'2.3 Input_Main_Questionnaire'!$I$60*'2.3 Input_Main_Questionnaire'!$N$29,)</f>
        <v>0</v>
      </c>
      <c r="X308" s="373">
        <f ca="1">IF(X$301&gt;='2.2 Input_General_Information'!$H$20,X187*'2.3 Input_Main_Questionnaire'!$I$60*'2.3 Input_Main_Questionnaire'!$N$29,)</f>
        <v>4.2018434198499521E-4</v>
      </c>
      <c r="Y308" s="373">
        <f ca="1">IF(Y$301&gt;='2.2 Input_General_Information'!$H$20,Y187*'2.3 Input_Main_Questionnaire'!$I$60*'2.3 Input_Main_Questionnaire'!$N$29,)</f>
        <v>4.2325801258635224E-4</v>
      </c>
      <c r="Z308" s="373">
        <f ca="1">IF(Z$301&gt;='2.2 Input_General_Information'!$H$20,Z187*'2.3 Input_Main_Questionnaire'!$I$60*'2.3 Input_Main_Questionnaire'!$N$29,)</f>
        <v>4.2602680105808079E-4</v>
      </c>
      <c r="AA308" s="373">
        <f ca="1">IF(AA$301&gt;='2.2 Input_General_Information'!$H$20,AA187*'2.3 Input_Main_Questionnaire'!$I$60*'2.3 Input_Main_Questionnaire'!$N$29,)</f>
        <v>4.2863700328172038E-4</v>
      </c>
      <c r="AB308" s="373">
        <f ca="1">IF(AB$301&gt;='2.2 Input_General_Information'!$H$20,AB187*'2.3 Input_Main_Questionnaire'!$I$60*'2.3 Input_Main_Questionnaire'!$N$29,)</f>
        <v>4.3133658691255885E-4</v>
      </c>
      <c r="AC308" s="373">
        <f ca="1">IF(AC$301&gt;='2.2 Input_General_Information'!$H$20,AC187*'2.3 Input_Main_Questionnaire'!$I$60*'2.3 Input_Main_Questionnaire'!$N$29,)</f>
        <v>4.3453238479783802E-4</v>
      </c>
      <c r="AD308" s="373">
        <f ca="1">IF(AD$301&gt;='2.2 Input_General_Information'!$H$20,AD187*'2.3 Input_Main_Questionnaire'!$I$60*'2.3 Input_Main_Questionnaire'!$N$29,)</f>
        <v>4.3887977986891742E-4</v>
      </c>
      <c r="AE308" s="373">
        <f ca="1">IF(AE$301&gt;='2.2 Input_General_Information'!$H$20,AE187*'2.3 Input_Main_Questionnaire'!$I$60*'2.3 Input_Main_Questionnaire'!$N$29,)</f>
        <v>4.4542274020517683E-4</v>
      </c>
      <c r="AF308" s="373">
        <f ca="1">IF(AF$301&gt;='2.2 Input_General_Information'!$H$20,AF187*'2.3 Input_Main_Questionnaire'!$I$60*'2.3 Input_Main_Questionnaire'!$N$29,)</f>
        <v>4.5581075733599959E-4</v>
      </c>
      <c r="AG308" s="373">
        <f ca="1">IF(AG$301&gt;='2.2 Input_General_Information'!$H$20,AG187*'2.3 Input_Main_Questionnaire'!$I$60*'2.3 Input_Main_Questionnaire'!$N$29,)</f>
        <v>4.7263041817424299E-4</v>
      </c>
      <c r="AH308" s="373">
        <f ca="1">IF(AH$301&gt;='2.2 Input_General_Information'!$H$20,AH187*'2.3 Input_Main_Questionnaire'!$I$60*'2.3 Input_Main_Questionnaire'!$N$29,)</f>
        <v>4.9990067713340475E-4</v>
      </c>
      <c r="AI308" s="373">
        <f ca="1">IF(AI$301&gt;='2.2 Input_General_Information'!$H$20,AI187*'2.3 Input_Main_Questionnaire'!$I$60*'2.3 Input_Main_Questionnaire'!$N$29,)</f>
        <v>5.4378351909652937E-4</v>
      </c>
      <c r="AJ308" s="373">
        <f ca="1">IF(AJ$301&gt;='2.2 Input_General_Information'!$H$20,AJ187*'2.3 Input_Main_Questionnaire'!$I$60*'2.3 Input_Main_Questionnaire'!$N$29,)</f>
        <v>6.1353017957214496E-4</v>
      </c>
      <c r="AK308" s="373">
        <f ca="1">IF(AK$301&gt;='2.2 Input_General_Information'!$H$20,AK187*'2.3 Input_Main_Questionnaire'!$I$60*'2.3 Input_Main_Questionnaire'!$N$29,)</f>
        <v>7.2255496581212454E-4</v>
      </c>
      <c r="AL308" s="373">
        <f ca="1">IF(AL$301&gt;='2.2 Input_General_Information'!$H$20,AL187*'2.3 Input_Main_Questionnaire'!$I$60*'2.3 Input_Main_Questionnaire'!$N$29,)</f>
        <v>8.8917288597574863E-4</v>
      </c>
      <c r="AM308" s="373">
        <f ca="1">IF(AM$301&gt;='2.2 Input_General_Information'!$H$20,AM187*'2.3 Input_Main_Questionnaire'!$I$60*'2.3 Input_Main_Questionnaire'!$N$29,)</f>
        <v>1.1357423803256429E-3</v>
      </c>
      <c r="AN308" s="373">
        <f ca="1">IF(AN$301&gt;='2.2 Input_General_Information'!$H$20,AN187*'2.3 Input_Main_Questionnaire'!$I$60*'2.3 Input_Main_Questionnaire'!$N$29,)</f>
        <v>1.4835883685807129E-3</v>
      </c>
      <c r="AO308" s="373">
        <f ca="1">IF(AO$301&gt;='2.2 Input_General_Information'!$H$20,AO187*'2.3 Input_Main_Questionnaire'!$I$60*'2.3 Input_Main_Questionnaire'!$N$29,)</f>
        <v>1.9398262142991988E-3</v>
      </c>
      <c r="AP308" s="373">
        <f ca="1">IF(AP$301&gt;='2.2 Input_General_Information'!$H$20,AP187*'2.3 Input_Main_Questionnaire'!$I$60*'2.3 Input_Main_Questionnaire'!$N$29,)</f>
        <v>2.4742145607501462E-3</v>
      </c>
      <c r="AQ308" s="373">
        <f ca="1">IF(AQ$301&gt;='2.2 Input_General_Information'!$H$20,AQ187*'2.3 Input_Main_Questionnaire'!$I$60*'2.3 Input_Main_Questionnaire'!$N$29,)</f>
        <v>2.9954235305013886E-3</v>
      </c>
      <c r="AR308" s="373">
        <f ca="1">IF(AR$301&gt;='2.2 Input_General_Information'!$H$20,AR187*'2.3 Input_Main_Questionnaire'!$I$60*'2.3 Input_Main_Questionnaire'!$N$29,)</f>
        <v>3.3558788861579834E-3</v>
      </c>
      <c r="AS308" s="373">
        <f ca="1">IF(AS$301&gt;='2.2 Input_General_Information'!$H$20,AS187*'2.3 Input_Main_Questionnaire'!$I$60*'2.3 Input_Main_Questionnaire'!$N$29,)</f>
        <v>3.4144158554444901E-3</v>
      </c>
      <c r="AT308" s="373">
        <f ca="1">IF(AT$301&gt;='2.2 Input_General_Information'!$H$20,AT187*'2.3 Input_Main_Questionnaire'!$I$60*'2.3 Input_Main_Questionnaire'!$N$29,)</f>
        <v>3.1296074363341545E-3</v>
      </c>
      <c r="AU308" s="373">
        <f ca="1">IF(AU$301&gt;='2.2 Input_General_Information'!$H$20,AU187*'2.3 Input_Main_Questionnaire'!$I$60*'2.3 Input_Main_Questionnaire'!$N$29,)</f>
        <v>2.5944738482999172E-3</v>
      </c>
      <c r="AV308" s="373">
        <f ca="1">IF(AV$301&gt;='2.2 Input_General_Information'!$H$20,AV187*'2.3 Input_Main_Questionnaire'!$I$60*'2.3 Input_Main_Questionnaire'!$N$29,)</f>
        <v>1.9713298315669173E-3</v>
      </c>
      <c r="AW308" s="373">
        <f ca="1">IF(AW$301&gt;='2.2 Input_General_Information'!$H$20,AW187*'2.3 Input_Main_Questionnaire'!$I$60*'2.3 Input_Main_Questionnaire'!$N$29,)</f>
        <v>1.3970035667060505E-3</v>
      </c>
      <c r="AX308" s="373">
        <f ca="1">IF(AX$301&gt;='2.2 Input_General_Information'!$H$20,AX187*'2.3 Input_Main_Questionnaire'!$I$60*'2.3 Input_Main_Questionnaire'!$N$29,)</f>
        <v>9.3897365584074972E-4</v>
      </c>
      <c r="AY308" s="373">
        <f ca="1">IF(AY$301&gt;='2.2 Input_General_Information'!$H$20,AY187*'2.3 Input_Main_Questionnaire'!$I$60*'2.3 Input_Main_Questionnaire'!$N$29,)</f>
        <v>6.0650921806677197E-4</v>
      </c>
      <c r="AZ308" s="373">
        <f ca="1">IF(AZ$301&gt;='2.2 Input_General_Information'!$H$20,AZ187*'2.3 Input_Main_Questionnaire'!$I$60*'2.3 Input_Main_Questionnaire'!$N$29,)</f>
        <v>3.7962635689142471E-4</v>
      </c>
      <c r="BA308" s="373">
        <f ca="1">IF(BA$301&gt;='2.2 Input_General_Information'!$H$20,BA187*'2.3 Input_Main_Questionnaire'!$I$60*'2.3 Input_Main_Questionnaire'!$N$29,)</f>
        <v>2.3096388189326638E-4</v>
      </c>
      <c r="BB308" s="373">
        <f ca="1">IF(BB$301&gt;='2.2 Input_General_Information'!$H$20,BB187*'2.3 Input_Main_Questionnaire'!$I$60*'2.3 Input_Main_Questionnaire'!$N$29,)</f>
        <v>1.3619864016588509E-4</v>
      </c>
      <c r="BC308" s="373">
        <f ca="1">IF(BC$301&gt;='2.2 Input_General_Information'!$H$20,BC187*'2.3 Input_Main_Questionnaire'!$I$60*'2.3 Input_Main_Questionnaire'!$N$29,)</f>
        <v>7.6992300994723067E-5</v>
      </c>
      <c r="BD308" s="373">
        <f ca="1">IF(BD$301&gt;='2.2 Input_General_Information'!$H$20,BD187*'2.3 Input_Main_Questionnaire'!$I$60*'2.3 Input_Main_Questionnaire'!$N$29,)</f>
        <v>4.0630454204520378E-5</v>
      </c>
      <c r="BE308" s="373">
        <f ca="1">IF(BE$301&gt;='2.2 Input_General_Information'!$H$20,BE187*'2.3 Input_Main_Questionnaire'!$I$60*'2.3 Input_Main_Questionnaire'!$N$29,)</f>
        <v>1.8703505678075904E-5</v>
      </c>
      <c r="BF308" s="373">
        <f ca="1">IF(BF$301&gt;='2.2 Input_General_Information'!$H$20,BF187*'2.3 Input_Main_Questionnaire'!$I$60*'2.3 Input_Main_Questionnaire'!$N$29,)</f>
        <v>5.8006598918218122E-6</v>
      </c>
      <c r="BG308" s="373">
        <f ca="1">IF(BG$301&gt;='2.2 Input_General_Information'!$H$20,BG187*'2.3 Input_Main_Questionnaire'!$I$60*'2.3 Input_Main_Questionnaire'!$N$29,)</f>
        <v>-1.5025126126986699E-6</v>
      </c>
      <c r="BH308" s="373">
        <f ca="1">IF(BH$301&gt;='2.2 Input_General_Information'!$H$20,BH187*'2.3 Input_Main_Questionnaire'!$I$60*'2.3 Input_Main_Questionnaire'!$N$29,)</f>
        <v>-5.3519530553086887E-6</v>
      </c>
      <c r="BI308" s="373">
        <f ca="1">IF(BI$301&gt;='2.2 Input_General_Information'!$H$20,BI187*'2.3 Input_Main_Questionnaire'!$I$60*'2.3 Input_Main_Questionnaire'!$N$29,)</f>
        <v>-7.0844717580789129E-6</v>
      </c>
      <c r="BJ308" s="373">
        <f ca="1">IF(BJ$301&gt;='2.2 Input_General_Information'!$H$20,BJ187*'2.3 Input_Main_Questionnaire'!$I$60*'2.3 Input_Main_Questionnaire'!$N$29,)</f>
        <v>-7.5298691075790668E-6</v>
      </c>
      <c r="BK308" s="373">
        <f ca="1">IF(BK$301&gt;='2.2 Input_General_Information'!$H$20,BK187*'2.3 Input_Main_Questionnaire'!$I$60*'2.3 Input_Main_Questionnaire'!$N$29,)</f>
        <v>-7.2020963951110128E-6</v>
      </c>
      <c r="BL308" s="381"/>
      <c r="BM308" s="381"/>
      <c r="BN308" s="381"/>
      <c r="BO308" s="381"/>
      <c r="BP308" s="381"/>
      <c r="BQ308" s="381"/>
      <c r="BR308" s="381"/>
      <c r="BS308" s="381"/>
      <c r="BT308" s="381"/>
      <c r="BU308" s="381"/>
    </row>
    <row r="309" spans="1:73" hidden="1">
      <c r="A309" s="6"/>
      <c r="B309" s="108"/>
      <c r="C309" s="1"/>
      <c r="D309" s="37"/>
      <c r="E309" s="1"/>
      <c r="F309" s="1"/>
      <c r="G309" s="3"/>
      <c r="H309" s="3"/>
      <c r="I309" s="3"/>
      <c r="J309" s="3"/>
      <c r="K309" s="3"/>
      <c r="L309" s="3"/>
      <c r="M309" s="3"/>
      <c r="N309" s="3"/>
      <c r="O309" s="1"/>
      <c r="P309" s="1"/>
      <c r="Q309" s="1"/>
      <c r="R309" s="162"/>
      <c r="S309" s="1"/>
      <c r="T309" s="103"/>
      <c r="U309" s="103"/>
      <c r="V309" s="103" t="str">
        <f>$N$10</f>
        <v>Profile 8</v>
      </c>
      <c r="W309" s="373">
        <f ca="1">IF(W$301&gt;='2.2 Input_General_Information'!$H$20,W187*'2.3 Input_Main_Questionnaire'!$I$60*'2.3 Input_Main_Questionnaire'!$O$29,)</f>
        <v>0</v>
      </c>
      <c r="X309" s="373">
        <f ca="1">IF(X$301&gt;='2.2 Input_General_Information'!$H$20,X187*'2.3 Input_Main_Questionnaire'!$I$60*'2.3 Input_Main_Questionnaire'!$O$29,)</f>
        <v>4.2018434198499521E-4</v>
      </c>
      <c r="Y309" s="373">
        <f ca="1">IF(Y$301&gt;='2.2 Input_General_Information'!$H$20,Y187*'2.3 Input_Main_Questionnaire'!$I$60*'2.3 Input_Main_Questionnaire'!$O$29,)</f>
        <v>4.2325801258635224E-4</v>
      </c>
      <c r="Z309" s="373">
        <f ca="1">IF(Z$301&gt;='2.2 Input_General_Information'!$H$20,Z187*'2.3 Input_Main_Questionnaire'!$I$60*'2.3 Input_Main_Questionnaire'!$O$29,)</f>
        <v>4.2602680105808079E-4</v>
      </c>
      <c r="AA309" s="373">
        <f ca="1">IF(AA$301&gt;='2.2 Input_General_Information'!$H$20,AA187*'2.3 Input_Main_Questionnaire'!$I$60*'2.3 Input_Main_Questionnaire'!$O$29,)</f>
        <v>4.2863700328172038E-4</v>
      </c>
      <c r="AB309" s="373">
        <f ca="1">IF(AB$301&gt;='2.2 Input_General_Information'!$H$20,AB187*'2.3 Input_Main_Questionnaire'!$I$60*'2.3 Input_Main_Questionnaire'!$O$29,)</f>
        <v>4.3133658691255885E-4</v>
      </c>
      <c r="AC309" s="373">
        <f ca="1">IF(AC$301&gt;='2.2 Input_General_Information'!$H$20,AC187*'2.3 Input_Main_Questionnaire'!$I$60*'2.3 Input_Main_Questionnaire'!$O$29,)</f>
        <v>4.3453238479783802E-4</v>
      </c>
      <c r="AD309" s="373">
        <f ca="1">IF(AD$301&gt;='2.2 Input_General_Information'!$H$20,AD187*'2.3 Input_Main_Questionnaire'!$I$60*'2.3 Input_Main_Questionnaire'!$O$29,)</f>
        <v>4.3887977986891742E-4</v>
      </c>
      <c r="AE309" s="373">
        <f ca="1">IF(AE$301&gt;='2.2 Input_General_Information'!$H$20,AE187*'2.3 Input_Main_Questionnaire'!$I$60*'2.3 Input_Main_Questionnaire'!$O$29,)</f>
        <v>4.4542274020517683E-4</v>
      </c>
      <c r="AF309" s="373">
        <f ca="1">IF(AF$301&gt;='2.2 Input_General_Information'!$H$20,AF187*'2.3 Input_Main_Questionnaire'!$I$60*'2.3 Input_Main_Questionnaire'!$O$29,)</f>
        <v>4.5581075733599959E-4</v>
      </c>
      <c r="AG309" s="373">
        <f ca="1">IF(AG$301&gt;='2.2 Input_General_Information'!$H$20,AG187*'2.3 Input_Main_Questionnaire'!$I$60*'2.3 Input_Main_Questionnaire'!$O$29,)</f>
        <v>4.7263041817424299E-4</v>
      </c>
      <c r="AH309" s="373">
        <f ca="1">IF(AH$301&gt;='2.2 Input_General_Information'!$H$20,AH187*'2.3 Input_Main_Questionnaire'!$I$60*'2.3 Input_Main_Questionnaire'!$O$29,)</f>
        <v>4.9990067713340475E-4</v>
      </c>
      <c r="AI309" s="373">
        <f ca="1">IF(AI$301&gt;='2.2 Input_General_Information'!$H$20,AI187*'2.3 Input_Main_Questionnaire'!$I$60*'2.3 Input_Main_Questionnaire'!$O$29,)</f>
        <v>5.4378351909652937E-4</v>
      </c>
      <c r="AJ309" s="373">
        <f ca="1">IF(AJ$301&gt;='2.2 Input_General_Information'!$H$20,AJ187*'2.3 Input_Main_Questionnaire'!$I$60*'2.3 Input_Main_Questionnaire'!$O$29,)</f>
        <v>6.1353017957214496E-4</v>
      </c>
      <c r="AK309" s="373">
        <f ca="1">IF(AK$301&gt;='2.2 Input_General_Information'!$H$20,AK187*'2.3 Input_Main_Questionnaire'!$I$60*'2.3 Input_Main_Questionnaire'!$O$29,)</f>
        <v>7.2255496581212454E-4</v>
      </c>
      <c r="AL309" s="373">
        <f ca="1">IF(AL$301&gt;='2.2 Input_General_Information'!$H$20,AL187*'2.3 Input_Main_Questionnaire'!$I$60*'2.3 Input_Main_Questionnaire'!$O$29,)</f>
        <v>8.8917288597574863E-4</v>
      </c>
      <c r="AM309" s="373">
        <f ca="1">IF(AM$301&gt;='2.2 Input_General_Information'!$H$20,AM187*'2.3 Input_Main_Questionnaire'!$I$60*'2.3 Input_Main_Questionnaire'!$O$29,)</f>
        <v>1.1357423803256429E-3</v>
      </c>
      <c r="AN309" s="373">
        <f ca="1">IF(AN$301&gt;='2.2 Input_General_Information'!$H$20,AN187*'2.3 Input_Main_Questionnaire'!$I$60*'2.3 Input_Main_Questionnaire'!$O$29,)</f>
        <v>1.4835883685807129E-3</v>
      </c>
      <c r="AO309" s="373">
        <f ca="1">IF(AO$301&gt;='2.2 Input_General_Information'!$H$20,AO187*'2.3 Input_Main_Questionnaire'!$I$60*'2.3 Input_Main_Questionnaire'!$O$29,)</f>
        <v>1.9398262142991988E-3</v>
      </c>
      <c r="AP309" s="373">
        <f ca="1">IF(AP$301&gt;='2.2 Input_General_Information'!$H$20,AP187*'2.3 Input_Main_Questionnaire'!$I$60*'2.3 Input_Main_Questionnaire'!$O$29,)</f>
        <v>2.4742145607501462E-3</v>
      </c>
      <c r="AQ309" s="373">
        <f ca="1">IF(AQ$301&gt;='2.2 Input_General_Information'!$H$20,AQ187*'2.3 Input_Main_Questionnaire'!$I$60*'2.3 Input_Main_Questionnaire'!$O$29,)</f>
        <v>2.9954235305013886E-3</v>
      </c>
      <c r="AR309" s="373">
        <f ca="1">IF(AR$301&gt;='2.2 Input_General_Information'!$H$20,AR187*'2.3 Input_Main_Questionnaire'!$I$60*'2.3 Input_Main_Questionnaire'!$O$29,)</f>
        <v>3.3558788861579834E-3</v>
      </c>
      <c r="AS309" s="373">
        <f ca="1">IF(AS$301&gt;='2.2 Input_General_Information'!$H$20,AS187*'2.3 Input_Main_Questionnaire'!$I$60*'2.3 Input_Main_Questionnaire'!$O$29,)</f>
        <v>3.4144158554444901E-3</v>
      </c>
      <c r="AT309" s="373">
        <f ca="1">IF(AT$301&gt;='2.2 Input_General_Information'!$H$20,AT187*'2.3 Input_Main_Questionnaire'!$I$60*'2.3 Input_Main_Questionnaire'!$O$29,)</f>
        <v>3.1296074363341545E-3</v>
      </c>
      <c r="AU309" s="373">
        <f ca="1">IF(AU$301&gt;='2.2 Input_General_Information'!$H$20,AU187*'2.3 Input_Main_Questionnaire'!$I$60*'2.3 Input_Main_Questionnaire'!$O$29,)</f>
        <v>2.5944738482999172E-3</v>
      </c>
      <c r="AV309" s="373">
        <f ca="1">IF(AV$301&gt;='2.2 Input_General_Information'!$H$20,AV187*'2.3 Input_Main_Questionnaire'!$I$60*'2.3 Input_Main_Questionnaire'!$O$29,)</f>
        <v>1.9713298315669173E-3</v>
      </c>
      <c r="AW309" s="373">
        <f ca="1">IF(AW$301&gt;='2.2 Input_General_Information'!$H$20,AW187*'2.3 Input_Main_Questionnaire'!$I$60*'2.3 Input_Main_Questionnaire'!$O$29,)</f>
        <v>1.3970035667060505E-3</v>
      </c>
      <c r="AX309" s="373">
        <f ca="1">IF(AX$301&gt;='2.2 Input_General_Information'!$H$20,AX187*'2.3 Input_Main_Questionnaire'!$I$60*'2.3 Input_Main_Questionnaire'!$O$29,)</f>
        <v>9.3897365584074972E-4</v>
      </c>
      <c r="AY309" s="373">
        <f ca="1">IF(AY$301&gt;='2.2 Input_General_Information'!$H$20,AY187*'2.3 Input_Main_Questionnaire'!$I$60*'2.3 Input_Main_Questionnaire'!$O$29,)</f>
        <v>6.0650921806677197E-4</v>
      </c>
      <c r="AZ309" s="373">
        <f ca="1">IF(AZ$301&gt;='2.2 Input_General_Information'!$H$20,AZ187*'2.3 Input_Main_Questionnaire'!$I$60*'2.3 Input_Main_Questionnaire'!$O$29,)</f>
        <v>3.7962635689142471E-4</v>
      </c>
      <c r="BA309" s="373">
        <f ca="1">IF(BA$301&gt;='2.2 Input_General_Information'!$H$20,BA187*'2.3 Input_Main_Questionnaire'!$I$60*'2.3 Input_Main_Questionnaire'!$O$29,)</f>
        <v>2.3096388189326638E-4</v>
      </c>
      <c r="BB309" s="373">
        <f ca="1">IF(BB$301&gt;='2.2 Input_General_Information'!$H$20,BB187*'2.3 Input_Main_Questionnaire'!$I$60*'2.3 Input_Main_Questionnaire'!$O$29,)</f>
        <v>1.3619864016588509E-4</v>
      </c>
      <c r="BC309" s="373">
        <f ca="1">IF(BC$301&gt;='2.2 Input_General_Information'!$H$20,BC187*'2.3 Input_Main_Questionnaire'!$I$60*'2.3 Input_Main_Questionnaire'!$O$29,)</f>
        <v>7.6992300994723067E-5</v>
      </c>
      <c r="BD309" s="373">
        <f ca="1">IF(BD$301&gt;='2.2 Input_General_Information'!$H$20,BD187*'2.3 Input_Main_Questionnaire'!$I$60*'2.3 Input_Main_Questionnaire'!$O$29,)</f>
        <v>4.0630454204520378E-5</v>
      </c>
      <c r="BE309" s="373">
        <f ca="1">IF(BE$301&gt;='2.2 Input_General_Information'!$H$20,BE187*'2.3 Input_Main_Questionnaire'!$I$60*'2.3 Input_Main_Questionnaire'!$O$29,)</f>
        <v>1.8703505678075904E-5</v>
      </c>
      <c r="BF309" s="373">
        <f ca="1">IF(BF$301&gt;='2.2 Input_General_Information'!$H$20,BF187*'2.3 Input_Main_Questionnaire'!$I$60*'2.3 Input_Main_Questionnaire'!$O$29,)</f>
        <v>5.8006598918218122E-6</v>
      </c>
      <c r="BG309" s="373">
        <f ca="1">IF(BG$301&gt;='2.2 Input_General_Information'!$H$20,BG187*'2.3 Input_Main_Questionnaire'!$I$60*'2.3 Input_Main_Questionnaire'!$O$29,)</f>
        <v>-1.5025126126986699E-6</v>
      </c>
      <c r="BH309" s="373">
        <f ca="1">IF(BH$301&gt;='2.2 Input_General_Information'!$H$20,BH187*'2.3 Input_Main_Questionnaire'!$I$60*'2.3 Input_Main_Questionnaire'!$O$29,)</f>
        <v>-5.3519530553086887E-6</v>
      </c>
      <c r="BI309" s="373">
        <f ca="1">IF(BI$301&gt;='2.2 Input_General_Information'!$H$20,BI187*'2.3 Input_Main_Questionnaire'!$I$60*'2.3 Input_Main_Questionnaire'!$O$29,)</f>
        <v>-7.0844717580789129E-6</v>
      </c>
      <c r="BJ309" s="373">
        <f ca="1">IF(BJ$301&gt;='2.2 Input_General_Information'!$H$20,BJ187*'2.3 Input_Main_Questionnaire'!$I$60*'2.3 Input_Main_Questionnaire'!$O$29,)</f>
        <v>-7.5298691075790668E-6</v>
      </c>
      <c r="BK309" s="373">
        <f ca="1">IF(BK$301&gt;='2.2 Input_General_Information'!$H$20,BK187*'2.3 Input_Main_Questionnaire'!$I$60*'2.3 Input_Main_Questionnaire'!$O$29,)</f>
        <v>-7.2020963951110128E-6</v>
      </c>
      <c r="BL309" s="381"/>
      <c r="BM309" s="381"/>
      <c r="BN309" s="381"/>
      <c r="BO309" s="381"/>
      <c r="BP309" s="381"/>
      <c r="BQ309" s="381"/>
      <c r="BR309" s="381"/>
      <c r="BS309" s="381"/>
      <c r="BT309" s="381"/>
      <c r="BU309" s="381"/>
    </row>
    <row r="310" spans="1:73" hidden="1">
      <c r="A310" s="6"/>
      <c r="B310" s="108"/>
      <c r="C310" s="1"/>
      <c r="D310" s="37"/>
      <c r="E310" s="1"/>
      <c r="F310" s="1"/>
      <c r="G310" s="3"/>
      <c r="H310" s="3"/>
      <c r="I310" s="3"/>
      <c r="J310" s="3"/>
      <c r="K310" s="3"/>
      <c r="L310" s="3"/>
      <c r="M310" s="3"/>
      <c r="N310" s="3"/>
      <c r="O310" s="1"/>
      <c r="P310" s="1"/>
      <c r="Q310" s="1"/>
      <c r="R310" s="162"/>
      <c r="S310" s="1"/>
      <c r="T310" s="103"/>
      <c r="U310" s="103"/>
      <c r="V310" s="103"/>
      <c r="W310" s="98"/>
      <c r="X310" s="98"/>
      <c r="Y310" s="98"/>
      <c r="Z310" s="98"/>
      <c r="AA310" s="98"/>
      <c r="AB310" s="98"/>
      <c r="AC310" s="98"/>
      <c r="AD310" s="98"/>
      <c r="AE310" s="98"/>
      <c r="AF310" s="98"/>
      <c r="AG310" s="98"/>
      <c r="AH310" s="98"/>
      <c r="AI310" s="98"/>
      <c r="AJ310" s="98"/>
      <c r="AK310" s="98"/>
      <c r="AL310" s="98"/>
      <c r="AM310" s="98"/>
      <c r="AN310" s="98"/>
      <c r="AO310" s="98"/>
      <c r="AP310" s="98"/>
      <c r="AQ310" s="98"/>
      <c r="AR310" s="98"/>
      <c r="AS310" s="98"/>
      <c r="AT310" s="98"/>
      <c r="AU310" s="98"/>
      <c r="AV310" s="98"/>
      <c r="AW310" s="98"/>
      <c r="AX310" s="98"/>
      <c r="AY310" s="98"/>
      <c r="AZ310" s="98"/>
      <c r="BA310" s="98"/>
      <c r="BB310" s="98"/>
      <c r="BC310" s="98"/>
      <c r="BD310" s="98"/>
      <c r="BE310" s="98"/>
      <c r="BF310" s="98"/>
      <c r="BG310" s="98"/>
      <c r="BH310" s="98"/>
      <c r="BI310" s="98"/>
      <c r="BJ310" s="98"/>
      <c r="BK310" s="98"/>
      <c r="BL310" s="99"/>
      <c r="BM310" s="99"/>
      <c r="BN310" s="99"/>
      <c r="BO310" s="99"/>
      <c r="BP310" s="99"/>
      <c r="BQ310" s="99"/>
      <c r="BR310" s="99"/>
      <c r="BS310" s="99"/>
      <c r="BT310" s="99"/>
      <c r="BU310" s="99"/>
    </row>
    <row r="311" spans="1:73" hidden="1">
      <c r="A311" s="6"/>
      <c r="B311" s="108"/>
      <c r="C311" s="1"/>
      <c r="D311" s="1"/>
      <c r="E311" s="1"/>
      <c r="F311" s="1"/>
      <c r="G311" s="3"/>
      <c r="H311" s="3"/>
      <c r="I311" s="3"/>
      <c r="J311" s="3"/>
      <c r="K311" s="3"/>
      <c r="L311" s="3"/>
      <c r="M311" s="3"/>
      <c r="N311" s="3"/>
      <c r="O311" s="1"/>
      <c r="P311" s="1"/>
      <c r="Q311" s="1"/>
      <c r="R311" s="162"/>
      <c r="S311" s="1"/>
      <c r="T311" s="81"/>
      <c r="U311" s="81"/>
      <c r="V311" s="564" t="str">
        <f>D263</f>
        <v>Time saved for finding relevant data thanks to global standardised PIDs</v>
      </c>
      <c r="W311" s="375"/>
      <c r="X311" s="376"/>
      <c r="Y311" s="376"/>
      <c r="Z311" s="376"/>
      <c r="AA311" s="376"/>
      <c r="AB311" s="376"/>
      <c r="AC311" s="376"/>
      <c r="AD311" s="376"/>
      <c r="AE311" s="376"/>
      <c r="AF311" s="376"/>
      <c r="AG311" s="376"/>
      <c r="AH311" s="376"/>
      <c r="AI311" s="376"/>
      <c r="AJ311" s="376"/>
      <c r="AK311" s="376"/>
      <c r="AL311" s="376"/>
      <c r="AM311" s="376"/>
      <c r="AN311" s="376"/>
      <c r="AO311" s="376"/>
      <c r="AP311" s="376"/>
      <c r="AQ311" s="376"/>
      <c r="AR311" s="376"/>
      <c r="AS311" s="376"/>
      <c r="AT311" s="376"/>
      <c r="AU311" s="376"/>
      <c r="AV311" s="376"/>
      <c r="AW311" s="376"/>
      <c r="AX311" s="376"/>
      <c r="AY311" s="376"/>
      <c r="AZ311" s="376"/>
      <c r="BA311" s="376"/>
      <c r="BB311" s="376"/>
      <c r="BC311" s="376"/>
      <c r="BD311" s="376"/>
      <c r="BE311" s="376"/>
      <c r="BF311" s="376"/>
      <c r="BG311" s="376"/>
      <c r="BH311" s="376"/>
      <c r="BI311" s="376"/>
      <c r="BJ311" s="376"/>
      <c r="BK311" s="376"/>
      <c r="BL311" s="99"/>
      <c r="BM311" s="99"/>
      <c r="BN311" s="99"/>
      <c r="BO311" s="99"/>
      <c r="BP311" s="99"/>
      <c r="BQ311" s="99"/>
      <c r="BR311" s="99"/>
      <c r="BS311" s="99"/>
      <c r="BT311" s="99"/>
      <c r="BU311" s="99"/>
    </row>
    <row r="312" spans="1:73" hidden="1">
      <c r="A312" s="377"/>
      <c r="B312" s="79"/>
      <c r="C312" s="15"/>
      <c r="D312" s="25"/>
      <c r="E312" s="15"/>
      <c r="F312" s="15"/>
      <c r="G312" s="24"/>
      <c r="H312" s="24"/>
      <c r="I312" s="24"/>
      <c r="J312" s="24"/>
      <c r="K312" s="24"/>
      <c r="L312" s="24"/>
      <c r="M312" s="24"/>
      <c r="N312" s="24"/>
      <c r="O312" s="15"/>
      <c r="P312" s="15"/>
      <c r="Q312" s="15"/>
      <c r="R312" s="378"/>
      <c r="S312" s="15"/>
      <c r="T312" s="377"/>
      <c r="U312" s="103"/>
      <c r="V312" s="101" t="s">
        <v>208</v>
      </c>
      <c r="W312" s="379">
        <f>Growth!B20</f>
        <v>2018</v>
      </c>
      <c r="X312" s="379">
        <f t="shared" ref="X312:BK312" si="62">W312+1</f>
        <v>2019</v>
      </c>
      <c r="Y312" s="379">
        <f t="shared" si="62"/>
        <v>2020</v>
      </c>
      <c r="Z312" s="379">
        <f t="shared" si="62"/>
        <v>2021</v>
      </c>
      <c r="AA312" s="379">
        <f t="shared" si="62"/>
        <v>2022</v>
      </c>
      <c r="AB312" s="379">
        <f t="shared" si="62"/>
        <v>2023</v>
      </c>
      <c r="AC312" s="379">
        <f t="shared" si="62"/>
        <v>2024</v>
      </c>
      <c r="AD312" s="379">
        <f t="shared" si="62"/>
        <v>2025</v>
      </c>
      <c r="AE312" s="379">
        <f t="shared" si="62"/>
        <v>2026</v>
      </c>
      <c r="AF312" s="379">
        <f t="shared" si="62"/>
        <v>2027</v>
      </c>
      <c r="AG312" s="379">
        <f t="shared" si="62"/>
        <v>2028</v>
      </c>
      <c r="AH312" s="379">
        <f t="shared" si="62"/>
        <v>2029</v>
      </c>
      <c r="AI312" s="379">
        <f t="shared" si="62"/>
        <v>2030</v>
      </c>
      <c r="AJ312" s="379">
        <f t="shared" si="62"/>
        <v>2031</v>
      </c>
      <c r="AK312" s="379">
        <f t="shared" si="62"/>
        <v>2032</v>
      </c>
      <c r="AL312" s="379">
        <f t="shared" si="62"/>
        <v>2033</v>
      </c>
      <c r="AM312" s="379">
        <f t="shared" si="62"/>
        <v>2034</v>
      </c>
      <c r="AN312" s="379">
        <f t="shared" si="62"/>
        <v>2035</v>
      </c>
      <c r="AO312" s="379">
        <f t="shared" si="62"/>
        <v>2036</v>
      </c>
      <c r="AP312" s="379">
        <f t="shared" si="62"/>
        <v>2037</v>
      </c>
      <c r="AQ312" s="379">
        <f t="shared" si="62"/>
        <v>2038</v>
      </c>
      <c r="AR312" s="379">
        <f t="shared" si="62"/>
        <v>2039</v>
      </c>
      <c r="AS312" s="379">
        <f t="shared" si="62"/>
        <v>2040</v>
      </c>
      <c r="AT312" s="379">
        <f t="shared" si="62"/>
        <v>2041</v>
      </c>
      <c r="AU312" s="379">
        <f t="shared" si="62"/>
        <v>2042</v>
      </c>
      <c r="AV312" s="379">
        <f t="shared" si="62"/>
        <v>2043</v>
      </c>
      <c r="AW312" s="379">
        <f t="shared" si="62"/>
        <v>2044</v>
      </c>
      <c r="AX312" s="379">
        <f t="shared" si="62"/>
        <v>2045</v>
      </c>
      <c r="AY312" s="379">
        <f t="shared" si="62"/>
        <v>2046</v>
      </c>
      <c r="AZ312" s="379">
        <f t="shared" si="62"/>
        <v>2047</v>
      </c>
      <c r="BA312" s="379">
        <f t="shared" si="62"/>
        <v>2048</v>
      </c>
      <c r="BB312" s="379">
        <f t="shared" si="62"/>
        <v>2049</v>
      </c>
      <c r="BC312" s="379">
        <f t="shared" si="62"/>
        <v>2050</v>
      </c>
      <c r="BD312" s="379">
        <f t="shared" si="62"/>
        <v>2051</v>
      </c>
      <c r="BE312" s="379">
        <f t="shared" si="62"/>
        <v>2052</v>
      </c>
      <c r="BF312" s="379">
        <f t="shared" si="62"/>
        <v>2053</v>
      </c>
      <c r="BG312" s="379">
        <f t="shared" si="62"/>
        <v>2054</v>
      </c>
      <c r="BH312" s="379">
        <f t="shared" si="62"/>
        <v>2055</v>
      </c>
      <c r="BI312" s="379">
        <f t="shared" si="62"/>
        <v>2056</v>
      </c>
      <c r="BJ312" s="379">
        <f t="shared" si="62"/>
        <v>2057</v>
      </c>
      <c r="BK312" s="379">
        <f t="shared" si="62"/>
        <v>2058</v>
      </c>
      <c r="BL312" s="380"/>
      <c r="BM312" s="380"/>
      <c r="BN312" s="380"/>
      <c r="BO312" s="380"/>
      <c r="BP312" s="380"/>
      <c r="BQ312" s="380"/>
      <c r="BR312" s="380"/>
      <c r="BS312" s="380"/>
      <c r="BT312" s="380"/>
      <c r="BU312" s="380"/>
    </row>
    <row r="313" spans="1:73" hidden="1">
      <c r="A313" s="6"/>
      <c r="B313" s="108"/>
      <c r="C313" s="1"/>
      <c r="D313" s="37"/>
      <c r="E313" s="1"/>
      <c r="F313" s="1"/>
      <c r="G313" s="183"/>
      <c r="H313" s="3"/>
      <c r="I313" s="3"/>
      <c r="J313" s="3"/>
      <c r="K313" s="3"/>
      <c r="L313" s="3"/>
      <c r="M313" s="3"/>
      <c r="N313" s="3"/>
      <c r="O313" s="1"/>
      <c r="P313" s="1"/>
      <c r="Q313" s="1"/>
      <c r="R313" s="162"/>
      <c r="S313" s="1"/>
      <c r="T313" s="103"/>
      <c r="U313" s="103"/>
      <c r="V313" s="103" t="str">
        <f>G$10</f>
        <v>PhD researcher</v>
      </c>
      <c r="W313" s="373">
        <f ca="1">IF(W$312&gt;='2.2 Input_General_Information'!$H$20,W212*'2.3 Input_Main_Questionnaire'!$I$60*'2.3 Input_Main_Questionnaire'!$H$29,)</f>
        <v>0</v>
      </c>
      <c r="X313" s="373">
        <f ca="1">IF(X$312&gt;='2.2 Input_General_Information'!$H$20,X212*'2.3 Input_Main_Questionnaire'!$I$60*'2.3 Input_Main_Questionnaire'!$H$29,)</f>
        <v>1.3688623605906042E-3</v>
      </c>
      <c r="Y313" s="373">
        <f ca="1">IF(Y$312&gt;='2.2 Input_General_Information'!$H$20,Y212*'2.3 Input_Main_Questionnaire'!$I$60*'2.3 Input_Main_Questionnaire'!$H$29,)</f>
        <v>1.3680711733993138E-3</v>
      </c>
      <c r="Z313" s="373">
        <f ca="1">IF(Z$312&gt;='2.2 Input_General_Information'!$H$20,Z212*'2.3 Input_Main_Questionnaire'!$I$60*'2.3 Input_Main_Questionnaire'!$H$29,)</f>
        <v>1.3233467828058835E-3</v>
      </c>
      <c r="AA313" s="373">
        <f ca="1">IF(AA$312&gt;='2.2 Input_General_Information'!$H$20,AA212*'2.3 Input_Main_Questionnaire'!$I$60*'2.3 Input_Main_Questionnaire'!$H$29,)</f>
        <v>1.2404558635453285E-3</v>
      </c>
      <c r="AB313" s="373">
        <f ca="1">IF(AB$312&gt;='2.2 Input_General_Information'!$H$20,AB212*'2.3 Input_Main_Questionnaire'!$I$60*'2.3 Input_Main_Questionnaire'!$H$29,)</f>
        <v>1.1293019565152939E-3</v>
      </c>
      <c r="AC313" s="373">
        <f ca="1">IF(AC$312&gt;='2.2 Input_General_Information'!$H$20,AC212*'2.3 Input_Main_Questionnaire'!$I$60*'2.3 Input_Main_Questionnaire'!$H$29,)</f>
        <v>1.001716083453522E-3</v>
      </c>
      <c r="AD313" s="373">
        <f ca="1">IF(AD$312&gt;='2.2 Input_General_Information'!$H$20,AD212*'2.3 Input_Main_Questionnaire'!$I$60*'2.3 Input_Main_Questionnaire'!$H$29,)</f>
        <v>8.692832479097975E-4</v>
      </c>
      <c r="AE313" s="373">
        <f ca="1">IF(AE$312&gt;='2.2 Input_General_Information'!$H$20,AE212*'2.3 Input_Main_Questionnaire'!$I$60*'2.3 Input_Main_Questionnaire'!$H$29,)</f>
        <v>7.4184288818112613E-4</v>
      </c>
      <c r="AF313" s="373">
        <f ca="1">IF(AF$312&gt;='2.2 Input_General_Information'!$H$20,AF212*'2.3 Input_Main_Questionnaire'!$I$60*'2.3 Input_Main_Questionnaire'!$H$29,)</f>
        <v>6.2690269060604179E-4</v>
      </c>
      <c r="AG313" s="373">
        <f ca="1">IF(AG$312&gt;='2.2 Input_General_Information'!$H$20,AG212*'2.3 Input_Main_Questionnaire'!$I$60*'2.3 Input_Main_Questionnaire'!$H$29,)</f>
        <v>5.298618281297441E-4</v>
      </c>
      <c r="AH313" s="373">
        <f ca="1">IF(AH$312&gt;='2.2 Input_General_Information'!$H$20,AH212*'2.3 Input_Main_Questionnaire'!$I$60*'2.3 Input_Main_Questionnaire'!$H$29,)</f>
        <v>4.5478255660774539E-4</v>
      </c>
      <c r="AI313" s="373">
        <f ca="1">IF(AI$312&gt;='2.2 Input_General_Information'!$H$20,AI212*'2.3 Input_Main_Questionnaire'!$I$60*'2.3 Input_Main_Questionnaire'!$H$29,)</f>
        <v>4.0545381102144614E-4</v>
      </c>
      <c r="AJ313" s="373">
        <f ca="1">IF(AJ$312&gt;='2.2 Input_General_Information'!$H$20,AJ212*'2.3 Input_Main_Questionnaire'!$I$60*'2.3 Input_Main_Questionnaire'!$H$29,)</f>
        <v>3.8655414673390373E-4</v>
      </c>
      <c r="AK313" s="373">
        <f ca="1">IF(AK$312&gt;='2.2 Input_General_Information'!$H$20,AK212*'2.3 Input_Main_Questionnaire'!$I$60*'2.3 Input_Main_Questionnaire'!$H$29,)</f>
        <v>4.0472815114348556E-4</v>
      </c>
      <c r="AL313" s="373">
        <f ca="1">IF(AL$312&gt;='2.2 Input_General_Information'!$H$20,AL212*'2.3 Input_Main_Questionnaire'!$I$60*'2.3 Input_Main_Questionnaire'!$H$29,)</f>
        <v>4.6922375660663266E-4</v>
      </c>
      <c r="AM313" s="373">
        <f ca="1">IF(AM$312&gt;='2.2 Input_General_Information'!$H$20,AM212*'2.3 Input_Main_Questionnaire'!$I$60*'2.3 Input_Main_Questionnaire'!$H$29,)</f>
        <v>5.9128144856389938E-4</v>
      </c>
      <c r="AN313" s="373">
        <f ca="1">IF(AN$312&gt;='2.2 Input_General_Information'!$H$20,AN212*'2.3 Input_Main_Questionnaire'!$I$60*'2.3 Input_Main_Questionnaire'!$H$29,)</f>
        <v>7.807234605634179E-4</v>
      </c>
      <c r="AO313" s="373">
        <f ca="1">IF(AO$312&gt;='2.2 Input_General_Information'!$H$20,AO212*'2.3 Input_Main_Questionnaire'!$I$60*'2.3 Input_Main_Questionnaire'!$H$29,)</f>
        <v>1.0377558124436668E-3</v>
      </c>
      <c r="AP313" s="373">
        <f ca="1">IF(AP$312&gt;='2.2 Input_General_Information'!$H$20,AP212*'2.3 Input_Main_Questionnaire'!$I$60*'2.3 Input_Main_Questionnaire'!$H$29,)</f>
        <v>1.3398736433813895E-3</v>
      </c>
      <c r="AQ313" s="373">
        <f ca="1">IF(AQ$312&gt;='2.2 Input_General_Information'!$H$20,AQ212*'2.3 Input_Main_Questionnaire'!$I$60*'2.3 Input_Main_Questionnaire'!$H$29,)</f>
        <v>1.6307803162574131E-3</v>
      </c>
      <c r="AR313" s="373">
        <f ca="1">IF(AR$312&gt;='2.2 Input_General_Information'!$H$20,AR212*'2.3 Input_Main_Questionnaire'!$I$60*'2.3 Input_Main_Questionnaire'!$H$29,)</f>
        <v>1.8276685487496752E-3</v>
      </c>
      <c r="AS313" s="373">
        <f ca="1">IF(AS$312&gt;='2.2 Input_General_Information'!$H$20,AS212*'2.3 Input_Main_Questionnaire'!$I$60*'2.3 Input_Main_Questionnaire'!$H$29,)</f>
        <v>1.8582949076657357E-3</v>
      </c>
      <c r="AT313" s="373">
        <f ca="1">IF(AT$312&gt;='2.2 Input_General_Information'!$H$20,AT212*'2.3 Input_Main_Questionnaire'!$I$60*'2.3 Input_Main_Questionnaire'!$H$29,)</f>
        <v>1.707249924215984E-3</v>
      </c>
      <c r="AU313" s="373">
        <f ca="1">IF(AU$312&gt;='2.2 Input_General_Information'!$H$20,AU212*'2.3 Input_Main_Questionnaire'!$I$60*'2.3 Input_Main_Questionnaire'!$H$29,)</f>
        <v>1.426856994392632E-3</v>
      </c>
      <c r="AV313" s="373">
        <f ca="1">IF(AV$312&gt;='2.2 Input_General_Information'!$H$20,AV212*'2.3 Input_Main_Questionnaire'!$I$60*'2.3 Input_Main_Questionnaire'!$H$29,)</f>
        <v>1.1006444538537441E-3</v>
      </c>
      <c r="AW313" s="373">
        <f ca="1">IF(AW$312&gt;='2.2 Input_General_Information'!$H$20,AW212*'2.3 Input_Main_Questionnaire'!$I$60*'2.3 Input_Main_Questionnaire'!$H$29,)</f>
        <v>7.9750450250163708E-4</v>
      </c>
      <c r="AX313" s="373">
        <f ca="1">IF(AX$312&gt;='2.2 Input_General_Information'!$H$20,AX212*'2.3 Input_Main_Questionnaire'!$I$60*'2.3 Input_Main_Questionnaire'!$H$29,)</f>
        <v>5.5198980282884183E-4</v>
      </c>
      <c r="AY313" s="373">
        <f ca="1">IF(AY$312&gt;='2.2 Input_General_Information'!$H$20,AY212*'2.3 Input_Main_Questionnaire'!$I$60*'2.3 Input_Main_Questionnaire'!$H$29,)</f>
        <v>3.7005380814790533E-4</v>
      </c>
      <c r="AZ313" s="373">
        <f ca="1">IF(AZ$312&gt;='2.2 Input_General_Information'!$H$20,AZ212*'2.3 Input_Main_Questionnaire'!$I$60*'2.3 Input_Main_Questionnaire'!$H$29,)</f>
        <v>2.4280765236162855E-4</v>
      </c>
      <c r="BA313" s="373">
        <f ca="1">IF(BA$312&gt;='2.2 Input_General_Information'!$H$20,BA212*'2.3 Input_Main_Questionnaire'!$I$60*'2.3 Input_Main_Questionnaire'!$H$29,)</f>
        <v>1.5707993766223225E-4</v>
      </c>
      <c r="BB313" s="373">
        <f ca="1">IF(BB$312&gt;='2.2 Input_General_Information'!$H$20,BB212*'2.3 Input_Main_Questionnaire'!$I$60*'2.3 Input_Main_Questionnaire'!$H$29,)</f>
        <v>1.006947474773519E-4</v>
      </c>
      <c r="BC313" s="373">
        <f ca="1">IF(BC$312&gt;='2.2 Input_General_Information'!$H$20,BC212*'2.3 Input_Main_Questionnaire'!$I$60*'2.3 Input_Main_Questionnaire'!$H$29,)</f>
        <v>6.4172722831581247E-5</v>
      </c>
      <c r="BD313" s="373">
        <f ca="1">IF(BD$312&gt;='2.2 Input_General_Information'!$H$20,BD212*'2.3 Input_Main_Questionnaire'!$I$60*'2.3 Input_Main_Questionnaire'!$H$29,)</f>
        <v>4.074542282989898E-5</v>
      </c>
      <c r="BE313" s="373">
        <f ca="1">IF(BE$312&gt;='2.2 Input_General_Information'!$H$20,BE212*'2.3 Input_Main_Questionnaire'!$I$60*'2.3 Input_Main_Questionnaire'!$H$29,)</f>
        <v>2.5809900166356534E-5</v>
      </c>
      <c r="BF313" s="373">
        <f ca="1">IF(BF$312&gt;='2.2 Input_General_Information'!$H$20,BF212*'2.3 Input_Main_Questionnaire'!$I$60*'2.3 Input_Main_Questionnaire'!$H$29,)</f>
        <v>1.6324924719407941E-5</v>
      </c>
      <c r="BG313" s="373">
        <f ca="1">IF(BG$312&gt;='2.2 Input_General_Information'!$H$20,BG212*'2.3 Input_Main_Questionnaire'!$I$60*'2.3 Input_Main_Questionnaire'!$H$29,)</f>
        <v>1.0316036048694849E-5</v>
      </c>
      <c r="BH313" s="373">
        <f ca="1">IF(BH$312&gt;='2.2 Input_General_Information'!$H$20,BH212*'2.3 Input_Main_Questionnaire'!$I$60*'2.3 Input_Main_Questionnaire'!$H$29,)</f>
        <v>6.5151185299536654E-6</v>
      </c>
      <c r="BI313" s="373">
        <f ca="1">IF(BI$312&gt;='2.2 Input_General_Information'!$H$20,BI212*'2.3 Input_Main_Questionnaire'!$I$60*'2.3 Input_Main_Questionnaire'!$H$29,)</f>
        <v>4.1131500476475927E-6</v>
      </c>
      <c r="BJ313" s="373">
        <f ca="1">IF(BJ$312&gt;='2.2 Input_General_Information'!$H$20,BJ212*'2.3 Input_Main_Questionnaire'!$I$60*'2.3 Input_Main_Questionnaire'!$H$29,)</f>
        <v>2.5961459334043969E-6</v>
      </c>
      <c r="BK313" s="373">
        <f ca="1">IF(BK$312&gt;='2.2 Input_General_Information'!$H$20,BK212*'2.3 Input_Main_Questionnaire'!$I$60*'2.3 Input_Main_Questionnaire'!$H$29,)</f>
        <v>1.6384123924372262E-6</v>
      </c>
      <c r="BL313" s="381"/>
      <c r="BM313" s="381"/>
      <c r="BN313" s="381"/>
      <c r="BO313" s="381"/>
      <c r="BP313" s="381"/>
      <c r="BQ313" s="381"/>
      <c r="BR313" s="381"/>
      <c r="BS313" s="381"/>
      <c r="BT313" s="381"/>
      <c r="BU313" s="381"/>
    </row>
    <row r="314" spans="1:73" hidden="1">
      <c r="A314" s="6"/>
      <c r="B314" s="108"/>
      <c r="C314" s="1"/>
      <c r="D314" s="37"/>
      <c r="E314" s="1"/>
      <c r="F314" s="1"/>
      <c r="G314" s="3"/>
      <c r="H314" s="3"/>
      <c r="I314" s="3"/>
      <c r="J314" s="3"/>
      <c r="K314" s="3"/>
      <c r="L314" s="3"/>
      <c r="M314" s="3"/>
      <c r="N314" s="3"/>
      <c r="O314" s="1"/>
      <c r="P314" s="1"/>
      <c r="Q314" s="1"/>
      <c r="R314" s="162"/>
      <c r="S314" s="1"/>
      <c r="T314" s="103"/>
      <c r="U314" s="103"/>
      <c r="V314" s="103" t="str">
        <f>$H$10</f>
        <v>Lecturer assistant/Research assistant (Academic)</v>
      </c>
      <c r="W314" s="373">
        <f ca="1">IF(W$312&gt;='2.2 Input_General_Information'!$H$20,W212*'2.3 Input_Main_Questionnaire'!$I$60*'2.3 Input_Main_Questionnaire'!$I$29,)</f>
        <v>0</v>
      </c>
      <c r="X314" s="373">
        <f ca="1">IF(X$312&gt;='2.2 Input_General_Information'!$H$20,X212*'2.3 Input_Main_Questionnaire'!$I$60*'2.3 Input_Main_Questionnaire'!$I$29,)</f>
        <v>1.291049999025709E-3</v>
      </c>
      <c r="Y314" s="373">
        <f ca="1">IF(Y$312&gt;='2.2 Input_General_Information'!$H$20,Y212*'2.3 Input_Main_Questionnaire'!$I$60*'2.3 Input_Main_Questionnaire'!$I$29,)</f>
        <v>1.2903037865123457E-3</v>
      </c>
      <c r="Z314" s="373">
        <f ca="1">IF(Z$312&gt;='2.2 Input_General_Information'!$H$20,Z212*'2.3 Input_Main_Questionnaire'!$I$60*'2.3 Input_Main_Questionnaire'!$I$29,)</f>
        <v>1.2481217336672659E-3</v>
      </c>
      <c r="AA314" s="373">
        <f ca="1">IF(AA$312&gt;='2.2 Input_General_Information'!$H$20,AA212*'2.3 Input_Main_Questionnaire'!$I$60*'2.3 Input_Main_Questionnaire'!$I$29,)</f>
        <v>1.169942711209225E-3</v>
      </c>
      <c r="AB314" s="373">
        <f ca="1">IF(AB$312&gt;='2.2 Input_General_Information'!$H$20,AB212*'2.3 Input_Main_Questionnaire'!$I$60*'2.3 Input_Main_Questionnaire'!$I$29,)</f>
        <v>1.0651072977342622E-3</v>
      </c>
      <c r="AC314" s="373">
        <f ca="1">IF(AC$312&gt;='2.2 Input_General_Information'!$H$20,AC212*'2.3 Input_Main_Questionnaire'!$I$60*'2.3 Input_Main_Questionnaire'!$I$29,)</f>
        <v>9.4477398590221977E-4</v>
      </c>
      <c r="AD314" s="373">
        <f ca="1">IF(AD$312&gt;='2.2 Input_General_Information'!$H$20,AD212*'2.3 Input_Main_Questionnaire'!$I$60*'2.3 Input_Main_Questionnaire'!$I$29,)</f>
        <v>8.1986923497757004E-4</v>
      </c>
      <c r="AE314" s="373">
        <f ca="1">IF(AE$312&gt;='2.2 Input_General_Information'!$H$20,AE212*'2.3 Input_Main_Questionnaire'!$I$60*'2.3 Input_Main_Questionnaire'!$I$29,)</f>
        <v>6.9967316483904351E-4</v>
      </c>
      <c r="AF314" s="373">
        <f ca="1">IF(AF$312&gt;='2.2 Input_General_Information'!$H$20,AF212*'2.3 Input_Main_Questionnaire'!$I$60*'2.3 Input_Main_Questionnaire'!$I$29,)</f>
        <v>5.9126669079200922E-4</v>
      </c>
      <c r="AG314" s="373">
        <f ca="1">IF(AG$312&gt;='2.2 Input_General_Information'!$H$20,AG212*'2.3 Input_Main_Questionnaire'!$I$60*'2.3 Input_Main_Questionnaire'!$I$29,)</f>
        <v>4.9974207223837822E-4</v>
      </c>
      <c r="AH314" s="373">
        <f ca="1">IF(AH$312&gt;='2.2 Input_General_Information'!$H$20,AH212*'2.3 Input_Main_Questionnaire'!$I$60*'2.3 Input_Main_Questionnaire'!$I$29,)</f>
        <v>4.2893064793746752E-4</v>
      </c>
      <c r="AI314" s="373">
        <f ca="1">IF(AI$312&gt;='2.2 Input_General_Information'!$H$20,AI212*'2.3 Input_Main_Questionnaire'!$I$60*'2.3 Input_Main_Questionnaire'!$I$29,)</f>
        <v>3.8240597257591146E-4</v>
      </c>
      <c r="AJ314" s="373">
        <f ca="1">IF(AJ$312&gt;='2.2 Input_General_Information'!$H$20,AJ212*'2.3 Input_Main_Questionnaire'!$I$60*'2.3 Input_Main_Questionnaire'!$I$29,)</f>
        <v>3.6458065115390226E-4</v>
      </c>
      <c r="AK314" s="373">
        <f ca="1">IF(AK$312&gt;='2.2 Input_General_Information'!$H$20,AK212*'2.3 Input_Main_Questionnaire'!$I$60*'2.3 Input_Main_Questionnaire'!$I$29,)</f>
        <v>3.8172156250539877E-4</v>
      </c>
      <c r="AL314" s="373">
        <f ca="1">IF(AL$312&gt;='2.2 Input_General_Information'!$H$20,AL212*'2.3 Input_Main_Questionnaire'!$I$60*'2.3 Input_Main_Questionnaire'!$I$29,)</f>
        <v>4.4255094445613959E-4</v>
      </c>
      <c r="AM314" s="373">
        <f ca="1">IF(AM$312&gt;='2.2 Input_General_Information'!$H$20,AM212*'2.3 Input_Main_Questionnaire'!$I$60*'2.3 Input_Main_Questionnaire'!$I$29,)</f>
        <v>5.5767032213741323E-4</v>
      </c>
      <c r="AN314" s="373">
        <f ca="1">IF(AN$312&gt;='2.2 Input_General_Information'!$H$20,AN212*'2.3 Input_Main_Questionnaire'!$I$60*'2.3 Input_Main_Questionnaire'!$I$29,)</f>
        <v>7.3634358867524221E-4</v>
      </c>
      <c r="AO314" s="373">
        <f ca="1">IF(AO$312&gt;='2.2 Input_General_Information'!$H$20,AO212*'2.3 Input_Main_Questionnaire'!$I$60*'2.3 Input_Main_Questionnaire'!$I$29,)</f>
        <v>9.7876505280359758E-4</v>
      </c>
      <c r="AP314" s="373">
        <f ca="1">IF(AP$312&gt;='2.2 Input_General_Information'!$H$20,AP212*'2.3 Input_Main_Questionnaire'!$I$60*'2.3 Input_Main_Questionnaire'!$I$29,)</f>
        <v>1.2637091323307074E-3</v>
      </c>
      <c r="AQ314" s="373">
        <f ca="1">IF(AQ$312&gt;='2.2 Input_General_Information'!$H$20,AQ212*'2.3 Input_Main_Questionnaire'!$I$60*'2.3 Input_Main_Questionnaire'!$I$29,)</f>
        <v>1.5380793470038013E-3</v>
      </c>
      <c r="AR314" s="373">
        <f ca="1">IF(AR$312&gt;='2.2 Input_General_Information'!$H$20,AR212*'2.3 Input_Main_Questionnaire'!$I$60*'2.3 Input_Main_Questionnaire'!$I$29,)</f>
        <v>1.7237755569994037E-3</v>
      </c>
      <c r="AS314" s="373">
        <f ca="1">IF(AS$312&gt;='2.2 Input_General_Information'!$H$20,AS212*'2.3 Input_Main_Questionnaire'!$I$60*'2.3 Input_Main_Questionnaire'!$I$29,)</f>
        <v>1.752660974399354E-3</v>
      </c>
      <c r="AT314" s="373">
        <f ca="1">IF(AT$312&gt;='2.2 Input_General_Information'!$H$20,AT212*'2.3 Input_Main_Questionnaire'!$I$60*'2.3 Input_Main_Questionnaire'!$I$29,)</f>
        <v>1.6102020746955857E-3</v>
      </c>
      <c r="AU314" s="373">
        <f ca="1">IF(AU$312&gt;='2.2 Input_General_Information'!$H$20,AU212*'2.3 Input_Main_Questionnaire'!$I$60*'2.3 Input_Main_Questionnaire'!$I$29,)</f>
        <v>1.3457479541081319E-3</v>
      </c>
      <c r="AV314" s="373">
        <f ca="1">IF(AV$312&gt;='2.2 Input_General_Information'!$H$20,AV212*'2.3 Input_Main_Questionnaire'!$I$60*'2.3 Input_Main_Questionnaire'!$I$29,)</f>
        <v>1.0380788178458167E-3</v>
      </c>
      <c r="AW314" s="373">
        <f ca="1">IF(AW$312&gt;='2.2 Input_General_Information'!$H$20,AW212*'2.3 Input_Main_Questionnaire'!$I$60*'2.3 Input_Main_Questionnaire'!$I$29,)</f>
        <v>7.5217071987683396E-4</v>
      </c>
      <c r="AX314" s="373">
        <f ca="1">IF(AX$312&gt;='2.2 Input_General_Information'!$H$20,AX212*'2.3 Input_Main_Questionnaire'!$I$60*'2.3 Input_Main_Questionnaire'!$I$29,)</f>
        <v>5.206121922272023E-4</v>
      </c>
      <c r="AY314" s="373">
        <f ca="1">IF(AY$312&gt;='2.2 Input_General_Information'!$H$20,AY212*'2.3 Input_Main_Questionnaire'!$I$60*'2.3 Input_Main_Questionnaire'!$I$29,)</f>
        <v>3.4901826684947452E-4</v>
      </c>
      <c r="AZ314" s="373">
        <f ca="1">IF(AZ$312&gt;='2.2 Input_General_Information'!$H$20,AZ212*'2.3 Input_Main_Questionnaire'!$I$60*'2.3 Input_Main_Questionnaire'!$I$29,)</f>
        <v>2.2900536121810209E-4</v>
      </c>
      <c r="BA314" s="373">
        <f ca="1">IF(BA$312&gt;='2.2 Input_General_Information'!$H$20,BA212*'2.3 Input_Main_Questionnaire'!$I$60*'2.3 Input_Main_Questionnaire'!$I$29,)</f>
        <v>1.4815079967447195E-4</v>
      </c>
      <c r="BB314" s="373">
        <f ca="1">IF(BB$312&gt;='2.2 Input_General_Information'!$H$20,BB212*'2.3 Input_Main_Questionnaire'!$I$60*'2.3 Input_Main_Questionnaire'!$I$29,)</f>
        <v>9.4970800114950213E-5</v>
      </c>
      <c r="BC314" s="373">
        <f ca="1">IF(BC$312&gt;='2.2 Input_General_Information'!$H$20,BC212*'2.3 Input_Main_Questionnaire'!$I$60*'2.3 Input_Main_Questionnaire'!$I$29,)</f>
        <v>6.0524853436282546E-5</v>
      </c>
      <c r="BD314" s="373">
        <f ca="1">IF(BD$312&gt;='2.2 Input_General_Information'!$H$20,BD212*'2.3 Input_Main_Questionnaire'!$I$60*'2.3 Input_Main_Questionnaire'!$I$29,)</f>
        <v>3.8429267703837438E-5</v>
      </c>
      <c r="BE314" s="373">
        <f ca="1">IF(BE$312&gt;='2.2 Input_General_Information'!$H$20,BE212*'2.3 Input_Main_Questionnaire'!$I$60*'2.3 Input_Main_Questionnaire'!$I$29,)</f>
        <v>2.4342748068733018E-5</v>
      </c>
      <c r="BF314" s="373">
        <f ca="1">IF(BF$312&gt;='2.2 Input_General_Information'!$H$20,BF212*'2.3 Input_Main_Questionnaire'!$I$60*'2.3 Input_Main_Questionnaire'!$I$29,)</f>
        <v>1.5396941759720019E-5</v>
      </c>
      <c r="BG314" s="373">
        <f ca="1">IF(BG$312&gt;='2.2 Input_General_Information'!$H$20,BG212*'2.3 Input_Main_Questionnaire'!$I$60*'2.3 Input_Main_Questionnaire'!$I$29,)</f>
        <v>9.7296256468548867E-6</v>
      </c>
      <c r="BH314" s="373">
        <f ca="1">IF(BH$312&gt;='2.2 Input_General_Information'!$H$20,BH212*'2.3 Input_Main_Questionnaire'!$I$60*'2.3 Input_Main_Questionnaire'!$I$29,)</f>
        <v>6.144769564793886E-6</v>
      </c>
      <c r="BI314" s="373">
        <f ca="1">IF(BI$312&gt;='2.2 Input_General_Information'!$H$20,BI212*'2.3 Input_Main_Questionnaire'!$I$60*'2.3 Input_Main_Questionnaire'!$I$29,)</f>
        <v>3.8793398941270223E-6</v>
      </c>
      <c r="BJ314" s="373">
        <f ca="1">IF(BJ$312&gt;='2.2 Input_General_Information'!$H$20,BJ212*'2.3 Input_Main_Questionnaire'!$I$60*'2.3 Input_Main_Questionnaire'!$I$29,)</f>
        <v>2.4485691924104114E-6</v>
      </c>
      <c r="BK314" s="373">
        <f ca="1">IF(BK$312&gt;='2.2 Input_General_Information'!$H$20,BK212*'2.3 Input_Main_Questionnaire'!$I$60*'2.3 Input_Main_Questionnaire'!$I$29,)</f>
        <v>1.5452775812662006E-6</v>
      </c>
      <c r="BL314" s="381"/>
      <c r="BM314" s="381"/>
      <c r="BN314" s="381"/>
      <c r="BO314" s="381"/>
      <c r="BP314" s="381"/>
      <c r="BQ314" s="381"/>
      <c r="BR314" s="381"/>
      <c r="BS314" s="381"/>
      <c r="BT314" s="381"/>
      <c r="BU314" s="381"/>
    </row>
    <row r="315" spans="1:73" hidden="1">
      <c r="A315" s="6"/>
      <c r="B315" s="108"/>
      <c r="C315" s="1"/>
      <c r="D315" s="37"/>
      <c r="E315" s="1"/>
      <c r="F315" s="1"/>
      <c r="G315" s="3"/>
      <c r="H315" s="3"/>
      <c r="I315" s="3"/>
      <c r="J315" s="3"/>
      <c r="K315" s="3"/>
      <c r="L315" s="3"/>
      <c r="M315" s="3"/>
      <c r="N315" s="3"/>
      <c r="O315" s="1"/>
      <c r="P315" s="1"/>
      <c r="Q315" s="1"/>
      <c r="R315" s="162"/>
      <c r="S315" s="1"/>
      <c r="T315" s="103"/>
      <c r="U315" s="103"/>
      <c r="V315" s="103" t="str">
        <f>$I$10</f>
        <v>Lecturer/Researcher (Academic)</v>
      </c>
      <c r="W315" s="373">
        <f ca="1">IF(W$312&gt;='2.2 Input_General_Information'!$H$20,W212*'2.3 Input_Main_Questionnaire'!$I$60*'2.3 Input_Main_Questionnaire'!$J$29,)</f>
        <v>0</v>
      </c>
      <c r="X315" s="373">
        <f ca="1">IF(X$312&gt;='2.2 Input_General_Information'!$H$20,X212*'2.3 Input_Main_Questionnaire'!$I$60*'2.3 Input_Main_Questionnaire'!$J$29,)</f>
        <v>1.126691235312104E-3</v>
      </c>
      <c r="Y315" s="373">
        <f ca="1">IF(Y$312&gt;='2.2 Input_General_Information'!$H$20,Y212*'2.3 Input_Main_Questionnaire'!$I$60*'2.3 Input_Main_Questionnaire'!$J$29,)</f>
        <v>1.1260400203327297E-3</v>
      </c>
      <c r="Z315" s="373">
        <f ca="1">IF(Z$312&gt;='2.2 Input_General_Information'!$H$20,Z212*'2.3 Input_Main_Questionnaire'!$I$60*'2.3 Input_Main_Questionnaire'!$J$29,)</f>
        <v>1.0892280074254923E-3</v>
      </c>
      <c r="AA315" s="373">
        <f ca="1">IF(AA$312&gt;='2.2 Input_General_Information'!$H$20,AA212*'2.3 Input_Main_Questionnaire'!$I$60*'2.3 Input_Main_Questionnaire'!$J$29,)</f>
        <v>1.0210016649482721E-3</v>
      </c>
      <c r="AB315" s="373">
        <f ca="1">IF(AB$312&gt;='2.2 Input_General_Information'!$H$20,AB212*'2.3 Input_Main_Questionnaire'!$I$60*'2.3 Input_Main_Questionnaire'!$J$29,)</f>
        <v>9.2951245724779709E-4</v>
      </c>
      <c r="AC315" s="373">
        <f ca="1">IF(AC$312&gt;='2.2 Input_General_Information'!$H$20,AC212*'2.3 Input_Main_Questionnaire'!$I$60*'2.3 Input_Main_Questionnaire'!$J$29,)</f>
        <v>8.2449833087038741E-4</v>
      </c>
      <c r="AD315" s="373">
        <f ca="1">IF(AD$312&gt;='2.2 Input_General_Information'!$H$20,AD212*'2.3 Input_Main_Questionnaire'!$I$60*'2.3 Input_Main_Questionnaire'!$J$29,)</f>
        <v>7.1549473827378347E-4</v>
      </c>
      <c r="AE315" s="373">
        <f ca="1">IF(AE$312&gt;='2.2 Input_General_Information'!$H$20,AE212*'2.3 Input_Main_Questionnaire'!$I$60*'2.3 Input_Main_Questionnaire'!$J$29,)</f>
        <v>6.1060038186137931E-4</v>
      </c>
      <c r="AF315" s="373">
        <f ca="1">IF(AF$312&gt;='2.2 Input_General_Information'!$H$20,AF212*'2.3 Input_Main_Questionnaire'!$I$60*'2.3 Input_Main_Questionnaire'!$J$29,)</f>
        <v>5.1599473200114457E-4</v>
      </c>
      <c r="AG315" s="373">
        <f ca="1">IF(AG$312&gt;='2.2 Input_General_Information'!$H$20,AG212*'2.3 Input_Main_Questionnaire'!$I$60*'2.3 Input_Main_Questionnaire'!$J$29,)</f>
        <v>4.3612177152906436E-4</v>
      </c>
      <c r="AH315" s="373">
        <f ca="1">IF(AH$312&gt;='2.2 Input_General_Information'!$H$20,AH212*'2.3 Input_Main_Questionnaire'!$I$60*'2.3 Input_Main_Questionnaire'!$J$29,)</f>
        <v>3.743250857461663E-4</v>
      </c>
      <c r="AI315" s="373">
        <f ca="1">IF(AI$312&gt;='2.2 Input_General_Information'!$H$20,AI212*'2.3 Input_Main_Questionnaire'!$I$60*'2.3 Input_Main_Questionnaire'!$J$29,)</f>
        <v>3.337232934103434E-4</v>
      </c>
      <c r="AJ315" s="373">
        <f ca="1">IF(AJ$312&gt;='2.2 Input_General_Information'!$H$20,AJ212*'2.3 Input_Main_Questionnaire'!$I$60*'2.3 Input_Main_Questionnaire'!$J$29,)</f>
        <v>3.1816724722471542E-4</v>
      </c>
      <c r="AK315" s="373">
        <f ca="1">IF(AK$312&gt;='2.2 Input_General_Information'!$H$20,AK212*'2.3 Input_Main_Questionnaire'!$I$60*'2.3 Input_Main_Questionnaire'!$J$29,)</f>
        <v>3.3312601303515433E-4</v>
      </c>
      <c r="AL315" s="373">
        <f ca="1">IF(AL$312&gt;='2.2 Input_General_Information'!$H$20,AL212*'2.3 Input_Main_Questionnaire'!$I$60*'2.3 Input_Main_Questionnaire'!$J$29,)</f>
        <v>3.8621143307703698E-4</v>
      </c>
      <c r="AM315" s="373">
        <f ca="1">IF(AM$312&gt;='2.2 Input_General_Information'!$H$20,AM212*'2.3 Input_Main_Questionnaire'!$I$60*'2.3 Input_Main_Questionnaire'!$J$29,)</f>
        <v>4.866753918284068E-4</v>
      </c>
      <c r="AN315" s="373">
        <f ca="1">IF(AN$312&gt;='2.2 Input_General_Information'!$H$20,AN212*'2.3 Input_Main_Questionnaire'!$I$60*'2.3 Input_Main_Questionnaire'!$J$29,)</f>
        <v>6.4260243070736077E-4</v>
      </c>
      <c r="AO315" s="373">
        <f ca="1">IF(AO$312&gt;='2.2 Input_General_Information'!$H$20,AO212*'2.3 Input_Main_Questionnaire'!$I$60*'2.3 Input_Main_Questionnaire'!$J$29,)</f>
        <v>8.5416212172712491E-4</v>
      </c>
      <c r="AP315" s="373">
        <f ca="1">IF(AP$312&gt;='2.2 Input_General_Information'!$H$20,AP212*'2.3 Input_Main_Questionnaire'!$I$60*'2.3 Input_Main_Questionnaire'!$J$29,)</f>
        <v>1.1028310324583479E-3</v>
      </c>
      <c r="AQ315" s="373">
        <f ca="1">IF(AQ$312&gt;='2.2 Input_General_Information'!$H$20,AQ212*'2.3 Input_Main_Questionnaire'!$I$60*'2.3 Input_Main_Questionnaire'!$J$29,)</f>
        <v>1.342272197661989E-3</v>
      </c>
      <c r="AR315" s="373">
        <f ca="1">IF(AR$312&gt;='2.2 Input_General_Information'!$H$20,AR212*'2.3 Input_Main_Questionnaire'!$I$60*'2.3 Input_Main_Questionnaire'!$J$29,)</f>
        <v>1.5043281152411771E-3</v>
      </c>
      <c r="AS315" s="373">
        <f ca="1">IF(AS$312&gt;='2.2 Input_General_Information'!$H$20,AS212*'2.3 Input_Main_Questionnaire'!$I$60*'2.3 Input_Main_Questionnaire'!$J$29,)</f>
        <v>1.5295362378060784E-3</v>
      </c>
      <c r="AT315" s="373">
        <f ca="1">IF(AT$312&gt;='2.2 Input_General_Information'!$H$20,AT212*'2.3 Input_Main_Questionnaire'!$I$60*'2.3 Input_Main_Questionnaire'!$J$29,)</f>
        <v>1.4052132496882141E-3</v>
      </c>
      <c r="AU315" s="373">
        <f ca="1">IF(AU$312&gt;='2.2 Input_General_Information'!$H$20,AU212*'2.3 Input_Main_Questionnaire'!$I$60*'2.3 Input_Main_Questionnaire'!$J$29,)</f>
        <v>1.1744257975888311E-3</v>
      </c>
      <c r="AV315" s="373">
        <f ca="1">IF(AV$312&gt;='2.2 Input_General_Information'!$H$20,AV212*'2.3 Input_Main_Questionnaire'!$I$60*'2.3 Input_Main_Questionnaire'!$J$29,)</f>
        <v>9.0592487240050048E-4</v>
      </c>
      <c r="AW315" s="373">
        <f ca="1">IF(AW$312&gt;='2.2 Input_General_Information'!$H$20,AW212*'2.3 Input_Main_Questionnaire'!$I$60*'2.3 Input_Main_Questionnaire'!$J$29,)</f>
        <v>6.5641466882240308E-4</v>
      </c>
      <c r="AX315" s="373">
        <f ca="1">IF(AX$312&gt;='2.2 Input_General_Information'!$H$20,AX212*'2.3 Input_Main_Questionnaire'!$I$60*'2.3 Input_Main_Questionnaire'!$J$29,)</f>
        <v>4.5433499432373932E-4</v>
      </c>
      <c r="AY315" s="373">
        <f ca="1">IF(AY$312&gt;='2.2 Input_General_Information'!$H$20,AY212*'2.3 Input_Main_Questionnaire'!$I$60*'2.3 Input_Main_Questionnaire'!$J$29,)</f>
        <v>3.0458605206605435E-4</v>
      </c>
      <c r="AZ315" s="373">
        <f ca="1">IF(AZ$312&gt;='2.2 Input_General_Information'!$H$20,AZ212*'2.3 Input_Main_Questionnaire'!$I$60*'2.3 Input_Main_Questionnaire'!$J$29,)</f>
        <v>1.9985154217004112E-4</v>
      </c>
      <c r="BA315" s="373">
        <f ca="1">IF(BA$312&gt;='2.2 Input_General_Information'!$H$20,BA212*'2.3 Input_Main_Questionnaire'!$I$60*'2.3 Input_Main_Questionnaire'!$J$29,)</f>
        <v>1.2929027351665171E-4</v>
      </c>
      <c r="BB315" s="373">
        <f ca="1">IF(BB$312&gt;='2.2 Input_General_Information'!$H$20,BB212*'2.3 Input_Main_Questionnaire'!$I$60*'2.3 Input_Main_Questionnaire'!$J$29,)</f>
        <v>8.2880421502530354E-5</v>
      </c>
      <c r="BC315" s="373">
        <f ca="1">IF(BC$312&gt;='2.2 Input_General_Information'!$H$20,BC212*'2.3 Input_Main_Questionnaire'!$I$60*'2.3 Input_Main_Questionnaire'!$J$29,)</f>
        <v>5.281965991764141E-5</v>
      </c>
      <c r="BD315" s="373">
        <f ca="1">IF(BD$312&gt;='2.2 Input_General_Information'!$H$20,BD212*'2.3 Input_Main_Questionnaire'!$I$60*'2.3 Input_Main_Questionnaire'!$J$29,)</f>
        <v>3.3536980855931936E-5</v>
      </c>
      <c r="BE315" s="373">
        <f ca="1">IF(BE$312&gt;='2.2 Input_General_Information'!$H$20,BE212*'2.3 Input_Main_Questionnaire'!$I$60*'2.3 Input_Main_Questionnaire'!$J$29,)</f>
        <v>2.1243763535997635E-5</v>
      </c>
      <c r="BF315" s="373">
        <f ca="1">IF(BF$312&gt;='2.2 Input_General_Information'!$H$20,BF212*'2.3 Input_Main_Questionnaire'!$I$60*'2.3 Input_Main_Questionnaire'!$J$29,)</f>
        <v>1.3436814487726143E-5</v>
      </c>
      <c r="BG315" s="373">
        <f ca="1">IF(BG$312&gt;='2.2 Input_General_Information'!$H$20,BG212*'2.3 Input_Main_Questionnaire'!$I$60*'2.3 Input_Main_Questionnaire'!$J$29,)</f>
        <v>8.4909832674582313E-6</v>
      </c>
      <c r="BH315" s="373">
        <f ca="1">IF(BH$312&gt;='2.2 Input_General_Information'!$H$20,BH212*'2.3 Input_Main_Questionnaire'!$I$60*'2.3 Input_Main_Questionnaire'!$J$29,)</f>
        <v>5.3625018526706793E-6</v>
      </c>
      <c r="BI315" s="373">
        <f ca="1">IF(BI$312&gt;='2.2 Input_General_Information'!$H$20,BI212*'2.3 Input_Main_Questionnaire'!$I$60*'2.3 Input_Main_Questionnaire'!$J$29,)</f>
        <v>3.3854755902621429E-6</v>
      </c>
      <c r="BJ315" s="373">
        <f ca="1">IF(BJ$312&gt;='2.2 Input_General_Information'!$H$20,BJ212*'2.3 Input_Main_Questionnaire'!$I$60*'2.3 Input_Main_Questionnaire'!$J$29,)</f>
        <v>2.1368509741884217E-6</v>
      </c>
      <c r="BK315" s="373">
        <f ca="1">IF(BK$312&gt;='2.2 Input_General_Information'!$H$20,BK212*'2.3 Input_Main_Questionnaire'!$I$60*'2.3 Input_Main_Questionnaire'!$J$29,)</f>
        <v>1.3485540515478098E-6</v>
      </c>
      <c r="BL315" s="381"/>
      <c r="BM315" s="381"/>
      <c r="BN315" s="381"/>
      <c r="BO315" s="381"/>
      <c r="BP315" s="381"/>
      <c r="BQ315" s="381"/>
      <c r="BR315" s="381"/>
      <c r="BS315" s="381"/>
      <c r="BT315" s="381"/>
      <c r="BU315" s="381"/>
    </row>
    <row r="316" spans="1:73" hidden="1">
      <c r="A316" s="6"/>
      <c r="B316" s="108"/>
      <c r="C316" s="1"/>
      <c r="D316" s="37"/>
      <c r="E316" s="1"/>
      <c r="F316" s="1"/>
      <c r="G316" s="3"/>
      <c r="H316" s="3"/>
      <c r="I316" s="3"/>
      <c r="J316" s="3"/>
      <c r="K316" s="3"/>
      <c r="L316" s="3"/>
      <c r="M316" s="3"/>
      <c r="N316" s="3"/>
      <c r="O316" s="1"/>
      <c r="P316" s="1"/>
      <c r="Q316" s="1"/>
      <c r="R316" s="162"/>
      <c r="S316" s="1"/>
      <c r="T316" s="103"/>
      <c r="U316" s="103"/>
      <c r="V316" s="103" t="str">
        <f>$J$10</f>
        <v>Other</v>
      </c>
      <c r="W316" s="373">
        <f ca="1">IF(W$312&gt;='2.2 Input_General_Information'!$H$20,W212*'2.3 Input_Main_Questionnaire'!$I$60*'2.3 Input_Main_Questionnaire'!$K$29,)</f>
        <v>0</v>
      </c>
      <c r="X316" s="373">
        <f ca="1">IF(X$312&gt;='2.2 Input_General_Information'!$H$20,X212*'2.3 Input_Main_Questionnaire'!$I$60*'2.3 Input_Main_Questionnaire'!$K$29,)</f>
        <v>1.5491011980929633E-3</v>
      </c>
      <c r="Y316" s="373">
        <f ca="1">IF(Y$312&gt;='2.2 Input_General_Information'!$H$20,Y212*'2.3 Input_Main_Questionnaire'!$I$60*'2.3 Input_Main_Questionnaire'!$K$29,)</f>
        <v>1.5482058348619844E-3</v>
      </c>
      <c r="Z316" s="373">
        <f ca="1">IF(Z$312&gt;='2.2 Input_General_Information'!$H$20,Z212*'2.3 Input_Main_Questionnaire'!$I$60*'2.3 Input_Main_Questionnaire'!$K$29,)</f>
        <v>1.497592559892273E-3</v>
      </c>
      <c r="AA316" s="373">
        <f ca="1">IF(AA$312&gt;='2.2 Input_General_Information'!$H$20,AA212*'2.3 Input_Main_Questionnaire'!$I$60*'2.3 Input_Main_Questionnaire'!$K$29,)</f>
        <v>1.4037873490585473E-3</v>
      </c>
      <c r="AB316" s="373">
        <f ca="1">IF(AB$312&gt;='2.2 Input_General_Information'!$H$20,AB212*'2.3 Input_Main_Questionnaire'!$I$60*'2.3 Input_Main_Questionnaire'!$K$29,)</f>
        <v>1.2779977477733982E-3</v>
      </c>
      <c r="AC316" s="373">
        <f ca="1">IF(AC$312&gt;='2.2 Input_General_Information'!$H$20,AC212*'2.3 Input_Main_Questionnaire'!$I$60*'2.3 Input_Main_Questionnaire'!$K$29,)</f>
        <v>1.1336125747203141E-3</v>
      </c>
      <c r="AD316" s="373">
        <f ca="1">IF(AD$312&gt;='2.2 Input_General_Information'!$H$20,AD212*'2.3 Input_Main_Questionnaire'!$I$60*'2.3 Input_Main_Questionnaire'!$K$29,)</f>
        <v>9.8374223704873255E-4</v>
      </c>
      <c r="AE316" s="373">
        <f ca="1">IF(AE$312&gt;='2.2 Input_General_Information'!$H$20,AE212*'2.3 Input_Main_Questionnaire'!$I$60*'2.3 Input_Main_Questionnaire'!$K$29,)</f>
        <v>8.3952173714697039E-4</v>
      </c>
      <c r="AF316" s="373">
        <f ca="1">IF(AF$312&gt;='2.2 Input_General_Information'!$H$20,AF212*'2.3 Input_Main_Questionnaire'!$I$60*'2.3 Input_Main_Questionnaire'!$K$29,)</f>
        <v>7.094473024201784E-4</v>
      </c>
      <c r="AG316" s="373">
        <f ca="1">IF(AG$312&gt;='2.2 Input_General_Information'!$H$20,AG212*'2.3 Input_Main_Questionnaire'!$I$60*'2.3 Input_Main_Questionnaire'!$K$29,)</f>
        <v>5.9962901779647964E-4</v>
      </c>
      <c r="AH316" s="373">
        <f ca="1">IF(AH$312&gt;='2.2 Input_General_Information'!$H$20,AH212*'2.3 Input_Main_Questionnaire'!$I$60*'2.3 Input_Main_Questionnaire'!$K$29,)</f>
        <v>5.1466401852767469E-4</v>
      </c>
      <c r="AI316" s="373">
        <f ca="1">IF(AI$312&gt;='2.2 Input_General_Information'!$H$20,AI212*'2.3 Input_Main_Questionnaire'!$I$60*'2.3 Input_Main_Questionnaire'!$K$29,)</f>
        <v>4.5884013068610285E-4</v>
      </c>
      <c r="AJ316" s="373">
        <f ca="1">IF(AJ$312&gt;='2.2 Input_General_Information'!$H$20,AJ212*'2.3 Input_Main_Questionnaire'!$I$60*'2.3 Input_Main_Questionnaire'!$K$29,)</f>
        <v>4.3745193751615211E-4</v>
      </c>
      <c r="AK316" s="373">
        <f ca="1">IF(AK$312&gt;='2.2 Input_General_Information'!$H$20,AK212*'2.3 Input_Main_Questionnaire'!$I$60*'2.3 Input_Main_Questionnaire'!$K$29,)</f>
        <v>4.5801892278476817E-4</v>
      </c>
      <c r="AL316" s="373">
        <f ca="1">IF(AL$312&gt;='2.2 Input_General_Information'!$H$20,AL212*'2.3 Input_Main_Questionnaire'!$I$60*'2.3 Input_Main_Questionnaire'!$K$29,)</f>
        <v>5.3100669903685639E-4</v>
      </c>
      <c r="AM316" s="373">
        <f ca="1">IF(AM$312&gt;='2.2 Input_General_Information'!$H$20,AM212*'2.3 Input_Main_Questionnaire'!$I$60*'2.3 Input_Main_Questionnaire'!$K$29,)</f>
        <v>6.6913579242933164E-4</v>
      </c>
      <c r="AN316" s="373">
        <f ca="1">IF(AN$312&gt;='2.2 Input_General_Information'!$H$20,AN212*'2.3 Input_Main_Questionnaire'!$I$60*'2.3 Input_Main_Questionnaire'!$K$29,)</f>
        <v>8.8352173524317186E-4</v>
      </c>
      <c r="AO316" s="373">
        <f ca="1">IF(AO$312&gt;='2.2 Input_General_Information'!$H$20,AO212*'2.3 Input_Main_Questionnaire'!$I$60*'2.3 Input_Main_Questionnaire'!$K$29,)</f>
        <v>1.1743976740589293E-3</v>
      </c>
      <c r="AP316" s="373">
        <f ca="1">IF(AP$312&gt;='2.2 Input_General_Information'!$H$20,AP212*'2.3 Input_Main_Questionnaire'!$I$60*'2.3 Input_Main_Questionnaire'!$K$29,)</f>
        <v>1.5162955210191943E-3</v>
      </c>
      <c r="AQ316" s="373">
        <f ca="1">IF(AQ$312&gt;='2.2 Input_General_Information'!$H$20,AQ212*'2.3 Input_Main_Questionnaire'!$I$60*'2.3 Input_Main_Questionnaire'!$K$29,)</f>
        <v>1.8455060307530236E-3</v>
      </c>
      <c r="AR316" s="373">
        <f ca="1">IF(AR$312&gt;='2.2 Input_General_Information'!$H$20,AR212*'2.3 Input_Main_Questionnaire'!$I$60*'2.3 Input_Main_Questionnaire'!$K$29,)</f>
        <v>2.0683186418855083E-3</v>
      </c>
      <c r="AS316" s="373">
        <f ca="1">IF(AS$312&gt;='2.2 Input_General_Information'!$H$20,AS212*'2.3 Input_Main_Questionnaire'!$I$60*'2.3 Input_Main_Questionnaire'!$K$29,)</f>
        <v>2.1029775898235791E-3</v>
      </c>
      <c r="AT316" s="373">
        <f ca="1">IF(AT$312&gt;='2.2 Input_General_Information'!$H$20,AT212*'2.3 Input_Main_Questionnaire'!$I$60*'2.3 Input_Main_Questionnaire'!$K$29,)</f>
        <v>1.932044432798947E-3</v>
      </c>
      <c r="AU316" s="373">
        <f ca="1">IF(AU$312&gt;='2.2 Input_General_Information'!$H$20,AU212*'2.3 Input_Main_Questionnaire'!$I$60*'2.3 Input_Main_Questionnaire'!$K$29,)</f>
        <v>1.6147320162761165E-3</v>
      </c>
      <c r="AV316" s="373">
        <f ca="1">IF(AV$312&gt;='2.2 Input_General_Information'!$H$20,AV212*'2.3 Input_Main_Questionnaire'!$I$60*'2.3 Input_Main_Questionnaire'!$K$29,)</f>
        <v>1.2455668964435351E-3</v>
      </c>
      <c r="AW316" s="373">
        <f ca="1">IF(AW$312&gt;='2.2 Input_General_Information'!$H$20,AW212*'2.3 Input_Main_Questionnaire'!$I$60*'2.3 Input_Main_Questionnaire'!$K$29,)</f>
        <v>9.0251234592847668E-4</v>
      </c>
      <c r="AX316" s="373">
        <f ca="1">IF(AX$312&gt;='2.2 Input_General_Information'!$H$20,AX212*'2.3 Input_Main_Questionnaire'!$I$60*'2.3 Input_Main_Questionnaire'!$K$29,)</f>
        <v>6.2467059473263946E-4</v>
      </c>
      <c r="AY316" s="373">
        <f ca="1">IF(AY$312&gt;='2.2 Input_General_Information'!$H$20,AY212*'2.3 Input_Main_Questionnaire'!$I$60*'2.3 Input_Main_Questionnaire'!$K$29,)</f>
        <v>4.1877899054325015E-4</v>
      </c>
      <c r="AZ316" s="373">
        <f ca="1">IF(AZ$312&gt;='2.2 Input_General_Information'!$H$20,AZ212*'2.3 Input_Main_Questionnaire'!$I$60*'2.3 Input_Main_Questionnaire'!$K$29,)</f>
        <v>2.747782655206133E-4</v>
      </c>
      <c r="BA316" s="373">
        <f ca="1">IF(BA$312&gt;='2.2 Input_General_Information'!$H$20,BA212*'2.3 Input_Main_Questionnaire'!$I$60*'2.3 Input_Main_Questionnaire'!$K$29,)</f>
        <v>1.7776273687877906E-4</v>
      </c>
      <c r="BB316" s="373">
        <f ca="1">IF(BB$312&gt;='2.2 Input_General_Information'!$H$20,BB212*'2.3 Input_Main_Questionnaire'!$I$60*'2.3 Input_Main_Questionnaire'!$K$29,)</f>
        <v>1.1395327861271088E-4</v>
      </c>
      <c r="BC316" s="373">
        <f ca="1">IF(BC$312&gt;='2.2 Input_General_Information'!$H$20,BC212*'2.3 Input_Main_Questionnaire'!$I$60*'2.3 Input_Main_Questionnaire'!$K$29,)</f>
        <v>7.2622379492120085E-5</v>
      </c>
      <c r="BD316" s="373">
        <f ca="1">IF(BD$312&gt;='2.2 Input_General_Information'!$H$20,BD212*'2.3 Input_Main_Questionnaire'!$I$60*'2.3 Input_Main_Questionnaire'!$K$29,)</f>
        <v>4.611039439740888E-5</v>
      </c>
      <c r="BE316" s="373">
        <f ca="1">IF(BE$312&gt;='2.2 Input_General_Information'!$H$20,BE212*'2.3 Input_Main_Questionnaire'!$I$60*'2.3 Input_Main_Questionnaire'!$K$29,)</f>
        <v>2.9208303494525286E-5</v>
      </c>
      <c r="BF316" s="373">
        <f ca="1">IF(BF$312&gt;='2.2 Input_General_Information'!$H$20,BF212*'2.3 Input_Main_Questionnaire'!$I$60*'2.3 Input_Main_Questionnaire'!$K$29,)</f>
        <v>1.8474436268889151E-5</v>
      </c>
      <c r="BG316" s="373">
        <f ca="1">IF(BG$312&gt;='2.2 Input_General_Information'!$H$20,BG212*'2.3 Input_Main_Questionnaire'!$I$60*'2.3 Input_Main_Questionnaire'!$K$29,)</f>
        <v>1.1674354020303741E-5</v>
      </c>
      <c r="BH316" s="373">
        <f ca="1">IF(BH$312&gt;='2.2 Input_General_Information'!$H$20,BH212*'2.3 Input_Main_Questionnaire'!$I$60*'2.3 Input_Main_Questionnaire'!$K$29,)</f>
        <v>7.3729676635380519E-6</v>
      </c>
      <c r="BI316" s="373">
        <f ca="1">IF(BI$312&gt;='2.2 Input_General_Information'!$H$20,BI212*'2.3 Input_Main_Questionnaire'!$I$60*'2.3 Input_Main_Questionnaire'!$K$29,)</f>
        <v>4.6547307093738134E-6</v>
      </c>
      <c r="BJ316" s="373">
        <f ca="1">IF(BJ$312&gt;='2.2 Input_General_Information'!$H$20,BJ212*'2.3 Input_Main_Questionnaire'!$I$60*'2.3 Input_Main_Questionnaire'!$K$29,)</f>
        <v>2.9379818538700572E-6</v>
      </c>
      <c r="BK316" s="373">
        <f ca="1">IF(BK$312&gt;='2.2 Input_General_Information'!$H$20,BK212*'2.3 Input_Main_Questionnaire'!$I$60*'2.3 Input_Main_Questionnaire'!$K$29,)</f>
        <v>1.8541430264762347E-6</v>
      </c>
      <c r="BL316" s="381"/>
      <c r="BM316" s="381"/>
      <c r="BN316" s="381"/>
      <c r="BO316" s="381"/>
      <c r="BP316" s="381"/>
      <c r="BQ316" s="381"/>
      <c r="BR316" s="381"/>
      <c r="BS316" s="381"/>
      <c r="BT316" s="381"/>
      <c r="BU316" s="381"/>
    </row>
    <row r="317" spans="1:73" hidden="1">
      <c r="A317" s="6"/>
      <c r="B317" s="108"/>
      <c r="C317" s="1"/>
      <c r="D317" s="37"/>
      <c r="E317" s="1"/>
      <c r="F317" s="1"/>
      <c r="G317" s="3"/>
      <c r="H317" s="3"/>
      <c r="I317" s="3"/>
      <c r="J317" s="3"/>
      <c r="K317" s="3"/>
      <c r="L317" s="3"/>
      <c r="M317" s="3"/>
      <c r="N317" s="3"/>
      <c r="O317" s="1"/>
      <c r="P317" s="1"/>
      <c r="Q317" s="1"/>
      <c r="R317" s="162"/>
      <c r="S317" s="1"/>
      <c r="T317" s="103"/>
      <c r="U317" s="103"/>
      <c r="V317" s="103" t="str">
        <f>$K$10</f>
        <v>Profile 5</v>
      </c>
      <c r="W317" s="373">
        <f ca="1">IF(W$312&gt;='2.2 Input_General_Information'!$H$20,W212*'2.3 Input_Main_Questionnaire'!$I$60*'2.3 Input_Main_Questionnaire'!$L$29,)</f>
        <v>0</v>
      </c>
      <c r="X317" s="373">
        <f ca="1">IF(X$312&gt;='2.2 Input_General_Information'!$H$20,X212*'2.3 Input_Main_Questionnaire'!$I$60*'2.3 Input_Main_Questionnaire'!$L$29,)</f>
        <v>1.3339261982553449E-3</v>
      </c>
      <c r="Y317" s="373">
        <f ca="1">IF(Y$312&gt;='2.2 Input_General_Information'!$H$20,Y212*'2.3 Input_Main_Questionnaire'!$I$60*'2.3 Input_Main_Questionnaire'!$L$29,)</f>
        <v>1.3331552037765932E-3</v>
      </c>
      <c r="Z317" s="373">
        <f ca="1">IF(Z$312&gt;='2.2 Input_General_Information'!$H$20,Z212*'2.3 Input_Main_Questionnaire'!$I$60*'2.3 Input_Main_Questionnaire'!$L$29,)</f>
        <v>1.2895722709477286E-3</v>
      </c>
      <c r="AA317" s="373">
        <f ca="1">IF(AA$312&gt;='2.2 Input_General_Information'!$H$20,AA212*'2.3 Input_Main_Questionnaire'!$I$60*'2.3 Input_Main_Questionnaire'!$L$29,)</f>
        <v>1.2087968971903431E-3</v>
      </c>
      <c r="AB317" s="373">
        <f ca="1">IF(AB$312&gt;='2.2 Input_General_Information'!$H$20,AB212*'2.3 Input_Main_Questionnaire'!$I$60*'2.3 Input_Main_Questionnaire'!$L$29,)</f>
        <v>1.1004798648176879E-3</v>
      </c>
      <c r="AC317" s="373">
        <f ca="1">IF(AC$312&gt;='2.2 Input_General_Information'!$H$20,AC212*'2.3 Input_Main_Questionnaire'!$I$60*'2.3 Input_Main_Questionnaire'!$L$29,)</f>
        <v>9.7615024373661071E-4</v>
      </c>
      <c r="AD317" s="373">
        <f ca="1">IF(AD$312&gt;='2.2 Input_General_Information'!$H$20,AD212*'2.3 Input_Main_Questionnaire'!$I$60*'2.3 Input_Main_Questionnaire'!$L$29,)</f>
        <v>8.4709736455247078E-4</v>
      </c>
      <c r="AE317" s="373">
        <f ca="1">IF(AE$312&gt;='2.2 Input_General_Information'!$H$20,AE212*'2.3 Input_Main_Questionnaire'!$I$60*'2.3 Input_Main_Questionnaire'!$L$29,)</f>
        <v>7.2290954300712981E-4</v>
      </c>
      <c r="AF317" s="373">
        <f ca="1">IF(AF$312&gt;='2.2 Input_General_Information'!$H$20,AF212*'2.3 Input_Main_Questionnaire'!$I$60*'2.3 Input_Main_Questionnaire'!$L$29,)</f>
        <v>6.1090285395484344E-4</v>
      </c>
      <c r="AG317" s="373">
        <f ca="1">IF(AG$312&gt;='2.2 Input_General_Information'!$H$20,AG212*'2.3 Input_Main_Questionnaire'!$I$60*'2.3 Input_Main_Questionnaire'!$L$29,)</f>
        <v>5.1633867242341651E-4</v>
      </c>
      <c r="AH317" s="373">
        <f ca="1">IF(AH$312&gt;='2.2 Input_General_Information'!$H$20,AH212*'2.3 Input_Main_Questionnaire'!$I$60*'2.3 Input_Main_Questionnaire'!$L$29,)</f>
        <v>4.4317557720476345E-4</v>
      </c>
      <c r="AI317" s="373">
        <f ca="1">IF(AI$312&gt;='2.2 Input_General_Information'!$H$20,AI212*'2.3 Input_Main_Questionnaire'!$I$60*'2.3 Input_Main_Questionnaire'!$L$29,)</f>
        <v>3.9510580192345091E-4</v>
      </c>
      <c r="AJ317" s="373">
        <f ca="1">IF(AJ$312&gt;='2.2 Input_General_Information'!$H$20,AJ212*'2.3 Input_Main_Questionnaire'!$I$60*'2.3 Input_Main_Questionnaire'!$L$29,)</f>
        <v>3.7668849565716833E-4</v>
      </c>
      <c r="AK317" s="373">
        <f ca="1">IF(AK$312&gt;='2.2 Input_General_Information'!$H$20,AK212*'2.3 Input_Main_Questionnaire'!$I$60*'2.3 Input_Main_Questionnaire'!$L$29,)</f>
        <v>3.9439866236720168E-4</v>
      </c>
      <c r="AL317" s="373">
        <f ca="1">IF(AL$312&gt;='2.2 Input_General_Information'!$H$20,AL212*'2.3 Input_Main_Questionnaire'!$I$60*'2.3 Input_Main_Questionnaire'!$L$29,)</f>
        <v>4.5724820829416636E-4</v>
      </c>
      <c r="AM317" s="373">
        <f ca="1">IF(AM$312&gt;='2.2 Input_General_Information'!$H$20,AM212*'2.3 Input_Main_Questionnaire'!$I$60*'2.3 Input_Main_Questionnaire'!$L$29,)</f>
        <v>5.7619073873976269E-4</v>
      </c>
      <c r="AN317" s="373">
        <f ca="1">IF(AN$312&gt;='2.2 Input_General_Information'!$H$20,AN212*'2.3 Input_Main_Questionnaire'!$I$60*'2.3 Input_Main_Questionnaire'!$L$29,)</f>
        <v>7.6079780379729816E-4</v>
      </c>
      <c r="AO317" s="373">
        <f ca="1">IF(AO$312&gt;='2.2 Input_General_Information'!$H$20,AO212*'2.3 Input_Main_Questionnaire'!$I$60*'2.3 Input_Main_Questionnaire'!$L$29,)</f>
        <v>1.0112701652583297E-3</v>
      </c>
      <c r="AP317" s="373">
        <f ca="1">IF(AP$312&gt;='2.2 Input_General_Information'!$H$20,AP212*'2.3 Input_Main_Questionnaire'!$I$60*'2.3 Input_Main_Questionnaire'!$L$29,)</f>
        <v>1.3056773322974097E-3</v>
      </c>
      <c r="AQ317" s="373">
        <f ca="1">IF(AQ$312&gt;='2.2 Input_General_Information'!$H$20,AQ212*'2.3 Input_Main_Questionnaire'!$I$60*'2.3 Input_Main_Questionnaire'!$L$29,)</f>
        <v>1.5891594729190567E-3</v>
      </c>
      <c r="AR317" s="373">
        <f ca="1">IF(AR$312&gt;='2.2 Input_General_Information'!$H$20,AR212*'2.3 Input_Main_Questionnaire'!$I$60*'2.3 Input_Main_Questionnaire'!$L$29,)</f>
        <v>1.7810227157189409E-3</v>
      </c>
      <c r="AS317" s="373">
        <f ca="1">IF(AS$312&gt;='2.2 Input_General_Information'!$H$20,AS212*'2.3 Input_Main_Questionnaire'!$I$60*'2.3 Input_Main_Questionnaire'!$L$29,)</f>
        <v>1.8108674274236866E-3</v>
      </c>
      <c r="AT317" s="373">
        <f ca="1">IF(AT$312&gt;='2.2 Input_General_Information'!$H$20,AT212*'2.3 Input_Main_Questionnaire'!$I$60*'2.3 Input_Main_Questionnaire'!$L$29,)</f>
        <v>1.6636774203496825E-3</v>
      </c>
      <c r="AU317" s="373">
        <f ca="1">IF(AU$312&gt;='2.2 Input_General_Information'!$H$20,AU212*'2.3 Input_Main_Questionnaire'!$I$60*'2.3 Input_Main_Questionnaire'!$L$29,)</f>
        <v>1.3904406905914277E-3</v>
      </c>
      <c r="AV317" s="373">
        <f ca="1">IF(AV$312&gt;='2.2 Input_General_Information'!$H$20,AV212*'2.3 Input_Main_Questionnaire'!$I$60*'2.3 Input_Main_Questionnaire'!$L$29,)</f>
        <v>1.0725537601358991E-3</v>
      </c>
      <c r="AW317" s="373">
        <f ca="1">IF(AW$312&gt;='2.2 Input_General_Information'!$H$20,AW212*'2.3 Input_Main_Questionnaire'!$I$60*'2.3 Input_Main_Questionnaire'!$L$29,)</f>
        <v>7.7715055928233767E-4</v>
      </c>
      <c r="AX317" s="373">
        <f ca="1">IF(AX$312&gt;='2.2 Input_General_Information'!$H$20,AX212*'2.3 Input_Main_Questionnaire'!$I$60*'2.3 Input_Main_Questionnaire'!$L$29,)</f>
        <v>5.3790189602810569E-4</v>
      </c>
      <c r="AY317" s="373">
        <f ca="1">IF(AY$312&gt;='2.2 Input_General_Information'!$H$20,AY212*'2.3 Input_Main_Questionnaire'!$I$60*'2.3 Input_Main_Questionnaire'!$L$29,)</f>
        <v>3.6060927940167103E-4</v>
      </c>
      <c r="AZ317" s="373">
        <f ca="1">IF(AZ$312&gt;='2.2 Input_General_Information'!$H$20,AZ212*'2.3 Input_Main_Questionnaire'!$I$60*'2.3 Input_Main_Questionnaire'!$L$29,)</f>
        <v>2.3661070531759624E-4</v>
      </c>
      <c r="BA317" s="373">
        <f ca="1">IF(BA$312&gt;='2.2 Input_General_Information'!$H$20,BA212*'2.3 Input_Main_Questionnaire'!$I$60*'2.3 Input_Main_Questionnaire'!$L$29,)</f>
        <v>1.5307093693303373E-4</v>
      </c>
      <c r="BB317" s="373">
        <f ca="1">IF(BB$312&gt;='2.2 Input_General_Information'!$H$20,BB212*'2.3 Input_Main_Questionnaire'!$I$60*'2.3 Input_Main_Questionnaire'!$L$29,)</f>
        <v>9.8124811926885829E-5</v>
      </c>
      <c r="BC317" s="373">
        <f ca="1">IF(BC$312&gt;='2.2 Input_General_Information'!$H$20,BC212*'2.3 Input_Main_Questionnaire'!$I$60*'2.3 Input_Main_Questionnaire'!$L$29,)</f>
        <v>6.253490391940632E-5</v>
      </c>
      <c r="BD317" s="373">
        <f ca="1">IF(BD$312&gt;='2.2 Input_General_Information'!$H$20,BD212*'2.3 Input_Main_Questionnaire'!$I$60*'2.3 Input_Main_Questionnaire'!$L$29,)</f>
        <v>3.9705516446769309E-5</v>
      </c>
      <c r="BE317" s="373">
        <f ca="1">IF(BE$312&gt;='2.2 Input_General_Information'!$H$20,BE212*'2.3 Input_Main_Questionnaire'!$I$60*'2.3 Input_Main_Questionnaire'!$L$29,)</f>
        <v>2.5151178816403115E-5</v>
      </c>
      <c r="BF317" s="373">
        <f ca="1">IF(BF$312&gt;='2.2 Input_General_Information'!$H$20,BF212*'2.3 Input_Main_Questionnaire'!$I$60*'2.3 Input_Main_Questionnaire'!$L$29,)</f>
        <v>1.5908279308935814E-5</v>
      </c>
      <c r="BG317" s="373">
        <f ca="1">IF(BG$312&gt;='2.2 Input_General_Information'!$H$20,BG212*'2.3 Input_Main_Questionnaire'!$I$60*'2.3 Input_Main_Questionnaire'!$L$29,)</f>
        <v>1.0052749745827926E-5</v>
      </c>
      <c r="BH317" s="373">
        <f ca="1">IF(BH$312&gt;='2.2 Input_General_Information'!$H$20,BH212*'2.3 Input_Main_Questionnaire'!$I$60*'2.3 Input_Main_Questionnaire'!$L$29,)</f>
        <v>6.3488394027390698E-6</v>
      </c>
      <c r="BI317" s="373">
        <f ca="1">IF(BI$312&gt;='2.2 Input_General_Information'!$H$20,BI212*'2.3 Input_Main_Questionnaire'!$I$60*'2.3 Input_Main_Questionnaire'!$L$29,)</f>
        <v>4.0081740603526422E-6</v>
      </c>
      <c r="BJ317" s="373">
        <f ca="1">IF(BJ$312&gt;='2.2 Input_General_Information'!$H$20,BJ212*'2.3 Input_Main_Questionnaire'!$I$60*'2.3 Input_Main_Questionnaire'!$L$29,)</f>
        <v>2.5298869884683215E-6</v>
      </c>
      <c r="BK317" s="373">
        <f ca="1">IF(BK$312&gt;='2.2 Input_General_Information'!$H$20,BK212*'2.3 Input_Main_Questionnaire'!$I$60*'2.3 Input_Main_Questionnaire'!$L$29,)</f>
        <v>1.5965967629318677E-6</v>
      </c>
      <c r="BL317" s="381"/>
      <c r="BM317" s="381"/>
      <c r="BN317" s="381"/>
      <c r="BO317" s="381"/>
      <c r="BP317" s="381"/>
      <c r="BQ317" s="381"/>
      <c r="BR317" s="381"/>
      <c r="BS317" s="381"/>
      <c r="BT317" s="381"/>
      <c r="BU317" s="381"/>
    </row>
    <row r="318" spans="1:73" hidden="1">
      <c r="A318" s="6"/>
      <c r="B318" s="108"/>
      <c r="C318" s="1"/>
      <c r="D318" s="37"/>
      <c r="E318" s="1"/>
      <c r="F318" s="1"/>
      <c r="G318" s="3"/>
      <c r="H318" s="3"/>
      <c r="I318" s="3"/>
      <c r="J318" s="3"/>
      <c r="K318" s="3"/>
      <c r="L318" s="3"/>
      <c r="M318" s="3"/>
      <c r="N318" s="3"/>
      <c r="O318" s="1"/>
      <c r="P318" s="1"/>
      <c r="Q318" s="1"/>
      <c r="R318" s="162"/>
      <c r="S318" s="1"/>
      <c r="T318" s="103"/>
      <c r="U318" s="103"/>
      <c r="V318" s="103" t="str">
        <f>$L$10</f>
        <v>Profile 6</v>
      </c>
      <c r="W318" s="373">
        <f ca="1">IF(W$312&gt;='2.2 Input_General_Information'!$H$20,W212*'2.3 Input_Main_Questionnaire'!$I$60*'2.3 Input_Main_Questionnaire'!$M$29,)</f>
        <v>0</v>
      </c>
      <c r="X318" s="373">
        <f ca="1">IF(X$312&gt;='2.2 Input_General_Information'!$H$20,X212*'2.3 Input_Main_Questionnaire'!$I$60*'2.3 Input_Main_Questionnaire'!$M$29,)</f>
        <v>1.3339261982553449E-3</v>
      </c>
      <c r="Y318" s="373">
        <f ca="1">IF(Y$312&gt;='2.2 Input_General_Information'!$H$20,Y212*'2.3 Input_Main_Questionnaire'!$I$60*'2.3 Input_Main_Questionnaire'!$M$29,)</f>
        <v>1.3331552037765932E-3</v>
      </c>
      <c r="Z318" s="373">
        <f ca="1">IF(Z$312&gt;='2.2 Input_General_Information'!$H$20,Z212*'2.3 Input_Main_Questionnaire'!$I$60*'2.3 Input_Main_Questionnaire'!$M$29,)</f>
        <v>1.2895722709477286E-3</v>
      </c>
      <c r="AA318" s="373">
        <f ca="1">IF(AA$312&gt;='2.2 Input_General_Information'!$H$20,AA212*'2.3 Input_Main_Questionnaire'!$I$60*'2.3 Input_Main_Questionnaire'!$M$29,)</f>
        <v>1.2087968971903431E-3</v>
      </c>
      <c r="AB318" s="373">
        <f ca="1">IF(AB$312&gt;='2.2 Input_General_Information'!$H$20,AB212*'2.3 Input_Main_Questionnaire'!$I$60*'2.3 Input_Main_Questionnaire'!$M$29,)</f>
        <v>1.1004798648176879E-3</v>
      </c>
      <c r="AC318" s="373">
        <f ca="1">IF(AC$312&gt;='2.2 Input_General_Information'!$H$20,AC212*'2.3 Input_Main_Questionnaire'!$I$60*'2.3 Input_Main_Questionnaire'!$M$29,)</f>
        <v>9.7615024373661071E-4</v>
      </c>
      <c r="AD318" s="373">
        <f ca="1">IF(AD$312&gt;='2.2 Input_General_Information'!$H$20,AD212*'2.3 Input_Main_Questionnaire'!$I$60*'2.3 Input_Main_Questionnaire'!$M$29,)</f>
        <v>8.4709736455247078E-4</v>
      </c>
      <c r="AE318" s="373">
        <f ca="1">IF(AE$312&gt;='2.2 Input_General_Information'!$H$20,AE212*'2.3 Input_Main_Questionnaire'!$I$60*'2.3 Input_Main_Questionnaire'!$M$29,)</f>
        <v>7.2290954300712981E-4</v>
      </c>
      <c r="AF318" s="373">
        <f ca="1">IF(AF$312&gt;='2.2 Input_General_Information'!$H$20,AF212*'2.3 Input_Main_Questionnaire'!$I$60*'2.3 Input_Main_Questionnaire'!$M$29,)</f>
        <v>6.1090285395484344E-4</v>
      </c>
      <c r="AG318" s="373">
        <f ca="1">IF(AG$312&gt;='2.2 Input_General_Information'!$H$20,AG212*'2.3 Input_Main_Questionnaire'!$I$60*'2.3 Input_Main_Questionnaire'!$M$29,)</f>
        <v>5.1633867242341651E-4</v>
      </c>
      <c r="AH318" s="373">
        <f ca="1">IF(AH$312&gt;='2.2 Input_General_Information'!$H$20,AH212*'2.3 Input_Main_Questionnaire'!$I$60*'2.3 Input_Main_Questionnaire'!$M$29,)</f>
        <v>4.4317557720476345E-4</v>
      </c>
      <c r="AI318" s="373">
        <f ca="1">IF(AI$312&gt;='2.2 Input_General_Information'!$H$20,AI212*'2.3 Input_Main_Questionnaire'!$I$60*'2.3 Input_Main_Questionnaire'!$M$29,)</f>
        <v>3.9510580192345091E-4</v>
      </c>
      <c r="AJ318" s="373">
        <f ca="1">IF(AJ$312&gt;='2.2 Input_General_Information'!$H$20,AJ212*'2.3 Input_Main_Questionnaire'!$I$60*'2.3 Input_Main_Questionnaire'!$M$29,)</f>
        <v>3.7668849565716833E-4</v>
      </c>
      <c r="AK318" s="373">
        <f ca="1">IF(AK$312&gt;='2.2 Input_General_Information'!$H$20,AK212*'2.3 Input_Main_Questionnaire'!$I$60*'2.3 Input_Main_Questionnaire'!$M$29,)</f>
        <v>3.9439866236720168E-4</v>
      </c>
      <c r="AL318" s="373">
        <f ca="1">IF(AL$312&gt;='2.2 Input_General_Information'!$H$20,AL212*'2.3 Input_Main_Questionnaire'!$I$60*'2.3 Input_Main_Questionnaire'!$M$29,)</f>
        <v>4.5724820829416636E-4</v>
      </c>
      <c r="AM318" s="373">
        <f ca="1">IF(AM$312&gt;='2.2 Input_General_Information'!$H$20,AM212*'2.3 Input_Main_Questionnaire'!$I$60*'2.3 Input_Main_Questionnaire'!$M$29,)</f>
        <v>5.7619073873976269E-4</v>
      </c>
      <c r="AN318" s="373">
        <f ca="1">IF(AN$312&gt;='2.2 Input_General_Information'!$H$20,AN212*'2.3 Input_Main_Questionnaire'!$I$60*'2.3 Input_Main_Questionnaire'!$M$29,)</f>
        <v>7.6079780379729816E-4</v>
      </c>
      <c r="AO318" s="373">
        <f ca="1">IF(AO$312&gt;='2.2 Input_General_Information'!$H$20,AO212*'2.3 Input_Main_Questionnaire'!$I$60*'2.3 Input_Main_Questionnaire'!$M$29,)</f>
        <v>1.0112701652583297E-3</v>
      </c>
      <c r="AP318" s="373">
        <f ca="1">IF(AP$312&gt;='2.2 Input_General_Information'!$H$20,AP212*'2.3 Input_Main_Questionnaire'!$I$60*'2.3 Input_Main_Questionnaire'!$M$29,)</f>
        <v>1.3056773322974097E-3</v>
      </c>
      <c r="AQ318" s="373">
        <f ca="1">IF(AQ$312&gt;='2.2 Input_General_Information'!$H$20,AQ212*'2.3 Input_Main_Questionnaire'!$I$60*'2.3 Input_Main_Questionnaire'!$M$29,)</f>
        <v>1.5891594729190567E-3</v>
      </c>
      <c r="AR318" s="373">
        <f ca="1">IF(AR$312&gt;='2.2 Input_General_Information'!$H$20,AR212*'2.3 Input_Main_Questionnaire'!$I$60*'2.3 Input_Main_Questionnaire'!$M$29,)</f>
        <v>1.7810227157189409E-3</v>
      </c>
      <c r="AS318" s="373">
        <f ca="1">IF(AS$312&gt;='2.2 Input_General_Information'!$H$20,AS212*'2.3 Input_Main_Questionnaire'!$I$60*'2.3 Input_Main_Questionnaire'!$M$29,)</f>
        <v>1.8108674274236866E-3</v>
      </c>
      <c r="AT318" s="373">
        <f ca="1">IF(AT$312&gt;='2.2 Input_General_Information'!$H$20,AT212*'2.3 Input_Main_Questionnaire'!$I$60*'2.3 Input_Main_Questionnaire'!$M$29,)</f>
        <v>1.6636774203496825E-3</v>
      </c>
      <c r="AU318" s="373">
        <f ca="1">IF(AU$312&gt;='2.2 Input_General_Information'!$H$20,AU212*'2.3 Input_Main_Questionnaire'!$I$60*'2.3 Input_Main_Questionnaire'!$M$29,)</f>
        <v>1.3904406905914277E-3</v>
      </c>
      <c r="AV318" s="373">
        <f ca="1">IF(AV$312&gt;='2.2 Input_General_Information'!$H$20,AV212*'2.3 Input_Main_Questionnaire'!$I$60*'2.3 Input_Main_Questionnaire'!$M$29,)</f>
        <v>1.0725537601358991E-3</v>
      </c>
      <c r="AW318" s="373">
        <f ca="1">IF(AW$312&gt;='2.2 Input_General_Information'!$H$20,AW212*'2.3 Input_Main_Questionnaire'!$I$60*'2.3 Input_Main_Questionnaire'!$M$29,)</f>
        <v>7.7715055928233767E-4</v>
      </c>
      <c r="AX318" s="373">
        <f ca="1">IF(AX$312&gt;='2.2 Input_General_Information'!$H$20,AX212*'2.3 Input_Main_Questionnaire'!$I$60*'2.3 Input_Main_Questionnaire'!$M$29,)</f>
        <v>5.3790189602810569E-4</v>
      </c>
      <c r="AY318" s="373">
        <f ca="1">IF(AY$312&gt;='2.2 Input_General_Information'!$H$20,AY212*'2.3 Input_Main_Questionnaire'!$I$60*'2.3 Input_Main_Questionnaire'!$M$29,)</f>
        <v>3.6060927940167103E-4</v>
      </c>
      <c r="AZ318" s="373">
        <f ca="1">IF(AZ$312&gt;='2.2 Input_General_Information'!$H$20,AZ212*'2.3 Input_Main_Questionnaire'!$I$60*'2.3 Input_Main_Questionnaire'!$M$29,)</f>
        <v>2.3661070531759624E-4</v>
      </c>
      <c r="BA318" s="373">
        <f ca="1">IF(BA$312&gt;='2.2 Input_General_Information'!$H$20,BA212*'2.3 Input_Main_Questionnaire'!$I$60*'2.3 Input_Main_Questionnaire'!$M$29,)</f>
        <v>1.5307093693303373E-4</v>
      </c>
      <c r="BB318" s="373">
        <f ca="1">IF(BB$312&gt;='2.2 Input_General_Information'!$H$20,BB212*'2.3 Input_Main_Questionnaire'!$I$60*'2.3 Input_Main_Questionnaire'!$M$29,)</f>
        <v>9.8124811926885829E-5</v>
      </c>
      <c r="BC318" s="373">
        <f ca="1">IF(BC$312&gt;='2.2 Input_General_Information'!$H$20,BC212*'2.3 Input_Main_Questionnaire'!$I$60*'2.3 Input_Main_Questionnaire'!$M$29,)</f>
        <v>6.253490391940632E-5</v>
      </c>
      <c r="BD318" s="373">
        <f ca="1">IF(BD$312&gt;='2.2 Input_General_Information'!$H$20,BD212*'2.3 Input_Main_Questionnaire'!$I$60*'2.3 Input_Main_Questionnaire'!$M$29,)</f>
        <v>3.9705516446769309E-5</v>
      </c>
      <c r="BE318" s="373">
        <f ca="1">IF(BE$312&gt;='2.2 Input_General_Information'!$H$20,BE212*'2.3 Input_Main_Questionnaire'!$I$60*'2.3 Input_Main_Questionnaire'!$M$29,)</f>
        <v>2.5151178816403115E-5</v>
      </c>
      <c r="BF318" s="373">
        <f ca="1">IF(BF$312&gt;='2.2 Input_General_Information'!$H$20,BF212*'2.3 Input_Main_Questionnaire'!$I$60*'2.3 Input_Main_Questionnaire'!$M$29,)</f>
        <v>1.5908279308935814E-5</v>
      </c>
      <c r="BG318" s="373">
        <f ca="1">IF(BG$312&gt;='2.2 Input_General_Information'!$H$20,BG212*'2.3 Input_Main_Questionnaire'!$I$60*'2.3 Input_Main_Questionnaire'!$M$29,)</f>
        <v>1.0052749745827926E-5</v>
      </c>
      <c r="BH318" s="373">
        <f ca="1">IF(BH$312&gt;='2.2 Input_General_Information'!$H$20,BH212*'2.3 Input_Main_Questionnaire'!$I$60*'2.3 Input_Main_Questionnaire'!$M$29,)</f>
        <v>6.3488394027390698E-6</v>
      </c>
      <c r="BI318" s="373">
        <f ca="1">IF(BI$312&gt;='2.2 Input_General_Information'!$H$20,BI212*'2.3 Input_Main_Questionnaire'!$I$60*'2.3 Input_Main_Questionnaire'!$M$29,)</f>
        <v>4.0081740603526422E-6</v>
      </c>
      <c r="BJ318" s="373">
        <f ca="1">IF(BJ$312&gt;='2.2 Input_General_Information'!$H$20,BJ212*'2.3 Input_Main_Questionnaire'!$I$60*'2.3 Input_Main_Questionnaire'!$M$29,)</f>
        <v>2.5298869884683215E-6</v>
      </c>
      <c r="BK318" s="373">
        <f ca="1">IF(BK$312&gt;='2.2 Input_General_Information'!$H$20,BK212*'2.3 Input_Main_Questionnaire'!$I$60*'2.3 Input_Main_Questionnaire'!$M$29,)</f>
        <v>1.5965967629318677E-6</v>
      </c>
      <c r="BL318" s="381"/>
      <c r="BM318" s="381"/>
      <c r="BN318" s="381"/>
      <c r="BO318" s="381"/>
      <c r="BP318" s="381"/>
      <c r="BQ318" s="381"/>
      <c r="BR318" s="381"/>
      <c r="BS318" s="381"/>
      <c r="BT318" s="381"/>
      <c r="BU318" s="381"/>
    </row>
    <row r="319" spans="1:73" hidden="1">
      <c r="A319" s="6"/>
      <c r="B319" s="108"/>
      <c r="C319" s="1"/>
      <c r="D319" s="37"/>
      <c r="E319" s="1"/>
      <c r="F319" s="1"/>
      <c r="G319" s="3"/>
      <c r="H319" s="3"/>
      <c r="I319" s="3"/>
      <c r="J319" s="3"/>
      <c r="K319" s="3"/>
      <c r="L319" s="3"/>
      <c r="M319" s="3"/>
      <c r="N319" s="3"/>
      <c r="O319" s="1"/>
      <c r="P319" s="1"/>
      <c r="Q319" s="1"/>
      <c r="R319" s="162"/>
      <c r="S319" s="1"/>
      <c r="T319" s="103"/>
      <c r="U319" s="103"/>
      <c r="V319" s="103" t="str">
        <f>$M$10</f>
        <v>Profile 7</v>
      </c>
      <c r="W319" s="373">
        <f ca="1">IF(W$312&gt;='2.2 Input_General_Information'!$H$20,W212*'2.3 Input_Main_Questionnaire'!$I$60*'2.3 Input_Main_Questionnaire'!$N$29,)</f>
        <v>0</v>
      </c>
      <c r="X319" s="373">
        <f ca="1">IF(X$312&gt;='2.2 Input_General_Information'!$H$20,X212*'2.3 Input_Main_Questionnaire'!$I$60*'2.3 Input_Main_Questionnaire'!$N$29,)</f>
        <v>1.3339261982553449E-3</v>
      </c>
      <c r="Y319" s="373">
        <f ca="1">IF(Y$312&gt;='2.2 Input_General_Information'!$H$20,Y212*'2.3 Input_Main_Questionnaire'!$I$60*'2.3 Input_Main_Questionnaire'!$N$29,)</f>
        <v>1.3331552037765932E-3</v>
      </c>
      <c r="Z319" s="373">
        <f ca="1">IF(Z$312&gt;='2.2 Input_General_Information'!$H$20,Z212*'2.3 Input_Main_Questionnaire'!$I$60*'2.3 Input_Main_Questionnaire'!$N$29,)</f>
        <v>1.2895722709477286E-3</v>
      </c>
      <c r="AA319" s="373">
        <f ca="1">IF(AA$312&gt;='2.2 Input_General_Information'!$H$20,AA212*'2.3 Input_Main_Questionnaire'!$I$60*'2.3 Input_Main_Questionnaire'!$N$29,)</f>
        <v>1.2087968971903431E-3</v>
      </c>
      <c r="AB319" s="373">
        <f ca="1">IF(AB$312&gt;='2.2 Input_General_Information'!$H$20,AB212*'2.3 Input_Main_Questionnaire'!$I$60*'2.3 Input_Main_Questionnaire'!$N$29,)</f>
        <v>1.1004798648176879E-3</v>
      </c>
      <c r="AC319" s="373">
        <f ca="1">IF(AC$312&gt;='2.2 Input_General_Information'!$H$20,AC212*'2.3 Input_Main_Questionnaire'!$I$60*'2.3 Input_Main_Questionnaire'!$N$29,)</f>
        <v>9.7615024373661071E-4</v>
      </c>
      <c r="AD319" s="373">
        <f ca="1">IF(AD$312&gt;='2.2 Input_General_Information'!$H$20,AD212*'2.3 Input_Main_Questionnaire'!$I$60*'2.3 Input_Main_Questionnaire'!$N$29,)</f>
        <v>8.4709736455247078E-4</v>
      </c>
      <c r="AE319" s="373">
        <f ca="1">IF(AE$312&gt;='2.2 Input_General_Information'!$H$20,AE212*'2.3 Input_Main_Questionnaire'!$I$60*'2.3 Input_Main_Questionnaire'!$N$29,)</f>
        <v>7.2290954300712981E-4</v>
      </c>
      <c r="AF319" s="373">
        <f ca="1">IF(AF$312&gt;='2.2 Input_General_Information'!$H$20,AF212*'2.3 Input_Main_Questionnaire'!$I$60*'2.3 Input_Main_Questionnaire'!$N$29,)</f>
        <v>6.1090285395484344E-4</v>
      </c>
      <c r="AG319" s="373">
        <f ca="1">IF(AG$312&gt;='2.2 Input_General_Information'!$H$20,AG212*'2.3 Input_Main_Questionnaire'!$I$60*'2.3 Input_Main_Questionnaire'!$N$29,)</f>
        <v>5.1633867242341651E-4</v>
      </c>
      <c r="AH319" s="373">
        <f ca="1">IF(AH$312&gt;='2.2 Input_General_Information'!$H$20,AH212*'2.3 Input_Main_Questionnaire'!$I$60*'2.3 Input_Main_Questionnaire'!$N$29,)</f>
        <v>4.4317557720476345E-4</v>
      </c>
      <c r="AI319" s="373">
        <f ca="1">IF(AI$312&gt;='2.2 Input_General_Information'!$H$20,AI212*'2.3 Input_Main_Questionnaire'!$I$60*'2.3 Input_Main_Questionnaire'!$N$29,)</f>
        <v>3.9510580192345091E-4</v>
      </c>
      <c r="AJ319" s="373">
        <f ca="1">IF(AJ$312&gt;='2.2 Input_General_Information'!$H$20,AJ212*'2.3 Input_Main_Questionnaire'!$I$60*'2.3 Input_Main_Questionnaire'!$N$29,)</f>
        <v>3.7668849565716833E-4</v>
      </c>
      <c r="AK319" s="373">
        <f ca="1">IF(AK$312&gt;='2.2 Input_General_Information'!$H$20,AK212*'2.3 Input_Main_Questionnaire'!$I$60*'2.3 Input_Main_Questionnaire'!$N$29,)</f>
        <v>3.9439866236720168E-4</v>
      </c>
      <c r="AL319" s="373">
        <f ca="1">IF(AL$312&gt;='2.2 Input_General_Information'!$H$20,AL212*'2.3 Input_Main_Questionnaire'!$I$60*'2.3 Input_Main_Questionnaire'!$N$29,)</f>
        <v>4.5724820829416636E-4</v>
      </c>
      <c r="AM319" s="373">
        <f ca="1">IF(AM$312&gt;='2.2 Input_General_Information'!$H$20,AM212*'2.3 Input_Main_Questionnaire'!$I$60*'2.3 Input_Main_Questionnaire'!$N$29,)</f>
        <v>5.7619073873976269E-4</v>
      </c>
      <c r="AN319" s="373">
        <f ca="1">IF(AN$312&gt;='2.2 Input_General_Information'!$H$20,AN212*'2.3 Input_Main_Questionnaire'!$I$60*'2.3 Input_Main_Questionnaire'!$N$29,)</f>
        <v>7.6079780379729816E-4</v>
      </c>
      <c r="AO319" s="373">
        <f ca="1">IF(AO$312&gt;='2.2 Input_General_Information'!$H$20,AO212*'2.3 Input_Main_Questionnaire'!$I$60*'2.3 Input_Main_Questionnaire'!$N$29,)</f>
        <v>1.0112701652583297E-3</v>
      </c>
      <c r="AP319" s="373">
        <f ca="1">IF(AP$312&gt;='2.2 Input_General_Information'!$H$20,AP212*'2.3 Input_Main_Questionnaire'!$I$60*'2.3 Input_Main_Questionnaire'!$N$29,)</f>
        <v>1.3056773322974097E-3</v>
      </c>
      <c r="AQ319" s="373">
        <f ca="1">IF(AQ$312&gt;='2.2 Input_General_Information'!$H$20,AQ212*'2.3 Input_Main_Questionnaire'!$I$60*'2.3 Input_Main_Questionnaire'!$N$29,)</f>
        <v>1.5891594729190567E-3</v>
      </c>
      <c r="AR319" s="373">
        <f ca="1">IF(AR$312&gt;='2.2 Input_General_Information'!$H$20,AR212*'2.3 Input_Main_Questionnaire'!$I$60*'2.3 Input_Main_Questionnaire'!$N$29,)</f>
        <v>1.7810227157189409E-3</v>
      </c>
      <c r="AS319" s="373">
        <f ca="1">IF(AS$312&gt;='2.2 Input_General_Information'!$H$20,AS212*'2.3 Input_Main_Questionnaire'!$I$60*'2.3 Input_Main_Questionnaire'!$N$29,)</f>
        <v>1.8108674274236866E-3</v>
      </c>
      <c r="AT319" s="373">
        <f ca="1">IF(AT$312&gt;='2.2 Input_General_Information'!$H$20,AT212*'2.3 Input_Main_Questionnaire'!$I$60*'2.3 Input_Main_Questionnaire'!$N$29,)</f>
        <v>1.6636774203496825E-3</v>
      </c>
      <c r="AU319" s="373">
        <f ca="1">IF(AU$312&gt;='2.2 Input_General_Information'!$H$20,AU212*'2.3 Input_Main_Questionnaire'!$I$60*'2.3 Input_Main_Questionnaire'!$N$29,)</f>
        <v>1.3904406905914277E-3</v>
      </c>
      <c r="AV319" s="373">
        <f ca="1">IF(AV$312&gt;='2.2 Input_General_Information'!$H$20,AV212*'2.3 Input_Main_Questionnaire'!$I$60*'2.3 Input_Main_Questionnaire'!$N$29,)</f>
        <v>1.0725537601358991E-3</v>
      </c>
      <c r="AW319" s="373">
        <f ca="1">IF(AW$312&gt;='2.2 Input_General_Information'!$H$20,AW212*'2.3 Input_Main_Questionnaire'!$I$60*'2.3 Input_Main_Questionnaire'!$N$29,)</f>
        <v>7.7715055928233767E-4</v>
      </c>
      <c r="AX319" s="373">
        <f ca="1">IF(AX$312&gt;='2.2 Input_General_Information'!$H$20,AX212*'2.3 Input_Main_Questionnaire'!$I$60*'2.3 Input_Main_Questionnaire'!$N$29,)</f>
        <v>5.3790189602810569E-4</v>
      </c>
      <c r="AY319" s="373">
        <f ca="1">IF(AY$312&gt;='2.2 Input_General_Information'!$H$20,AY212*'2.3 Input_Main_Questionnaire'!$I$60*'2.3 Input_Main_Questionnaire'!$N$29,)</f>
        <v>3.6060927940167103E-4</v>
      </c>
      <c r="AZ319" s="373">
        <f ca="1">IF(AZ$312&gt;='2.2 Input_General_Information'!$H$20,AZ212*'2.3 Input_Main_Questionnaire'!$I$60*'2.3 Input_Main_Questionnaire'!$N$29,)</f>
        <v>2.3661070531759624E-4</v>
      </c>
      <c r="BA319" s="373">
        <f ca="1">IF(BA$312&gt;='2.2 Input_General_Information'!$H$20,BA212*'2.3 Input_Main_Questionnaire'!$I$60*'2.3 Input_Main_Questionnaire'!$N$29,)</f>
        <v>1.5307093693303373E-4</v>
      </c>
      <c r="BB319" s="373">
        <f ca="1">IF(BB$312&gt;='2.2 Input_General_Information'!$H$20,BB212*'2.3 Input_Main_Questionnaire'!$I$60*'2.3 Input_Main_Questionnaire'!$N$29,)</f>
        <v>9.8124811926885829E-5</v>
      </c>
      <c r="BC319" s="373">
        <f ca="1">IF(BC$312&gt;='2.2 Input_General_Information'!$H$20,BC212*'2.3 Input_Main_Questionnaire'!$I$60*'2.3 Input_Main_Questionnaire'!$N$29,)</f>
        <v>6.253490391940632E-5</v>
      </c>
      <c r="BD319" s="373">
        <f ca="1">IF(BD$312&gt;='2.2 Input_General_Information'!$H$20,BD212*'2.3 Input_Main_Questionnaire'!$I$60*'2.3 Input_Main_Questionnaire'!$N$29,)</f>
        <v>3.9705516446769309E-5</v>
      </c>
      <c r="BE319" s="373">
        <f ca="1">IF(BE$312&gt;='2.2 Input_General_Information'!$H$20,BE212*'2.3 Input_Main_Questionnaire'!$I$60*'2.3 Input_Main_Questionnaire'!$N$29,)</f>
        <v>2.5151178816403115E-5</v>
      </c>
      <c r="BF319" s="373">
        <f ca="1">IF(BF$312&gt;='2.2 Input_General_Information'!$H$20,BF212*'2.3 Input_Main_Questionnaire'!$I$60*'2.3 Input_Main_Questionnaire'!$N$29,)</f>
        <v>1.5908279308935814E-5</v>
      </c>
      <c r="BG319" s="373">
        <f ca="1">IF(BG$312&gt;='2.2 Input_General_Information'!$H$20,BG212*'2.3 Input_Main_Questionnaire'!$I$60*'2.3 Input_Main_Questionnaire'!$N$29,)</f>
        <v>1.0052749745827926E-5</v>
      </c>
      <c r="BH319" s="373">
        <f ca="1">IF(BH$312&gt;='2.2 Input_General_Information'!$H$20,BH212*'2.3 Input_Main_Questionnaire'!$I$60*'2.3 Input_Main_Questionnaire'!$N$29,)</f>
        <v>6.3488394027390698E-6</v>
      </c>
      <c r="BI319" s="373">
        <f ca="1">IF(BI$312&gt;='2.2 Input_General_Information'!$H$20,BI212*'2.3 Input_Main_Questionnaire'!$I$60*'2.3 Input_Main_Questionnaire'!$N$29,)</f>
        <v>4.0081740603526422E-6</v>
      </c>
      <c r="BJ319" s="373">
        <f ca="1">IF(BJ$312&gt;='2.2 Input_General_Information'!$H$20,BJ212*'2.3 Input_Main_Questionnaire'!$I$60*'2.3 Input_Main_Questionnaire'!$N$29,)</f>
        <v>2.5298869884683215E-6</v>
      </c>
      <c r="BK319" s="373">
        <f ca="1">IF(BK$312&gt;='2.2 Input_General_Information'!$H$20,BK212*'2.3 Input_Main_Questionnaire'!$I$60*'2.3 Input_Main_Questionnaire'!$N$29,)</f>
        <v>1.5965967629318677E-6</v>
      </c>
      <c r="BL319" s="381"/>
      <c r="BM319" s="381"/>
      <c r="BN319" s="381"/>
      <c r="BO319" s="381"/>
      <c r="BP319" s="381"/>
      <c r="BQ319" s="381"/>
      <c r="BR319" s="381"/>
      <c r="BS319" s="381"/>
      <c r="BT319" s="381"/>
      <c r="BU319" s="381"/>
    </row>
    <row r="320" spans="1:73" hidden="1">
      <c r="A320" s="6"/>
      <c r="B320" s="108"/>
      <c r="C320" s="1"/>
      <c r="D320" s="37"/>
      <c r="E320" s="1"/>
      <c r="F320" s="1"/>
      <c r="G320" s="3"/>
      <c r="H320" s="3"/>
      <c r="I320" s="3"/>
      <c r="J320" s="3"/>
      <c r="K320" s="3"/>
      <c r="L320" s="3"/>
      <c r="M320" s="3"/>
      <c r="N320" s="3"/>
      <c r="O320" s="1"/>
      <c r="P320" s="1"/>
      <c r="Q320" s="1"/>
      <c r="R320" s="162"/>
      <c r="S320" s="1"/>
      <c r="T320" s="103"/>
      <c r="U320" s="103"/>
      <c r="V320" s="103" t="str">
        <f>$N$10</f>
        <v>Profile 8</v>
      </c>
      <c r="W320" s="373">
        <f ca="1">IF(W$312&gt;='2.2 Input_General_Information'!$H$20,W212*'2.3 Input_Main_Questionnaire'!$I$60*'2.3 Input_Main_Questionnaire'!$O$29,)</f>
        <v>0</v>
      </c>
      <c r="X320" s="373">
        <f ca="1">IF(X$312&gt;='2.2 Input_General_Information'!$H$20,X212*'2.3 Input_Main_Questionnaire'!$I$60*'2.3 Input_Main_Questionnaire'!$O$29,)</f>
        <v>1.3339261982553449E-3</v>
      </c>
      <c r="Y320" s="373">
        <f ca="1">IF(Y$312&gt;='2.2 Input_General_Information'!$H$20,Y212*'2.3 Input_Main_Questionnaire'!$I$60*'2.3 Input_Main_Questionnaire'!$O$29,)</f>
        <v>1.3331552037765932E-3</v>
      </c>
      <c r="Z320" s="373">
        <f ca="1">IF(Z$312&gt;='2.2 Input_General_Information'!$H$20,Z212*'2.3 Input_Main_Questionnaire'!$I$60*'2.3 Input_Main_Questionnaire'!$O$29,)</f>
        <v>1.2895722709477286E-3</v>
      </c>
      <c r="AA320" s="373">
        <f ca="1">IF(AA$312&gt;='2.2 Input_General_Information'!$H$20,AA212*'2.3 Input_Main_Questionnaire'!$I$60*'2.3 Input_Main_Questionnaire'!$O$29,)</f>
        <v>1.2087968971903431E-3</v>
      </c>
      <c r="AB320" s="373">
        <f ca="1">IF(AB$312&gt;='2.2 Input_General_Information'!$H$20,AB212*'2.3 Input_Main_Questionnaire'!$I$60*'2.3 Input_Main_Questionnaire'!$O$29,)</f>
        <v>1.1004798648176879E-3</v>
      </c>
      <c r="AC320" s="373">
        <f ca="1">IF(AC$312&gt;='2.2 Input_General_Information'!$H$20,AC212*'2.3 Input_Main_Questionnaire'!$I$60*'2.3 Input_Main_Questionnaire'!$O$29,)</f>
        <v>9.7615024373661071E-4</v>
      </c>
      <c r="AD320" s="373">
        <f ca="1">IF(AD$312&gt;='2.2 Input_General_Information'!$H$20,AD212*'2.3 Input_Main_Questionnaire'!$I$60*'2.3 Input_Main_Questionnaire'!$O$29,)</f>
        <v>8.4709736455247078E-4</v>
      </c>
      <c r="AE320" s="373">
        <f ca="1">IF(AE$312&gt;='2.2 Input_General_Information'!$H$20,AE212*'2.3 Input_Main_Questionnaire'!$I$60*'2.3 Input_Main_Questionnaire'!$O$29,)</f>
        <v>7.2290954300712981E-4</v>
      </c>
      <c r="AF320" s="373">
        <f ca="1">IF(AF$312&gt;='2.2 Input_General_Information'!$H$20,AF212*'2.3 Input_Main_Questionnaire'!$I$60*'2.3 Input_Main_Questionnaire'!$O$29,)</f>
        <v>6.1090285395484344E-4</v>
      </c>
      <c r="AG320" s="373">
        <f ca="1">IF(AG$312&gt;='2.2 Input_General_Information'!$H$20,AG212*'2.3 Input_Main_Questionnaire'!$I$60*'2.3 Input_Main_Questionnaire'!$O$29,)</f>
        <v>5.1633867242341651E-4</v>
      </c>
      <c r="AH320" s="373">
        <f ca="1">IF(AH$312&gt;='2.2 Input_General_Information'!$H$20,AH212*'2.3 Input_Main_Questionnaire'!$I$60*'2.3 Input_Main_Questionnaire'!$O$29,)</f>
        <v>4.4317557720476345E-4</v>
      </c>
      <c r="AI320" s="373">
        <f ca="1">IF(AI$312&gt;='2.2 Input_General_Information'!$H$20,AI212*'2.3 Input_Main_Questionnaire'!$I$60*'2.3 Input_Main_Questionnaire'!$O$29,)</f>
        <v>3.9510580192345091E-4</v>
      </c>
      <c r="AJ320" s="373">
        <f ca="1">IF(AJ$312&gt;='2.2 Input_General_Information'!$H$20,AJ212*'2.3 Input_Main_Questionnaire'!$I$60*'2.3 Input_Main_Questionnaire'!$O$29,)</f>
        <v>3.7668849565716833E-4</v>
      </c>
      <c r="AK320" s="373">
        <f ca="1">IF(AK$312&gt;='2.2 Input_General_Information'!$H$20,AK212*'2.3 Input_Main_Questionnaire'!$I$60*'2.3 Input_Main_Questionnaire'!$O$29,)</f>
        <v>3.9439866236720168E-4</v>
      </c>
      <c r="AL320" s="373">
        <f ca="1">IF(AL$312&gt;='2.2 Input_General_Information'!$H$20,AL212*'2.3 Input_Main_Questionnaire'!$I$60*'2.3 Input_Main_Questionnaire'!$O$29,)</f>
        <v>4.5724820829416636E-4</v>
      </c>
      <c r="AM320" s="373">
        <f ca="1">IF(AM$312&gt;='2.2 Input_General_Information'!$H$20,AM212*'2.3 Input_Main_Questionnaire'!$I$60*'2.3 Input_Main_Questionnaire'!$O$29,)</f>
        <v>5.7619073873976269E-4</v>
      </c>
      <c r="AN320" s="373">
        <f ca="1">IF(AN$312&gt;='2.2 Input_General_Information'!$H$20,AN212*'2.3 Input_Main_Questionnaire'!$I$60*'2.3 Input_Main_Questionnaire'!$O$29,)</f>
        <v>7.6079780379729816E-4</v>
      </c>
      <c r="AO320" s="373">
        <f ca="1">IF(AO$312&gt;='2.2 Input_General_Information'!$H$20,AO212*'2.3 Input_Main_Questionnaire'!$I$60*'2.3 Input_Main_Questionnaire'!$O$29,)</f>
        <v>1.0112701652583297E-3</v>
      </c>
      <c r="AP320" s="373">
        <f ca="1">IF(AP$312&gt;='2.2 Input_General_Information'!$H$20,AP212*'2.3 Input_Main_Questionnaire'!$I$60*'2.3 Input_Main_Questionnaire'!$O$29,)</f>
        <v>1.3056773322974097E-3</v>
      </c>
      <c r="AQ320" s="373">
        <f ca="1">IF(AQ$312&gt;='2.2 Input_General_Information'!$H$20,AQ212*'2.3 Input_Main_Questionnaire'!$I$60*'2.3 Input_Main_Questionnaire'!$O$29,)</f>
        <v>1.5891594729190567E-3</v>
      </c>
      <c r="AR320" s="373">
        <f ca="1">IF(AR$312&gt;='2.2 Input_General_Information'!$H$20,AR212*'2.3 Input_Main_Questionnaire'!$I$60*'2.3 Input_Main_Questionnaire'!$O$29,)</f>
        <v>1.7810227157189409E-3</v>
      </c>
      <c r="AS320" s="373">
        <f ca="1">IF(AS$312&gt;='2.2 Input_General_Information'!$H$20,AS212*'2.3 Input_Main_Questionnaire'!$I$60*'2.3 Input_Main_Questionnaire'!$O$29,)</f>
        <v>1.8108674274236866E-3</v>
      </c>
      <c r="AT320" s="373">
        <f ca="1">IF(AT$312&gt;='2.2 Input_General_Information'!$H$20,AT212*'2.3 Input_Main_Questionnaire'!$I$60*'2.3 Input_Main_Questionnaire'!$O$29,)</f>
        <v>1.6636774203496825E-3</v>
      </c>
      <c r="AU320" s="373">
        <f ca="1">IF(AU$312&gt;='2.2 Input_General_Information'!$H$20,AU212*'2.3 Input_Main_Questionnaire'!$I$60*'2.3 Input_Main_Questionnaire'!$O$29,)</f>
        <v>1.3904406905914277E-3</v>
      </c>
      <c r="AV320" s="373">
        <f ca="1">IF(AV$312&gt;='2.2 Input_General_Information'!$H$20,AV212*'2.3 Input_Main_Questionnaire'!$I$60*'2.3 Input_Main_Questionnaire'!$O$29,)</f>
        <v>1.0725537601358991E-3</v>
      </c>
      <c r="AW320" s="373">
        <f ca="1">IF(AW$312&gt;='2.2 Input_General_Information'!$H$20,AW212*'2.3 Input_Main_Questionnaire'!$I$60*'2.3 Input_Main_Questionnaire'!$O$29,)</f>
        <v>7.7715055928233767E-4</v>
      </c>
      <c r="AX320" s="373">
        <f ca="1">IF(AX$312&gt;='2.2 Input_General_Information'!$H$20,AX212*'2.3 Input_Main_Questionnaire'!$I$60*'2.3 Input_Main_Questionnaire'!$O$29,)</f>
        <v>5.3790189602810569E-4</v>
      </c>
      <c r="AY320" s="373">
        <f ca="1">IF(AY$312&gt;='2.2 Input_General_Information'!$H$20,AY212*'2.3 Input_Main_Questionnaire'!$I$60*'2.3 Input_Main_Questionnaire'!$O$29,)</f>
        <v>3.6060927940167103E-4</v>
      </c>
      <c r="AZ320" s="373">
        <f ca="1">IF(AZ$312&gt;='2.2 Input_General_Information'!$H$20,AZ212*'2.3 Input_Main_Questionnaire'!$I$60*'2.3 Input_Main_Questionnaire'!$O$29,)</f>
        <v>2.3661070531759624E-4</v>
      </c>
      <c r="BA320" s="373">
        <f ca="1">IF(BA$312&gt;='2.2 Input_General_Information'!$H$20,BA212*'2.3 Input_Main_Questionnaire'!$I$60*'2.3 Input_Main_Questionnaire'!$O$29,)</f>
        <v>1.5307093693303373E-4</v>
      </c>
      <c r="BB320" s="373">
        <f ca="1">IF(BB$312&gt;='2.2 Input_General_Information'!$H$20,BB212*'2.3 Input_Main_Questionnaire'!$I$60*'2.3 Input_Main_Questionnaire'!$O$29,)</f>
        <v>9.8124811926885829E-5</v>
      </c>
      <c r="BC320" s="373">
        <f ca="1">IF(BC$312&gt;='2.2 Input_General_Information'!$H$20,BC212*'2.3 Input_Main_Questionnaire'!$I$60*'2.3 Input_Main_Questionnaire'!$O$29,)</f>
        <v>6.253490391940632E-5</v>
      </c>
      <c r="BD320" s="373">
        <f ca="1">IF(BD$312&gt;='2.2 Input_General_Information'!$H$20,BD212*'2.3 Input_Main_Questionnaire'!$I$60*'2.3 Input_Main_Questionnaire'!$O$29,)</f>
        <v>3.9705516446769309E-5</v>
      </c>
      <c r="BE320" s="373">
        <f ca="1">IF(BE$312&gt;='2.2 Input_General_Information'!$H$20,BE212*'2.3 Input_Main_Questionnaire'!$I$60*'2.3 Input_Main_Questionnaire'!$O$29,)</f>
        <v>2.5151178816403115E-5</v>
      </c>
      <c r="BF320" s="373">
        <f ca="1">IF(BF$312&gt;='2.2 Input_General_Information'!$H$20,BF212*'2.3 Input_Main_Questionnaire'!$I$60*'2.3 Input_Main_Questionnaire'!$O$29,)</f>
        <v>1.5908279308935814E-5</v>
      </c>
      <c r="BG320" s="373">
        <f ca="1">IF(BG$312&gt;='2.2 Input_General_Information'!$H$20,BG212*'2.3 Input_Main_Questionnaire'!$I$60*'2.3 Input_Main_Questionnaire'!$O$29,)</f>
        <v>1.0052749745827926E-5</v>
      </c>
      <c r="BH320" s="373">
        <f ca="1">IF(BH$312&gt;='2.2 Input_General_Information'!$H$20,BH212*'2.3 Input_Main_Questionnaire'!$I$60*'2.3 Input_Main_Questionnaire'!$O$29,)</f>
        <v>6.3488394027390698E-6</v>
      </c>
      <c r="BI320" s="373">
        <f ca="1">IF(BI$312&gt;='2.2 Input_General_Information'!$H$20,BI212*'2.3 Input_Main_Questionnaire'!$I$60*'2.3 Input_Main_Questionnaire'!$O$29,)</f>
        <v>4.0081740603526422E-6</v>
      </c>
      <c r="BJ320" s="373">
        <f ca="1">IF(BJ$312&gt;='2.2 Input_General_Information'!$H$20,BJ212*'2.3 Input_Main_Questionnaire'!$I$60*'2.3 Input_Main_Questionnaire'!$O$29,)</f>
        <v>2.5298869884683215E-6</v>
      </c>
      <c r="BK320" s="373">
        <f ca="1">IF(BK$312&gt;='2.2 Input_General_Information'!$H$20,BK212*'2.3 Input_Main_Questionnaire'!$I$60*'2.3 Input_Main_Questionnaire'!$O$29,)</f>
        <v>1.5965967629318677E-6</v>
      </c>
      <c r="BL320" s="381"/>
      <c r="BM320" s="381"/>
      <c r="BN320" s="381"/>
      <c r="BO320" s="381"/>
      <c r="BP320" s="381"/>
      <c r="BQ320" s="381"/>
      <c r="BR320" s="381"/>
      <c r="BS320" s="381"/>
      <c r="BT320" s="381"/>
      <c r="BU320" s="381"/>
    </row>
    <row r="321" spans="1:73" hidden="1">
      <c r="A321" s="6"/>
      <c r="B321" s="108"/>
      <c r="C321" s="1"/>
      <c r="D321" s="37"/>
      <c r="E321" s="1"/>
      <c r="F321" s="1"/>
      <c r="G321" s="3"/>
      <c r="H321" s="3"/>
      <c r="I321" s="3"/>
      <c r="J321" s="3"/>
      <c r="K321" s="3"/>
      <c r="L321" s="3"/>
      <c r="M321" s="3"/>
      <c r="N321" s="3"/>
      <c r="O321" s="1"/>
      <c r="P321" s="1"/>
      <c r="Q321" s="1"/>
      <c r="R321" s="162"/>
      <c r="S321" s="1"/>
      <c r="T321" s="101"/>
      <c r="U321" s="101"/>
      <c r="V321" s="100"/>
      <c r="W321" s="98"/>
      <c r="X321" s="98"/>
      <c r="Y321" s="98"/>
      <c r="Z321" s="98"/>
      <c r="AA321" s="98"/>
      <c r="AB321" s="98"/>
      <c r="AC321" s="98"/>
      <c r="AD321" s="98"/>
      <c r="AE321" s="98"/>
      <c r="AF321" s="98"/>
      <c r="AG321" s="98"/>
      <c r="AH321" s="98"/>
      <c r="AI321" s="98"/>
      <c r="AJ321" s="98"/>
      <c r="AK321" s="98"/>
      <c r="AL321" s="98"/>
      <c r="AM321" s="98"/>
      <c r="AN321" s="98"/>
      <c r="AO321" s="98"/>
      <c r="AP321" s="98"/>
      <c r="AQ321" s="98"/>
      <c r="AR321" s="98"/>
      <c r="AS321" s="98"/>
      <c r="AT321" s="98"/>
      <c r="AU321" s="98"/>
      <c r="AV321" s="98"/>
      <c r="AW321" s="98"/>
      <c r="AX321" s="98"/>
      <c r="AY321" s="98"/>
      <c r="AZ321" s="98"/>
      <c r="BA321" s="98"/>
      <c r="BB321" s="98"/>
      <c r="BC321" s="98"/>
      <c r="BD321" s="98"/>
      <c r="BE321" s="98"/>
      <c r="BF321" s="98"/>
      <c r="BG321" s="98"/>
      <c r="BH321" s="98"/>
      <c r="BI321" s="98"/>
      <c r="BJ321" s="98"/>
      <c r="BK321" s="98"/>
      <c r="BL321" s="99"/>
      <c r="BM321" s="99"/>
      <c r="BN321" s="99"/>
      <c r="BO321" s="99"/>
      <c r="BP321" s="99"/>
      <c r="BQ321" s="99"/>
      <c r="BR321" s="99"/>
      <c r="BS321" s="99"/>
      <c r="BT321" s="99"/>
      <c r="BU321" s="99"/>
    </row>
    <row r="322" spans="1:73" hidden="1">
      <c r="A322" s="6"/>
      <c r="B322" s="108"/>
      <c r="C322" s="1"/>
      <c r="D322" s="37"/>
      <c r="E322" s="1"/>
      <c r="F322" s="1"/>
      <c r="G322" s="3"/>
      <c r="H322" s="3"/>
      <c r="I322" s="3"/>
      <c r="J322" s="3"/>
      <c r="K322" s="3"/>
      <c r="L322" s="3"/>
      <c r="M322" s="3"/>
      <c r="N322" s="3"/>
      <c r="O322" s="1"/>
      <c r="P322" s="1"/>
      <c r="Q322" s="1"/>
      <c r="R322" s="162"/>
      <c r="S322" s="1"/>
      <c r="T322" s="101" t="s">
        <v>200</v>
      </c>
      <c r="U322" s="101" t="s">
        <v>289</v>
      </c>
      <c r="V322" s="564" t="str">
        <f>D265</f>
        <v>Time saved in accessing more easily data not immediately available</v>
      </c>
      <c r="W322" s="375"/>
      <c r="X322" s="376"/>
      <c r="Y322" s="376"/>
      <c r="Z322" s="376"/>
      <c r="AA322" s="376"/>
      <c r="AB322" s="376"/>
      <c r="AC322" s="376"/>
      <c r="AD322" s="376"/>
      <c r="AE322" s="376"/>
      <c r="AF322" s="376"/>
      <c r="AG322" s="376"/>
      <c r="AH322" s="376"/>
      <c r="AI322" s="376"/>
      <c r="AJ322" s="376"/>
      <c r="AK322" s="376"/>
      <c r="AL322" s="376"/>
      <c r="AM322" s="376"/>
      <c r="AN322" s="376"/>
      <c r="AO322" s="376"/>
      <c r="AP322" s="376"/>
      <c r="AQ322" s="376"/>
      <c r="AR322" s="376"/>
      <c r="AS322" s="376"/>
      <c r="AT322" s="376"/>
      <c r="AU322" s="376"/>
      <c r="AV322" s="376"/>
      <c r="AW322" s="376"/>
      <c r="AX322" s="376"/>
      <c r="AY322" s="376"/>
      <c r="AZ322" s="376"/>
      <c r="BA322" s="376"/>
      <c r="BB322" s="376"/>
      <c r="BC322" s="376"/>
      <c r="BD322" s="376"/>
      <c r="BE322" s="376"/>
      <c r="BF322" s="376"/>
      <c r="BG322" s="376"/>
      <c r="BH322" s="376"/>
      <c r="BI322" s="376"/>
      <c r="BJ322" s="376"/>
      <c r="BK322" s="376"/>
      <c r="BL322" s="99"/>
      <c r="BM322" s="99"/>
      <c r="BN322" s="99"/>
      <c r="BO322" s="99"/>
      <c r="BP322" s="99"/>
      <c r="BQ322" s="99"/>
      <c r="BR322" s="99"/>
      <c r="BS322" s="99"/>
      <c r="BT322" s="99"/>
      <c r="BU322" s="99"/>
    </row>
    <row r="323" spans="1:73" hidden="1">
      <c r="A323" s="6"/>
      <c r="B323" s="108"/>
      <c r="C323" s="1"/>
      <c r="D323" s="37"/>
      <c r="E323" s="1"/>
      <c r="F323" s="1"/>
      <c r="G323" s="3"/>
      <c r="H323" s="3"/>
      <c r="I323" s="3"/>
      <c r="J323" s="3"/>
      <c r="K323" s="3"/>
      <c r="L323" s="3"/>
      <c r="M323" s="3"/>
      <c r="N323" s="3"/>
      <c r="O323" s="1"/>
      <c r="P323" s="1"/>
      <c r="Q323" s="1"/>
      <c r="R323" s="162"/>
      <c r="S323" s="1"/>
      <c r="T323" s="6"/>
      <c r="U323" s="6"/>
      <c r="V323" s="103" t="str">
        <f>G$10</f>
        <v>PhD researcher</v>
      </c>
      <c r="W323" s="565">
        <f ca="1">IF(W$301 &gt;='2.2 Input_General_Information'!$H$20, (W$257*'2.3 Input_Main_Questionnaire'!$I$62*'2.3 Input_Main_Questionnaire'!$H$29 /(1 + VLOOKUP(W$301, Growth!$B$20:$D$60, 3, FALSE))),)</f>
        <v>0</v>
      </c>
      <c r="X323" s="565">
        <f ca="1">IF(X$301 &gt;='2.2 Input_General_Information'!$H$20, (X$257*'2.3 Input_Main_Questionnaire'!$I$62*'2.3 Input_Main_Questionnaire'!$H$29 /(1 + VLOOKUP(X$301, Growth!$B$20:$D$60, 3, FALSE))),)</f>
        <v>1.9606762209116457E-4</v>
      </c>
      <c r="Y323" s="565">
        <f ca="1">IF(Y$301 &gt;='2.2 Input_General_Information'!$H$20, (Y$257*'2.3 Input_Main_Questionnaire'!$I$62*'2.3 Input_Main_Questionnaire'!$H$29 /(1 + VLOOKUP(Y$301, Growth!$B$20:$D$60, 3, FALSE))),)</f>
        <v>1.9667554778470285E-4</v>
      </c>
      <c r="Z323" s="565">
        <f ca="1">IF(Z$301 &gt;='2.2 Input_General_Information'!$H$20, (Z$257*'2.3 Input_Main_Questionnaire'!$I$62*'2.3 Input_Main_Questionnaire'!$H$29 /(1 + VLOOKUP(Z$301, Growth!$B$20:$D$60, 3, FALSE))),)</f>
        <v>1.9730777780695976E-4</v>
      </c>
      <c r="AA323" s="565">
        <f ca="1">IF(AA$301 &gt;='2.2 Input_General_Information'!$H$20, (AA$257*'2.3 Input_Main_Questionnaire'!$I$62*'2.3 Input_Main_Questionnaire'!$H$29 /(1 + VLOOKUP(AA$301, Growth!$B$20:$D$60, 3, FALSE))),)</f>
        <v>1.9803080889934209E-4</v>
      </c>
      <c r="AB323" s="565">
        <f ca="1">IF(AB$301 &gt;='2.2 Input_General_Information'!$H$20, (AB$257*'2.3 Input_Main_Questionnaire'!$I$62*'2.3 Input_Main_Questionnaire'!$H$29 /(1 + VLOOKUP(AB$301, Growth!$B$20:$D$60, 3, FALSE))),)</f>
        <v>1.9895112448258572E-4</v>
      </c>
      <c r="AC323" s="565">
        <f ca="1">IF(AC$301 &gt;='2.2 Input_General_Information'!$H$20, (AC$257*'2.3 Input_Main_Questionnaire'!$I$62*'2.3 Input_Main_Questionnaire'!$H$29 /(1 + VLOOKUP(AC$301, Growth!$B$20:$D$60, 3, FALSE))),)</f>
        <v>2.0023840564614489E-4</v>
      </c>
      <c r="AD323" s="565">
        <f ca="1">IF(AD$301 &gt;='2.2 Input_General_Information'!$H$20, (AD$257*'2.3 Input_Main_Questionnaire'!$I$62*'2.3 Input_Main_Questionnaire'!$H$29 /(1 + VLOOKUP(AD$301, Growth!$B$20:$D$60, 3, FALSE))),)</f>
        <v>2.0216202229207499E-4</v>
      </c>
      <c r="AE323" s="565">
        <f ca="1">IF(AE$301 &gt;='2.2 Input_General_Information'!$H$20, (AE$257*'2.3 Input_Main_Questionnaire'!$I$62*'2.3 Input_Main_Questionnaire'!$H$29 /(1 + VLOOKUP(AE$301, Growth!$B$20:$D$60, 3, FALSE))),)</f>
        <v>2.0514808695408957E-4</v>
      </c>
      <c r="AF323" s="565">
        <f ca="1">IF(AF$301 &gt;='2.2 Input_General_Information'!$H$20, (AF$257*'2.3 Input_Main_Questionnaire'!$I$62*'2.3 Input_Main_Questionnaire'!$H$29 /(1 + VLOOKUP(AF$301, Growth!$B$20:$D$60, 3, FALSE))),)</f>
        <v>2.0986787930009468E-4</v>
      </c>
      <c r="AG323" s="565">
        <f ca="1">IF(AG$301 &gt;='2.2 Input_General_Information'!$H$20, (AG$257*'2.3 Input_Main_Questionnaire'!$I$62*'2.3 Input_Main_Questionnaire'!$H$29 /(1 + VLOOKUP(AG$301, Growth!$B$20:$D$60, 3, FALSE))),)</f>
        <v>2.1737295235265775E-4</v>
      </c>
      <c r="AH323" s="565">
        <f ca="1">IF(AH$301 &gt;='2.2 Input_General_Information'!$H$20, (AH$257*'2.3 Input_Main_Questionnaire'!$I$62*'2.3 Input_Main_Questionnaire'!$H$29 /(1 + VLOOKUP(AH$301, Growth!$B$20:$D$60, 3, FALSE))),)</f>
        <v>2.2929672038454814E-4</v>
      </c>
      <c r="AI323" s="565">
        <f ca="1">IF(AI$301 &gt;='2.2 Input_General_Information'!$H$20, (AI$257*'2.3 Input_Main_Questionnaire'!$I$62*'2.3 Input_Main_Questionnaire'!$H$29 /(1 + VLOOKUP(AI$301, Growth!$B$20:$D$60, 3, FALSE))),)</f>
        <v>2.4814310348358757E-4</v>
      </c>
      <c r="AJ323" s="565">
        <f ca="1">IF(AJ$301 &gt;='2.2 Input_General_Information'!$H$20, (AJ$257*'2.3 Input_Main_Questionnaire'!$I$62*'2.3 Input_Main_Questionnaire'!$H$29 /(1 + VLOOKUP(AJ$301, Growth!$B$20:$D$60, 3, FALSE))),)</f>
        <v>2.7766936953814734E-4</v>
      </c>
      <c r="AK323" s="565">
        <f ca="1">IF(AK$301 &gt;='2.2 Input_General_Information'!$H$20, (AK$257*'2.3 Input_Main_Questionnaire'!$I$62*'2.3 Input_Main_Questionnaire'!$H$29 /(1 + VLOOKUP(AK$301, Growth!$B$20:$D$60, 3, FALSE))),)</f>
        <v>3.2331713353898347E-4</v>
      </c>
      <c r="AL323" s="565">
        <f ca="1">IF(AL$301 &gt;='2.2 Input_General_Information'!$H$20, (AL$257*'2.3 Input_Main_Questionnaire'!$I$62*'2.3 Input_Main_Questionnaire'!$H$29 /(1 + VLOOKUP(AL$301, Growth!$B$20:$D$60, 3, FALSE))),)</f>
        <v>3.9249951058555472E-4</v>
      </c>
      <c r="AM323" s="565">
        <f ca="1">IF(AM$301 &gt;='2.2 Input_General_Information'!$H$20, (AM$257*'2.3 Input_Main_Questionnaire'!$I$62*'2.3 Input_Main_Questionnaire'!$H$29 /(1 + VLOOKUP(AM$301, Growth!$B$20:$D$60, 3, FALSE))),)</f>
        <v>4.9422984203760707E-4</v>
      </c>
      <c r="AN323" s="565">
        <f ca="1">IF(AN$301 &gt;='2.2 Input_General_Information'!$H$20, (AN$257*'2.3 Input_Main_Questionnaire'!$I$62*'2.3 Input_Main_Questionnaire'!$H$29 /(1 + VLOOKUP(AN$301, Growth!$B$20:$D$60, 3, FALSE))),)</f>
        <v>6.3703155881781074E-4</v>
      </c>
      <c r="AO323" s="565">
        <f ca="1">IF(AO$301 &gt;='2.2 Input_General_Information'!$H$20, (AO$257*'2.3 Input_Main_Questionnaire'!$I$62*'2.3 Input_Main_Questionnaire'!$H$29 /(1 + VLOOKUP(AO$301, Growth!$B$20:$D$60, 3, FALSE))),)</f>
        <v>8.2359067248120887E-4</v>
      </c>
      <c r="AP323" s="565">
        <f ca="1">IF(AP$301 &gt;='2.2 Input_General_Information'!$H$20, (AP$257*'2.3 Input_Main_Questionnaire'!$I$62*'2.3 Input_Main_Questionnaire'!$H$29 /(1 + VLOOKUP(AP$301, Growth!$B$20:$D$60, 3, FALSE))),)</f>
        <v>1.0414832092136438E-3</v>
      </c>
      <c r="AQ323" s="565">
        <f ca="1">IF(AQ$301 &gt;='2.2 Input_General_Information'!$H$20, (AQ$257*'2.3 Input_Main_Questionnaire'!$I$62*'2.3 Input_Main_Questionnaire'!$H$29 /(1 + VLOOKUP(AQ$301, Growth!$B$20:$D$60, 3, FALSE))),)</f>
        <v>1.2538768204259521E-3</v>
      </c>
      <c r="AR323" s="565">
        <f ca="1">IF(AR$301 &gt;='2.2 Input_General_Information'!$H$20, (AR$257*'2.3 Input_Main_Questionnaire'!$I$62*'2.3 Input_Main_Questionnaire'!$H$29 /(1 + VLOOKUP(AR$301, Growth!$B$20:$D$60, 3, FALSE))),)</f>
        <v>1.4018593775689859E-3</v>
      </c>
      <c r="AS323" s="565">
        <f ca="1">IF(AS$301 &gt;='2.2 Input_General_Information'!$H$20, (AS$257*'2.3 Input_Main_Questionnaire'!$I$62*'2.3 Input_Main_Questionnaire'!$H$29 /(1 + VLOOKUP(AS$301, Growth!$B$20:$D$60, 3, FALSE))),)</f>
        <v>1.429610548222194E-3</v>
      </c>
      <c r="AT323" s="565">
        <f ca="1">IF(AT$301 &gt;='2.2 Input_General_Information'!$H$20, (AT$257*'2.3 Input_Main_Questionnaire'!$I$62*'2.3 Input_Main_Questionnaire'!$H$29 /(1 + VLOOKUP(AT$301, Growth!$B$20:$D$60, 3, FALSE))),)</f>
        <v>1.3210736793851981E-3</v>
      </c>
      <c r="AU323" s="565">
        <f ca="1">IF(AU$301 &gt;='2.2 Input_General_Information'!$H$20, (AU$257*'2.3 Input_Main_Questionnaire'!$I$62*'2.3 Input_Main_Questionnaire'!$H$29 /(1 + VLOOKUP(AU$301, Growth!$B$20:$D$60, 3, FALSE))),)</f>
        <v>1.1130329532901004E-3</v>
      </c>
      <c r="AV323" s="565">
        <f ca="1">IF(AV$301 &gt;='2.2 Input_General_Information'!$H$20, (AV$257*'2.3 Input_Main_Questionnaire'!$I$62*'2.3 Input_Main_Questionnaire'!$H$29 /(1 + VLOOKUP(AV$301, Growth!$B$20:$D$60, 3, FALSE))),)</f>
        <v>8.6923037133869441E-4</v>
      </c>
      <c r="AW323" s="565">
        <f ca="1">IF(AW$301 &gt;='2.2 Input_General_Information'!$H$20, (AW$257*'2.3 Input_Main_Questionnaire'!$I$62*'2.3 Input_Main_Questionnaire'!$H$29 /(1 + VLOOKUP(AW$301, Growth!$B$20:$D$60, 3, FALSE))),)</f>
        <v>6.4336873009152495E-4</v>
      </c>
      <c r="AX323" s="565">
        <f ca="1">IF(AX$301 &gt;='2.2 Input_General_Information'!$H$20, (AX$257*'2.3 Input_Main_Questionnaire'!$I$62*'2.3 Input_Main_Questionnaire'!$H$29 /(1 + VLOOKUP(AX$301, Growth!$B$20:$D$60, 3, FALSE))),)</f>
        <v>4.6210341731703716E-4</v>
      </c>
      <c r="AY323" s="565">
        <f ca="1">IF(AY$301 &gt;='2.2 Input_General_Information'!$H$20, (AY$257*'2.3 Input_Main_Questionnaire'!$I$62*'2.3 Input_Main_Questionnaire'!$H$29 /(1 + VLOOKUP(AY$301, Growth!$B$20:$D$60, 3, FALSE))),)</f>
        <v>3.2937051413290633E-4</v>
      </c>
      <c r="AZ323" s="565">
        <f ca="1">IF(AZ$301 &gt;='2.2 Input_General_Information'!$H$20, (AZ$257*'2.3 Input_Main_Questionnaire'!$I$62*'2.3 Input_Main_Questionnaire'!$H$29 /(1 + VLOOKUP(AZ$301, Growth!$B$20:$D$60, 3, FALSE))),)</f>
        <v>2.3762044189700799E-4</v>
      </c>
      <c r="BA323" s="565">
        <f ca="1">IF(BA$301 &gt;='2.2 Input_General_Information'!$H$20, (BA$257*'2.3 Input_Main_Questionnaire'!$I$62*'2.3 Input_Main_Questionnaire'!$H$29 /(1 + VLOOKUP(BA$301, Growth!$B$20:$D$60, 3, FALSE))),)</f>
        <v>1.7633226545170314E-4</v>
      </c>
      <c r="BB323" s="565">
        <f ca="1">IF(BB$301 &gt;='2.2 Input_General_Information'!$H$20, (BB$257*'2.3 Input_Main_Questionnaire'!$I$62*'2.3 Input_Main_Questionnaire'!$H$29 /(1 + VLOOKUP(BB$301, Growth!$B$20:$D$60, 3, FALSE))),)</f>
        <v>1.3609652708680662E-4</v>
      </c>
      <c r="BC323" s="565">
        <f ca="1">IF(BC$301 &gt;='2.2 Input_General_Information'!$H$20, (BC$257*'2.3 Input_Main_Questionnaire'!$I$62*'2.3 Input_Main_Questionnaire'!$H$29 /(1 + VLOOKUP(BC$301, Growth!$B$20:$D$60, 3, FALSE))),)</f>
        <v>1.0979395207986374E-4</v>
      </c>
      <c r="BD323" s="565">
        <f ca="1">IF(BD$301 &gt;='2.2 Input_General_Information'!$H$20, (BD$257*'2.3 Input_Main_Questionnaire'!$I$62*'2.3 Input_Main_Questionnaire'!$H$29 /(1 + VLOOKUP(BD$301, Growth!$B$20:$D$60, 3, FALSE))),)</f>
        <v>9.2477017047523741E-5</v>
      </c>
      <c r="BE323" s="565">
        <f ca="1">IF(BE$301 &gt;='2.2 Input_General_Information'!$H$20, (BE$257*'2.3 Input_Main_Questionnaire'!$I$62*'2.3 Input_Main_Questionnaire'!$H$29 /(1 + VLOOKUP(BE$301, Growth!$B$20:$D$60, 3, FALSE))),)</f>
        <v>8.0868370282428999E-5</v>
      </c>
      <c r="BF323" s="565">
        <f ca="1">IF(BF$301 &gt;='2.2 Input_General_Information'!$H$20, (BF$257*'2.3 Input_Main_Questionnaire'!$I$62*'2.3 Input_Main_Questionnaire'!$H$29 /(1 + VLOOKUP(BF$301, Growth!$B$20:$D$60, 3, FALSE))),)</f>
        <v>7.2857600166090122E-5</v>
      </c>
      <c r="BG323" s="565">
        <f ca="1">IF(BG$301 &gt;='2.2 Input_General_Information'!$H$20, (BG$257*'2.3 Input_Main_Questionnaire'!$I$62*'2.3 Input_Main_Questionnaire'!$H$29 /(1 + VLOOKUP(BG$301, Growth!$B$20:$D$60, 3, FALSE))),)</f>
        <v>6.7108745299202733E-5</v>
      </c>
      <c r="BH323" s="565">
        <f ca="1">IF(BH$301 &gt;='2.2 Input_General_Information'!$H$20, (BH$257*'2.3 Input_Main_Questionnaire'!$I$62*'2.3 Input_Main_Questionnaire'!$H$29 /(1 + VLOOKUP(BH$301, Growth!$B$20:$D$60, 3, FALSE))),)</f>
        <v>6.2784833235669075E-5</v>
      </c>
      <c r="BI323" s="565">
        <f ca="1">IF(BI$301 &gt;='2.2 Input_General_Information'!$H$20, (BI$257*'2.3 Input_Main_Questionnaire'!$I$62*'2.3 Input_Main_Questionnaire'!$H$29 /(1 + VLOOKUP(BI$301, Growth!$B$20:$D$60, 3, FALSE))),)</f>
        <v>5.9364776888833595E-5</v>
      </c>
      <c r="BJ323" s="565">
        <f ca="1">IF(BJ$301 &gt;='2.2 Input_General_Information'!$H$20, (BJ$257*'2.3 Input_Main_Questionnaire'!$I$62*'2.3 Input_Main_Questionnaire'!$H$29 /(1 + VLOOKUP(BJ$301, Growth!$B$20:$D$60, 3, FALSE))),)</f>
        <v>5.6525325913311962E-5</v>
      </c>
      <c r="BK323" s="565">
        <f ca="1">IF(BK$301 &gt;='2.2 Input_General_Information'!$H$20, (BK$257*'2.3 Input_Main_Questionnaire'!$I$62*'2.3 Input_Main_Questionnaire'!$H$29 /(1 + VLOOKUP(BK$301, Growth!$B$20:$D$60, 3, FALSE))),)</f>
        <v>5.4066316220728937E-5</v>
      </c>
      <c r="BL323" s="349"/>
      <c r="BM323" s="349"/>
      <c r="BN323" s="349"/>
      <c r="BO323" s="349"/>
      <c r="BP323" s="349"/>
      <c r="BQ323" s="349"/>
      <c r="BR323" s="349"/>
      <c r="BS323" s="349"/>
      <c r="BT323" s="349"/>
      <c r="BU323" s="349"/>
    </row>
    <row r="324" spans="1:73" hidden="1">
      <c r="A324" s="6"/>
      <c r="B324" s="108"/>
      <c r="C324" s="1"/>
      <c r="D324" s="37"/>
      <c r="E324" s="1"/>
      <c r="F324" s="1"/>
      <c r="G324" s="3"/>
      <c r="H324" s="3"/>
      <c r="I324" s="3"/>
      <c r="J324" s="3"/>
      <c r="K324" s="3"/>
      <c r="L324" s="3"/>
      <c r="M324" s="3"/>
      <c r="N324" s="3"/>
      <c r="O324" s="1"/>
      <c r="P324" s="1"/>
      <c r="Q324" s="1"/>
      <c r="R324" s="162"/>
      <c r="S324" s="1"/>
      <c r="T324" s="101"/>
      <c r="U324" s="101"/>
      <c r="V324" s="103" t="str">
        <f>$H$10</f>
        <v>Lecturer assistant/Research assistant (Academic)</v>
      </c>
      <c r="W324" s="565">
        <f ca="1">IF(W$301 &gt;='2.2 Input_General_Information'!$H$20, (W$257*'2.3 Input_Main_Questionnaire'!$I$62*'2.3 Input_Main_Questionnaire'!$I$29 /(1 + VLOOKUP(W$301, Growth!$B$20:$D$60, 3, FALSE))),)</f>
        <v>0</v>
      </c>
      <c r="X324" s="565">
        <f ca="1">IF(X$301 &gt;='2.2 Input_General_Information'!$H$20, (X$257*'2.3 Input_Main_Questionnaire'!$I$62*'2.3 Input_Main_Questionnaire'!$I$29 /(1 + VLOOKUP(X$301, Growth!$B$20:$D$60, 3, FALSE))),)</f>
        <v>1.8492224682148118E-4</v>
      </c>
      <c r="Y324" s="565">
        <f ca="1">IF(Y$301 &gt;='2.2 Input_General_Information'!$H$20, (Y$257*'2.3 Input_Main_Questionnaire'!$I$62*'2.3 Input_Main_Questionnaire'!$I$29 /(1 + VLOOKUP(Y$301, Growth!$B$20:$D$60, 3, FALSE))),)</f>
        <v>1.8549561525401788E-4</v>
      </c>
      <c r="Z324" s="565">
        <f ca="1">IF(Z$301 &gt;='2.2 Input_General_Information'!$H$20, (Z$257*'2.3 Input_Main_Questionnaire'!$I$62*'2.3 Input_Main_Questionnaire'!$I$29 /(1 + VLOOKUP(Z$301, Growth!$B$20:$D$60, 3, FALSE))),)</f>
        <v>1.8609190644670333E-4</v>
      </c>
      <c r="AA324" s="565">
        <f ca="1">IF(AA$301 &gt;='2.2 Input_General_Information'!$H$20, (AA$257*'2.3 Input_Main_Questionnaire'!$I$62*'2.3 Input_Main_Questionnaire'!$I$29 /(1 + VLOOKUP(AA$301, Growth!$B$20:$D$60, 3, FALSE))),)</f>
        <v>1.8677383716376463E-4</v>
      </c>
      <c r="AB324" s="565">
        <f ca="1">IF(AB$301 &gt;='2.2 Input_General_Information'!$H$20, (AB$257*'2.3 Input_Main_Questionnaire'!$I$62*'2.3 Input_Main_Questionnaire'!$I$29 /(1 + VLOOKUP(AB$301, Growth!$B$20:$D$60, 3, FALSE))),)</f>
        <v>1.8764183782406284E-4</v>
      </c>
      <c r="AC324" s="565">
        <f ca="1">IF(AC$301 &gt;='2.2 Input_General_Information'!$H$20, (AC$257*'2.3 Input_Main_Questionnaire'!$I$62*'2.3 Input_Main_Questionnaire'!$I$29 /(1 + VLOOKUP(AC$301, Growth!$B$20:$D$60, 3, FALSE))),)</f>
        <v>1.8885594407229208E-4</v>
      </c>
      <c r="AD324" s="565">
        <f ca="1">IF(AD$301 &gt;='2.2 Input_General_Information'!$H$20, (AD$257*'2.3 Input_Main_Questionnaire'!$I$62*'2.3 Input_Main_Questionnaire'!$I$29 /(1 + VLOOKUP(AD$301, Growth!$B$20:$D$60, 3, FALSE))),)</f>
        <v>1.9067021360029808E-4</v>
      </c>
      <c r="AE324" s="565">
        <f ca="1">IF(AE$301 &gt;='2.2 Input_General_Information'!$H$20, (AE$257*'2.3 Input_Main_Questionnaire'!$I$62*'2.3 Input_Main_Questionnaire'!$I$29 /(1 + VLOOKUP(AE$301, Growth!$B$20:$D$60, 3, FALSE))),)</f>
        <v>1.934865367676042E-4</v>
      </c>
      <c r="AF324" s="565">
        <f ca="1">IF(AF$301 &gt;='2.2 Input_General_Information'!$H$20, (AF$257*'2.3 Input_Main_Questionnaire'!$I$62*'2.3 Input_Main_Questionnaire'!$I$29 /(1 + VLOOKUP(AF$301, Growth!$B$20:$D$60, 3, FALSE))),)</f>
        <v>1.9793803465310551E-4</v>
      </c>
      <c r="AG324" s="565">
        <f ca="1">IF(AG$301 &gt;='2.2 Input_General_Information'!$H$20, (AG$257*'2.3 Input_Main_Questionnaire'!$I$62*'2.3 Input_Main_Questionnaire'!$I$29 /(1 + VLOOKUP(AG$301, Growth!$B$20:$D$60, 3, FALSE))),)</f>
        <v>2.0501648522356234E-4</v>
      </c>
      <c r="AH324" s="565">
        <f ca="1">IF(AH$301 &gt;='2.2 Input_General_Information'!$H$20, (AH$257*'2.3 Input_Main_Questionnaire'!$I$62*'2.3 Input_Main_Questionnaire'!$I$29 /(1 + VLOOKUP(AH$301, Growth!$B$20:$D$60, 3, FALSE))),)</f>
        <v>2.1626245205642414E-4</v>
      </c>
      <c r="AI324" s="565">
        <f ca="1">IF(AI$301 &gt;='2.2 Input_General_Information'!$H$20, (AI$257*'2.3 Input_Main_Questionnaire'!$I$62*'2.3 Input_Main_Questionnaire'!$I$29 /(1 + VLOOKUP(AI$301, Growth!$B$20:$D$60, 3, FALSE))),)</f>
        <v>2.3403752103498451E-4</v>
      </c>
      <c r="AJ324" s="565">
        <f ca="1">IF(AJ$301 &gt;='2.2 Input_General_Information'!$H$20, (AJ$257*'2.3 Input_Main_Questionnaire'!$I$62*'2.3 Input_Main_Questionnaire'!$I$29 /(1 + VLOOKUP(AJ$301, Growth!$B$20:$D$60, 3, FALSE))),)</f>
        <v>2.6188537985442434E-4</v>
      </c>
      <c r="AK324" s="565">
        <f ca="1">IF(AK$301 &gt;='2.2 Input_General_Information'!$H$20, (AK$257*'2.3 Input_Main_Questionnaire'!$I$62*'2.3 Input_Main_Questionnaire'!$I$29 /(1 + VLOOKUP(AK$301, Growth!$B$20:$D$60, 3, FALSE))),)</f>
        <v>3.0493831736333362E-4</v>
      </c>
      <c r="AL324" s="565">
        <f ca="1">IF(AL$301 &gt;='2.2 Input_General_Information'!$H$20, (AL$257*'2.3 Input_Main_Questionnaire'!$I$62*'2.3 Input_Main_Questionnaire'!$I$29 /(1 + VLOOKUP(AL$301, Growth!$B$20:$D$60, 3, FALSE))),)</f>
        <v>3.7018805348730386E-4</v>
      </c>
      <c r="AM324" s="565">
        <f ca="1">IF(AM$301 &gt;='2.2 Input_General_Information'!$H$20, (AM$257*'2.3 Input_Main_Questionnaire'!$I$62*'2.3 Input_Main_Questionnaire'!$I$29 /(1 + VLOOKUP(AM$301, Growth!$B$20:$D$60, 3, FALSE))),)</f>
        <v>4.6613557027444844E-4</v>
      </c>
      <c r="AN324" s="565">
        <f ca="1">IF(AN$301 &gt;='2.2 Input_General_Information'!$H$20, (AN$257*'2.3 Input_Main_Questionnaire'!$I$62*'2.3 Input_Main_Questionnaire'!$I$29 /(1 + VLOOKUP(AN$301, Growth!$B$20:$D$60, 3, FALSE))),)</f>
        <v>6.0081978807294668E-4</v>
      </c>
      <c r="AO324" s="565">
        <f ca="1">IF(AO$301 &gt;='2.2 Input_General_Information'!$H$20, (AO$257*'2.3 Input_Main_Questionnaire'!$I$62*'2.3 Input_Main_Questionnaire'!$I$29 /(1 + VLOOKUP(AO$301, Growth!$B$20:$D$60, 3, FALSE))),)</f>
        <v>7.7677403332624458E-4</v>
      </c>
      <c r="AP324" s="565">
        <f ca="1">IF(AP$301 &gt;='2.2 Input_General_Information'!$H$20, (AP$257*'2.3 Input_Main_Questionnaire'!$I$62*'2.3 Input_Main_Questionnaire'!$I$29 /(1 + VLOOKUP(AP$301, Growth!$B$20:$D$60, 3, FALSE))),)</f>
        <v>9.8228056739059445E-4</v>
      </c>
      <c r="AQ324" s="565">
        <f ca="1">IF(AQ$301 &gt;='2.2 Input_General_Information'!$H$20, (AQ$257*'2.3 Input_Main_Questionnaire'!$I$62*'2.3 Input_Main_Questionnaire'!$I$29 /(1 + VLOOKUP(AQ$301, Growth!$B$20:$D$60, 3, FALSE))),)</f>
        <v>1.1826007598680962E-3</v>
      </c>
      <c r="AR324" s="565">
        <f ca="1">IF(AR$301 &gt;='2.2 Input_General_Information'!$H$20, (AR$257*'2.3 Input_Main_Questionnaire'!$I$62*'2.3 Input_Main_Questionnaire'!$I$29 /(1 + VLOOKUP(AR$301, Growth!$B$20:$D$60, 3, FALSE))),)</f>
        <v>1.3221713155029996E-3</v>
      </c>
      <c r="AS324" s="565">
        <f ca="1">IF(AS$301 &gt;='2.2 Input_General_Information'!$H$20, (AS$257*'2.3 Input_Main_Questionnaire'!$I$62*'2.3 Input_Main_Questionnaire'!$I$29 /(1 + VLOOKUP(AS$301, Growth!$B$20:$D$60, 3, FALSE))),)</f>
        <v>1.34834498341606E-3</v>
      </c>
      <c r="AT324" s="565">
        <f ca="1">IF(AT$301 &gt;='2.2 Input_General_Information'!$H$20, (AT$257*'2.3 Input_Main_Questionnaire'!$I$62*'2.3 Input_Main_Questionnaire'!$I$29 /(1 + VLOOKUP(AT$301, Growth!$B$20:$D$60, 3, FALSE))),)</f>
        <v>1.2459778437820951E-3</v>
      </c>
      <c r="AU324" s="565">
        <f ca="1">IF(AU$301 &gt;='2.2 Input_General_Information'!$H$20, (AU$257*'2.3 Input_Main_Questionnaire'!$I$62*'2.3 Input_Main_Questionnaire'!$I$29 /(1 + VLOOKUP(AU$301, Growth!$B$20:$D$60, 3, FALSE))),)</f>
        <v>1.0497630986367188E-3</v>
      </c>
      <c r="AV324" s="565">
        <f ca="1">IF(AV$301 &gt;='2.2 Input_General_Information'!$H$20, (AV$257*'2.3 Input_Main_Questionnaire'!$I$62*'2.3 Input_Main_Questionnaire'!$I$29 /(1 + VLOOKUP(AV$301, Growth!$B$20:$D$60, 3, FALSE))),)</f>
        <v>8.1981936415122789E-4</v>
      </c>
      <c r="AW324" s="565">
        <f ca="1">IF(AW$301 &gt;='2.2 Input_General_Information'!$H$20, (AW$257*'2.3 Input_Main_Questionnaire'!$I$62*'2.3 Input_Main_Questionnaire'!$I$29 /(1 + VLOOKUP(AW$301, Growth!$B$20:$D$60, 3, FALSE))),)</f>
        <v>6.0679672571277237E-4</v>
      </c>
      <c r="AX324" s="565">
        <f ca="1">IF(AX$301 &gt;='2.2 Input_General_Information'!$H$20, (AX$257*'2.3 Input_Main_Questionnaire'!$I$62*'2.3 Input_Main_Questionnaire'!$I$29 /(1 + VLOOKUP(AX$301, Growth!$B$20:$D$60, 3, FALSE))),)</f>
        <v>4.35835357631962E-4</v>
      </c>
      <c r="AY324" s="565">
        <f ca="1">IF(AY$301 &gt;='2.2 Input_General_Information'!$H$20, (AY$257*'2.3 Input_Main_Questionnaire'!$I$62*'2.3 Input_Main_Questionnaire'!$I$29 /(1 + VLOOKUP(AY$301, Growth!$B$20:$D$60, 3, FALSE))),)</f>
        <v>3.1064759627616337E-4</v>
      </c>
      <c r="AZ324" s="565">
        <f ca="1">IF(AZ$301 &gt;='2.2 Input_General_Information'!$H$20, (AZ$257*'2.3 Input_Main_Questionnaire'!$I$62*'2.3 Input_Main_Questionnaire'!$I$29 /(1 + VLOOKUP(AZ$301, Growth!$B$20:$D$60, 3, FALSE))),)</f>
        <v>2.2411301538546115E-4</v>
      </c>
      <c r="BA324" s="565">
        <f ca="1">IF(BA$301 &gt;='2.2 Input_General_Information'!$H$20, (BA$257*'2.3 Input_Main_Questionnaire'!$I$62*'2.3 Input_Main_Questionnaire'!$I$29 /(1 + VLOOKUP(BA$301, Growth!$B$20:$D$60, 3, FALSE))),)</f>
        <v>1.663087376012003E-4</v>
      </c>
      <c r="BB324" s="565">
        <f ca="1">IF(BB$301 &gt;='2.2 Input_General_Information'!$H$20, (BB$257*'2.3 Input_Main_Questionnaire'!$I$62*'2.3 Input_Main_Questionnaire'!$I$29 /(1 + VLOOKUP(BB$301, Growth!$B$20:$D$60, 3, FALSE))),)</f>
        <v>1.2836018157955193E-4</v>
      </c>
      <c r="BC324" s="565">
        <f ca="1">IF(BC$301 &gt;='2.2 Input_General_Information'!$H$20, (BC$257*'2.3 Input_Main_Questionnaire'!$I$62*'2.3 Input_Main_Questionnaire'!$I$29 /(1 + VLOOKUP(BC$301, Growth!$B$20:$D$60, 3, FALSE))),)</f>
        <v>1.0355276454864179E-4</v>
      </c>
      <c r="BD324" s="565">
        <f ca="1">IF(BD$301 &gt;='2.2 Input_General_Information'!$H$20, (BD$257*'2.3 Input_Main_Questionnaire'!$I$62*'2.3 Input_Main_Questionnaire'!$I$29 /(1 + VLOOKUP(BD$301, Growth!$B$20:$D$60, 3, FALSE))),)</f>
        <v>8.7220202853406973E-5</v>
      </c>
      <c r="BE324" s="565">
        <f ca="1">IF(BE$301 &gt;='2.2 Input_General_Information'!$H$20, (BE$257*'2.3 Input_Main_Questionnaire'!$I$62*'2.3 Input_Main_Questionnaire'!$I$29 /(1 + VLOOKUP(BE$301, Growth!$B$20:$D$60, 3, FALSE))),)</f>
        <v>7.6271444361502064E-5</v>
      </c>
      <c r="BF324" s="565">
        <f ca="1">IF(BF$301 &gt;='2.2 Input_General_Information'!$H$20, (BF$257*'2.3 Input_Main_Questionnaire'!$I$62*'2.3 Input_Main_Questionnaire'!$I$29 /(1 + VLOOKUP(BF$301, Growth!$B$20:$D$60, 3, FALSE))),)</f>
        <v>6.8716042848064111E-5</v>
      </c>
      <c r="BG324" s="565">
        <f ca="1">IF(BG$301 &gt;='2.2 Input_General_Information'!$H$20, (BG$257*'2.3 Input_Main_Questionnaire'!$I$62*'2.3 Input_Main_Questionnaire'!$I$29 /(1 + VLOOKUP(BG$301, Growth!$B$20:$D$60, 3, FALSE))),)</f>
        <v>6.3293979035094916E-5</v>
      </c>
      <c r="BH324" s="565">
        <f ca="1">IF(BH$301 &gt;='2.2 Input_General_Information'!$H$20, (BH$257*'2.3 Input_Main_Questionnaire'!$I$62*'2.3 Input_Main_Questionnaire'!$I$29 /(1 + VLOOKUP(BH$301, Growth!$B$20:$D$60, 3, FALSE))),)</f>
        <v>5.9215857796518517E-5</v>
      </c>
      <c r="BI324" s="565">
        <f ca="1">IF(BI$301 &gt;='2.2 Input_General_Information'!$H$20, (BI$257*'2.3 Input_Main_Questionnaire'!$I$62*'2.3 Input_Main_Questionnaire'!$I$29 /(1 + VLOOKUP(BI$301, Growth!$B$20:$D$60, 3, FALSE))),)</f>
        <v>5.599021300536161E-5</v>
      </c>
      <c r="BJ324" s="565">
        <f ca="1">IF(BJ$301 &gt;='2.2 Input_General_Information'!$H$20, (BJ$257*'2.3 Input_Main_Questionnaire'!$I$62*'2.3 Input_Main_Questionnaire'!$I$29 /(1 + VLOOKUP(BJ$301, Growth!$B$20:$D$60, 3, FALSE))),)</f>
        <v>5.331216933587311E-5</v>
      </c>
      <c r="BK324" s="565">
        <f ca="1">IF(BK$301 &gt;='2.2 Input_General_Information'!$H$20, (BK$257*'2.3 Input_Main_Questionnaire'!$I$62*'2.3 Input_Main_Questionnaire'!$I$29 /(1 + VLOOKUP(BK$301, Growth!$B$20:$D$60, 3, FALSE))),)</f>
        <v>5.0992940936719981E-5</v>
      </c>
      <c r="BL324" s="349"/>
      <c r="BM324" s="349"/>
      <c r="BN324" s="349"/>
      <c r="BO324" s="349"/>
      <c r="BP324" s="349"/>
      <c r="BQ324" s="349"/>
      <c r="BR324" s="349"/>
      <c r="BS324" s="349"/>
      <c r="BT324" s="349"/>
      <c r="BU324" s="349"/>
    </row>
    <row r="325" spans="1:73" hidden="1">
      <c r="A325" s="6"/>
      <c r="B325" s="108"/>
      <c r="C325" s="1"/>
      <c r="D325" s="37"/>
      <c r="E325" s="1"/>
      <c r="F325" s="1"/>
      <c r="G325" s="3"/>
      <c r="H325" s="3"/>
      <c r="I325" s="3"/>
      <c r="J325" s="3"/>
      <c r="K325" s="3"/>
      <c r="L325" s="3"/>
      <c r="M325" s="3"/>
      <c r="N325" s="3"/>
      <c r="O325" s="1"/>
      <c r="P325" s="1"/>
      <c r="Q325" s="1"/>
      <c r="R325" s="162"/>
      <c r="S325" s="1"/>
      <c r="T325" s="101"/>
      <c r="U325" s="101"/>
      <c r="V325" s="103" t="str">
        <f>$I$10</f>
        <v>Lecturer/Researcher (Academic)</v>
      </c>
      <c r="W325" s="565">
        <f ca="1">IF(W$301 &gt;='2.2 Input_General_Information'!$H$20, (W$257*'2.3 Input_Main_Questionnaire'!$I$62*'2.3 Input_Main_Questionnaire'!$J$29 /(1 + VLOOKUP(W$301, Growth!$B$20:$D$60, 3, FALSE))),)</f>
        <v>0</v>
      </c>
      <c r="X325" s="565">
        <f ca="1">IF(X$301 &gt;='2.2 Input_General_Information'!$H$20, (X$257*'2.3 Input_Main_Questionnaire'!$I$62*'2.3 Input_Main_Questionnaire'!$J$29 /(1 + VLOOKUP(X$301, Growth!$B$20:$D$60, 3, FALSE))),)</f>
        <v>1.6138048477225202E-4</v>
      </c>
      <c r="Y325" s="565">
        <f ca="1">IF(Y$301 &gt;='2.2 Input_General_Information'!$H$20, (Y$257*'2.3 Input_Main_Questionnaire'!$I$62*'2.3 Input_Main_Questionnaire'!$J$29 /(1 + VLOOKUP(Y$301, Growth!$B$20:$D$60, 3, FALSE))),)</f>
        <v>1.6188085980655068E-4</v>
      </c>
      <c r="Z325" s="565">
        <f ca="1">IF(Z$301 &gt;='2.2 Input_General_Information'!$H$20, (Z$257*'2.3 Input_Main_Questionnaire'!$I$62*'2.3 Input_Main_Questionnaire'!$J$29 /(1 + VLOOKUP(Z$301, Growth!$B$20:$D$60, 3, FALSE))),)</f>
        <v>1.6240123938983519E-4</v>
      </c>
      <c r="AA325" s="565">
        <f ca="1">IF(AA$301 &gt;='2.2 Input_General_Information'!$H$20, (AA$257*'2.3 Input_Main_Questionnaire'!$I$62*'2.3 Input_Main_Questionnaire'!$J$29 /(1 + VLOOKUP(AA$301, Growth!$B$20:$D$60, 3, FALSE))),)</f>
        <v>1.6299635604882044E-4</v>
      </c>
      <c r="AB325" s="565">
        <f ca="1">IF(AB$301 &gt;='2.2 Input_General_Information'!$H$20, (AB$257*'2.3 Input_Main_Questionnaire'!$I$62*'2.3 Input_Main_Questionnaire'!$J$29 /(1 + VLOOKUP(AB$301, Growth!$B$20:$D$60, 3, FALSE))),)</f>
        <v>1.6375385478004009E-4</v>
      </c>
      <c r="AC325" s="565">
        <f ca="1">IF(AC$301 &gt;='2.2 Input_General_Information'!$H$20, (AC$257*'2.3 Input_Main_Questionnaire'!$I$62*'2.3 Input_Main_Questionnaire'!$J$29 /(1 + VLOOKUP(AC$301, Growth!$B$20:$D$60, 3, FALSE))),)</f>
        <v>1.6481339768670511E-4</v>
      </c>
      <c r="AD325" s="565">
        <f ca="1">IF(AD$301 &gt;='2.2 Input_General_Information'!$H$20, (AD$257*'2.3 Input_Main_Questionnaire'!$I$62*'2.3 Input_Main_Questionnaire'!$J$29 /(1 + VLOOKUP(AD$301, Growth!$B$20:$D$60, 3, FALSE))),)</f>
        <v>1.6639669932276937E-4</v>
      </c>
      <c r="AE325" s="565">
        <f ca="1">IF(AE$301 &gt;='2.2 Input_General_Information'!$H$20, (AE$257*'2.3 Input_Main_Questionnaire'!$I$62*'2.3 Input_Main_Questionnaire'!$J$29 /(1 + VLOOKUP(AE$301, Growth!$B$20:$D$60, 3, FALSE))),)</f>
        <v>1.688544868839055E-4</v>
      </c>
      <c r="AF325" s="565">
        <f ca="1">IF(AF$301 &gt;='2.2 Input_General_Information'!$H$20, (AF$257*'2.3 Input_Main_Questionnaire'!$I$62*'2.3 Input_Main_Questionnaire'!$J$29 /(1 + VLOOKUP(AF$301, Growth!$B$20:$D$60, 3, FALSE))),)</f>
        <v>1.7273928116405706E-4</v>
      </c>
      <c r="AG325" s="565">
        <f ca="1">IF(AG$301 &gt;='2.2 Input_General_Information'!$H$20, (AG$257*'2.3 Input_Main_Questionnaire'!$I$62*'2.3 Input_Main_Questionnaire'!$J$29 /(1 + VLOOKUP(AG$301, Growth!$B$20:$D$60, 3, FALSE))),)</f>
        <v>1.7891660057333024E-4</v>
      </c>
      <c r="AH325" s="565">
        <f ca="1">IF(AH$301 &gt;='2.2 Input_General_Information'!$H$20, (AH$257*'2.3 Input_Main_Questionnaire'!$I$62*'2.3 Input_Main_Questionnaire'!$J$29 /(1 + VLOOKUP(AH$301, Growth!$B$20:$D$60, 3, FALSE))),)</f>
        <v>1.8873088528171332E-4</v>
      </c>
      <c r="AI325" s="565">
        <f ca="1">IF(AI$301 &gt;='2.2 Input_General_Information'!$H$20, (AI$257*'2.3 Input_Main_Questionnaire'!$I$62*'2.3 Input_Main_Questionnaire'!$J$29 /(1 + VLOOKUP(AI$301, Growth!$B$20:$D$60, 3, FALSE))),)</f>
        <v>2.0424307647518022E-4</v>
      </c>
      <c r="AJ325" s="565">
        <f ca="1">IF(AJ$301 &gt;='2.2 Input_General_Information'!$H$20, (AJ$257*'2.3 Input_Main_Questionnaire'!$I$62*'2.3 Input_Main_Questionnaire'!$J$29 /(1 + VLOOKUP(AJ$301, Growth!$B$20:$D$60, 3, FALSE))),)</f>
        <v>2.2854572817554008E-4</v>
      </c>
      <c r="AK325" s="565">
        <f ca="1">IF(AK$301 &gt;='2.2 Input_General_Information'!$H$20, (AK$257*'2.3 Input_Main_Questionnaire'!$I$62*'2.3 Input_Main_Questionnaire'!$J$29 /(1 + VLOOKUP(AK$301, Growth!$B$20:$D$60, 3, FALSE))),)</f>
        <v>2.6611775666578744E-4</v>
      </c>
      <c r="AL325" s="565">
        <f ca="1">IF(AL$301 &gt;='2.2 Input_General_Information'!$H$20, (AL$257*'2.3 Input_Main_Questionnaire'!$I$62*'2.3 Input_Main_Questionnaire'!$J$29 /(1 + VLOOKUP(AL$301, Growth!$B$20:$D$60, 3, FALSE))),)</f>
        <v>3.2306079206548846E-4</v>
      </c>
      <c r="AM325" s="565">
        <f ca="1">IF(AM$301 &gt;='2.2 Input_General_Information'!$H$20, (AM$257*'2.3 Input_Main_Questionnaire'!$I$62*'2.3 Input_Main_Questionnaire'!$J$29 /(1 + VLOOKUP(AM$301, Growth!$B$20:$D$60, 3, FALSE))),)</f>
        <v>4.0679358808083784E-4</v>
      </c>
      <c r="AN325" s="565">
        <f ca="1">IF(AN$301 &gt;='2.2 Input_General_Information'!$H$20, (AN$257*'2.3 Input_Main_Questionnaire'!$I$62*'2.3 Input_Main_Questionnaire'!$J$29 /(1 + VLOOKUP(AN$301, Growth!$B$20:$D$60, 3, FALSE))),)</f>
        <v>5.243316600710402E-4</v>
      </c>
      <c r="AO325" s="565">
        <f ca="1">IF(AO$301 &gt;='2.2 Input_General_Information'!$H$20, (AO$257*'2.3 Input_Main_Questionnaire'!$I$62*'2.3 Input_Main_Questionnaire'!$J$29 /(1 + VLOOKUP(AO$301, Growth!$B$20:$D$60, 3, FALSE))),)</f>
        <v>6.7788582613157497E-4</v>
      </c>
      <c r="AP325" s="565">
        <f ca="1">IF(AP$301 &gt;='2.2 Input_General_Information'!$H$20, (AP$257*'2.3 Input_Main_Questionnaire'!$I$62*'2.3 Input_Main_Questionnaire'!$J$29 /(1 + VLOOKUP(AP$301, Growth!$B$20:$D$60, 3, FALSE))),)</f>
        <v>8.572300892541535E-4</v>
      </c>
      <c r="AQ325" s="565">
        <f ca="1">IF(AQ$301 &gt;='2.2 Input_General_Information'!$H$20, (AQ$257*'2.3 Input_Main_Questionnaire'!$I$62*'2.3 Input_Main_Questionnaire'!$J$29 /(1 + VLOOKUP(AQ$301, Growth!$B$20:$D$60, 3, FALSE))),)</f>
        <v>1.0320482646081356E-3</v>
      </c>
      <c r="AR325" s="565">
        <f ca="1">IF(AR$301 &gt;='2.2 Input_General_Information'!$H$20, (AR$257*'2.3 Input_Main_Questionnaire'!$I$62*'2.3 Input_Main_Questionnaire'!$J$29 /(1 + VLOOKUP(AR$301, Growth!$B$20:$D$60, 3, FALSE))),)</f>
        <v>1.1538506129758648E-3</v>
      </c>
      <c r="AS325" s="565">
        <f ca="1">IF(AS$301 &gt;='2.2 Input_General_Information'!$H$20, (AS$257*'2.3 Input_Main_Questionnaire'!$I$62*'2.3 Input_Main_Questionnaire'!$J$29 /(1 + VLOOKUP(AS$301, Growth!$B$20:$D$60, 3, FALSE))),)</f>
        <v>1.1766922087745322E-3</v>
      </c>
      <c r="AT325" s="565">
        <f ca="1">IF(AT$301 &gt;='2.2 Input_General_Information'!$H$20, (AT$257*'2.3 Input_Main_Questionnaire'!$I$62*'2.3 Input_Main_Questionnaire'!$J$29 /(1 + VLOOKUP(AT$301, Growth!$B$20:$D$60, 3, FALSE))),)</f>
        <v>1.0873570481714594E-3</v>
      </c>
      <c r="AU325" s="565">
        <f ca="1">IF(AU$301 &gt;='2.2 Input_General_Information'!$H$20, (AU$257*'2.3 Input_Main_Questionnaire'!$I$62*'2.3 Input_Main_Questionnaire'!$J$29 /(1 + VLOOKUP(AU$301, Growth!$B$20:$D$60, 3, FALSE))),)</f>
        <v>9.1612167095049448E-4</v>
      </c>
      <c r="AV325" s="565">
        <f ca="1">IF(AV$301 &gt;='2.2 Input_General_Information'!$H$20, (AV$257*'2.3 Input_Main_Questionnaire'!$I$62*'2.3 Input_Main_Questionnaire'!$J$29 /(1 + VLOOKUP(AV$301, Growth!$B$20:$D$60, 3, FALSE))),)</f>
        <v>7.154512163164774E-4</v>
      </c>
      <c r="AW325" s="565">
        <f ca="1">IF(AW$301 &gt;='2.2 Input_General_Information'!$H$20, (AW$257*'2.3 Input_Main_Questionnaire'!$I$62*'2.3 Input_Main_Questionnaire'!$J$29 /(1 + VLOOKUP(AW$301, Growth!$B$20:$D$60, 3, FALSE))),)</f>
        <v>5.2954769605561137E-4</v>
      </c>
      <c r="AX325" s="565">
        <f ca="1">IF(AX$301 &gt;='2.2 Input_General_Information'!$H$20, (AX$257*'2.3 Input_Main_Questionnaire'!$I$62*'2.3 Input_Main_Questionnaire'!$J$29 /(1 + VLOOKUP(AX$301, Growth!$B$20:$D$60, 3, FALSE))),)</f>
        <v>3.8035078258287454E-4</v>
      </c>
      <c r="AY325" s="565">
        <f ca="1">IF(AY$301 &gt;='2.2 Input_General_Information'!$H$20, (AY$257*'2.3 Input_Main_Questionnaire'!$I$62*'2.3 Input_Main_Questionnaire'!$J$29 /(1 + VLOOKUP(AY$301, Growth!$B$20:$D$60, 3, FALSE))),)</f>
        <v>2.7110020855834922E-4</v>
      </c>
      <c r="AZ325" s="565">
        <f ca="1">IF(AZ$301 &gt;='2.2 Input_General_Information'!$H$20, (AZ$257*'2.3 Input_Main_Questionnaire'!$I$62*'2.3 Input_Main_Questionnaire'!$J$29 /(1 + VLOOKUP(AZ$301, Growth!$B$20:$D$60, 3, FALSE))),)</f>
        <v>1.9558202265188766E-4</v>
      </c>
      <c r="BA325" s="565">
        <f ca="1">IF(BA$301 &gt;='2.2 Input_General_Information'!$H$20, (BA$257*'2.3 Input_Main_Questionnaire'!$I$62*'2.3 Input_Main_Questionnaire'!$J$29 /(1 + VLOOKUP(BA$301, Growth!$B$20:$D$60, 3, FALSE))),)</f>
        <v>1.4513659203942389E-4</v>
      </c>
      <c r="BB325" s="565">
        <f ca="1">IF(BB$301 &gt;='2.2 Input_General_Information'!$H$20, (BB$257*'2.3 Input_Main_Questionnaire'!$I$62*'2.3 Input_Main_Questionnaire'!$J$29 /(1 + VLOOKUP(BB$301, Growth!$B$20:$D$60, 3, FALSE))),)</f>
        <v>1.1201912525300384E-4</v>
      </c>
      <c r="BC325" s="565">
        <f ca="1">IF(BC$301 &gt;='2.2 Input_General_Information'!$H$20, (BC$257*'2.3 Input_Main_Questionnaire'!$I$62*'2.3 Input_Main_Questionnaire'!$J$29 /(1 + VLOOKUP(BC$301, Growth!$B$20:$D$60, 3, FALSE))),)</f>
        <v>9.0369848028611758E-5</v>
      </c>
      <c r="BD325" s="565">
        <f ca="1">IF(BD$301 &gt;='2.2 Input_General_Information'!$H$20, (BD$257*'2.3 Input_Main_Questionnaire'!$I$62*'2.3 Input_Main_Questionnaire'!$J$29 /(1 + VLOOKUP(BD$301, Growth!$B$20:$D$60, 3, FALSE))),)</f>
        <v>7.6116523892364387E-5</v>
      </c>
      <c r="BE325" s="565">
        <f ca="1">IF(BE$301 &gt;='2.2 Input_General_Information'!$H$20, (BE$257*'2.3 Input_Main_Questionnaire'!$I$62*'2.3 Input_Main_Questionnaire'!$J$29 /(1 + VLOOKUP(BE$301, Growth!$B$20:$D$60, 3, FALSE))),)</f>
        <v>6.656161103872781E-5</v>
      </c>
      <c r="BF325" s="565">
        <f ca="1">IF(BF$301 &gt;='2.2 Input_General_Information'!$H$20, (BF$257*'2.3 Input_Main_Questionnaire'!$I$62*'2.3 Input_Main_Questionnaire'!$J$29 /(1 + VLOOKUP(BF$301, Growth!$B$20:$D$60, 3, FALSE))),)</f>
        <v>5.9968059533458173E-5</v>
      </c>
      <c r="BG325" s="565">
        <f ca="1">IF(BG$301 &gt;='2.2 Input_General_Information'!$H$20, (BG$257*'2.3 Input_Main_Questionnaire'!$I$62*'2.3 Input_Main_Questionnaire'!$J$29 /(1 + VLOOKUP(BG$301, Growth!$B$20:$D$60, 3, FALSE))),)</f>
        <v>5.523625845682638E-5</v>
      </c>
      <c r="BH325" s="565">
        <f ca="1">IF(BH$301 &gt;='2.2 Input_General_Information'!$H$20, (BH$257*'2.3 Input_Main_Questionnaire'!$I$62*'2.3 Input_Main_Questionnaire'!$J$29 /(1 + VLOOKUP(BH$301, Growth!$B$20:$D$60, 3, FALSE))),)</f>
        <v>5.1677307634231105E-5</v>
      </c>
      <c r="BI325" s="565">
        <f ca="1">IF(BI$301 &gt;='2.2 Input_General_Information'!$H$20, (BI$257*'2.3 Input_Main_Questionnaire'!$I$62*'2.3 Input_Main_Questionnaire'!$J$29 /(1 + VLOOKUP(BI$301, Growth!$B$20:$D$60, 3, FALSE))),)</f>
        <v>4.88623076596606E-5</v>
      </c>
      <c r="BJ325" s="565">
        <f ca="1">IF(BJ$301 &gt;='2.2 Input_General_Information'!$H$20, (BJ$257*'2.3 Input_Main_Questionnaire'!$I$62*'2.3 Input_Main_Questionnaire'!$J$29 /(1 + VLOOKUP(BJ$301, Growth!$B$20:$D$60, 3, FALSE))),)</f>
        <v>4.6525195748833917E-5</v>
      </c>
      <c r="BK325" s="565">
        <f ca="1">IF(BK$301 &gt;='2.2 Input_General_Information'!$H$20, (BK$257*'2.3 Input_Main_Questionnaire'!$I$62*'2.3 Input_Main_Questionnaire'!$J$29 /(1 + VLOOKUP(BK$301, Growth!$B$20:$D$60, 3, FALSE))),)</f>
        <v>4.450121967355822E-5</v>
      </c>
      <c r="BL325" s="349"/>
      <c r="BM325" s="349"/>
      <c r="BN325" s="349"/>
      <c r="BO325" s="349"/>
      <c r="BP325" s="349"/>
      <c r="BQ325" s="349"/>
      <c r="BR325" s="349"/>
      <c r="BS325" s="349"/>
      <c r="BT325" s="349"/>
      <c r="BU325" s="349"/>
    </row>
    <row r="326" spans="1:73" hidden="1">
      <c r="A326" s="6"/>
      <c r="B326" s="108"/>
      <c r="C326" s="1"/>
      <c r="D326" s="37"/>
      <c r="E326" s="1"/>
      <c r="F326" s="1"/>
      <c r="G326" s="3"/>
      <c r="H326" s="3"/>
      <c r="I326" s="3"/>
      <c r="J326" s="3"/>
      <c r="K326" s="3"/>
      <c r="L326" s="3"/>
      <c r="M326" s="3"/>
      <c r="N326" s="3"/>
      <c r="O326" s="1"/>
      <c r="P326" s="1"/>
      <c r="Q326" s="1"/>
      <c r="R326" s="162"/>
      <c r="S326" s="1"/>
      <c r="T326" s="101"/>
      <c r="U326" s="101"/>
      <c r="V326" s="103" t="str">
        <f>$J$10</f>
        <v>Other</v>
      </c>
      <c r="W326" s="565">
        <f ca="1">IF(W$301 &gt;='2.2 Input_General_Information'!$H$20, (W$257*'2.3 Input_Main_Questionnaire'!$I$62*'2.3 Input_Main_Questionnaire'!$K$29 /(1 + VLOOKUP(W$301, Growth!$B$20:$D$60, 3, FALSE))),)</f>
        <v>0</v>
      </c>
      <c r="X326" s="565">
        <f ca="1">IF(X$301 &gt;='2.2 Input_General_Information'!$H$20, (X$257*'2.3 Input_Main_Questionnaire'!$I$62*'2.3 Input_Main_Questionnaire'!$K$29 /(1 + VLOOKUP(X$301, Growth!$B$20:$D$60, 3, FALSE))),)</f>
        <v>2.2188395052196176E-4</v>
      </c>
      <c r="Y326" s="565">
        <f ca="1">IF(Y$301 &gt;='2.2 Input_General_Information'!$H$20, (Y$257*'2.3 Input_Main_Questionnaire'!$I$62*'2.3 Input_Main_Questionnaire'!$K$29 /(1 + VLOOKUP(Y$301, Growth!$B$20:$D$60, 3, FALSE))),)</f>
        <v>2.2257192211598334E-4</v>
      </c>
      <c r="Z326" s="565">
        <f ca="1">IF(Z$301 &gt;='2.2 Input_General_Information'!$H$20, (Z$257*'2.3 Input_Main_Questionnaire'!$I$62*'2.3 Input_Main_Questionnaire'!$K$29 /(1 + VLOOKUP(Z$301, Growth!$B$20:$D$60, 3, FALSE))),)</f>
        <v>2.2328739820265574E-4</v>
      </c>
      <c r="AA326" s="565">
        <f ca="1">IF(AA$301 &gt;='2.2 Input_General_Information'!$H$20, (AA$257*'2.3 Input_Main_Questionnaire'!$I$62*'2.3 Input_Main_Questionnaire'!$K$29 /(1 + VLOOKUP(AA$301, Growth!$B$20:$D$60, 3, FALSE))),)</f>
        <v>2.2410563118481229E-4</v>
      </c>
      <c r="AB326" s="565">
        <f ca="1">IF(AB$301 &gt;='2.2 Input_General_Information'!$H$20, (AB$257*'2.3 Input_Main_Questionnaire'!$I$62*'2.3 Input_Main_Questionnaire'!$K$29 /(1 + VLOOKUP(AB$301, Growth!$B$20:$D$60, 3, FALSE))),)</f>
        <v>2.2514712521202131E-4</v>
      </c>
      <c r="AC326" s="565">
        <f ca="1">IF(AC$301 &gt;='2.2 Input_General_Information'!$H$20, (AC$257*'2.3 Input_Main_Questionnaire'!$I$62*'2.3 Input_Main_Questionnaire'!$K$29 /(1 + VLOOKUP(AC$301, Growth!$B$20:$D$60, 3, FALSE))),)</f>
        <v>2.2660390337333447E-4</v>
      </c>
      <c r="AD326" s="565">
        <f ca="1">IF(AD$301 &gt;='2.2 Input_General_Information'!$H$20, (AD$257*'2.3 Input_Main_Questionnaire'!$I$62*'2.3 Input_Main_Questionnaire'!$K$29 /(1 + VLOOKUP(AD$301, Growth!$B$20:$D$60, 3, FALSE))),)</f>
        <v>2.2878080364955816E-4</v>
      </c>
      <c r="AE326" s="565">
        <f ca="1">IF(AE$301 &gt;='2.2 Input_General_Information'!$H$20, (AE$257*'2.3 Input_Main_Questionnaire'!$I$62*'2.3 Input_Main_Questionnaire'!$K$29 /(1 + VLOOKUP(AE$301, Growth!$B$20:$D$60, 3, FALSE))),)</f>
        <v>2.3216004503911176E-4</v>
      </c>
      <c r="AF326" s="565">
        <f ca="1">IF(AF$301 &gt;='2.2 Input_General_Information'!$H$20, (AF$257*'2.3 Input_Main_Questionnaire'!$I$62*'2.3 Input_Main_Questionnaire'!$K$29 /(1 + VLOOKUP(AF$301, Growth!$B$20:$D$60, 3, FALSE))),)</f>
        <v>2.3750129496199807E-4</v>
      </c>
      <c r="AG326" s="565">
        <f ca="1">IF(AG$301 &gt;='2.2 Input_General_Information'!$H$20, (AG$257*'2.3 Input_Main_Questionnaire'!$I$62*'2.3 Input_Main_Questionnaire'!$K$29 /(1 + VLOOKUP(AG$301, Growth!$B$20:$D$60, 3, FALSE))),)</f>
        <v>2.4599456498841952E-4</v>
      </c>
      <c r="AH326" s="565">
        <f ca="1">IF(AH$301 &gt;='2.2 Input_General_Information'!$H$20, (AH$257*'2.3 Input_Main_Questionnaire'!$I$62*'2.3 Input_Main_Questionnaire'!$K$29 /(1 + VLOOKUP(AH$301, Growth!$B$20:$D$60, 3, FALSE))),)</f>
        <v>2.5948834192010057E-4</v>
      </c>
      <c r="AI326" s="565">
        <f ca="1">IF(AI$301 &gt;='2.2 Input_General_Information'!$H$20, (AI$257*'2.3 Input_Main_Questionnaire'!$I$62*'2.3 Input_Main_Questionnaire'!$K$29 /(1 + VLOOKUP(AI$301, Growth!$B$20:$D$60, 3, FALSE))),)</f>
        <v>2.8081623833902509E-4</v>
      </c>
      <c r="AJ326" s="565">
        <f ca="1">IF(AJ$301 &gt;='2.2 Input_General_Information'!$H$20, (AJ$257*'2.3 Input_Main_Questionnaire'!$I$62*'2.3 Input_Main_Questionnaire'!$K$29 /(1 + VLOOKUP(AJ$301, Growth!$B$20:$D$60, 3, FALSE))),)</f>
        <v>3.1423024360146488E-4</v>
      </c>
      <c r="AK326" s="565">
        <f ca="1">IF(AK$301 &gt;='2.2 Input_General_Information'!$H$20, (AK$257*'2.3 Input_Main_Questionnaire'!$I$62*'2.3 Input_Main_Questionnaire'!$K$29 /(1 + VLOOKUP(AK$301, Growth!$B$20:$D$60, 3, FALSE))),)</f>
        <v>3.6588847304788675E-4</v>
      </c>
      <c r="AL326" s="565">
        <f ca="1">IF(AL$301 &gt;='2.2 Input_General_Information'!$H$20, (AL$257*'2.3 Input_Main_Questionnaire'!$I$62*'2.3 Input_Main_Questionnaire'!$K$29 /(1 + VLOOKUP(AL$301, Growth!$B$20:$D$60, 3, FALSE))),)</f>
        <v>4.441801305988499E-4</v>
      </c>
      <c r="AM326" s="565">
        <f ca="1">IF(AM$301 &gt;='2.2 Input_General_Information'!$H$20, (AM$257*'2.3 Input_Main_Questionnaire'!$I$62*'2.3 Input_Main_Questionnaire'!$K$29 /(1 + VLOOKUP(AM$301, Growth!$B$20:$D$60, 3, FALSE))),)</f>
        <v>5.5930534908084188E-4</v>
      </c>
      <c r="AN326" s="565">
        <f ca="1">IF(AN$301 &gt;='2.2 Input_General_Information'!$H$20, (AN$257*'2.3 Input_Main_Questionnaire'!$I$62*'2.3 Input_Main_Questionnaire'!$K$29 /(1 + VLOOKUP(AN$301, Growth!$B$20:$D$60, 3, FALSE))),)</f>
        <v>7.2090984411458741E-4</v>
      </c>
      <c r="AO326" s="565">
        <f ca="1">IF(AO$301 &gt;='2.2 Input_General_Information'!$H$20, (AO$257*'2.3 Input_Main_Questionnaire'!$I$62*'2.3 Input_Main_Questionnaire'!$K$29 /(1 + VLOOKUP(AO$301, Growth!$B$20:$D$60, 3, FALSE))),)</f>
        <v>9.3203329582995263E-4</v>
      </c>
      <c r="AP326" s="565">
        <f ca="1">IF(AP$301 &gt;='2.2 Input_General_Information'!$H$20, (AP$257*'2.3 Input_Main_Questionnaire'!$I$62*'2.3 Input_Main_Questionnaire'!$K$29 /(1 + VLOOKUP(AP$301, Growth!$B$20:$D$60, 3, FALSE))),)</f>
        <v>1.1786158591507072E-3</v>
      </c>
      <c r="AQ326" s="565">
        <f ca="1">IF(AQ$301 &gt;='2.2 Input_General_Information'!$H$20, (AQ$257*'2.3 Input_Main_Questionnaire'!$I$62*'2.3 Input_Main_Questionnaire'!$K$29 /(1 + VLOOKUP(AQ$301, Growth!$B$20:$D$60, 3, FALSE))),)</f>
        <v>1.4189754504936383E-3</v>
      </c>
      <c r="AR326" s="565">
        <f ca="1">IF(AR$301 &gt;='2.2 Input_General_Information'!$H$20, (AR$257*'2.3 Input_Main_Questionnaire'!$I$62*'2.3 Input_Main_Questionnaire'!$K$29 /(1 + VLOOKUP(AR$301, Growth!$B$20:$D$60, 3, FALSE))),)</f>
        <v>1.5864429499055058E-3</v>
      </c>
      <c r="AS326" s="565">
        <f ca="1">IF(AS$301 &gt;='2.2 Input_General_Information'!$H$20, (AS$257*'2.3 Input_Main_Questionnaire'!$I$62*'2.3 Input_Main_Questionnaire'!$K$29 /(1 + VLOOKUP(AS$301, Growth!$B$20:$D$60, 3, FALSE))),)</f>
        <v>1.6178481320078307E-3</v>
      </c>
      <c r="AT326" s="565">
        <f ca="1">IF(AT$301 &gt;='2.2 Input_General_Information'!$H$20, (AT$257*'2.3 Input_Main_Questionnaire'!$I$62*'2.3 Input_Main_Questionnaire'!$K$29 /(1 + VLOOKUP(AT$301, Growth!$B$20:$D$60, 3, FALSE))),)</f>
        <v>1.4950201557311612E-3</v>
      </c>
      <c r="AU326" s="565">
        <f ca="1">IF(AU$301 &gt;='2.2 Input_General_Information'!$H$20, (AU$257*'2.3 Input_Main_Questionnaire'!$I$62*'2.3 Input_Main_Questionnaire'!$K$29 /(1 + VLOOKUP(AU$301, Growth!$B$20:$D$60, 3, FALSE))),)</f>
        <v>1.2595865962117087E-3</v>
      </c>
      <c r="AV326" s="565">
        <f ca="1">IF(AV$301 &gt;='2.2 Input_General_Information'!$H$20, (AV$257*'2.3 Input_Main_Questionnaire'!$I$62*'2.3 Input_Main_Questionnaire'!$K$29 /(1 + VLOOKUP(AV$301, Growth!$B$20:$D$60, 3, FALSE))),)</f>
        <v>9.8368239819129487E-4</v>
      </c>
      <c r="AW326" s="565">
        <f ca="1">IF(AW$301 &gt;='2.2 Input_General_Information'!$H$20, (AW$257*'2.3 Input_Main_Questionnaire'!$I$62*'2.3 Input_Main_Questionnaire'!$K$29 /(1 + VLOOKUP(AW$301, Growth!$B$20:$D$60, 3, FALSE))),)</f>
        <v>7.2808143411169678E-4</v>
      </c>
      <c r="AX326" s="565">
        <f ca="1">IF(AX$301 &gt;='2.2 Input_General_Information'!$H$20, (AX$257*'2.3 Input_Main_Questionnaire'!$I$62*'2.3 Input_Main_Questionnaire'!$K$29 /(1 + VLOOKUP(AX$301, Growth!$B$20:$D$60, 3, FALSE))),)</f>
        <v>5.2294882087328273E-4</v>
      </c>
      <c r="AY326" s="565">
        <f ca="1">IF(AY$301 &gt;='2.2 Input_General_Information'!$H$20, (AY$257*'2.3 Input_Main_Questionnaire'!$I$62*'2.3 Input_Main_Questionnaire'!$K$29 /(1 + VLOOKUP(AY$301, Growth!$B$20:$D$60, 3, FALSE))),)</f>
        <v>3.7273890549495371E-4</v>
      </c>
      <c r="AZ326" s="565">
        <f ca="1">IF(AZ$301 &gt;='2.2 Input_General_Information'!$H$20, (AZ$257*'2.3 Input_Main_Questionnaire'!$I$62*'2.3 Input_Main_Questionnaire'!$K$29 /(1 + VLOOKUP(AZ$301, Growth!$B$20:$D$60, 3, FALSE))),)</f>
        <v>2.689080522859992E-4</v>
      </c>
      <c r="BA326" s="565">
        <f ca="1">IF(BA$301 &gt;='2.2 Input_General_Information'!$H$20, (BA$257*'2.3 Input_Main_Questionnaire'!$I$62*'2.3 Input_Main_Questionnaire'!$K$29 /(1 + VLOOKUP(BA$301, Growth!$B$20:$D$60, 3, FALSE))),)</f>
        <v>1.9955002894215363E-4</v>
      </c>
      <c r="BB326" s="565">
        <f ca="1">IF(BB$301 &gt;='2.2 Input_General_Information'!$H$20, (BB$257*'2.3 Input_Main_Questionnaire'!$I$62*'2.3 Input_Main_Questionnaire'!$K$29 /(1 + VLOOKUP(BB$301, Growth!$B$20:$D$60, 3, FALSE))),)</f>
        <v>1.5401642943524345E-4</v>
      </c>
      <c r="BC326" s="565">
        <f ca="1">IF(BC$301 &gt;='2.2 Input_General_Information'!$H$20, (BC$257*'2.3 Input_Main_Questionnaire'!$I$62*'2.3 Input_Main_Questionnaire'!$K$29 /(1 + VLOOKUP(BC$301, Growth!$B$20:$D$60, 3, FALSE))),)</f>
        <v>1.2425058034095949E-4</v>
      </c>
      <c r="BD326" s="565">
        <f ca="1">IF(BD$301 &gt;='2.2 Input_General_Information'!$H$20, (BD$257*'2.3 Input_Main_Questionnaire'!$I$62*'2.3 Input_Main_Questionnaire'!$K$29 /(1 + VLOOKUP(BD$301, Growth!$B$20:$D$60, 3, FALSE))),)</f>
        <v>1.0465351523185546E-4</v>
      </c>
      <c r="BE326" s="565">
        <f ca="1">IF(BE$301 &gt;='2.2 Input_General_Information'!$H$20, (BE$257*'2.3 Input_Main_Questionnaire'!$I$62*'2.3 Input_Main_Questionnaire'!$K$29 /(1 + VLOOKUP(BE$301, Growth!$B$20:$D$60, 3, FALSE))),)</f>
        <v>9.1516351752331184E-5</v>
      </c>
      <c r="BF326" s="565">
        <f ca="1">IF(BF$301 &gt;='2.2 Input_General_Information'!$H$20, (BF$257*'2.3 Input_Main_Questionnaire'!$I$62*'2.3 Input_Main_Questionnaire'!$K$29 /(1 + VLOOKUP(BF$301, Growth!$B$20:$D$60, 3, FALSE))),)</f>
        <v>8.2450799259885054E-5</v>
      </c>
      <c r="BG326" s="565">
        <f ca="1">IF(BG$301 &gt;='2.2 Input_General_Information'!$H$20, (BG$257*'2.3 Input_Main_Questionnaire'!$I$62*'2.3 Input_Main_Questionnaire'!$K$29 /(1 + VLOOKUP(BG$301, Growth!$B$20:$D$60, 3, FALSE))),)</f>
        <v>7.5944989604840202E-5</v>
      </c>
      <c r="BH326" s="565">
        <f ca="1">IF(BH$301 &gt;='2.2 Input_General_Information'!$H$20, (BH$257*'2.3 Input_Main_Questionnaire'!$I$62*'2.3 Input_Main_Questionnaire'!$K$29 /(1 + VLOOKUP(BH$301, Growth!$B$20:$D$60, 3, FALSE))),)</f>
        <v>7.1051745732477026E-5</v>
      </c>
      <c r="BI326" s="565">
        <f ca="1">IF(BI$301 &gt;='2.2 Input_General_Information'!$H$20, (BI$257*'2.3 Input_Main_Questionnaire'!$I$62*'2.3 Input_Main_Questionnaire'!$K$29 /(1 + VLOOKUP(BI$301, Growth!$B$20:$D$60, 3, FALSE))),)</f>
        <v>6.7181368741365627E-5</v>
      </c>
      <c r="BJ326" s="565">
        <f ca="1">IF(BJ$301 &gt;='2.2 Input_General_Information'!$H$20, (BJ$257*'2.3 Input_Main_Questionnaire'!$I$62*'2.3 Input_Main_Questionnaire'!$K$29 /(1 + VLOOKUP(BJ$301, Growth!$B$20:$D$60, 3, FALSE))),)</f>
        <v>6.3968045740644787E-5</v>
      </c>
      <c r="BK326" s="565">
        <f ca="1">IF(BK$301 &gt;='2.2 Input_General_Information'!$H$20, (BK$257*'2.3 Input_Main_Questionnaire'!$I$62*'2.3 Input_Main_Questionnaire'!$K$29 /(1 + VLOOKUP(BK$301, Growth!$B$20:$D$60, 3, FALSE))),)</f>
        <v>6.1185256929606813E-5</v>
      </c>
      <c r="BL326" s="349"/>
      <c r="BM326" s="349"/>
      <c r="BN326" s="349"/>
      <c r="BO326" s="349"/>
      <c r="BP326" s="349"/>
      <c r="BQ326" s="349"/>
      <c r="BR326" s="349"/>
      <c r="BS326" s="349"/>
      <c r="BT326" s="349"/>
      <c r="BU326" s="349"/>
    </row>
    <row r="327" spans="1:73" hidden="1">
      <c r="A327" s="6"/>
      <c r="B327" s="108"/>
      <c r="C327" s="1"/>
      <c r="D327" s="37"/>
      <c r="E327" s="1"/>
      <c r="F327" s="1"/>
      <c r="G327" s="3"/>
      <c r="H327" s="3"/>
      <c r="I327" s="3"/>
      <c r="J327" s="3"/>
      <c r="K327" s="3"/>
      <c r="L327" s="3"/>
      <c r="M327" s="3"/>
      <c r="N327" s="3"/>
      <c r="O327" s="1"/>
      <c r="P327" s="1"/>
      <c r="Q327" s="1"/>
      <c r="R327" s="162"/>
      <c r="S327" s="1"/>
      <c r="T327" s="101"/>
      <c r="U327" s="101"/>
      <c r="V327" s="103" t="str">
        <f>$K$10</f>
        <v>Profile 5</v>
      </c>
      <c r="W327" s="565">
        <f ca="1">IF(W$301 &gt;='2.2 Input_General_Information'!$H$20, (W$257*'2.3 Input_Main_Questionnaire'!$I$62*'2.3 Input_Main_Questionnaire'!$L$29 /(1 + VLOOKUP(W$301, Growth!$B$20:$D$60, 3, FALSE))),)</f>
        <v>0</v>
      </c>
      <c r="X327" s="565">
        <f ca="1">IF(X$301 &gt;='2.2 Input_General_Information'!$H$20, (X$257*'2.3 Input_Main_Questionnaire'!$I$62*'2.3 Input_Main_Questionnaire'!$L$29 /(1 + VLOOKUP(X$301, Growth!$B$20:$D$60, 3, FALSE))),)</f>
        <v>1.9106357605171487E-4</v>
      </c>
      <c r="Y327" s="565">
        <f ca="1">IF(Y$301 &gt;='2.2 Input_General_Information'!$H$20, (Y$257*'2.3 Input_Main_Questionnaire'!$I$62*'2.3 Input_Main_Questionnaire'!$L$29 /(1 + VLOOKUP(Y$301, Growth!$B$20:$D$60, 3, FALSE))),)</f>
        <v>1.9165598624031367E-4</v>
      </c>
      <c r="Z327" s="565">
        <f ca="1">IF(Z$301 &gt;='2.2 Input_General_Information'!$H$20, (Z$257*'2.3 Input_Main_Questionnaire'!$I$62*'2.3 Input_Main_Questionnaire'!$L$29 /(1 + VLOOKUP(Z$301, Growth!$B$20:$D$60, 3, FALSE))),)</f>
        <v>1.9227208046153851E-4</v>
      </c>
      <c r="AA327" s="565">
        <f ca="1">IF(AA$301 &gt;='2.2 Input_General_Information'!$H$20, (AA$257*'2.3 Input_Main_Questionnaire'!$I$62*'2.3 Input_Main_Questionnaire'!$L$29 /(1 + VLOOKUP(AA$301, Growth!$B$20:$D$60, 3, FALSE))),)</f>
        <v>1.9297665832418483E-4</v>
      </c>
      <c r="AB327" s="565">
        <f ca="1">IF(AB$301 &gt;='2.2 Input_General_Information'!$H$20, (AB$257*'2.3 Input_Main_Questionnaire'!$I$62*'2.3 Input_Main_Questionnaire'!$L$29 /(1 + VLOOKUP(AB$301, Growth!$B$20:$D$60, 3, FALSE))),)</f>
        <v>1.9387348557467748E-4</v>
      </c>
      <c r="AC327" s="565">
        <f ca="1">IF(AC$301 &gt;='2.2 Input_General_Information'!$H$20, (AC$257*'2.3 Input_Main_Questionnaire'!$I$62*'2.3 Input_Main_Questionnaire'!$L$29 /(1 + VLOOKUP(AC$301, Growth!$B$20:$D$60, 3, FALSE))),)</f>
        <v>1.9512791269461912E-4</v>
      </c>
      <c r="AD327" s="565">
        <f ca="1">IF(AD$301 &gt;='2.2 Input_General_Information'!$H$20, (AD$257*'2.3 Input_Main_Questionnaire'!$I$62*'2.3 Input_Main_Questionnaire'!$L$29 /(1 + VLOOKUP(AD$301, Growth!$B$20:$D$60, 3, FALSE))),)</f>
        <v>1.9700243471617513E-4</v>
      </c>
      <c r="AE327" s="565">
        <f ca="1">IF(AE$301 &gt;='2.2 Input_General_Information'!$H$20, (AE$257*'2.3 Input_Main_Questionnaire'!$I$62*'2.3 Input_Main_Questionnaire'!$L$29 /(1 + VLOOKUP(AE$301, Growth!$B$20:$D$60, 3, FALSE))),)</f>
        <v>1.9991228891117773E-4</v>
      </c>
      <c r="AF327" s="565">
        <f ca="1">IF(AF$301 &gt;='2.2 Input_General_Information'!$H$20, (AF$257*'2.3 Input_Main_Questionnaire'!$I$62*'2.3 Input_Main_Questionnaire'!$L$29 /(1 + VLOOKUP(AF$301, Growth!$B$20:$D$60, 3, FALSE))),)</f>
        <v>2.0451162251981382E-4</v>
      </c>
      <c r="AG327" s="565">
        <f ca="1">IF(AG$301 &gt;='2.2 Input_General_Information'!$H$20, (AG$257*'2.3 Input_Main_Questionnaire'!$I$62*'2.3 Input_Main_Questionnaire'!$L$29 /(1 + VLOOKUP(AG$301, Growth!$B$20:$D$60, 3, FALSE))),)</f>
        <v>2.1182515078449246E-4</v>
      </c>
      <c r="AH327" s="565">
        <f ca="1">IF(AH$301 &gt;='2.2 Input_General_Information'!$H$20, (AH$257*'2.3 Input_Main_Questionnaire'!$I$62*'2.3 Input_Main_Questionnaire'!$L$29 /(1 + VLOOKUP(AH$301, Growth!$B$20:$D$60, 3, FALSE))),)</f>
        <v>2.2344459991069653E-4</v>
      </c>
      <c r="AI327" s="565">
        <f ca="1">IF(AI$301 &gt;='2.2 Input_General_Information'!$H$20, (AI$257*'2.3 Input_Main_Questionnaire'!$I$62*'2.3 Input_Main_Questionnaire'!$L$29 /(1 + VLOOKUP(AI$301, Growth!$B$20:$D$60, 3, FALSE))),)</f>
        <v>2.418099848331943E-4</v>
      </c>
      <c r="AJ327" s="565">
        <f ca="1">IF(AJ$301 &gt;='2.2 Input_General_Information'!$H$20, (AJ$257*'2.3 Input_Main_Questionnaire'!$I$62*'2.3 Input_Main_Questionnaire'!$L$29 /(1 + VLOOKUP(AJ$301, Growth!$B$20:$D$60, 3, FALSE))),)</f>
        <v>2.7058268029239415E-4</v>
      </c>
      <c r="AK327" s="565">
        <f ca="1">IF(AK$301 &gt;='2.2 Input_General_Information'!$H$20, (AK$257*'2.3 Input_Main_Questionnaire'!$I$62*'2.3 Input_Main_Questionnaire'!$L$29 /(1 + VLOOKUP(AK$301, Growth!$B$20:$D$60, 3, FALSE))),)</f>
        <v>3.1506542015399775E-4</v>
      </c>
      <c r="AL327" s="565">
        <f ca="1">IF(AL$301 &gt;='2.2 Input_General_Information'!$H$20, (AL$257*'2.3 Input_Main_Questionnaire'!$I$62*'2.3 Input_Main_Questionnaire'!$L$29 /(1 + VLOOKUP(AL$301, Growth!$B$20:$D$60, 3, FALSE))),)</f>
        <v>3.8248212168429921E-4</v>
      </c>
      <c r="AM327" s="565">
        <f ca="1">IF(AM$301 &gt;='2.2 Input_General_Information'!$H$20, (AM$257*'2.3 Input_Main_Questionnaire'!$I$62*'2.3 Input_Main_Questionnaire'!$L$29 /(1 + VLOOKUP(AM$301, Growth!$B$20:$D$60, 3, FALSE))),)</f>
        <v>4.8161608736843375E-4</v>
      </c>
      <c r="AN327" s="565">
        <f ca="1">IF(AN$301 &gt;='2.2 Input_General_Information'!$H$20, (AN$257*'2.3 Input_Main_Questionnaire'!$I$62*'2.3 Input_Main_Questionnaire'!$L$29 /(1 + VLOOKUP(AN$301, Growth!$B$20:$D$60, 3, FALSE))),)</f>
        <v>6.2077321276909621E-4</v>
      </c>
      <c r="AO327" s="565">
        <f ca="1">IF(AO$301 &gt;='2.2 Input_General_Information'!$H$20, (AO$257*'2.3 Input_Main_Questionnaire'!$I$62*'2.3 Input_Main_Questionnaire'!$L$29 /(1 + VLOOKUP(AO$301, Growth!$B$20:$D$60, 3, FALSE))),)</f>
        <v>8.0257095694224513E-4</v>
      </c>
      <c r="AP327" s="565">
        <f ca="1">IF(AP$301 &gt;='2.2 Input_General_Information'!$H$20, (AP$257*'2.3 Input_Main_Questionnaire'!$I$62*'2.3 Input_Main_Questionnaire'!$L$29 /(1 + VLOOKUP(AP$301, Growth!$B$20:$D$60, 3, FALSE))),)</f>
        <v>1.0149024312522746E-3</v>
      </c>
      <c r="AQ327" s="565">
        <f ca="1">IF(AQ$301 &gt;='2.2 Input_General_Information'!$H$20, (AQ$257*'2.3 Input_Main_Questionnaire'!$I$62*'2.3 Input_Main_Questionnaire'!$L$29 /(1 + VLOOKUP(AQ$301, Growth!$B$20:$D$60, 3, FALSE))),)</f>
        <v>1.2218753238489556E-3</v>
      </c>
      <c r="AR327" s="565">
        <f ca="1">IF(AR$301 &gt;='2.2 Input_General_Information'!$H$20, (AR$257*'2.3 Input_Main_Questionnaire'!$I$62*'2.3 Input_Main_Questionnaire'!$L$29 /(1 + VLOOKUP(AR$301, Growth!$B$20:$D$60, 3, FALSE))),)</f>
        <v>1.366081063988339E-3</v>
      </c>
      <c r="AS327" s="565">
        <f ca="1">IF(AS$301 &gt;='2.2 Input_General_Information'!$H$20, (AS$257*'2.3 Input_Main_Questionnaire'!$I$62*'2.3 Input_Main_Questionnaire'!$L$29 /(1 + VLOOKUP(AS$301, Growth!$B$20:$D$60, 3, FALSE))),)</f>
        <v>1.3931239681051542E-3</v>
      </c>
      <c r="AT327" s="565">
        <f ca="1">IF(AT$301 &gt;='2.2 Input_General_Information'!$H$20, (AT$257*'2.3 Input_Main_Questionnaire'!$I$62*'2.3 Input_Main_Questionnaire'!$L$29 /(1 + VLOOKUP(AT$301, Growth!$B$20:$D$60, 3, FALSE))),)</f>
        <v>1.2873571817674783E-3</v>
      </c>
      <c r="AU327" s="565">
        <f ca="1">IF(AU$301 &gt;='2.2 Input_General_Information'!$H$20, (AU$257*'2.3 Input_Main_Questionnaire'!$I$62*'2.3 Input_Main_Questionnaire'!$L$29 /(1 + VLOOKUP(AU$301, Growth!$B$20:$D$60, 3, FALSE))),)</f>
        <v>1.0846260797722556E-3</v>
      </c>
      <c r="AV327" s="565">
        <f ca="1">IF(AV$301 &gt;='2.2 Input_General_Information'!$H$20, (AV$257*'2.3 Input_Main_Questionnaire'!$I$62*'2.3 Input_Main_Questionnaire'!$L$29 /(1 + VLOOKUP(AV$301, Growth!$B$20:$D$60, 3, FALSE))),)</f>
        <v>8.4704583749942359E-4</v>
      </c>
      <c r="AW327" s="565">
        <f ca="1">IF(AW$301 &gt;='2.2 Input_General_Information'!$H$20, (AW$257*'2.3 Input_Main_Questionnaire'!$I$62*'2.3 Input_Main_Questionnaire'!$L$29 /(1 + VLOOKUP(AW$301, Growth!$B$20:$D$60, 3, FALSE))),)</f>
        <v>6.2694864649290142E-4</v>
      </c>
      <c r="AX327" s="565">
        <f ca="1">IF(AX$301 &gt;='2.2 Input_General_Information'!$H$20, (AX$257*'2.3 Input_Main_Questionnaire'!$I$62*'2.3 Input_Main_Questionnaire'!$L$29 /(1 + VLOOKUP(AX$301, Growth!$B$20:$D$60, 3, FALSE))),)</f>
        <v>4.5030959460128908E-4</v>
      </c>
      <c r="AY327" s="565">
        <f ca="1">IF(AY$301 &gt;='2.2 Input_General_Information'!$H$20, (AY$257*'2.3 Input_Main_Questionnaire'!$I$62*'2.3 Input_Main_Questionnaire'!$L$29 /(1 + VLOOKUP(AY$301, Growth!$B$20:$D$60, 3, FALSE))),)</f>
        <v>3.2096430611559308E-4</v>
      </c>
      <c r="AZ327" s="565">
        <f ca="1">IF(AZ$301 &gt;='2.2 Input_General_Information'!$H$20, (AZ$257*'2.3 Input_Main_Questionnaire'!$I$62*'2.3 Input_Main_Questionnaire'!$L$29 /(1 + VLOOKUP(AZ$301, Growth!$B$20:$D$60, 3, FALSE))),)</f>
        <v>2.31555883055089E-4</v>
      </c>
      <c r="BA327" s="565">
        <f ca="1">IF(BA$301 &gt;='2.2 Input_General_Information'!$H$20, (BA$257*'2.3 Input_Main_Questionnaire'!$I$62*'2.3 Input_Main_Questionnaire'!$L$29 /(1 + VLOOKUP(BA$301, Growth!$B$20:$D$60, 3, FALSE))),)</f>
        <v>1.7183190600862023E-4</v>
      </c>
      <c r="BB327" s="565">
        <f ca="1">IF(BB$301 &gt;='2.2 Input_General_Information'!$H$20, (BB$257*'2.3 Input_Main_Questionnaire'!$I$62*'2.3 Input_Main_Questionnaire'!$L$29 /(1 + VLOOKUP(BB$301, Growth!$B$20:$D$60, 3, FALSE))),)</f>
        <v>1.3262306583865143E-4</v>
      </c>
      <c r="BC327" s="565">
        <f ca="1">IF(BC$301 &gt;='2.2 Input_General_Information'!$H$20, (BC$257*'2.3 Input_Main_Questionnaire'!$I$62*'2.3 Input_Main_Questionnaire'!$L$29 /(1 + VLOOKUP(BC$301, Growth!$B$20:$D$60, 3, FALSE))),)</f>
        <v>1.0699178624951919E-4</v>
      </c>
      <c r="BD327" s="565">
        <f ca="1">IF(BD$301 &gt;='2.2 Input_General_Information'!$H$20, (BD$257*'2.3 Input_Main_Questionnaire'!$I$62*'2.3 Input_Main_Questionnaire'!$L$29 /(1 + VLOOKUP(BD$301, Growth!$B$20:$D$60, 3, FALSE))),)</f>
        <v>9.011681475628764E-5</v>
      </c>
      <c r="BE327" s="565">
        <f ca="1">IF(BE$301 &gt;='2.2 Input_General_Information'!$H$20, (BE$257*'2.3 Input_Main_Questionnaire'!$I$62*'2.3 Input_Main_Questionnaire'!$L$29 /(1 + VLOOKUP(BE$301, Growth!$B$20:$D$60, 3, FALSE))),)</f>
        <v>7.8804444358747511E-5</v>
      </c>
      <c r="BF327" s="565">
        <f ca="1">IF(BF$301 &gt;='2.2 Input_General_Information'!$H$20, (BF$257*'2.3 Input_Main_Questionnaire'!$I$62*'2.3 Input_Main_Questionnaire'!$L$29 /(1 + VLOOKUP(BF$301, Growth!$B$20:$D$60, 3, FALSE))),)</f>
        <v>7.0998125451874366E-5</v>
      </c>
      <c r="BG327" s="565">
        <f ca="1">IF(BG$301 &gt;='2.2 Input_General_Information'!$H$20, (BG$257*'2.3 Input_Main_Questionnaire'!$I$62*'2.3 Input_Main_Questionnaire'!$L$29 /(1 + VLOOKUP(BG$301, Growth!$B$20:$D$60, 3, FALSE))),)</f>
        <v>6.5395993098991056E-5</v>
      </c>
      <c r="BH327" s="565">
        <f ca="1">IF(BH$301 &gt;='2.2 Input_General_Information'!$H$20, (BH$257*'2.3 Input_Main_Questionnaire'!$I$62*'2.3 Input_Main_Questionnaire'!$L$29 /(1 + VLOOKUP(BH$301, Growth!$B$20:$D$60, 3, FALSE))),)</f>
        <v>6.1182436099723931E-5</v>
      </c>
      <c r="BI327" s="565">
        <f ca="1">IF(BI$301 &gt;='2.2 Input_General_Information'!$H$20, (BI$257*'2.3 Input_Main_Questionnaire'!$I$62*'2.3 Input_Main_Questionnaire'!$L$29 /(1 + VLOOKUP(BI$301, Growth!$B$20:$D$60, 3, FALSE))),)</f>
        <v>5.784966657380535E-5</v>
      </c>
      <c r="BJ327" s="565">
        <f ca="1">IF(BJ$301 &gt;='2.2 Input_General_Information'!$H$20, (BJ$257*'2.3 Input_Main_Questionnaire'!$I$62*'2.3 Input_Main_Questionnaire'!$L$29 /(1 + VLOOKUP(BJ$301, Growth!$B$20:$D$60, 3, FALSE))),)</f>
        <v>5.5082684184665939E-5</v>
      </c>
      <c r="BK327" s="565">
        <f ca="1">IF(BK$301 &gt;='2.2 Input_General_Information'!$H$20, (BK$257*'2.3 Input_Main_Questionnaire'!$I$62*'2.3 Input_Main_Questionnaire'!$L$29 /(1 + VLOOKUP(BK$301, Growth!$B$20:$D$60, 3, FALSE))),)</f>
        <v>5.2686433440153483E-5</v>
      </c>
      <c r="BL327" s="349"/>
      <c r="BM327" s="349"/>
      <c r="BN327" s="349"/>
      <c r="BO327" s="349"/>
      <c r="BP327" s="349"/>
      <c r="BQ327" s="349"/>
      <c r="BR327" s="349"/>
      <c r="BS327" s="349"/>
      <c r="BT327" s="349"/>
      <c r="BU327" s="349"/>
    </row>
    <row r="328" spans="1:73" hidden="1">
      <c r="A328" s="6"/>
      <c r="B328" s="108"/>
      <c r="C328" s="1"/>
      <c r="D328" s="37"/>
      <c r="E328" s="1"/>
      <c r="F328" s="1"/>
      <c r="G328" s="3"/>
      <c r="H328" s="3"/>
      <c r="I328" s="3"/>
      <c r="J328" s="3"/>
      <c r="K328" s="3"/>
      <c r="L328" s="3"/>
      <c r="M328" s="3"/>
      <c r="N328" s="3"/>
      <c r="O328" s="1"/>
      <c r="P328" s="1"/>
      <c r="Q328" s="1"/>
      <c r="R328" s="162"/>
      <c r="S328" s="1"/>
      <c r="T328" s="101"/>
      <c r="U328" s="101"/>
      <c r="V328" s="103" t="str">
        <f>$L$10</f>
        <v>Profile 6</v>
      </c>
      <c r="W328" s="565">
        <f ca="1">IF(W$301 &gt;='2.2 Input_General_Information'!$H$20, (W$257*'2.3 Input_Main_Questionnaire'!$I$62*'2.3 Input_Main_Questionnaire'!$M$29 /(1 + VLOOKUP(W$301, Growth!$B$20:$D$60, 3, FALSE))),)</f>
        <v>0</v>
      </c>
      <c r="X328" s="565">
        <f ca="1">IF(X$301 &gt;='2.2 Input_General_Information'!$H$20, (X$257*'2.3 Input_Main_Questionnaire'!$I$62*'2.3 Input_Main_Questionnaire'!$M$29 /(1 + VLOOKUP(X$301, Growth!$B$20:$D$60, 3, FALSE))),)</f>
        <v>1.9106357605171487E-4</v>
      </c>
      <c r="Y328" s="565">
        <f ca="1">IF(Y$301 &gt;='2.2 Input_General_Information'!$H$20, (Y$257*'2.3 Input_Main_Questionnaire'!$I$62*'2.3 Input_Main_Questionnaire'!$M$29 /(1 + VLOOKUP(Y$301, Growth!$B$20:$D$60, 3, FALSE))),)</f>
        <v>1.9165598624031367E-4</v>
      </c>
      <c r="Z328" s="565">
        <f ca="1">IF(Z$301 &gt;='2.2 Input_General_Information'!$H$20, (Z$257*'2.3 Input_Main_Questionnaire'!$I$62*'2.3 Input_Main_Questionnaire'!$M$29 /(1 + VLOOKUP(Z$301, Growth!$B$20:$D$60, 3, FALSE))),)</f>
        <v>1.9227208046153851E-4</v>
      </c>
      <c r="AA328" s="565">
        <f ca="1">IF(AA$301 &gt;='2.2 Input_General_Information'!$H$20, (AA$257*'2.3 Input_Main_Questionnaire'!$I$62*'2.3 Input_Main_Questionnaire'!$M$29 /(1 + VLOOKUP(AA$301, Growth!$B$20:$D$60, 3, FALSE))),)</f>
        <v>1.9297665832418483E-4</v>
      </c>
      <c r="AB328" s="565">
        <f ca="1">IF(AB$301 &gt;='2.2 Input_General_Information'!$H$20, (AB$257*'2.3 Input_Main_Questionnaire'!$I$62*'2.3 Input_Main_Questionnaire'!$M$29 /(1 + VLOOKUP(AB$301, Growth!$B$20:$D$60, 3, FALSE))),)</f>
        <v>1.9387348557467748E-4</v>
      </c>
      <c r="AC328" s="565">
        <f ca="1">IF(AC$301 &gt;='2.2 Input_General_Information'!$H$20, (AC$257*'2.3 Input_Main_Questionnaire'!$I$62*'2.3 Input_Main_Questionnaire'!$M$29 /(1 + VLOOKUP(AC$301, Growth!$B$20:$D$60, 3, FALSE))),)</f>
        <v>1.9512791269461912E-4</v>
      </c>
      <c r="AD328" s="565">
        <f ca="1">IF(AD$301 &gt;='2.2 Input_General_Information'!$H$20, (AD$257*'2.3 Input_Main_Questionnaire'!$I$62*'2.3 Input_Main_Questionnaire'!$M$29 /(1 + VLOOKUP(AD$301, Growth!$B$20:$D$60, 3, FALSE))),)</f>
        <v>1.9700243471617513E-4</v>
      </c>
      <c r="AE328" s="565">
        <f ca="1">IF(AE$301 &gt;='2.2 Input_General_Information'!$H$20, (AE$257*'2.3 Input_Main_Questionnaire'!$I$62*'2.3 Input_Main_Questionnaire'!$M$29 /(1 + VLOOKUP(AE$301, Growth!$B$20:$D$60, 3, FALSE))),)</f>
        <v>1.9991228891117773E-4</v>
      </c>
      <c r="AF328" s="565">
        <f ca="1">IF(AF$301 &gt;='2.2 Input_General_Information'!$H$20, (AF$257*'2.3 Input_Main_Questionnaire'!$I$62*'2.3 Input_Main_Questionnaire'!$M$29 /(1 + VLOOKUP(AF$301, Growth!$B$20:$D$60, 3, FALSE))),)</f>
        <v>2.0451162251981382E-4</v>
      </c>
      <c r="AG328" s="565">
        <f ca="1">IF(AG$301 &gt;='2.2 Input_General_Information'!$H$20, (AG$257*'2.3 Input_Main_Questionnaire'!$I$62*'2.3 Input_Main_Questionnaire'!$M$29 /(1 + VLOOKUP(AG$301, Growth!$B$20:$D$60, 3, FALSE))),)</f>
        <v>2.1182515078449246E-4</v>
      </c>
      <c r="AH328" s="565">
        <f ca="1">IF(AH$301 &gt;='2.2 Input_General_Information'!$H$20, (AH$257*'2.3 Input_Main_Questionnaire'!$I$62*'2.3 Input_Main_Questionnaire'!$M$29 /(1 + VLOOKUP(AH$301, Growth!$B$20:$D$60, 3, FALSE))),)</f>
        <v>2.2344459991069653E-4</v>
      </c>
      <c r="AI328" s="565">
        <f ca="1">IF(AI$301 &gt;='2.2 Input_General_Information'!$H$20, (AI$257*'2.3 Input_Main_Questionnaire'!$I$62*'2.3 Input_Main_Questionnaire'!$M$29 /(1 + VLOOKUP(AI$301, Growth!$B$20:$D$60, 3, FALSE))),)</f>
        <v>2.418099848331943E-4</v>
      </c>
      <c r="AJ328" s="565">
        <f ca="1">IF(AJ$301 &gt;='2.2 Input_General_Information'!$H$20, (AJ$257*'2.3 Input_Main_Questionnaire'!$I$62*'2.3 Input_Main_Questionnaire'!$M$29 /(1 + VLOOKUP(AJ$301, Growth!$B$20:$D$60, 3, FALSE))),)</f>
        <v>2.7058268029239415E-4</v>
      </c>
      <c r="AK328" s="565">
        <f ca="1">IF(AK$301 &gt;='2.2 Input_General_Information'!$H$20, (AK$257*'2.3 Input_Main_Questionnaire'!$I$62*'2.3 Input_Main_Questionnaire'!$M$29 /(1 + VLOOKUP(AK$301, Growth!$B$20:$D$60, 3, FALSE))),)</f>
        <v>3.1506542015399775E-4</v>
      </c>
      <c r="AL328" s="565">
        <f ca="1">IF(AL$301 &gt;='2.2 Input_General_Information'!$H$20, (AL$257*'2.3 Input_Main_Questionnaire'!$I$62*'2.3 Input_Main_Questionnaire'!$M$29 /(1 + VLOOKUP(AL$301, Growth!$B$20:$D$60, 3, FALSE))),)</f>
        <v>3.8248212168429921E-4</v>
      </c>
      <c r="AM328" s="565">
        <f ca="1">IF(AM$301 &gt;='2.2 Input_General_Information'!$H$20, (AM$257*'2.3 Input_Main_Questionnaire'!$I$62*'2.3 Input_Main_Questionnaire'!$M$29 /(1 + VLOOKUP(AM$301, Growth!$B$20:$D$60, 3, FALSE))),)</f>
        <v>4.8161608736843375E-4</v>
      </c>
      <c r="AN328" s="565">
        <f ca="1">IF(AN$301 &gt;='2.2 Input_General_Information'!$H$20, (AN$257*'2.3 Input_Main_Questionnaire'!$I$62*'2.3 Input_Main_Questionnaire'!$M$29 /(1 + VLOOKUP(AN$301, Growth!$B$20:$D$60, 3, FALSE))),)</f>
        <v>6.2077321276909621E-4</v>
      </c>
      <c r="AO328" s="565">
        <f ca="1">IF(AO$301 &gt;='2.2 Input_General_Information'!$H$20, (AO$257*'2.3 Input_Main_Questionnaire'!$I$62*'2.3 Input_Main_Questionnaire'!$M$29 /(1 + VLOOKUP(AO$301, Growth!$B$20:$D$60, 3, FALSE))),)</f>
        <v>8.0257095694224513E-4</v>
      </c>
      <c r="AP328" s="565">
        <f ca="1">IF(AP$301 &gt;='2.2 Input_General_Information'!$H$20, (AP$257*'2.3 Input_Main_Questionnaire'!$I$62*'2.3 Input_Main_Questionnaire'!$M$29 /(1 + VLOOKUP(AP$301, Growth!$B$20:$D$60, 3, FALSE))),)</f>
        <v>1.0149024312522746E-3</v>
      </c>
      <c r="AQ328" s="565">
        <f ca="1">IF(AQ$301 &gt;='2.2 Input_General_Information'!$H$20, (AQ$257*'2.3 Input_Main_Questionnaire'!$I$62*'2.3 Input_Main_Questionnaire'!$M$29 /(1 + VLOOKUP(AQ$301, Growth!$B$20:$D$60, 3, FALSE))),)</f>
        <v>1.2218753238489556E-3</v>
      </c>
      <c r="AR328" s="565">
        <f ca="1">IF(AR$301 &gt;='2.2 Input_General_Information'!$H$20, (AR$257*'2.3 Input_Main_Questionnaire'!$I$62*'2.3 Input_Main_Questionnaire'!$M$29 /(1 + VLOOKUP(AR$301, Growth!$B$20:$D$60, 3, FALSE))),)</f>
        <v>1.366081063988339E-3</v>
      </c>
      <c r="AS328" s="565">
        <f ca="1">IF(AS$301 &gt;='2.2 Input_General_Information'!$H$20, (AS$257*'2.3 Input_Main_Questionnaire'!$I$62*'2.3 Input_Main_Questionnaire'!$M$29 /(1 + VLOOKUP(AS$301, Growth!$B$20:$D$60, 3, FALSE))),)</f>
        <v>1.3931239681051542E-3</v>
      </c>
      <c r="AT328" s="565">
        <f ca="1">IF(AT$301 &gt;='2.2 Input_General_Information'!$H$20, (AT$257*'2.3 Input_Main_Questionnaire'!$I$62*'2.3 Input_Main_Questionnaire'!$M$29 /(1 + VLOOKUP(AT$301, Growth!$B$20:$D$60, 3, FALSE))),)</f>
        <v>1.2873571817674783E-3</v>
      </c>
      <c r="AU328" s="565">
        <f ca="1">IF(AU$301 &gt;='2.2 Input_General_Information'!$H$20, (AU$257*'2.3 Input_Main_Questionnaire'!$I$62*'2.3 Input_Main_Questionnaire'!$M$29 /(1 + VLOOKUP(AU$301, Growth!$B$20:$D$60, 3, FALSE))),)</f>
        <v>1.0846260797722556E-3</v>
      </c>
      <c r="AV328" s="565">
        <f ca="1">IF(AV$301 &gt;='2.2 Input_General_Information'!$H$20, (AV$257*'2.3 Input_Main_Questionnaire'!$I$62*'2.3 Input_Main_Questionnaire'!$M$29 /(1 + VLOOKUP(AV$301, Growth!$B$20:$D$60, 3, FALSE))),)</f>
        <v>8.4704583749942359E-4</v>
      </c>
      <c r="AW328" s="565">
        <f ca="1">IF(AW$301 &gt;='2.2 Input_General_Information'!$H$20, (AW$257*'2.3 Input_Main_Questionnaire'!$I$62*'2.3 Input_Main_Questionnaire'!$M$29 /(1 + VLOOKUP(AW$301, Growth!$B$20:$D$60, 3, FALSE))),)</f>
        <v>6.2694864649290142E-4</v>
      </c>
      <c r="AX328" s="565">
        <f ca="1">IF(AX$301 &gt;='2.2 Input_General_Information'!$H$20, (AX$257*'2.3 Input_Main_Questionnaire'!$I$62*'2.3 Input_Main_Questionnaire'!$M$29 /(1 + VLOOKUP(AX$301, Growth!$B$20:$D$60, 3, FALSE))),)</f>
        <v>4.5030959460128908E-4</v>
      </c>
      <c r="AY328" s="565">
        <f ca="1">IF(AY$301 &gt;='2.2 Input_General_Information'!$H$20, (AY$257*'2.3 Input_Main_Questionnaire'!$I$62*'2.3 Input_Main_Questionnaire'!$M$29 /(1 + VLOOKUP(AY$301, Growth!$B$20:$D$60, 3, FALSE))),)</f>
        <v>3.2096430611559308E-4</v>
      </c>
      <c r="AZ328" s="565">
        <f ca="1">IF(AZ$301 &gt;='2.2 Input_General_Information'!$H$20, (AZ$257*'2.3 Input_Main_Questionnaire'!$I$62*'2.3 Input_Main_Questionnaire'!$M$29 /(1 + VLOOKUP(AZ$301, Growth!$B$20:$D$60, 3, FALSE))),)</f>
        <v>2.31555883055089E-4</v>
      </c>
      <c r="BA328" s="565">
        <f ca="1">IF(BA$301 &gt;='2.2 Input_General_Information'!$H$20, (BA$257*'2.3 Input_Main_Questionnaire'!$I$62*'2.3 Input_Main_Questionnaire'!$M$29 /(1 + VLOOKUP(BA$301, Growth!$B$20:$D$60, 3, FALSE))),)</f>
        <v>1.7183190600862023E-4</v>
      </c>
      <c r="BB328" s="565">
        <f ca="1">IF(BB$301 &gt;='2.2 Input_General_Information'!$H$20, (BB$257*'2.3 Input_Main_Questionnaire'!$I$62*'2.3 Input_Main_Questionnaire'!$M$29 /(1 + VLOOKUP(BB$301, Growth!$B$20:$D$60, 3, FALSE))),)</f>
        <v>1.3262306583865143E-4</v>
      </c>
      <c r="BC328" s="565">
        <f ca="1">IF(BC$301 &gt;='2.2 Input_General_Information'!$H$20, (BC$257*'2.3 Input_Main_Questionnaire'!$I$62*'2.3 Input_Main_Questionnaire'!$M$29 /(1 + VLOOKUP(BC$301, Growth!$B$20:$D$60, 3, FALSE))),)</f>
        <v>1.0699178624951919E-4</v>
      </c>
      <c r="BD328" s="565">
        <f ca="1">IF(BD$301 &gt;='2.2 Input_General_Information'!$H$20, (BD$257*'2.3 Input_Main_Questionnaire'!$I$62*'2.3 Input_Main_Questionnaire'!$M$29 /(1 + VLOOKUP(BD$301, Growth!$B$20:$D$60, 3, FALSE))),)</f>
        <v>9.011681475628764E-5</v>
      </c>
      <c r="BE328" s="565">
        <f ca="1">IF(BE$301 &gt;='2.2 Input_General_Information'!$H$20, (BE$257*'2.3 Input_Main_Questionnaire'!$I$62*'2.3 Input_Main_Questionnaire'!$M$29 /(1 + VLOOKUP(BE$301, Growth!$B$20:$D$60, 3, FALSE))),)</f>
        <v>7.8804444358747511E-5</v>
      </c>
      <c r="BF328" s="565">
        <f ca="1">IF(BF$301 &gt;='2.2 Input_General_Information'!$H$20, (BF$257*'2.3 Input_Main_Questionnaire'!$I$62*'2.3 Input_Main_Questionnaire'!$M$29 /(1 + VLOOKUP(BF$301, Growth!$B$20:$D$60, 3, FALSE))),)</f>
        <v>7.0998125451874366E-5</v>
      </c>
      <c r="BG328" s="565">
        <f ca="1">IF(BG$301 &gt;='2.2 Input_General_Information'!$H$20, (BG$257*'2.3 Input_Main_Questionnaire'!$I$62*'2.3 Input_Main_Questionnaire'!$M$29 /(1 + VLOOKUP(BG$301, Growth!$B$20:$D$60, 3, FALSE))),)</f>
        <v>6.5395993098991056E-5</v>
      </c>
      <c r="BH328" s="565">
        <f ca="1">IF(BH$301 &gt;='2.2 Input_General_Information'!$H$20, (BH$257*'2.3 Input_Main_Questionnaire'!$I$62*'2.3 Input_Main_Questionnaire'!$M$29 /(1 + VLOOKUP(BH$301, Growth!$B$20:$D$60, 3, FALSE))),)</f>
        <v>6.1182436099723931E-5</v>
      </c>
      <c r="BI328" s="565">
        <f ca="1">IF(BI$301 &gt;='2.2 Input_General_Information'!$H$20, (BI$257*'2.3 Input_Main_Questionnaire'!$I$62*'2.3 Input_Main_Questionnaire'!$M$29 /(1 + VLOOKUP(BI$301, Growth!$B$20:$D$60, 3, FALSE))),)</f>
        <v>5.784966657380535E-5</v>
      </c>
      <c r="BJ328" s="565">
        <f ca="1">IF(BJ$301 &gt;='2.2 Input_General_Information'!$H$20, (BJ$257*'2.3 Input_Main_Questionnaire'!$I$62*'2.3 Input_Main_Questionnaire'!$M$29 /(1 + VLOOKUP(BJ$301, Growth!$B$20:$D$60, 3, FALSE))),)</f>
        <v>5.5082684184665939E-5</v>
      </c>
      <c r="BK328" s="565">
        <f ca="1">IF(BK$301 &gt;='2.2 Input_General_Information'!$H$20, (BK$257*'2.3 Input_Main_Questionnaire'!$I$62*'2.3 Input_Main_Questionnaire'!$M$29 /(1 + VLOOKUP(BK$301, Growth!$B$20:$D$60, 3, FALSE))),)</f>
        <v>5.2686433440153483E-5</v>
      </c>
      <c r="BL328" s="349"/>
      <c r="BM328" s="349"/>
      <c r="BN328" s="349"/>
      <c r="BO328" s="349"/>
      <c r="BP328" s="349"/>
      <c r="BQ328" s="349"/>
      <c r="BR328" s="349"/>
      <c r="BS328" s="349"/>
      <c r="BT328" s="349"/>
      <c r="BU328" s="349"/>
    </row>
    <row r="329" spans="1:73" hidden="1">
      <c r="A329" s="6"/>
      <c r="B329" s="108"/>
      <c r="C329" s="1"/>
      <c r="D329" s="37"/>
      <c r="E329" s="1"/>
      <c r="F329" s="1"/>
      <c r="G329" s="3"/>
      <c r="H329" s="3"/>
      <c r="I329" s="3"/>
      <c r="J329" s="3"/>
      <c r="K329" s="3"/>
      <c r="L329" s="3"/>
      <c r="M329" s="3"/>
      <c r="N329" s="3"/>
      <c r="O329" s="1"/>
      <c r="P329" s="1"/>
      <c r="Q329" s="1"/>
      <c r="R329" s="162"/>
      <c r="S329" s="1"/>
      <c r="T329" s="101"/>
      <c r="U329" s="101"/>
      <c r="V329" s="103" t="str">
        <f>$M$10</f>
        <v>Profile 7</v>
      </c>
      <c r="W329" s="565">
        <f ca="1">IF(W$301 &gt;='2.2 Input_General_Information'!$H$20, (W$257*'2.3 Input_Main_Questionnaire'!$I$62*'2.3 Input_Main_Questionnaire'!$N$29 /(1 + VLOOKUP(W$301, Growth!$B$20:$D$60, 3, FALSE))),)</f>
        <v>0</v>
      </c>
      <c r="X329" s="565">
        <f ca="1">IF(X$301 &gt;='2.2 Input_General_Information'!$H$20, (X$257*'2.3 Input_Main_Questionnaire'!$I$62*'2.3 Input_Main_Questionnaire'!$N$29 /(1 + VLOOKUP(X$301, Growth!$B$20:$D$60, 3, FALSE))),)</f>
        <v>1.9106357605171487E-4</v>
      </c>
      <c r="Y329" s="565">
        <f ca="1">IF(Y$301 &gt;='2.2 Input_General_Information'!$H$20, (Y$257*'2.3 Input_Main_Questionnaire'!$I$62*'2.3 Input_Main_Questionnaire'!$N$29 /(1 + VLOOKUP(Y$301, Growth!$B$20:$D$60, 3, FALSE))),)</f>
        <v>1.9165598624031367E-4</v>
      </c>
      <c r="Z329" s="565">
        <f ca="1">IF(Z$301 &gt;='2.2 Input_General_Information'!$H$20, (Z$257*'2.3 Input_Main_Questionnaire'!$I$62*'2.3 Input_Main_Questionnaire'!$N$29 /(1 + VLOOKUP(Z$301, Growth!$B$20:$D$60, 3, FALSE))),)</f>
        <v>1.9227208046153851E-4</v>
      </c>
      <c r="AA329" s="565">
        <f ca="1">IF(AA$301 &gt;='2.2 Input_General_Information'!$H$20, (AA$257*'2.3 Input_Main_Questionnaire'!$I$62*'2.3 Input_Main_Questionnaire'!$N$29 /(1 + VLOOKUP(AA$301, Growth!$B$20:$D$60, 3, FALSE))),)</f>
        <v>1.9297665832418483E-4</v>
      </c>
      <c r="AB329" s="565">
        <f ca="1">IF(AB$301 &gt;='2.2 Input_General_Information'!$H$20, (AB$257*'2.3 Input_Main_Questionnaire'!$I$62*'2.3 Input_Main_Questionnaire'!$N$29 /(1 + VLOOKUP(AB$301, Growth!$B$20:$D$60, 3, FALSE))),)</f>
        <v>1.9387348557467748E-4</v>
      </c>
      <c r="AC329" s="565">
        <f ca="1">IF(AC$301 &gt;='2.2 Input_General_Information'!$H$20, (AC$257*'2.3 Input_Main_Questionnaire'!$I$62*'2.3 Input_Main_Questionnaire'!$N$29 /(1 + VLOOKUP(AC$301, Growth!$B$20:$D$60, 3, FALSE))),)</f>
        <v>1.9512791269461912E-4</v>
      </c>
      <c r="AD329" s="565">
        <f ca="1">IF(AD$301 &gt;='2.2 Input_General_Information'!$H$20, (AD$257*'2.3 Input_Main_Questionnaire'!$I$62*'2.3 Input_Main_Questionnaire'!$N$29 /(1 + VLOOKUP(AD$301, Growth!$B$20:$D$60, 3, FALSE))),)</f>
        <v>1.9700243471617513E-4</v>
      </c>
      <c r="AE329" s="565">
        <f ca="1">IF(AE$301 &gt;='2.2 Input_General_Information'!$H$20, (AE$257*'2.3 Input_Main_Questionnaire'!$I$62*'2.3 Input_Main_Questionnaire'!$N$29 /(1 + VLOOKUP(AE$301, Growth!$B$20:$D$60, 3, FALSE))),)</f>
        <v>1.9991228891117773E-4</v>
      </c>
      <c r="AF329" s="565">
        <f ca="1">IF(AF$301 &gt;='2.2 Input_General_Information'!$H$20, (AF$257*'2.3 Input_Main_Questionnaire'!$I$62*'2.3 Input_Main_Questionnaire'!$N$29 /(1 + VLOOKUP(AF$301, Growth!$B$20:$D$60, 3, FALSE))),)</f>
        <v>2.0451162251981382E-4</v>
      </c>
      <c r="AG329" s="565">
        <f ca="1">IF(AG$301 &gt;='2.2 Input_General_Information'!$H$20, (AG$257*'2.3 Input_Main_Questionnaire'!$I$62*'2.3 Input_Main_Questionnaire'!$N$29 /(1 + VLOOKUP(AG$301, Growth!$B$20:$D$60, 3, FALSE))),)</f>
        <v>2.1182515078449246E-4</v>
      </c>
      <c r="AH329" s="565">
        <f ca="1">IF(AH$301 &gt;='2.2 Input_General_Information'!$H$20, (AH$257*'2.3 Input_Main_Questionnaire'!$I$62*'2.3 Input_Main_Questionnaire'!$N$29 /(1 + VLOOKUP(AH$301, Growth!$B$20:$D$60, 3, FALSE))),)</f>
        <v>2.2344459991069653E-4</v>
      </c>
      <c r="AI329" s="565">
        <f ca="1">IF(AI$301 &gt;='2.2 Input_General_Information'!$H$20, (AI$257*'2.3 Input_Main_Questionnaire'!$I$62*'2.3 Input_Main_Questionnaire'!$N$29 /(1 + VLOOKUP(AI$301, Growth!$B$20:$D$60, 3, FALSE))),)</f>
        <v>2.418099848331943E-4</v>
      </c>
      <c r="AJ329" s="565">
        <f ca="1">IF(AJ$301 &gt;='2.2 Input_General_Information'!$H$20, (AJ$257*'2.3 Input_Main_Questionnaire'!$I$62*'2.3 Input_Main_Questionnaire'!$N$29 /(1 + VLOOKUP(AJ$301, Growth!$B$20:$D$60, 3, FALSE))),)</f>
        <v>2.7058268029239415E-4</v>
      </c>
      <c r="AK329" s="565">
        <f ca="1">IF(AK$301 &gt;='2.2 Input_General_Information'!$H$20, (AK$257*'2.3 Input_Main_Questionnaire'!$I$62*'2.3 Input_Main_Questionnaire'!$N$29 /(1 + VLOOKUP(AK$301, Growth!$B$20:$D$60, 3, FALSE))),)</f>
        <v>3.1506542015399775E-4</v>
      </c>
      <c r="AL329" s="565">
        <f ca="1">IF(AL$301 &gt;='2.2 Input_General_Information'!$H$20, (AL$257*'2.3 Input_Main_Questionnaire'!$I$62*'2.3 Input_Main_Questionnaire'!$N$29 /(1 + VLOOKUP(AL$301, Growth!$B$20:$D$60, 3, FALSE))),)</f>
        <v>3.8248212168429921E-4</v>
      </c>
      <c r="AM329" s="565">
        <f ca="1">IF(AM$301 &gt;='2.2 Input_General_Information'!$H$20, (AM$257*'2.3 Input_Main_Questionnaire'!$I$62*'2.3 Input_Main_Questionnaire'!$N$29 /(1 + VLOOKUP(AM$301, Growth!$B$20:$D$60, 3, FALSE))),)</f>
        <v>4.8161608736843375E-4</v>
      </c>
      <c r="AN329" s="565">
        <f ca="1">IF(AN$301 &gt;='2.2 Input_General_Information'!$H$20, (AN$257*'2.3 Input_Main_Questionnaire'!$I$62*'2.3 Input_Main_Questionnaire'!$N$29 /(1 + VLOOKUP(AN$301, Growth!$B$20:$D$60, 3, FALSE))),)</f>
        <v>6.2077321276909621E-4</v>
      </c>
      <c r="AO329" s="565">
        <f ca="1">IF(AO$301 &gt;='2.2 Input_General_Information'!$H$20, (AO$257*'2.3 Input_Main_Questionnaire'!$I$62*'2.3 Input_Main_Questionnaire'!$N$29 /(1 + VLOOKUP(AO$301, Growth!$B$20:$D$60, 3, FALSE))),)</f>
        <v>8.0257095694224513E-4</v>
      </c>
      <c r="AP329" s="565">
        <f ca="1">IF(AP$301 &gt;='2.2 Input_General_Information'!$H$20, (AP$257*'2.3 Input_Main_Questionnaire'!$I$62*'2.3 Input_Main_Questionnaire'!$N$29 /(1 + VLOOKUP(AP$301, Growth!$B$20:$D$60, 3, FALSE))),)</f>
        <v>1.0149024312522746E-3</v>
      </c>
      <c r="AQ329" s="565">
        <f ca="1">IF(AQ$301 &gt;='2.2 Input_General_Information'!$H$20, (AQ$257*'2.3 Input_Main_Questionnaire'!$I$62*'2.3 Input_Main_Questionnaire'!$N$29 /(1 + VLOOKUP(AQ$301, Growth!$B$20:$D$60, 3, FALSE))),)</f>
        <v>1.2218753238489556E-3</v>
      </c>
      <c r="AR329" s="565">
        <f ca="1">IF(AR$301 &gt;='2.2 Input_General_Information'!$H$20, (AR$257*'2.3 Input_Main_Questionnaire'!$I$62*'2.3 Input_Main_Questionnaire'!$N$29 /(1 + VLOOKUP(AR$301, Growth!$B$20:$D$60, 3, FALSE))),)</f>
        <v>1.366081063988339E-3</v>
      </c>
      <c r="AS329" s="565">
        <f ca="1">IF(AS$301 &gt;='2.2 Input_General_Information'!$H$20, (AS$257*'2.3 Input_Main_Questionnaire'!$I$62*'2.3 Input_Main_Questionnaire'!$N$29 /(1 + VLOOKUP(AS$301, Growth!$B$20:$D$60, 3, FALSE))),)</f>
        <v>1.3931239681051542E-3</v>
      </c>
      <c r="AT329" s="565">
        <f ca="1">IF(AT$301 &gt;='2.2 Input_General_Information'!$H$20, (AT$257*'2.3 Input_Main_Questionnaire'!$I$62*'2.3 Input_Main_Questionnaire'!$N$29 /(1 + VLOOKUP(AT$301, Growth!$B$20:$D$60, 3, FALSE))),)</f>
        <v>1.2873571817674783E-3</v>
      </c>
      <c r="AU329" s="565">
        <f ca="1">IF(AU$301 &gt;='2.2 Input_General_Information'!$H$20, (AU$257*'2.3 Input_Main_Questionnaire'!$I$62*'2.3 Input_Main_Questionnaire'!$N$29 /(1 + VLOOKUP(AU$301, Growth!$B$20:$D$60, 3, FALSE))),)</f>
        <v>1.0846260797722556E-3</v>
      </c>
      <c r="AV329" s="565">
        <f ca="1">IF(AV$301 &gt;='2.2 Input_General_Information'!$H$20, (AV$257*'2.3 Input_Main_Questionnaire'!$I$62*'2.3 Input_Main_Questionnaire'!$N$29 /(1 + VLOOKUP(AV$301, Growth!$B$20:$D$60, 3, FALSE))),)</f>
        <v>8.4704583749942359E-4</v>
      </c>
      <c r="AW329" s="565">
        <f ca="1">IF(AW$301 &gt;='2.2 Input_General_Information'!$H$20, (AW$257*'2.3 Input_Main_Questionnaire'!$I$62*'2.3 Input_Main_Questionnaire'!$N$29 /(1 + VLOOKUP(AW$301, Growth!$B$20:$D$60, 3, FALSE))),)</f>
        <v>6.2694864649290142E-4</v>
      </c>
      <c r="AX329" s="565">
        <f ca="1">IF(AX$301 &gt;='2.2 Input_General_Information'!$H$20, (AX$257*'2.3 Input_Main_Questionnaire'!$I$62*'2.3 Input_Main_Questionnaire'!$N$29 /(1 + VLOOKUP(AX$301, Growth!$B$20:$D$60, 3, FALSE))),)</f>
        <v>4.5030959460128908E-4</v>
      </c>
      <c r="AY329" s="565">
        <f ca="1">IF(AY$301 &gt;='2.2 Input_General_Information'!$H$20, (AY$257*'2.3 Input_Main_Questionnaire'!$I$62*'2.3 Input_Main_Questionnaire'!$N$29 /(1 + VLOOKUP(AY$301, Growth!$B$20:$D$60, 3, FALSE))),)</f>
        <v>3.2096430611559308E-4</v>
      </c>
      <c r="AZ329" s="565">
        <f ca="1">IF(AZ$301 &gt;='2.2 Input_General_Information'!$H$20, (AZ$257*'2.3 Input_Main_Questionnaire'!$I$62*'2.3 Input_Main_Questionnaire'!$N$29 /(1 + VLOOKUP(AZ$301, Growth!$B$20:$D$60, 3, FALSE))),)</f>
        <v>2.31555883055089E-4</v>
      </c>
      <c r="BA329" s="565">
        <f ca="1">IF(BA$301 &gt;='2.2 Input_General_Information'!$H$20, (BA$257*'2.3 Input_Main_Questionnaire'!$I$62*'2.3 Input_Main_Questionnaire'!$N$29 /(1 + VLOOKUP(BA$301, Growth!$B$20:$D$60, 3, FALSE))),)</f>
        <v>1.7183190600862023E-4</v>
      </c>
      <c r="BB329" s="565">
        <f ca="1">IF(BB$301 &gt;='2.2 Input_General_Information'!$H$20, (BB$257*'2.3 Input_Main_Questionnaire'!$I$62*'2.3 Input_Main_Questionnaire'!$N$29 /(1 + VLOOKUP(BB$301, Growth!$B$20:$D$60, 3, FALSE))),)</f>
        <v>1.3262306583865143E-4</v>
      </c>
      <c r="BC329" s="565">
        <f ca="1">IF(BC$301 &gt;='2.2 Input_General_Information'!$H$20, (BC$257*'2.3 Input_Main_Questionnaire'!$I$62*'2.3 Input_Main_Questionnaire'!$N$29 /(1 + VLOOKUP(BC$301, Growth!$B$20:$D$60, 3, FALSE))),)</f>
        <v>1.0699178624951919E-4</v>
      </c>
      <c r="BD329" s="565">
        <f ca="1">IF(BD$301 &gt;='2.2 Input_General_Information'!$H$20, (BD$257*'2.3 Input_Main_Questionnaire'!$I$62*'2.3 Input_Main_Questionnaire'!$N$29 /(1 + VLOOKUP(BD$301, Growth!$B$20:$D$60, 3, FALSE))),)</f>
        <v>9.011681475628764E-5</v>
      </c>
      <c r="BE329" s="565">
        <f ca="1">IF(BE$301 &gt;='2.2 Input_General_Information'!$H$20, (BE$257*'2.3 Input_Main_Questionnaire'!$I$62*'2.3 Input_Main_Questionnaire'!$N$29 /(1 + VLOOKUP(BE$301, Growth!$B$20:$D$60, 3, FALSE))),)</f>
        <v>7.8804444358747511E-5</v>
      </c>
      <c r="BF329" s="565">
        <f ca="1">IF(BF$301 &gt;='2.2 Input_General_Information'!$H$20, (BF$257*'2.3 Input_Main_Questionnaire'!$I$62*'2.3 Input_Main_Questionnaire'!$N$29 /(1 + VLOOKUP(BF$301, Growth!$B$20:$D$60, 3, FALSE))),)</f>
        <v>7.0998125451874366E-5</v>
      </c>
      <c r="BG329" s="565">
        <f ca="1">IF(BG$301 &gt;='2.2 Input_General_Information'!$H$20, (BG$257*'2.3 Input_Main_Questionnaire'!$I$62*'2.3 Input_Main_Questionnaire'!$N$29 /(1 + VLOOKUP(BG$301, Growth!$B$20:$D$60, 3, FALSE))),)</f>
        <v>6.5395993098991056E-5</v>
      </c>
      <c r="BH329" s="565">
        <f ca="1">IF(BH$301 &gt;='2.2 Input_General_Information'!$H$20, (BH$257*'2.3 Input_Main_Questionnaire'!$I$62*'2.3 Input_Main_Questionnaire'!$N$29 /(1 + VLOOKUP(BH$301, Growth!$B$20:$D$60, 3, FALSE))),)</f>
        <v>6.1182436099723931E-5</v>
      </c>
      <c r="BI329" s="565">
        <f ca="1">IF(BI$301 &gt;='2.2 Input_General_Information'!$H$20, (BI$257*'2.3 Input_Main_Questionnaire'!$I$62*'2.3 Input_Main_Questionnaire'!$N$29 /(1 + VLOOKUP(BI$301, Growth!$B$20:$D$60, 3, FALSE))),)</f>
        <v>5.784966657380535E-5</v>
      </c>
      <c r="BJ329" s="565">
        <f ca="1">IF(BJ$301 &gt;='2.2 Input_General_Information'!$H$20, (BJ$257*'2.3 Input_Main_Questionnaire'!$I$62*'2.3 Input_Main_Questionnaire'!$N$29 /(1 + VLOOKUP(BJ$301, Growth!$B$20:$D$60, 3, FALSE))),)</f>
        <v>5.5082684184665939E-5</v>
      </c>
      <c r="BK329" s="565">
        <f ca="1">IF(BK$301 &gt;='2.2 Input_General_Information'!$H$20, (BK$257*'2.3 Input_Main_Questionnaire'!$I$62*'2.3 Input_Main_Questionnaire'!$N$29 /(1 + VLOOKUP(BK$301, Growth!$B$20:$D$60, 3, FALSE))),)</f>
        <v>5.2686433440153483E-5</v>
      </c>
      <c r="BL329" s="349"/>
      <c r="BM329" s="349"/>
      <c r="BN329" s="349"/>
      <c r="BO329" s="349"/>
      <c r="BP329" s="349"/>
      <c r="BQ329" s="349"/>
      <c r="BR329" s="349"/>
      <c r="BS329" s="349"/>
      <c r="BT329" s="349"/>
      <c r="BU329" s="349"/>
    </row>
    <row r="330" spans="1:73" hidden="1">
      <c r="A330" s="6"/>
      <c r="B330" s="108"/>
      <c r="C330" s="1"/>
      <c r="D330" s="37"/>
      <c r="E330" s="1"/>
      <c r="F330" s="1"/>
      <c r="G330" s="3"/>
      <c r="H330" s="3"/>
      <c r="I330" s="3"/>
      <c r="J330" s="3"/>
      <c r="K330" s="3"/>
      <c r="L330" s="3"/>
      <c r="M330" s="3"/>
      <c r="N330" s="3"/>
      <c r="O330" s="1"/>
      <c r="P330" s="1"/>
      <c r="Q330" s="1"/>
      <c r="R330" s="162"/>
      <c r="S330" s="1"/>
      <c r="T330" s="101"/>
      <c r="U330" s="101"/>
      <c r="V330" s="103" t="str">
        <f>$N$10</f>
        <v>Profile 8</v>
      </c>
      <c r="W330" s="565">
        <f ca="1">IF(W$301 &gt;='2.2 Input_General_Information'!$H$20, (W$257*'2.3 Input_Main_Questionnaire'!$I$62*'2.3 Input_Main_Questionnaire'!$O$29 /(1 + VLOOKUP(W$301, Growth!$B$20:$D$60, 3, FALSE))),)</f>
        <v>0</v>
      </c>
      <c r="X330" s="565">
        <f ca="1">IF(X$301 &gt;='2.2 Input_General_Information'!$H$20, (X$257*'2.3 Input_Main_Questionnaire'!$I$62*'2.3 Input_Main_Questionnaire'!$O$29 /(1 + VLOOKUP(X$301, Growth!$B$20:$D$60, 3, FALSE))),)</f>
        <v>1.9106357605171487E-4</v>
      </c>
      <c r="Y330" s="565">
        <f ca="1">IF(Y$301 &gt;='2.2 Input_General_Information'!$H$20, (Y$257*'2.3 Input_Main_Questionnaire'!$I$62*'2.3 Input_Main_Questionnaire'!$O$29 /(1 + VLOOKUP(Y$301, Growth!$B$20:$D$60, 3, FALSE))),)</f>
        <v>1.9165598624031367E-4</v>
      </c>
      <c r="Z330" s="565">
        <f ca="1">IF(Z$301 &gt;='2.2 Input_General_Information'!$H$20, (Z$257*'2.3 Input_Main_Questionnaire'!$I$62*'2.3 Input_Main_Questionnaire'!$O$29 /(1 + VLOOKUP(Z$301, Growth!$B$20:$D$60, 3, FALSE))),)</f>
        <v>1.9227208046153851E-4</v>
      </c>
      <c r="AA330" s="565">
        <f ca="1">IF(AA$301 &gt;='2.2 Input_General_Information'!$H$20, (AA$257*'2.3 Input_Main_Questionnaire'!$I$62*'2.3 Input_Main_Questionnaire'!$O$29 /(1 + VLOOKUP(AA$301, Growth!$B$20:$D$60, 3, FALSE))),)</f>
        <v>1.9297665832418483E-4</v>
      </c>
      <c r="AB330" s="565">
        <f ca="1">IF(AB$301 &gt;='2.2 Input_General_Information'!$H$20, (AB$257*'2.3 Input_Main_Questionnaire'!$I$62*'2.3 Input_Main_Questionnaire'!$O$29 /(1 + VLOOKUP(AB$301, Growth!$B$20:$D$60, 3, FALSE))),)</f>
        <v>1.9387348557467748E-4</v>
      </c>
      <c r="AC330" s="565">
        <f ca="1">IF(AC$301 &gt;='2.2 Input_General_Information'!$H$20, (AC$257*'2.3 Input_Main_Questionnaire'!$I$62*'2.3 Input_Main_Questionnaire'!$O$29 /(1 + VLOOKUP(AC$301, Growth!$B$20:$D$60, 3, FALSE))),)</f>
        <v>1.9512791269461912E-4</v>
      </c>
      <c r="AD330" s="565">
        <f ca="1">IF(AD$301 &gt;='2.2 Input_General_Information'!$H$20, (AD$257*'2.3 Input_Main_Questionnaire'!$I$62*'2.3 Input_Main_Questionnaire'!$O$29 /(1 + VLOOKUP(AD$301, Growth!$B$20:$D$60, 3, FALSE))),)</f>
        <v>1.9700243471617513E-4</v>
      </c>
      <c r="AE330" s="565">
        <f ca="1">IF(AE$301 &gt;='2.2 Input_General_Information'!$H$20, (AE$257*'2.3 Input_Main_Questionnaire'!$I$62*'2.3 Input_Main_Questionnaire'!$O$29 /(1 + VLOOKUP(AE$301, Growth!$B$20:$D$60, 3, FALSE))),)</f>
        <v>1.9991228891117773E-4</v>
      </c>
      <c r="AF330" s="565">
        <f ca="1">IF(AF$301 &gt;='2.2 Input_General_Information'!$H$20, (AF$257*'2.3 Input_Main_Questionnaire'!$I$62*'2.3 Input_Main_Questionnaire'!$O$29 /(1 + VLOOKUP(AF$301, Growth!$B$20:$D$60, 3, FALSE))),)</f>
        <v>2.0451162251981382E-4</v>
      </c>
      <c r="AG330" s="565">
        <f ca="1">IF(AG$301 &gt;='2.2 Input_General_Information'!$H$20, (AG$257*'2.3 Input_Main_Questionnaire'!$I$62*'2.3 Input_Main_Questionnaire'!$O$29 /(1 + VLOOKUP(AG$301, Growth!$B$20:$D$60, 3, FALSE))),)</f>
        <v>2.1182515078449246E-4</v>
      </c>
      <c r="AH330" s="565">
        <f ca="1">IF(AH$301 &gt;='2.2 Input_General_Information'!$H$20, (AH$257*'2.3 Input_Main_Questionnaire'!$I$62*'2.3 Input_Main_Questionnaire'!$O$29 /(1 + VLOOKUP(AH$301, Growth!$B$20:$D$60, 3, FALSE))),)</f>
        <v>2.2344459991069653E-4</v>
      </c>
      <c r="AI330" s="565">
        <f ca="1">IF(AI$301 &gt;='2.2 Input_General_Information'!$H$20, (AI$257*'2.3 Input_Main_Questionnaire'!$I$62*'2.3 Input_Main_Questionnaire'!$O$29 /(1 + VLOOKUP(AI$301, Growth!$B$20:$D$60, 3, FALSE))),)</f>
        <v>2.418099848331943E-4</v>
      </c>
      <c r="AJ330" s="565">
        <f ca="1">IF(AJ$301 &gt;='2.2 Input_General_Information'!$H$20, (AJ$257*'2.3 Input_Main_Questionnaire'!$I$62*'2.3 Input_Main_Questionnaire'!$O$29 /(1 + VLOOKUP(AJ$301, Growth!$B$20:$D$60, 3, FALSE))),)</f>
        <v>2.7058268029239415E-4</v>
      </c>
      <c r="AK330" s="565">
        <f ca="1">IF(AK$301 &gt;='2.2 Input_General_Information'!$H$20, (AK$257*'2.3 Input_Main_Questionnaire'!$I$62*'2.3 Input_Main_Questionnaire'!$O$29 /(1 + VLOOKUP(AK$301, Growth!$B$20:$D$60, 3, FALSE))),)</f>
        <v>3.1506542015399775E-4</v>
      </c>
      <c r="AL330" s="565">
        <f ca="1">IF(AL$301 &gt;='2.2 Input_General_Information'!$H$20, (AL$257*'2.3 Input_Main_Questionnaire'!$I$62*'2.3 Input_Main_Questionnaire'!$O$29 /(1 + VLOOKUP(AL$301, Growth!$B$20:$D$60, 3, FALSE))),)</f>
        <v>3.8248212168429921E-4</v>
      </c>
      <c r="AM330" s="565">
        <f ca="1">IF(AM$301 &gt;='2.2 Input_General_Information'!$H$20, (AM$257*'2.3 Input_Main_Questionnaire'!$I$62*'2.3 Input_Main_Questionnaire'!$O$29 /(1 + VLOOKUP(AM$301, Growth!$B$20:$D$60, 3, FALSE))),)</f>
        <v>4.8161608736843375E-4</v>
      </c>
      <c r="AN330" s="565">
        <f ca="1">IF(AN$301 &gt;='2.2 Input_General_Information'!$H$20, (AN$257*'2.3 Input_Main_Questionnaire'!$I$62*'2.3 Input_Main_Questionnaire'!$O$29 /(1 + VLOOKUP(AN$301, Growth!$B$20:$D$60, 3, FALSE))),)</f>
        <v>6.2077321276909621E-4</v>
      </c>
      <c r="AO330" s="565">
        <f ca="1">IF(AO$301 &gt;='2.2 Input_General_Information'!$H$20, (AO$257*'2.3 Input_Main_Questionnaire'!$I$62*'2.3 Input_Main_Questionnaire'!$O$29 /(1 + VLOOKUP(AO$301, Growth!$B$20:$D$60, 3, FALSE))),)</f>
        <v>8.0257095694224513E-4</v>
      </c>
      <c r="AP330" s="565">
        <f ca="1">IF(AP$301 &gt;='2.2 Input_General_Information'!$H$20, (AP$257*'2.3 Input_Main_Questionnaire'!$I$62*'2.3 Input_Main_Questionnaire'!$O$29 /(1 + VLOOKUP(AP$301, Growth!$B$20:$D$60, 3, FALSE))),)</f>
        <v>1.0149024312522746E-3</v>
      </c>
      <c r="AQ330" s="565">
        <f ca="1">IF(AQ$301 &gt;='2.2 Input_General_Information'!$H$20, (AQ$257*'2.3 Input_Main_Questionnaire'!$I$62*'2.3 Input_Main_Questionnaire'!$O$29 /(1 + VLOOKUP(AQ$301, Growth!$B$20:$D$60, 3, FALSE))),)</f>
        <v>1.2218753238489556E-3</v>
      </c>
      <c r="AR330" s="565">
        <f ca="1">IF(AR$301 &gt;='2.2 Input_General_Information'!$H$20, (AR$257*'2.3 Input_Main_Questionnaire'!$I$62*'2.3 Input_Main_Questionnaire'!$O$29 /(1 + VLOOKUP(AR$301, Growth!$B$20:$D$60, 3, FALSE))),)</f>
        <v>1.366081063988339E-3</v>
      </c>
      <c r="AS330" s="565">
        <f ca="1">IF(AS$301 &gt;='2.2 Input_General_Information'!$H$20, (AS$257*'2.3 Input_Main_Questionnaire'!$I$62*'2.3 Input_Main_Questionnaire'!$O$29 /(1 + VLOOKUP(AS$301, Growth!$B$20:$D$60, 3, FALSE))),)</f>
        <v>1.3931239681051542E-3</v>
      </c>
      <c r="AT330" s="565">
        <f ca="1">IF(AT$301 &gt;='2.2 Input_General_Information'!$H$20, (AT$257*'2.3 Input_Main_Questionnaire'!$I$62*'2.3 Input_Main_Questionnaire'!$O$29 /(1 + VLOOKUP(AT$301, Growth!$B$20:$D$60, 3, FALSE))),)</f>
        <v>1.2873571817674783E-3</v>
      </c>
      <c r="AU330" s="565">
        <f ca="1">IF(AU$301 &gt;='2.2 Input_General_Information'!$H$20, (AU$257*'2.3 Input_Main_Questionnaire'!$I$62*'2.3 Input_Main_Questionnaire'!$O$29 /(1 + VLOOKUP(AU$301, Growth!$B$20:$D$60, 3, FALSE))),)</f>
        <v>1.0846260797722556E-3</v>
      </c>
      <c r="AV330" s="565">
        <f ca="1">IF(AV$301 &gt;='2.2 Input_General_Information'!$H$20, (AV$257*'2.3 Input_Main_Questionnaire'!$I$62*'2.3 Input_Main_Questionnaire'!$O$29 /(1 + VLOOKUP(AV$301, Growth!$B$20:$D$60, 3, FALSE))),)</f>
        <v>8.4704583749942359E-4</v>
      </c>
      <c r="AW330" s="565">
        <f ca="1">IF(AW$301 &gt;='2.2 Input_General_Information'!$H$20, (AW$257*'2.3 Input_Main_Questionnaire'!$I$62*'2.3 Input_Main_Questionnaire'!$O$29 /(1 + VLOOKUP(AW$301, Growth!$B$20:$D$60, 3, FALSE))),)</f>
        <v>6.2694864649290142E-4</v>
      </c>
      <c r="AX330" s="565">
        <f ca="1">IF(AX$301 &gt;='2.2 Input_General_Information'!$H$20, (AX$257*'2.3 Input_Main_Questionnaire'!$I$62*'2.3 Input_Main_Questionnaire'!$O$29 /(1 + VLOOKUP(AX$301, Growth!$B$20:$D$60, 3, FALSE))),)</f>
        <v>4.5030959460128908E-4</v>
      </c>
      <c r="AY330" s="565">
        <f ca="1">IF(AY$301 &gt;='2.2 Input_General_Information'!$H$20, (AY$257*'2.3 Input_Main_Questionnaire'!$I$62*'2.3 Input_Main_Questionnaire'!$O$29 /(1 + VLOOKUP(AY$301, Growth!$B$20:$D$60, 3, FALSE))),)</f>
        <v>3.2096430611559308E-4</v>
      </c>
      <c r="AZ330" s="565">
        <f ca="1">IF(AZ$301 &gt;='2.2 Input_General_Information'!$H$20, (AZ$257*'2.3 Input_Main_Questionnaire'!$I$62*'2.3 Input_Main_Questionnaire'!$O$29 /(1 + VLOOKUP(AZ$301, Growth!$B$20:$D$60, 3, FALSE))),)</f>
        <v>2.31555883055089E-4</v>
      </c>
      <c r="BA330" s="565">
        <f ca="1">IF(BA$301 &gt;='2.2 Input_General_Information'!$H$20, (BA$257*'2.3 Input_Main_Questionnaire'!$I$62*'2.3 Input_Main_Questionnaire'!$O$29 /(1 + VLOOKUP(BA$301, Growth!$B$20:$D$60, 3, FALSE))),)</f>
        <v>1.7183190600862023E-4</v>
      </c>
      <c r="BB330" s="565">
        <f ca="1">IF(BB$301 &gt;='2.2 Input_General_Information'!$H$20, (BB$257*'2.3 Input_Main_Questionnaire'!$I$62*'2.3 Input_Main_Questionnaire'!$O$29 /(1 + VLOOKUP(BB$301, Growth!$B$20:$D$60, 3, FALSE))),)</f>
        <v>1.3262306583865143E-4</v>
      </c>
      <c r="BC330" s="565">
        <f ca="1">IF(BC$301 &gt;='2.2 Input_General_Information'!$H$20, (BC$257*'2.3 Input_Main_Questionnaire'!$I$62*'2.3 Input_Main_Questionnaire'!$O$29 /(1 + VLOOKUP(BC$301, Growth!$B$20:$D$60, 3, FALSE))),)</f>
        <v>1.0699178624951919E-4</v>
      </c>
      <c r="BD330" s="565">
        <f ca="1">IF(BD$301 &gt;='2.2 Input_General_Information'!$H$20, (BD$257*'2.3 Input_Main_Questionnaire'!$I$62*'2.3 Input_Main_Questionnaire'!$O$29 /(1 + VLOOKUP(BD$301, Growth!$B$20:$D$60, 3, FALSE))),)</f>
        <v>9.011681475628764E-5</v>
      </c>
      <c r="BE330" s="565">
        <f ca="1">IF(BE$301 &gt;='2.2 Input_General_Information'!$H$20, (BE$257*'2.3 Input_Main_Questionnaire'!$I$62*'2.3 Input_Main_Questionnaire'!$O$29 /(1 + VLOOKUP(BE$301, Growth!$B$20:$D$60, 3, FALSE))),)</f>
        <v>7.8804444358747511E-5</v>
      </c>
      <c r="BF330" s="565">
        <f ca="1">IF(BF$301 &gt;='2.2 Input_General_Information'!$H$20, (BF$257*'2.3 Input_Main_Questionnaire'!$I$62*'2.3 Input_Main_Questionnaire'!$O$29 /(1 + VLOOKUP(BF$301, Growth!$B$20:$D$60, 3, FALSE))),)</f>
        <v>7.0998125451874366E-5</v>
      </c>
      <c r="BG330" s="565">
        <f ca="1">IF(BG$301 &gt;='2.2 Input_General_Information'!$H$20, (BG$257*'2.3 Input_Main_Questionnaire'!$I$62*'2.3 Input_Main_Questionnaire'!$O$29 /(1 + VLOOKUP(BG$301, Growth!$B$20:$D$60, 3, FALSE))),)</f>
        <v>6.5395993098991056E-5</v>
      </c>
      <c r="BH330" s="565">
        <f ca="1">IF(BH$301 &gt;='2.2 Input_General_Information'!$H$20, (BH$257*'2.3 Input_Main_Questionnaire'!$I$62*'2.3 Input_Main_Questionnaire'!$O$29 /(1 + VLOOKUP(BH$301, Growth!$B$20:$D$60, 3, FALSE))),)</f>
        <v>6.1182436099723931E-5</v>
      </c>
      <c r="BI330" s="565">
        <f ca="1">IF(BI$301 &gt;='2.2 Input_General_Information'!$H$20, (BI$257*'2.3 Input_Main_Questionnaire'!$I$62*'2.3 Input_Main_Questionnaire'!$O$29 /(1 + VLOOKUP(BI$301, Growth!$B$20:$D$60, 3, FALSE))),)</f>
        <v>5.784966657380535E-5</v>
      </c>
      <c r="BJ330" s="565">
        <f ca="1">IF(BJ$301 &gt;='2.2 Input_General_Information'!$H$20, (BJ$257*'2.3 Input_Main_Questionnaire'!$I$62*'2.3 Input_Main_Questionnaire'!$O$29 /(1 + VLOOKUP(BJ$301, Growth!$B$20:$D$60, 3, FALSE))),)</f>
        <v>5.5082684184665939E-5</v>
      </c>
      <c r="BK330" s="565">
        <f ca="1">IF(BK$301 &gt;='2.2 Input_General_Information'!$H$20, (BK$257*'2.3 Input_Main_Questionnaire'!$I$62*'2.3 Input_Main_Questionnaire'!$O$29 /(1 + VLOOKUP(BK$301, Growth!$B$20:$D$60, 3, FALSE))),)</f>
        <v>5.2686433440153483E-5</v>
      </c>
      <c r="BL330" s="349"/>
      <c r="BM330" s="349"/>
      <c r="BN330" s="349"/>
      <c r="BO330" s="349"/>
      <c r="BP330" s="349"/>
      <c r="BQ330" s="349"/>
      <c r="BR330" s="349"/>
      <c r="BS330" s="349"/>
      <c r="BT330" s="349"/>
      <c r="BU330" s="349"/>
    </row>
    <row r="331" spans="1:73" hidden="1">
      <c r="A331" s="6"/>
      <c r="B331" s="108"/>
      <c r="C331" s="1"/>
      <c r="D331" s="37"/>
      <c r="E331" s="1"/>
      <c r="F331" s="1"/>
      <c r="G331" s="3"/>
      <c r="H331" s="3"/>
      <c r="I331" s="3"/>
      <c r="J331" s="3"/>
      <c r="K331" s="3"/>
      <c r="L331" s="3"/>
      <c r="M331" s="3"/>
      <c r="N331" s="3"/>
      <c r="O331" s="1"/>
      <c r="P331" s="1"/>
      <c r="Q331" s="1"/>
      <c r="R331" s="162"/>
      <c r="S331" s="1"/>
      <c r="T331" s="103"/>
      <c r="U331" s="103"/>
      <c r="V331" s="103"/>
      <c r="W331" s="98"/>
      <c r="X331" s="98"/>
      <c r="Y331" s="98"/>
      <c r="Z331" s="98"/>
      <c r="AA331" s="98"/>
      <c r="AB331" s="98"/>
      <c r="AC331" s="98"/>
      <c r="AD331" s="98"/>
      <c r="AE331" s="98"/>
      <c r="AF331" s="98"/>
      <c r="AG331" s="98"/>
      <c r="AH331" s="98"/>
      <c r="AI331" s="98"/>
      <c r="AJ331" s="98"/>
      <c r="AK331" s="98"/>
      <c r="AL331" s="98"/>
      <c r="AM331" s="98"/>
      <c r="AN331" s="98"/>
      <c r="AO331" s="98"/>
      <c r="AP331" s="98"/>
      <c r="AQ331" s="98"/>
      <c r="AR331" s="98"/>
      <c r="AS331" s="98"/>
      <c r="AT331" s="98"/>
      <c r="AU331" s="98"/>
      <c r="AV331" s="98"/>
      <c r="AW331" s="98"/>
      <c r="AX331" s="98"/>
      <c r="AY331" s="98"/>
      <c r="AZ331" s="98"/>
      <c r="BA331" s="98"/>
      <c r="BB331" s="98"/>
      <c r="BC331" s="98"/>
      <c r="BD331" s="98"/>
      <c r="BE331" s="98"/>
      <c r="BF331" s="98"/>
      <c r="BG331" s="98"/>
      <c r="BH331" s="98"/>
      <c r="BI331" s="98"/>
      <c r="BJ331" s="98"/>
      <c r="BK331" s="98"/>
      <c r="BL331" s="99"/>
      <c r="BM331" s="99"/>
      <c r="BN331" s="99"/>
      <c r="BO331" s="99"/>
      <c r="BP331" s="99"/>
      <c r="BQ331" s="99"/>
      <c r="BR331" s="99"/>
      <c r="BS331" s="99"/>
      <c r="BT331" s="99"/>
      <c r="BU331" s="99"/>
    </row>
    <row r="332" spans="1:73" hidden="1">
      <c r="A332" s="6"/>
      <c r="B332" s="108"/>
      <c r="C332" s="1"/>
      <c r="D332" s="37"/>
      <c r="E332" s="1"/>
      <c r="F332" s="1"/>
      <c r="G332" s="3"/>
      <c r="H332" s="3"/>
      <c r="I332" s="3"/>
      <c r="J332" s="3"/>
      <c r="K332" s="3"/>
      <c r="L332" s="3"/>
      <c r="M332" s="3"/>
      <c r="N332" s="3"/>
      <c r="O332" s="1"/>
      <c r="P332" s="1"/>
      <c r="Q332" s="1"/>
      <c r="R332" s="162"/>
      <c r="S332" s="1"/>
      <c r="T332" s="103"/>
      <c r="U332" s="103"/>
      <c r="V332" s="564" t="str">
        <f>D296</f>
        <v>Time saved in identifying and understanding more easily the licence of a dataset</v>
      </c>
      <c r="W332" s="375"/>
      <c r="X332" s="376"/>
      <c r="Y332" s="376"/>
      <c r="Z332" s="376"/>
      <c r="AA332" s="376"/>
      <c r="AB332" s="376"/>
      <c r="AC332" s="376"/>
      <c r="AD332" s="376"/>
      <c r="AE332" s="376"/>
      <c r="AF332" s="376"/>
      <c r="AG332" s="376"/>
      <c r="AH332" s="376"/>
      <c r="AI332" s="376"/>
      <c r="AJ332" s="376"/>
      <c r="AK332" s="376"/>
      <c r="AL332" s="376"/>
      <c r="AM332" s="376"/>
      <c r="AN332" s="376"/>
      <c r="AO332" s="376"/>
      <c r="AP332" s="376"/>
      <c r="AQ332" s="376"/>
      <c r="AR332" s="376"/>
      <c r="AS332" s="376"/>
      <c r="AT332" s="376"/>
      <c r="AU332" s="376"/>
      <c r="AV332" s="376"/>
      <c r="AW332" s="376"/>
      <c r="AX332" s="376"/>
      <c r="AY332" s="376"/>
      <c r="AZ332" s="376"/>
      <c r="BA332" s="376"/>
      <c r="BB332" s="376"/>
      <c r="BC332" s="376"/>
      <c r="BD332" s="376"/>
      <c r="BE332" s="376"/>
      <c r="BF332" s="376"/>
      <c r="BG332" s="376"/>
      <c r="BH332" s="376"/>
      <c r="BI332" s="376"/>
      <c r="BJ332" s="376"/>
      <c r="BK332" s="376"/>
      <c r="BL332" s="99"/>
      <c r="BM332" s="99"/>
      <c r="BN332" s="99"/>
      <c r="BO332" s="99"/>
      <c r="BP332" s="99"/>
      <c r="BQ332" s="99"/>
      <c r="BR332" s="99"/>
      <c r="BS332" s="99"/>
      <c r="BT332" s="99"/>
      <c r="BU332" s="99"/>
    </row>
    <row r="333" spans="1:73" hidden="1">
      <c r="A333" s="6"/>
      <c r="B333" s="108"/>
      <c r="C333" s="1"/>
      <c r="D333" s="37"/>
      <c r="E333" s="1"/>
      <c r="F333" s="1"/>
      <c r="G333" s="3"/>
      <c r="H333" s="3"/>
      <c r="I333" s="3"/>
      <c r="J333" s="3"/>
      <c r="K333" s="3"/>
      <c r="L333" s="3"/>
      <c r="M333" s="3"/>
      <c r="N333" s="3"/>
      <c r="O333" s="1"/>
      <c r="P333" s="1"/>
      <c r="Q333" s="1"/>
      <c r="R333" s="162"/>
      <c r="S333" s="1"/>
      <c r="T333" s="103"/>
      <c r="U333" s="103"/>
      <c r="V333" s="103" t="str">
        <f>G$10</f>
        <v>PhD researcher</v>
      </c>
      <c r="W333" s="373">
        <f ca="1">IF(W$312&gt;='2.2 Input_General_Information'!$H$20,(W$289*'2.3 Input_Main_Questionnaire'!$H$102*'2.3 Input_Main_Questionnaire'!$I$61)*'2.3 Input_Main_Questionnaire'!$H$29,)</f>
        <v>0</v>
      </c>
      <c r="X333" s="373">
        <f ca="1">IF(X$312&gt;='2.2 Input_General_Information'!$H$20,(X$289*'2.3 Input_Main_Questionnaire'!$H$102*'2.3 Input_Main_Questionnaire'!$I$61)*'2.3 Input_Main_Questionnaire'!$H$29,)</f>
        <v>2.0869234741011473E-5</v>
      </c>
      <c r="Y333" s="373">
        <f ca="1">IF(Y$312&gt;='2.2 Input_General_Information'!$H$20,(Y$289*'2.3 Input_Main_Questionnaire'!$H$102*'2.3 Input_Main_Questionnaire'!$I$61)*'2.3 Input_Main_Questionnaire'!$H$29,)</f>
        <v>2.212951338140304E-5</v>
      </c>
      <c r="Z333" s="373">
        <f ca="1">IF(Z$312&gt;='2.2 Input_General_Information'!$H$20,(Z$289*'2.3 Input_Main_Questionnaire'!$H$102*'2.3 Input_Main_Questionnaire'!$I$61)*'2.3 Input_Main_Questionnaire'!$H$29,)</f>
        <v>2.3632076955121322E-5</v>
      </c>
      <c r="AA333" s="373">
        <f ca="1">IF(AA$312&gt;='2.2 Input_General_Information'!$H$20,(AA$289*'2.3 Input_Main_Questionnaire'!$H$102*'2.3 Input_Main_Questionnaire'!$I$61)*'2.3 Input_Main_Questionnaire'!$H$29,)</f>
        <v>2.5088297530520262E-5</v>
      </c>
      <c r="AB333" s="373">
        <f ca="1">IF(AB$312&gt;='2.2 Input_General_Information'!$H$20,(AB$289*'2.3 Input_Main_Questionnaire'!$H$102*'2.3 Input_Main_Questionnaire'!$I$61)*'2.3 Input_Main_Questionnaire'!$H$29,)</f>
        <v>2.6050207972608034E-5</v>
      </c>
      <c r="AC333" s="373">
        <f ca="1">IF(AC$312&gt;='2.2 Input_General_Information'!$H$20,(AC$289*'2.3 Input_Main_Questionnaire'!$H$102*'2.3 Input_Main_Questionnaire'!$I$61)*'2.3 Input_Main_Questionnaire'!$H$29,)</f>
        <v>2.6064143071596887E-5</v>
      </c>
      <c r="AD333" s="373">
        <f ca="1">IF(AD$312&gt;='2.2 Input_General_Information'!$H$20,(AD$289*'2.3 Input_Main_Questionnaire'!$H$102*'2.3 Input_Main_Questionnaire'!$I$61)*'2.3 Input_Main_Questionnaire'!$H$29,)</f>
        <v>2.4888249872530544E-5</v>
      </c>
      <c r="AE333" s="373">
        <f ca="1">IF(AE$312&gt;='2.2 Input_General_Information'!$H$20,(AE$289*'2.3 Input_Main_Questionnaire'!$H$102*'2.3 Input_Main_Questionnaire'!$I$61)*'2.3 Input_Main_Questionnaire'!$H$29,)</f>
        <v>2.2623762656582883E-5</v>
      </c>
      <c r="AF333" s="373">
        <f ca="1">IF(AF$312&gt;='2.2 Input_General_Information'!$H$20,(AF$289*'2.3 Input_Main_Questionnaire'!$H$102*'2.3 Input_Main_Questionnaire'!$I$61)*'2.3 Input_Main_Questionnaire'!$H$29,)</f>
        <v>1.9654867186455472E-5</v>
      </c>
      <c r="AG333" s="373">
        <f ca="1">IF(AG$312&gt;='2.2 Input_General_Information'!$H$20,(AG$289*'2.3 Input_Main_Questionnaire'!$H$102*'2.3 Input_Main_Questionnaire'!$I$61)*'2.3 Input_Main_Questionnaire'!$H$29,)</f>
        <v>1.6454722768778555E-5</v>
      </c>
      <c r="AH333" s="373">
        <f ca="1">IF(AH$312&gt;='2.2 Input_General_Information'!$H$20,(AH$289*'2.3 Input_Main_Questionnaire'!$H$102*'2.3 Input_Main_Questionnaire'!$I$61)*'2.3 Input_Main_Questionnaire'!$H$29,)</f>
        <v>1.3407173802317636E-5</v>
      </c>
      <c r="AI333" s="373">
        <f ca="1">IF(AI$312&gt;='2.2 Input_General_Information'!$H$20,(AI$289*'2.3 Input_Main_Questionnaire'!$H$102*'2.3 Input_Main_Questionnaire'!$I$61)*'2.3 Input_Main_Questionnaire'!$H$29,)</f>
        <v>1.0733249796083038E-5</v>
      </c>
      <c r="AJ333" s="373">
        <f ca="1">IF(AJ$312&gt;='2.2 Input_General_Information'!$H$20,(AJ$289*'2.3 Input_Main_Questionnaire'!$H$102*'2.3 Input_Main_Questionnaire'!$I$61)*'2.3 Input_Main_Questionnaire'!$H$29,)</f>
        <v>8.5087303393034525E-6</v>
      </c>
      <c r="AK333" s="373">
        <f ca="1">IF(AK$312&gt;='2.2 Input_General_Information'!$H$20,(AK$289*'2.3 Input_Main_Questionnaire'!$H$102*'2.3 Input_Main_Questionnaire'!$I$61)*'2.3 Input_Main_Questionnaire'!$H$29,)</f>
        <v>6.7176412250165635E-6</v>
      </c>
      <c r="AL333" s="373">
        <f ca="1">IF(AL$312&gt;='2.2 Input_General_Information'!$H$20,(AL$289*'2.3 Input_Main_Questionnaire'!$H$102*'2.3 Input_Main_Questionnaire'!$I$61)*'2.3 Input_Main_Questionnaire'!$H$29,)</f>
        <v>5.3016058462481675E-6</v>
      </c>
      <c r="AM333" s="373">
        <f ca="1">IF(AM$312&gt;='2.2 Input_General_Information'!$H$20,(AM$289*'2.3 Input_Main_Questionnaire'!$H$102*'2.3 Input_Main_Questionnaire'!$I$61)*'2.3 Input_Main_Questionnaire'!$H$29,)</f>
        <v>4.1914953878852484E-6</v>
      </c>
      <c r="AN333" s="373">
        <f ca="1">IF(AN$312&gt;='2.2 Input_General_Information'!$H$20,(AN$289*'2.3 Input_Main_Questionnaire'!$H$102*'2.3 Input_Main_Questionnaire'!$I$61)*'2.3 Input_Main_Questionnaire'!$H$29,)</f>
        <v>3.3231143562711742E-6</v>
      </c>
      <c r="AO333" s="373">
        <f ca="1">IF(AO$312&gt;='2.2 Input_General_Information'!$H$20,(AO$289*'2.3 Input_Main_Questionnaire'!$H$102*'2.3 Input_Main_Questionnaire'!$I$61)*'2.3 Input_Main_Questionnaire'!$H$29,)</f>
        <v>2.6428260699475249E-6</v>
      </c>
      <c r="AP333" s="373">
        <f ca="1">IF(AP$312&gt;='2.2 Input_General_Information'!$H$20,(AP$289*'2.3 Input_Main_Questionnaire'!$H$102*'2.3 Input_Main_Questionnaire'!$I$61)*'2.3 Input_Main_Questionnaire'!$H$29,)</f>
        <v>2.1081163002266771E-6</v>
      </c>
      <c r="AQ333" s="373">
        <f ca="1">IF(AQ$312&gt;='2.2 Input_General_Information'!$H$20,(AQ$289*'2.3 Input_Main_Questionnaire'!$H$102*'2.3 Input_Main_Questionnaire'!$I$61)*'2.3 Input_Main_Questionnaire'!$H$29,)</f>
        <v>1.6861424043917158E-6</v>
      </c>
      <c r="AR333" s="373">
        <f ca="1">IF(AR$312&gt;='2.2 Input_General_Information'!$H$20,(AR$289*'2.3 Input_Main_Questionnaire'!$H$102*'2.3 Input_Main_Questionnaire'!$I$61)*'2.3 Input_Main_Questionnaire'!$H$29,)</f>
        <v>1.3517939878218837E-6</v>
      </c>
      <c r="AS333" s="373">
        <f ca="1">IF(AS$312&gt;='2.2 Input_General_Information'!$H$20,(AS$289*'2.3 Input_Main_Questionnaire'!$H$102*'2.3 Input_Main_Questionnaire'!$I$61)*'2.3 Input_Main_Questionnaire'!$H$29,)</f>
        <v>1.0858985234632566E-6</v>
      </c>
      <c r="AT333" s="373">
        <f ca="1">IF(AT$312&gt;='2.2 Input_General_Information'!$H$20,(AT$289*'2.3 Input_Main_Questionnaire'!$H$102*'2.3 Input_Main_Questionnaire'!$I$61)*'2.3 Input_Main_Questionnaire'!$H$29,)</f>
        <v>8.7376382902933686E-7</v>
      </c>
      <c r="AU333" s="373">
        <f ca="1">IF(AU$312&gt;='2.2 Input_General_Information'!$H$20,(AU$289*'2.3 Input_Main_Questionnaire'!$H$102*'2.3 Input_Main_Questionnaire'!$I$61)*'2.3 Input_Main_Questionnaire'!$H$29,)</f>
        <v>7.0406259489538255E-7</v>
      </c>
      <c r="AV333" s="373">
        <f ca="1">IF(AV$312&gt;='2.2 Input_General_Information'!$H$20,(AV$289*'2.3 Input_Main_Questionnaire'!$H$102*'2.3 Input_Main_Questionnaire'!$I$61)*'2.3 Input_Main_Questionnaire'!$H$29,)</f>
        <v>5.6800168797320357E-7</v>
      </c>
      <c r="AW333" s="373">
        <f ca="1">IF(AW$312&gt;='2.2 Input_General_Information'!$H$20,(AW$289*'2.3 Input_Main_Questionnaire'!$H$102*'2.3 Input_Main_Questionnaire'!$I$61)*'2.3 Input_Main_Questionnaire'!$H$29,)</f>
        <v>4.5870946438176979E-7</v>
      </c>
      <c r="AX333" s="373">
        <f ca="1">IF(AX$312&gt;='2.2 Input_General_Information'!$H$20,(AX$289*'2.3 Input_Main_Questionnaire'!$H$102*'2.3 Input_Main_Questionnaire'!$I$61)*'2.3 Input_Main_Questionnaire'!$H$29,)</f>
        <v>3.7078354693735201E-7</v>
      </c>
      <c r="AY333" s="373">
        <f ca="1">IF(AY$312&gt;='2.2 Input_General_Information'!$H$20,(AY$289*'2.3 Input_Main_Questionnaire'!$H$102*'2.3 Input_Main_Questionnaire'!$I$61)*'2.3 Input_Main_Questionnaire'!$H$29,)</f>
        <v>2.9995480167108968E-7</v>
      </c>
      <c r="AZ333" s="373">
        <f ca="1">IF(AZ$312&gt;='2.2 Input_General_Information'!$H$20,(AZ$289*'2.3 Input_Main_Questionnaire'!$H$102*'2.3 Input_Main_Questionnaire'!$I$61)*'2.3 Input_Main_Questionnaire'!$H$29,)</f>
        <v>2.428352230420482E-7</v>
      </c>
      <c r="BA333" s="373">
        <f ca="1">IF(BA$312&gt;='2.2 Input_General_Information'!$H$20,(BA$289*'2.3 Input_Main_Questionnaire'!$H$102*'2.3 Input_Main_Questionnaire'!$I$61)*'2.3 Input_Main_Questionnaire'!$H$29,)</f>
        <v>1.9672673962970644E-7</v>
      </c>
      <c r="BB333" s="373">
        <f ca="1">IF(BB$312&gt;='2.2 Input_General_Information'!$H$20,(BB$289*'2.3 Input_Main_Questionnaire'!$H$102*'2.3 Input_Main_Questionnaire'!$I$61)*'2.3 Input_Main_Questionnaire'!$H$29,)</f>
        <v>1.5947470112575124E-7</v>
      </c>
      <c r="BC333" s="373">
        <f ca="1">IF(BC$312&gt;='2.2 Input_General_Information'!$H$20,(BC$289*'2.3 Input_Main_Questionnaire'!$H$102*'2.3 Input_Main_Questionnaire'!$I$61)*'2.3 Input_Main_Questionnaire'!$H$29,)</f>
        <v>1.2935454433072237E-7</v>
      </c>
      <c r="BD333" s="373">
        <f ca="1">IF(BD$312&gt;='2.2 Input_General_Information'!$H$20,(BD$289*'2.3 Input_Main_Questionnaire'!$H$102*'2.3 Input_Main_Questionnaire'!$I$61)*'2.3 Input_Main_Questionnaire'!$H$29,)</f>
        <v>1.0498341500413613E-7</v>
      </c>
      <c r="BE333" s="373">
        <f ca="1">IF(BE$312&gt;='2.2 Input_General_Information'!$H$20,(BE$289*'2.3 Input_Main_Questionnaire'!$H$102*'2.3 Input_Main_Questionnaire'!$I$61)*'2.3 Input_Main_Questionnaire'!$H$29,)</f>
        <v>8.5250789180133086E-8</v>
      </c>
      <c r="BF333" s="373">
        <f ca="1">IF(BF$312&gt;='2.2 Input_General_Information'!$H$20,(BF$289*'2.3 Input_Main_Questionnaire'!$H$102*'2.3 Input_Main_Questionnaire'!$I$61)*'2.3 Input_Main_Questionnaire'!$H$29,)</f>
        <v>6.9263715340659449E-8</v>
      </c>
      <c r="BG333" s="373">
        <f ca="1">IF(BG$312&gt;='2.2 Input_General_Information'!$H$20,(BG$289*'2.3 Input_Main_Questionnaire'!$H$102*'2.3 Input_Main_Questionnaire'!$I$61)*'2.3 Input_Main_Questionnaire'!$H$29,)</f>
        <v>5.630341071818024E-8</v>
      </c>
      <c r="BH333" s="373">
        <f ca="1">IF(BH$312&gt;='2.2 Input_General_Information'!$H$20,(BH$289*'2.3 Input_Main_Questionnaire'!$H$102*'2.3 Input_Main_Questionnaire'!$I$61)*'2.3 Input_Main_Questionnaire'!$H$29,)</f>
        <v>4.5790740862839084E-8</v>
      </c>
      <c r="BI333" s="373">
        <f ca="1">IF(BI$312&gt;='2.2 Input_General_Information'!$H$20,(BI$289*'2.3 Input_Main_Questionnaire'!$H$102*'2.3 Input_Main_Questionnaire'!$I$61)*'2.3 Input_Main_Questionnaire'!$H$29,)</f>
        <v>3.7258690931702086E-8</v>
      </c>
      <c r="BJ333" s="373">
        <f ca="1">IF(BJ$312&gt;='2.2 Input_General_Information'!$H$20,(BJ$289*'2.3 Input_Main_Questionnaire'!$H$102*'2.3 Input_Main_Questionnaire'!$I$61)*'2.3 Input_Main_Questionnaire'!$H$29,)</f>
        <v>3.033036591557459E-8</v>
      </c>
      <c r="BK333" s="373">
        <f ca="1">IF(BK$312&gt;='2.2 Input_General_Information'!$H$20,(BK$289*'2.3 Input_Main_Questionnaire'!$H$102*'2.3 Input_Main_Questionnaire'!$I$61)*'2.3 Input_Main_Questionnaire'!$H$29,)</f>
        <v>2.4701379215283709E-8</v>
      </c>
      <c r="BL333" s="381"/>
      <c r="BM333" s="381"/>
      <c r="BN333" s="381"/>
      <c r="BO333" s="381"/>
      <c r="BP333" s="381"/>
      <c r="BQ333" s="381"/>
      <c r="BR333" s="381"/>
      <c r="BS333" s="381"/>
      <c r="BT333" s="381"/>
      <c r="BU333" s="381"/>
    </row>
    <row r="334" spans="1:73" hidden="1">
      <c r="A334" s="6"/>
      <c r="B334" s="108"/>
      <c r="C334" s="1"/>
      <c r="D334" s="37"/>
      <c r="E334" s="1"/>
      <c r="F334" s="1"/>
      <c r="G334" s="3"/>
      <c r="H334" s="3"/>
      <c r="I334" s="3"/>
      <c r="J334" s="3"/>
      <c r="K334" s="3"/>
      <c r="L334" s="3"/>
      <c r="M334" s="3"/>
      <c r="N334" s="3"/>
      <c r="O334" s="1"/>
      <c r="P334" s="1"/>
      <c r="Q334" s="1"/>
      <c r="R334" s="162"/>
      <c r="S334" s="1"/>
      <c r="T334" s="103"/>
      <c r="U334" s="103"/>
      <c r="V334" s="103" t="str">
        <f>$H$10</f>
        <v>Lecturer assistant/Research assistant (Academic)</v>
      </c>
      <c r="W334" s="373">
        <f ca="1">IF(W$312&gt;='2.2 Input_General_Information'!$H$20,(W$289*'2.3 Input_Main_Questionnaire'!$H$102*'2.3 Input_Main_Questionnaire'!$I$61)*'2.3 Input_Main_Questionnaire'!$I$29,)</f>
        <v>0</v>
      </c>
      <c r="X334" s="373">
        <f ca="1">IF(X$312&gt;='2.2 Input_General_Information'!$H$20,(X$289*'2.3 Input_Main_Questionnaire'!$H$102*'2.3 Input_Main_Questionnaire'!$I$61)*'2.3 Input_Main_Questionnaire'!$I$29,)</f>
        <v>1.9682932534155831E-5</v>
      </c>
      <c r="Y334" s="373">
        <f ca="1">IF(Y$312&gt;='2.2 Input_General_Information'!$H$20,(Y$289*'2.3 Input_Main_Questionnaire'!$H$102*'2.3 Input_Main_Questionnaire'!$I$61)*'2.3 Input_Main_Questionnaire'!$I$29,)</f>
        <v>2.0871571205430012E-5</v>
      </c>
      <c r="Z334" s="373">
        <f ca="1">IF(Z$312&gt;='2.2 Input_General_Information'!$H$20,(Z$289*'2.3 Input_Main_Questionnaire'!$H$102*'2.3 Input_Main_Questionnaire'!$I$61)*'2.3 Input_Main_Questionnaire'!$I$29,)</f>
        <v>2.2288722232614423E-5</v>
      </c>
      <c r="AA334" s="373">
        <f ca="1">IF(AA$312&gt;='2.2 Input_General_Information'!$H$20,(AA$289*'2.3 Input_Main_Questionnaire'!$H$102*'2.3 Input_Main_Questionnaire'!$I$61)*'2.3 Input_Main_Questionnaire'!$I$29,)</f>
        <v>2.366216460825171E-5</v>
      </c>
      <c r="AB334" s="373">
        <f ca="1">IF(AB$312&gt;='2.2 Input_General_Information'!$H$20,(AB$289*'2.3 Input_Main_Questionnaire'!$H$102*'2.3 Input_Main_Questionnaire'!$I$61)*'2.3 Input_Main_Questionnaire'!$I$29,)</f>
        <v>2.4569395686462103E-5</v>
      </c>
      <c r="AC334" s="373">
        <f ca="1">IF(AC$312&gt;='2.2 Input_General_Information'!$H$20,(AC$289*'2.3 Input_Main_Questionnaire'!$H$102*'2.3 Input_Main_Questionnaire'!$I$61)*'2.3 Input_Main_Questionnaire'!$I$29,)</f>
        <v>2.4582538651053675E-5</v>
      </c>
      <c r="AD334" s="373">
        <f ca="1">IF(AD$312&gt;='2.2 Input_General_Information'!$H$20,(AD$289*'2.3 Input_Main_Questionnaire'!$H$102*'2.3 Input_Main_Questionnaire'!$I$61)*'2.3 Input_Main_Questionnaire'!$I$29,)</f>
        <v>2.3473488568871615E-5</v>
      </c>
      <c r="AE334" s="373">
        <f ca="1">IF(AE$312&gt;='2.2 Input_General_Information'!$H$20,(AE$289*'2.3 Input_Main_Questionnaire'!$H$102*'2.3 Input_Main_Questionnaire'!$I$61)*'2.3 Input_Main_Questionnaire'!$I$29,)</f>
        <v>2.1337725104178519E-5</v>
      </c>
      <c r="AF334" s="373">
        <f ca="1">IF(AF$312&gt;='2.2 Input_General_Information'!$H$20,(AF$289*'2.3 Input_Main_Questionnaire'!$H$102*'2.3 Input_Main_Questionnaire'!$I$61)*'2.3 Input_Main_Questionnaire'!$I$29,)</f>
        <v>1.8537595153814732E-5</v>
      </c>
      <c r="AG334" s="373">
        <f ca="1">IF(AG$312&gt;='2.2 Input_General_Information'!$H$20,(AG$289*'2.3 Input_Main_Questionnaire'!$H$102*'2.3 Input_Main_Questionnaire'!$I$61)*'2.3 Input_Main_Questionnaire'!$I$29,)</f>
        <v>1.5519361497699493E-5</v>
      </c>
      <c r="AH334" s="373">
        <f ca="1">IF(AH$312&gt;='2.2 Input_General_Information'!$H$20,(AH$289*'2.3 Input_Main_Questionnaire'!$H$102*'2.3 Input_Main_Questionnaire'!$I$61)*'2.3 Input_Main_Questionnaire'!$I$29,)</f>
        <v>1.2645049073415589E-5</v>
      </c>
      <c r="AI334" s="373">
        <f ca="1">IF(AI$312&gt;='2.2 Input_General_Information'!$H$20,(AI$289*'2.3 Input_Main_Questionnaire'!$H$102*'2.3 Input_Main_Questionnaire'!$I$61)*'2.3 Input_Main_Questionnaire'!$I$29,)</f>
        <v>1.0123123067535395E-5</v>
      </c>
      <c r="AJ334" s="373">
        <f ca="1">IF(AJ$312&gt;='2.2 Input_General_Information'!$H$20,(AJ$289*'2.3 Input_Main_Questionnaire'!$H$102*'2.3 Input_Main_Questionnaire'!$I$61)*'2.3 Input_Main_Questionnaire'!$I$29,)</f>
        <v>8.0250554128233254E-6</v>
      </c>
      <c r="AK334" s="373">
        <f ca="1">IF(AK$312&gt;='2.2 Input_General_Information'!$H$20,(AK$289*'2.3 Input_Main_Questionnaire'!$H$102*'2.3 Input_Main_Questionnaire'!$I$61)*'2.3 Input_Main_Questionnaire'!$I$29,)</f>
        <v>6.3357799488845312E-6</v>
      </c>
      <c r="AL334" s="373">
        <f ca="1">IF(AL$312&gt;='2.2 Input_General_Information'!$H$20,(AL$289*'2.3 Input_Main_Questionnaire'!$H$102*'2.3 Input_Main_Questionnaire'!$I$61)*'2.3 Input_Main_Questionnaire'!$I$29,)</f>
        <v>5.0002384605565669E-6</v>
      </c>
      <c r="AM334" s="373">
        <f ca="1">IF(AM$312&gt;='2.2 Input_General_Information'!$H$20,(AM$289*'2.3 Input_Main_Questionnaire'!$H$102*'2.3 Input_Main_Questionnaire'!$I$61)*'2.3 Input_Main_Questionnaire'!$I$29,)</f>
        <v>3.9532317289451359E-6</v>
      </c>
      <c r="AN334" s="373">
        <f ca="1">IF(AN$312&gt;='2.2 Input_General_Information'!$H$20,(AN$289*'2.3 Input_Main_Questionnaire'!$H$102*'2.3 Input_Main_Questionnaire'!$I$61)*'2.3 Input_Main_Questionnaire'!$I$29,)</f>
        <v>3.1342134241861537E-6</v>
      </c>
      <c r="AO334" s="373">
        <f ca="1">IF(AO$312&gt;='2.2 Input_General_Information'!$H$20,(AO$289*'2.3 Input_Main_Questionnaire'!$H$102*'2.3 Input_Main_Questionnaire'!$I$61)*'2.3 Input_Main_Questionnaire'!$I$29,)</f>
        <v>2.4925958177115285E-6</v>
      </c>
      <c r="AP334" s="373">
        <f ca="1">IF(AP$312&gt;='2.2 Input_General_Information'!$H$20,(AP$289*'2.3 Input_Main_Questionnaire'!$H$102*'2.3 Input_Main_Questionnaire'!$I$61)*'2.3 Input_Main_Questionnaire'!$I$29,)</f>
        <v>1.9882813829284088E-6</v>
      </c>
      <c r="AQ334" s="373">
        <f ca="1">IF(AQ$312&gt;='2.2 Input_General_Information'!$H$20,(AQ$289*'2.3 Input_Main_Questionnaire'!$H$102*'2.3 Input_Main_Questionnaire'!$I$61)*'2.3 Input_Main_Questionnaire'!$I$29,)</f>
        <v>1.5902944022859222E-6</v>
      </c>
      <c r="AR334" s="373">
        <f ca="1">IF(AR$312&gt;='2.2 Input_General_Information'!$H$20,(AR$289*'2.3 Input_Main_Questionnaire'!$H$102*'2.3 Input_Main_Questionnaire'!$I$61)*'2.3 Input_Main_Questionnaire'!$I$29,)</f>
        <v>1.2749518701846769E-6</v>
      </c>
      <c r="AS334" s="373">
        <f ca="1">IF(AS$312&gt;='2.2 Input_General_Information'!$H$20,(AS$289*'2.3 Input_Main_Questionnaire'!$H$102*'2.3 Input_Main_Questionnaire'!$I$61)*'2.3 Input_Main_Questionnaire'!$I$29,)</f>
        <v>1.0241711131967838E-6</v>
      </c>
      <c r="AT334" s="373">
        <f ca="1">IF(AT$312&gt;='2.2 Input_General_Information'!$H$20,(AT$289*'2.3 Input_Main_Questionnaire'!$H$102*'2.3 Input_Main_Questionnaire'!$I$61)*'2.3 Input_Main_Questionnaire'!$I$29,)</f>
        <v>8.2409511949054627E-7</v>
      </c>
      <c r="AU334" s="373">
        <f ca="1">IF(AU$312&gt;='2.2 Input_General_Information'!$H$20,(AU$289*'2.3 Input_Main_Questionnaire'!$H$102*'2.3 Input_Main_Questionnaire'!$I$61)*'2.3 Input_Main_Questionnaire'!$I$29,)</f>
        <v>6.6404047523195593E-7</v>
      </c>
      <c r="AV334" s="373">
        <f ca="1">IF(AV$312&gt;='2.2 Input_General_Information'!$H$20,(AV$289*'2.3 Input_Main_Questionnaire'!$H$102*'2.3 Input_Main_Questionnaire'!$I$61)*'2.3 Input_Main_Questionnaire'!$I$29,)</f>
        <v>5.3571388900488918E-7</v>
      </c>
      <c r="AW334" s="373">
        <f ca="1">IF(AW$312&gt;='2.2 Input_General_Information'!$H$20,(AW$289*'2.3 Input_Main_Questionnaire'!$H$102*'2.3 Input_Main_Questionnaire'!$I$61)*'2.3 Input_Main_Questionnaire'!$I$29,)</f>
        <v>4.326343324157527E-7</v>
      </c>
      <c r="AX334" s="373">
        <f ca="1">IF(AX$312&gt;='2.2 Input_General_Information'!$H$20,(AX$289*'2.3 Input_Main_Questionnaire'!$H$102*'2.3 Input_Main_Questionnaire'!$I$61)*'2.3 Input_Main_Questionnaire'!$I$29,)</f>
        <v>3.4970652396759529E-7</v>
      </c>
      <c r="AY334" s="373">
        <f ca="1">IF(AY$312&gt;='2.2 Input_General_Information'!$H$20,(AY$289*'2.3 Input_Main_Questionnaire'!$H$102*'2.3 Input_Main_Questionnaire'!$I$61)*'2.3 Input_Main_Questionnaire'!$I$29,)</f>
        <v>2.8290400668050569E-7</v>
      </c>
      <c r="AZ334" s="373">
        <f ca="1">IF(AZ$312&gt;='2.2 Input_General_Information'!$H$20,(AZ$289*'2.3 Input_Main_Questionnaire'!$H$102*'2.3 Input_Main_Questionnaire'!$I$61)*'2.3 Input_Main_Questionnaire'!$I$29,)</f>
        <v>2.290313646556673E-7</v>
      </c>
      <c r="BA334" s="373">
        <f ca="1">IF(BA$312&gt;='2.2 Input_General_Information'!$H$20,(BA$289*'2.3 Input_Main_Questionnaire'!$H$102*'2.3 Input_Main_Questionnaire'!$I$61)*'2.3 Input_Main_Questionnaire'!$I$29,)</f>
        <v>1.8554389712175329E-7</v>
      </c>
      <c r="BB334" s="373">
        <f ca="1">IF(BB$312&gt;='2.2 Input_General_Information'!$H$20,(BB$289*'2.3 Input_Main_Questionnaire'!$H$102*'2.3 Input_Main_Questionnaire'!$I$61)*'2.3 Input_Main_Questionnaire'!$I$29,)</f>
        <v>1.5040943389238488E-7</v>
      </c>
      <c r="BC334" s="373">
        <f ca="1">IF(BC$312&gt;='2.2 Input_General_Information'!$H$20,(BC$289*'2.3 Input_Main_Questionnaire'!$H$102*'2.3 Input_Main_Questionnaire'!$I$61)*'2.3 Input_Main_Questionnaire'!$I$29,)</f>
        <v>1.2200144378292028E-7</v>
      </c>
      <c r="BD334" s="373">
        <f ca="1">IF(BD$312&gt;='2.2 Input_General_Information'!$H$20,(BD$289*'2.3 Input_Main_Questionnaire'!$H$102*'2.3 Input_Main_Questionnaire'!$I$61)*'2.3 Input_Main_Questionnaire'!$I$29,)</f>
        <v>9.9015680276522821E-8</v>
      </c>
      <c r="BE334" s="373">
        <f ca="1">IF(BE$312&gt;='2.2 Input_General_Information'!$H$20,(BE$289*'2.3 Input_Main_Questionnaire'!$H$102*'2.3 Input_Main_Questionnaire'!$I$61)*'2.3 Input_Main_Questionnaire'!$I$29,)</f>
        <v>8.0404746639731086E-8</v>
      </c>
      <c r="BF334" s="373">
        <f ca="1">IF(BF$312&gt;='2.2 Input_General_Information'!$H$20,(BF$289*'2.3 Input_Main_Questionnaire'!$H$102*'2.3 Input_Main_Questionnaire'!$I$61)*'2.3 Input_Main_Questionnaire'!$I$29,)</f>
        <v>6.5326450779531479E-8</v>
      </c>
      <c r="BG334" s="373">
        <f ca="1">IF(BG$312&gt;='2.2 Input_General_Information'!$H$20,(BG$289*'2.3 Input_Main_Questionnaire'!$H$102*'2.3 Input_Main_Questionnaire'!$I$61)*'2.3 Input_Main_Questionnaire'!$I$29,)</f>
        <v>5.3102868809606188E-8</v>
      </c>
      <c r="BH334" s="373">
        <f ca="1">IF(BH$312&gt;='2.2 Input_General_Information'!$H$20,(BH$289*'2.3 Input_Main_Questionnaire'!$H$102*'2.3 Input_Main_Questionnaire'!$I$61)*'2.3 Input_Main_Questionnaire'!$I$29,)</f>
        <v>4.3187786915879554E-8</v>
      </c>
      <c r="BI334" s="373">
        <f ca="1">IF(BI$312&gt;='2.2 Input_General_Information'!$H$20,(BI$289*'2.3 Input_Main_Questionnaire'!$H$102*'2.3 Input_Main_Questionnaire'!$I$61)*'2.3 Input_Main_Questionnaire'!$I$29,)</f>
        <v>3.5140737502869831E-8</v>
      </c>
      <c r="BJ334" s="373">
        <f ca="1">IF(BJ$312&gt;='2.2 Input_General_Information'!$H$20,(BJ$289*'2.3 Input_Main_Questionnaire'!$H$102*'2.3 Input_Main_Questionnaire'!$I$61)*'2.3 Input_Main_Questionnaire'!$I$29,)</f>
        <v>2.8606249987659096E-8</v>
      </c>
      <c r="BK334" s="373">
        <f ca="1">IF(BK$312&gt;='2.2 Input_General_Information'!$H$20,(BK$289*'2.3 Input_Main_Questionnaire'!$H$102*'2.3 Input_Main_Questionnaire'!$I$61)*'2.3 Input_Main_Questionnaire'!$I$29,)</f>
        <v>2.3297240489588925E-8</v>
      </c>
      <c r="BL334" s="381"/>
      <c r="BM334" s="381"/>
      <c r="BN334" s="381"/>
      <c r="BO334" s="381"/>
      <c r="BP334" s="381"/>
      <c r="BQ334" s="381"/>
      <c r="BR334" s="381"/>
      <c r="BS334" s="381"/>
      <c r="BT334" s="381"/>
      <c r="BU334" s="381"/>
    </row>
    <row r="335" spans="1:73" hidden="1">
      <c r="A335" s="6"/>
      <c r="B335" s="108"/>
      <c r="C335" s="1"/>
      <c r="D335" s="37"/>
      <c r="E335" s="1"/>
      <c r="F335" s="1"/>
      <c r="G335" s="3"/>
      <c r="H335" s="3"/>
      <c r="I335" s="3"/>
      <c r="J335" s="3"/>
      <c r="K335" s="3"/>
      <c r="L335" s="3"/>
      <c r="M335" s="3"/>
      <c r="N335" s="3"/>
      <c r="O335" s="1"/>
      <c r="P335" s="1"/>
      <c r="Q335" s="1"/>
      <c r="R335" s="162"/>
      <c r="S335" s="1"/>
      <c r="T335" s="103"/>
      <c r="U335" s="103"/>
      <c r="V335" s="103" t="str">
        <f>$I$10</f>
        <v>Lecturer/Researcher (Academic)</v>
      </c>
      <c r="W335" s="373">
        <f ca="1">IF(W$312&gt;='2.2 Input_General_Information'!$H$20,(W$289*'2.3 Input_Main_Questionnaire'!$H$102*'2.3 Input_Main_Questionnaire'!$I$61)*'2.3 Input_Main_Questionnaire'!$J$29,)</f>
        <v>0</v>
      </c>
      <c r="X335" s="373">
        <f ca="1">IF(X$312&gt;='2.2 Input_General_Information'!$H$20,(X$289*'2.3 Input_Main_Questionnaire'!$H$102*'2.3 Input_Main_Questionnaire'!$I$61)*'2.3 Input_Main_Questionnaire'!$J$29,)</f>
        <v>1.7177171750287286E-5</v>
      </c>
      <c r="Y335" s="373">
        <f ca="1">IF(Y$312&gt;='2.2 Input_General_Information'!$H$20,(Y$289*'2.3 Input_Main_Questionnaire'!$H$102*'2.3 Input_Main_Questionnaire'!$I$61)*'2.3 Input_Main_Questionnaire'!$J$29,)</f>
        <v>1.8214489262303315E-5</v>
      </c>
      <c r="Z335" s="373">
        <f ca="1">IF(Z$312&gt;='2.2 Input_General_Information'!$H$20,(Z$289*'2.3 Input_Main_Questionnaire'!$H$102*'2.3 Input_Main_Questionnaire'!$I$61)*'2.3 Input_Main_Questionnaire'!$J$29,)</f>
        <v>1.9451228073849859E-5</v>
      </c>
      <c r="AA335" s="373">
        <f ca="1">IF(AA$312&gt;='2.2 Input_General_Information'!$H$20,(AA$289*'2.3 Input_Main_Questionnaire'!$H$102*'2.3 Input_Main_Questionnaire'!$I$61)*'2.3 Input_Main_Questionnaire'!$J$29,)</f>
        <v>2.0649822619378338E-5</v>
      </c>
      <c r="AB335" s="373">
        <f ca="1">IF(AB$312&gt;='2.2 Input_General_Information'!$H$20,(AB$289*'2.3 Input_Main_Questionnaire'!$H$102*'2.3 Input_Main_Questionnaire'!$I$61)*'2.3 Input_Main_Questionnaire'!$J$29,)</f>
        <v>2.1441557490215081E-5</v>
      </c>
      <c r="AC335" s="373">
        <f ca="1">IF(AC$312&gt;='2.2 Input_General_Information'!$H$20,(AC$289*'2.3 Input_Main_Questionnaire'!$H$102*'2.3 Input_Main_Questionnaire'!$I$61)*'2.3 Input_Main_Questionnaire'!$J$29,)</f>
        <v>2.1453027272967507E-5</v>
      </c>
      <c r="AD335" s="373">
        <f ca="1">IF(AD$312&gt;='2.2 Input_General_Information'!$H$20,(AD$289*'2.3 Input_Main_Questionnaire'!$H$102*'2.3 Input_Main_Questionnaire'!$I$61)*'2.3 Input_Main_Questionnaire'!$J$29,)</f>
        <v>2.0485166223387961E-5</v>
      </c>
      <c r="AE335" s="373">
        <f ca="1">IF(AE$312&gt;='2.2 Input_General_Information'!$H$20,(AE$289*'2.3 Input_Main_Questionnaire'!$H$102*'2.3 Input_Main_Questionnaire'!$I$61)*'2.3 Input_Main_Questionnaire'!$J$29,)</f>
        <v>1.8621298845528487E-5</v>
      </c>
      <c r="AF335" s="373">
        <f ca="1">IF(AF$312&gt;='2.2 Input_General_Information'!$H$20,(AF$289*'2.3 Input_Main_Questionnaire'!$H$102*'2.3 Input_Main_Questionnaire'!$I$61)*'2.3 Input_Main_Questionnaire'!$J$29,)</f>
        <v>1.6177643003236842E-5</v>
      </c>
      <c r="AG335" s="373">
        <f ca="1">IF(AG$312&gt;='2.2 Input_General_Information'!$H$20,(AG$289*'2.3 Input_Main_Questionnaire'!$H$102*'2.3 Input_Main_Questionnaire'!$I$61)*'2.3 Input_Main_Questionnaire'!$J$29,)</f>
        <v>1.3543649425114135E-5</v>
      </c>
      <c r="AH335" s="373">
        <f ca="1">IF(AH$312&gt;='2.2 Input_General_Information'!$H$20,(AH$289*'2.3 Input_Main_Questionnaire'!$H$102*'2.3 Input_Main_Questionnaire'!$I$61)*'2.3 Input_Main_Questionnaire'!$J$29,)</f>
        <v>1.1035255003183715E-5</v>
      </c>
      <c r="AI335" s="373">
        <f ca="1">IF(AI$312&gt;='2.2 Input_General_Information'!$H$20,(AI$289*'2.3 Input_Main_Questionnaire'!$H$102*'2.3 Input_Main_Questionnaire'!$I$61)*'2.3 Input_Main_Questionnaire'!$J$29,)</f>
        <v>8.8343859980521068E-6</v>
      </c>
      <c r="AJ335" s="373">
        <f ca="1">IF(AJ$312&gt;='2.2 Input_General_Information'!$H$20,(AJ$289*'2.3 Input_Main_Questionnaire'!$H$102*'2.3 Input_Main_Questionnaire'!$I$61)*'2.3 Input_Main_Questionnaire'!$J$29,)</f>
        <v>7.0034155170948956E-6</v>
      </c>
      <c r="AK335" s="373">
        <f ca="1">IF(AK$312&gt;='2.2 Input_General_Information'!$H$20,(AK$289*'2.3 Input_Main_Questionnaire'!$H$102*'2.3 Input_Main_Questionnaire'!$I$61)*'2.3 Input_Main_Questionnaire'!$J$29,)</f>
        <v>5.5291954166464638E-6</v>
      </c>
      <c r="AL335" s="373">
        <f ca="1">IF(AL$312&gt;='2.2 Input_General_Information'!$H$20,(AL$289*'2.3 Input_Main_Questionnaire'!$H$102*'2.3 Input_Main_Questionnaire'!$I$61)*'2.3 Input_Main_Questionnaire'!$J$29,)</f>
        <v>4.3636767377181849E-6</v>
      </c>
      <c r="AM335" s="373">
        <f ca="1">IF(AM$312&gt;='2.2 Input_General_Information'!$H$20,(AM$289*'2.3 Input_Main_Questionnaire'!$H$102*'2.3 Input_Main_Questionnaire'!$I$61)*'2.3 Input_Main_Questionnaire'!$J$29,)</f>
        <v>3.4499605309797954E-6</v>
      </c>
      <c r="AN335" s="373">
        <f ca="1">IF(AN$312&gt;='2.2 Input_General_Information'!$H$20,(AN$289*'2.3 Input_Main_Questionnaire'!$H$102*'2.3 Input_Main_Questionnaire'!$I$61)*'2.3 Input_Main_Questionnaire'!$J$29,)</f>
        <v>2.7352083941698354E-6</v>
      </c>
      <c r="AO335" s="373">
        <f ca="1">IF(AO$312&gt;='2.2 Input_General_Information'!$H$20,(AO$289*'2.3 Input_Main_Questionnaire'!$H$102*'2.3 Input_Main_Questionnaire'!$I$61)*'2.3 Input_Main_Questionnaire'!$J$29,)</f>
        <v>2.1752727339069244E-6</v>
      </c>
      <c r="AP335" s="373">
        <f ca="1">IF(AP$312&gt;='2.2 Input_General_Information'!$H$20,(AP$289*'2.3 Input_Main_Questionnaire'!$H$102*'2.3 Input_Main_Questionnaire'!$I$61)*'2.3 Input_Main_Questionnaire'!$J$29,)</f>
        <v>1.7351606902677813E-6</v>
      </c>
      <c r="AQ335" s="373">
        <f ca="1">IF(AQ$312&gt;='2.2 Input_General_Information'!$H$20,(AQ$289*'2.3 Input_Main_Questionnaire'!$H$102*'2.3 Input_Main_Questionnaire'!$I$61)*'2.3 Input_Main_Questionnaire'!$J$29,)</f>
        <v>1.3878399488583787E-6</v>
      </c>
      <c r="AR335" s="373">
        <f ca="1">IF(AR$312&gt;='2.2 Input_General_Information'!$H$20,(AR$289*'2.3 Input_Main_Questionnaire'!$H$102*'2.3 Input_Main_Questionnaire'!$I$61)*'2.3 Input_Main_Questionnaire'!$J$29,)</f>
        <v>1.1126424992571074E-6</v>
      </c>
      <c r="AS335" s="373">
        <f ca="1">IF(AS$312&gt;='2.2 Input_General_Information'!$H$20,(AS$289*'2.3 Input_Main_Questionnaire'!$H$102*'2.3 Input_Main_Questionnaire'!$I$61)*'2.3 Input_Main_Questionnaire'!$J$29,)</f>
        <v>8.9378770579719331E-7</v>
      </c>
      <c r="AT335" s="373">
        <f ca="1">IF(AT$312&gt;='2.2 Input_General_Information'!$H$20,(AT$289*'2.3 Input_Main_Questionnaire'!$H$102*'2.3 Input_Main_Questionnaire'!$I$61)*'2.3 Input_Main_Questionnaire'!$J$29,)</f>
        <v>7.1918264117901921E-7</v>
      </c>
      <c r="AU335" s="373">
        <f ca="1">IF(AU$312&gt;='2.2 Input_General_Information'!$H$20,(AU$289*'2.3 Input_Main_Questionnaire'!$H$102*'2.3 Input_Main_Questionnaire'!$I$61)*'2.3 Input_Main_Questionnaire'!$J$29,)</f>
        <v>5.7950395716737114E-7</v>
      </c>
      <c r="AV335" s="373">
        <f ca="1">IF(AV$312&gt;='2.2 Input_General_Information'!$H$20,(AV$289*'2.3 Input_Main_Questionnaire'!$H$102*'2.3 Input_Main_Questionnaire'!$I$61)*'2.3 Input_Main_Questionnaire'!$J$29,)</f>
        <v>4.6751415036773544E-7</v>
      </c>
      <c r="AW335" s="373">
        <f ca="1">IF(AW$312&gt;='2.2 Input_General_Information'!$H$20,(AW$289*'2.3 Input_Main_Questionnaire'!$H$102*'2.3 Input_Main_Questionnaire'!$I$61)*'2.3 Input_Main_Questionnaire'!$J$29,)</f>
        <v>3.7755726795692074E-7</v>
      </c>
      <c r="AX335" s="373">
        <f ca="1">IF(AX$312&gt;='2.2 Input_General_Information'!$H$20,(AX$289*'2.3 Input_Main_Questionnaire'!$H$102*'2.3 Input_Main_Questionnaire'!$I$61)*'2.3 Input_Main_Questionnaire'!$J$29,)</f>
        <v>3.0518668973555828E-7</v>
      </c>
      <c r="AY335" s="373">
        <f ca="1">IF(AY$312&gt;='2.2 Input_General_Information'!$H$20,(AY$289*'2.3 Input_Main_Questionnaire'!$H$102*'2.3 Input_Main_Questionnaire'!$I$61)*'2.3 Input_Main_Questionnaire'!$J$29,)</f>
        <v>2.4688855195549667E-7</v>
      </c>
      <c r="AZ335" s="373">
        <f ca="1">IF(AZ$312&gt;='2.2 Input_General_Information'!$H$20,(AZ$289*'2.3 Input_Main_Questionnaire'!$H$102*'2.3 Input_Main_Questionnaire'!$I$61)*'2.3 Input_Main_Questionnaire'!$J$29,)</f>
        <v>1.9987423520688307E-7</v>
      </c>
      <c r="BA335" s="373">
        <f ca="1">IF(BA$312&gt;='2.2 Input_General_Information'!$H$20,(BA$289*'2.3 Input_Main_Questionnaire'!$H$102*'2.3 Input_Main_Questionnaire'!$I$61)*'2.3 Input_Main_Questionnaire'!$J$29,)</f>
        <v>1.6192299508964816E-7</v>
      </c>
      <c r="BB335" s="373">
        <f ca="1">IF(BB$312&gt;='2.2 Input_General_Information'!$H$20,(BB$289*'2.3 Input_Main_Questionnaire'!$H$102*'2.3 Input_Main_Questionnaire'!$I$61)*'2.3 Input_Main_Questionnaire'!$J$29,)</f>
        <v>1.3126136943007019E-7</v>
      </c>
      <c r="BC335" s="373">
        <f ca="1">IF(BC$312&gt;='2.2 Input_General_Information'!$H$20,(BC$289*'2.3 Input_Main_Questionnaire'!$H$102*'2.3 Input_Main_Questionnaire'!$I$61)*'2.3 Input_Main_Questionnaire'!$J$29,)</f>
        <v>1.0646989466664446E-7</v>
      </c>
      <c r="BD335" s="373">
        <f ca="1">IF(BD$312&gt;='2.2 Input_General_Information'!$H$20,(BD$289*'2.3 Input_Main_Questionnaire'!$H$102*'2.3 Input_Main_Questionnaire'!$I$61)*'2.3 Input_Main_Questionnaire'!$J$29,)</f>
        <v>8.6410363045747784E-8</v>
      </c>
      <c r="BE335" s="373">
        <f ca="1">IF(BE$312&gt;='2.2 Input_General_Information'!$H$20,(BE$289*'2.3 Input_Main_Questionnaire'!$H$102*'2.3 Input_Main_Questionnaire'!$I$61)*'2.3 Input_Main_Questionnaire'!$J$29,)</f>
        <v>7.0168718008473804E-8</v>
      </c>
      <c r="BF335" s="373">
        <f ca="1">IF(BF$312&gt;='2.2 Input_General_Information'!$H$20,(BF$289*'2.3 Input_Main_Questionnaire'!$H$102*'2.3 Input_Main_Questionnaire'!$I$61)*'2.3 Input_Main_Questionnaire'!$J$29,)</f>
        <v>5.7009983798373416E-8</v>
      </c>
      <c r="BG335" s="373">
        <f ca="1">IF(BG$312&gt;='2.2 Input_General_Information'!$H$20,(BG$289*'2.3 Input_Main_Questionnaire'!$H$102*'2.3 Input_Main_Questionnaire'!$I$61)*'2.3 Input_Main_Questionnaire'!$J$29,)</f>
        <v>4.6342540492516107E-8</v>
      </c>
      <c r="BH335" s="373">
        <f ca="1">IF(BH$312&gt;='2.2 Input_General_Information'!$H$20,(BH$289*'2.3 Input_Main_Questionnaire'!$H$102*'2.3 Input_Main_Questionnaire'!$I$61)*'2.3 Input_Main_Questionnaire'!$J$29,)</f>
        <v>3.7689710721791564E-8</v>
      </c>
      <c r="BI335" s="373">
        <f ca="1">IF(BI$312&gt;='2.2 Input_General_Information'!$H$20,(BI$289*'2.3 Input_Main_Questionnaire'!$H$102*'2.3 Input_Main_Questionnaire'!$I$61)*'2.3 Input_Main_Questionnaire'!$J$29,)</f>
        <v>3.066710117870375E-8</v>
      </c>
      <c r="BJ335" s="373">
        <f ca="1">IF(BJ$312&gt;='2.2 Input_General_Information'!$H$20,(BJ$289*'2.3 Input_Main_Questionnaire'!$H$102*'2.3 Input_Main_Questionnaire'!$I$61)*'2.3 Input_Main_Questionnaire'!$J$29,)</f>
        <v>2.4964494915429431E-8</v>
      </c>
      <c r="BK335" s="373">
        <f ca="1">IF(BK$312&gt;='2.2 Input_General_Information'!$H$20,(BK$289*'2.3 Input_Main_Questionnaire'!$H$102*'2.3 Input_Main_Questionnaire'!$I$61)*'2.3 Input_Main_Questionnaire'!$J$29,)</f>
        <v>2.0331355630213215E-8</v>
      </c>
      <c r="BL335" s="381"/>
      <c r="BM335" s="381"/>
      <c r="BN335" s="381"/>
      <c r="BO335" s="381"/>
      <c r="BP335" s="381"/>
      <c r="BQ335" s="381"/>
      <c r="BR335" s="381"/>
      <c r="BS335" s="381"/>
      <c r="BT335" s="381"/>
      <c r="BU335" s="381"/>
    </row>
    <row r="336" spans="1:73" hidden="1">
      <c r="A336" s="6"/>
      <c r="B336" s="108"/>
      <c r="C336" s="1"/>
      <c r="D336" s="37"/>
      <c r="E336" s="1"/>
      <c r="F336" s="1"/>
      <c r="G336" s="3"/>
      <c r="H336" s="3"/>
      <c r="I336" s="3"/>
      <c r="J336" s="3"/>
      <c r="K336" s="3"/>
      <c r="L336" s="3"/>
      <c r="M336" s="3"/>
      <c r="N336" s="3"/>
      <c r="O336" s="1"/>
      <c r="P336" s="1"/>
      <c r="Q336" s="1"/>
      <c r="R336" s="162"/>
      <c r="S336" s="1"/>
      <c r="T336" s="103"/>
      <c r="U336" s="103"/>
      <c r="V336" s="103" t="str">
        <f>$J$10</f>
        <v>Other</v>
      </c>
      <c r="W336" s="373">
        <f ca="1">IF(W$312&gt;='2.2 Input_General_Information'!$H$20,(W$289*'2.3 Input_Main_Questionnaire'!$H$102*'2.3 Input_Main_Questionnaire'!$I$61)*'2.3 Input_Main_Questionnaire'!$K$29,)</f>
        <v>0</v>
      </c>
      <c r="X336" s="373">
        <f ca="1">IF(X$312&gt;='2.2 Input_General_Information'!$H$20,(X$289*'2.3 Input_Main_Questionnaire'!$H$102*'2.3 Input_Main_Questionnaire'!$I$61)*'2.3 Input_Main_Questionnaire'!$K$29,)</f>
        <v>2.3617098016075048E-5</v>
      </c>
      <c r="Y336" s="373">
        <f ca="1">IF(Y$312&gt;='2.2 Input_General_Information'!$H$20,(Y$289*'2.3 Input_Main_Questionnaire'!$H$102*'2.3 Input_Main_Questionnaire'!$I$61)*'2.3 Input_Main_Questionnaire'!$K$29,)</f>
        <v>2.5043318217585458E-5</v>
      </c>
      <c r="Z336" s="373">
        <f ca="1">IF(Z$312&gt;='2.2 Input_General_Information'!$H$20,(Z$289*'2.3 Input_Main_Questionnaire'!$H$102*'2.3 Input_Main_Questionnaire'!$I$61)*'2.3 Input_Main_Questionnaire'!$K$29,)</f>
        <v>2.6743725138887296E-5</v>
      </c>
      <c r="AA336" s="373">
        <f ca="1">IF(AA$312&gt;='2.2 Input_General_Information'!$H$20,(AA$289*'2.3 Input_Main_Questionnaire'!$H$102*'2.3 Input_Main_Questionnaire'!$I$61)*'2.3 Input_Main_Questionnaire'!$K$29,)</f>
        <v>2.8391687054550483E-5</v>
      </c>
      <c r="AB336" s="373">
        <f ca="1">IF(AB$312&gt;='2.2 Input_General_Information'!$H$20,(AB$289*'2.3 Input_Main_Questionnaire'!$H$102*'2.3 Input_Main_Questionnaire'!$I$61)*'2.3 Input_Main_Questionnaire'!$K$29,)</f>
        <v>2.9480252757864429E-5</v>
      </c>
      <c r="AC336" s="373">
        <f ca="1">IF(AC$312&gt;='2.2 Input_General_Information'!$H$20,(AC$289*'2.3 Input_Main_Questionnaire'!$H$102*'2.3 Input_Main_Questionnaire'!$I$61)*'2.3 Input_Main_Questionnaire'!$K$29,)</f>
        <v>2.9496022698773508E-5</v>
      </c>
      <c r="AD336" s="373">
        <f ca="1">IF(AD$312&gt;='2.2 Input_General_Information'!$H$20,(AD$289*'2.3 Input_Main_Questionnaire'!$H$102*'2.3 Input_Main_Questionnaire'!$I$61)*'2.3 Input_Main_Questionnaire'!$K$29,)</f>
        <v>2.8165299014679288E-5</v>
      </c>
      <c r="AE336" s="373">
        <f ca="1">IF(AE$312&gt;='2.2 Input_General_Information'!$H$20,(AE$289*'2.3 Input_Main_Questionnaire'!$H$102*'2.3 Input_Main_Questionnaire'!$I$61)*'2.3 Input_Main_Questionnaire'!$K$29,)</f>
        <v>2.5602645558580743E-5</v>
      </c>
      <c r="AF336" s="373">
        <f ca="1">IF(AF$312&gt;='2.2 Input_General_Information'!$H$20,(AF$289*'2.3 Input_Main_Questionnaire'!$H$102*'2.3 Input_Main_Questionnaire'!$I$61)*'2.3 Input_Main_Questionnaire'!$K$29,)</f>
        <v>2.2242834037572291E-5</v>
      </c>
      <c r="AG336" s="373">
        <f ca="1">IF(AG$312&gt;='2.2 Input_General_Information'!$H$20,(AG$289*'2.3 Input_Main_Questionnaire'!$H$102*'2.3 Input_Main_Questionnaire'!$I$61)*'2.3 Input_Main_Questionnaire'!$K$29,)</f>
        <v>1.8621324896686171E-5</v>
      </c>
      <c r="AH336" s="373">
        <f ca="1">IF(AH$312&gt;='2.2 Input_General_Information'!$H$20,(AH$289*'2.3 Input_Main_Questionnaire'!$H$102*'2.3 Input_Main_Questionnaire'!$I$61)*'2.3 Input_Main_Questionnaire'!$K$29,)</f>
        <v>1.5172503531509111E-5</v>
      </c>
      <c r="AI336" s="373">
        <f ca="1">IF(AI$312&gt;='2.2 Input_General_Information'!$H$20,(AI$289*'2.3 Input_Main_Questionnaire'!$H$102*'2.3 Input_Main_Questionnaire'!$I$61)*'2.3 Input_Main_Questionnaire'!$K$29,)</f>
        <v>1.21465025244536E-5</v>
      </c>
      <c r="AJ336" s="373">
        <f ca="1">IF(AJ$312&gt;='2.2 Input_General_Information'!$H$20,(AJ$289*'2.3 Input_Main_Questionnaire'!$H$102*'2.3 Input_Main_Questionnaire'!$I$61)*'2.3 Input_Main_Questionnaire'!$K$29,)</f>
        <v>9.6290794037012965E-6</v>
      </c>
      <c r="AK336" s="373">
        <f ca="1">IF(AK$312&gt;='2.2 Input_General_Information'!$H$20,(AK$289*'2.3 Input_Main_Questionnaire'!$H$102*'2.3 Input_Main_Questionnaire'!$I$61)*'2.3 Input_Main_Questionnaire'!$K$29,)</f>
        <v>7.6021566299346381E-6</v>
      </c>
      <c r="AL336" s="373">
        <f ca="1">IF(AL$312&gt;='2.2 Input_General_Information'!$H$20,(AL$289*'2.3 Input_Main_Questionnaire'!$H$102*'2.3 Input_Main_Questionnaire'!$I$61)*'2.3 Input_Main_Questionnaire'!$K$29,)</f>
        <v>5.9996711171868763E-6</v>
      </c>
      <c r="AM336" s="373">
        <f ca="1">IF(AM$312&gt;='2.2 Input_General_Information'!$H$20,(AM$289*'2.3 Input_Main_Questionnaire'!$H$102*'2.3 Input_Main_Questionnaire'!$I$61)*'2.3 Input_Main_Questionnaire'!$K$29,)</f>
        <v>4.7433918223689789E-6</v>
      </c>
      <c r="AN336" s="373">
        <f ca="1">IF(AN$312&gt;='2.2 Input_General_Information'!$H$20,(AN$289*'2.3 Input_Main_Questionnaire'!$H$102*'2.3 Input_Main_Questionnaire'!$I$61)*'2.3 Input_Main_Questionnaire'!$K$29,)</f>
        <v>3.7606705969170888E-6</v>
      </c>
      <c r="AO336" s="373">
        <f ca="1">IF(AO$312&gt;='2.2 Input_General_Information'!$H$20,(AO$289*'2.3 Input_Main_Questionnaire'!$H$102*'2.3 Input_Main_Questionnaire'!$I$61)*'2.3 Input_Main_Questionnaire'!$K$29,)</f>
        <v>2.9908083889023321E-6</v>
      </c>
      <c r="AP336" s="373">
        <f ca="1">IF(AP$312&gt;='2.2 Input_General_Information'!$H$20,(AP$289*'2.3 Input_Main_Questionnaire'!$H$102*'2.3 Input_Main_Questionnaire'!$I$61)*'2.3 Input_Main_Questionnaire'!$K$29,)</f>
        <v>2.38569309845838E-6</v>
      </c>
      <c r="AQ336" s="373">
        <f ca="1">IF(AQ$312&gt;='2.2 Input_General_Information'!$H$20,(AQ$289*'2.3 Input_Main_Questionnaire'!$H$102*'2.3 Input_Main_Questionnaire'!$I$61)*'2.3 Input_Main_Questionnaire'!$K$29,)</f>
        <v>1.9081576745755438E-6</v>
      </c>
      <c r="AR336" s="373">
        <f ca="1">IF(AR$312&gt;='2.2 Input_General_Information'!$H$20,(AR$289*'2.3 Input_Main_Questionnaire'!$H$102*'2.3 Input_Main_Questionnaire'!$I$61)*'2.3 Input_Main_Questionnaire'!$K$29,)</f>
        <v>1.529785423573373E-6</v>
      </c>
      <c r="AS336" s="373">
        <f ca="1">IF(AS$312&gt;='2.2 Input_General_Information'!$H$20,(AS$289*'2.3 Input_Main_Questionnaire'!$H$102*'2.3 Input_Main_Questionnaire'!$I$61)*'2.3 Input_Main_Questionnaire'!$K$29,)</f>
        <v>1.2288793615294744E-6</v>
      </c>
      <c r="AT336" s="373">
        <f ca="1">IF(AT$312&gt;='2.2 Input_General_Information'!$H$20,(AT$289*'2.3 Input_Main_Questionnaire'!$H$102*'2.3 Input_Main_Questionnaire'!$I$61)*'2.3 Input_Main_Questionnaire'!$K$29,)</f>
        <v>9.8881277867531114E-7</v>
      </c>
      <c r="AU336" s="373">
        <f ca="1">IF(AU$312&gt;='2.2 Input_General_Information'!$H$20,(AU$289*'2.3 Input_Main_Questionnaire'!$H$102*'2.3 Input_Main_Questionnaire'!$I$61)*'2.3 Input_Main_Questionnaire'!$K$29,)</f>
        <v>7.9676689248311563E-7</v>
      </c>
      <c r="AV336" s="373">
        <f ca="1">IF(AV$312&gt;='2.2 Input_General_Information'!$H$20,(AV$289*'2.3 Input_Main_Questionnaire'!$H$102*'2.3 Input_Main_Questionnaire'!$I$61)*'2.3 Input_Main_Questionnaire'!$K$29,)</f>
        <v>6.427907733385848E-7</v>
      </c>
      <c r="AW336" s="373">
        <f ca="1">IF(AW$312&gt;='2.2 Input_General_Information'!$H$20,(AW$289*'2.3 Input_Main_Questionnaire'!$H$102*'2.3 Input_Main_Questionnaire'!$I$61)*'2.3 Input_Main_Questionnaire'!$K$29,)</f>
        <v>5.1910798434387059E-7</v>
      </c>
      <c r="AX336" s="373">
        <f ca="1">IF(AX$312&gt;='2.2 Input_General_Information'!$H$20,(AX$289*'2.3 Input_Main_Questionnaire'!$H$102*'2.3 Input_Main_Questionnaire'!$I$61)*'2.3 Input_Main_Questionnaire'!$K$29,)</f>
        <v>4.1960481442852304E-7</v>
      </c>
      <c r="AY336" s="373">
        <f ca="1">IF(AY$312&gt;='2.2 Input_General_Information'!$H$20,(AY$289*'2.3 Input_Main_Questionnaire'!$H$102*'2.3 Input_Main_Questionnaire'!$I$61)*'2.3 Input_Main_Questionnaire'!$K$29,)</f>
        <v>3.3945001047580972E-7</v>
      </c>
      <c r="AZ336" s="373">
        <f ca="1">IF(AZ$312&gt;='2.2 Input_General_Information'!$H$20,(AZ$289*'2.3 Input_Main_Questionnaire'!$H$102*'2.3 Input_Main_Questionnaire'!$I$61)*'2.3 Input_Main_Questionnaire'!$K$29,)</f>
        <v>2.7480946644723671E-7</v>
      </c>
      <c r="BA336" s="373">
        <f ca="1">IF(BA$312&gt;='2.2 Input_General_Information'!$H$20,(BA$289*'2.3 Input_Main_Questionnaire'!$H$102*'2.3 Input_Main_Questionnaire'!$I$61)*'2.3 Input_Main_Questionnaire'!$K$29,)</f>
        <v>2.2262985441853669E-7</v>
      </c>
      <c r="BB336" s="373">
        <f ca="1">IF(BB$312&gt;='2.2 Input_General_Information'!$H$20,(BB$289*'2.3 Input_Main_Questionnaire'!$H$102*'2.3 Input_Main_Questionnaire'!$I$61)*'2.3 Input_Main_Questionnaire'!$K$29,)</f>
        <v>1.8047282012548765E-7</v>
      </c>
      <c r="BC336" s="373">
        <f ca="1">IF(BC$312&gt;='2.2 Input_General_Information'!$H$20,(BC$289*'2.3 Input_Main_Questionnaire'!$H$102*'2.3 Input_Main_Questionnaire'!$I$61)*'2.3 Input_Main_Questionnaire'!$K$29,)</f>
        <v>1.4638672621185576E-7</v>
      </c>
      <c r="BD336" s="373">
        <f ca="1">IF(BD$312&gt;='2.2 Input_General_Information'!$H$20,(BD$289*'2.3 Input_Main_Questionnaire'!$H$102*'2.3 Input_Main_Questionnaire'!$I$61)*'2.3 Input_Main_Questionnaire'!$K$29,)</f>
        <v>1.1880663728136287E-7</v>
      </c>
      <c r="BE336" s="373">
        <f ca="1">IF(BE$312&gt;='2.2 Input_General_Information'!$H$20,(BE$289*'2.3 Input_Main_Questionnaire'!$H$102*'2.3 Input_Main_Questionnaire'!$I$61)*'2.3 Input_Main_Questionnaire'!$K$29,)</f>
        <v>9.6475806084941782E-8</v>
      </c>
      <c r="BF336" s="373">
        <f ca="1">IF(BF$312&gt;='2.2 Input_General_Information'!$H$20,(BF$289*'2.3 Input_Main_Questionnaire'!$H$102*'2.3 Input_Main_Questionnaire'!$I$61)*'2.3 Input_Main_Questionnaire'!$K$29,)</f>
        <v>7.8383705701639554E-8</v>
      </c>
      <c r="BG336" s="373">
        <f ca="1">IF(BG$312&gt;='2.2 Input_General_Information'!$H$20,(BG$289*'2.3 Input_Main_Questionnaire'!$H$102*'2.3 Input_Main_Questionnaire'!$I$61)*'2.3 Input_Main_Questionnaire'!$K$29,)</f>
        <v>6.371691085334667E-8</v>
      </c>
      <c r="BH336" s="373">
        <f ca="1">IF(BH$312&gt;='2.2 Input_General_Information'!$H$20,(BH$289*'2.3 Input_Main_Questionnaire'!$H$102*'2.3 Input_Main_Questionnaire'!$I$61)*'2.3 Input_Main_Questionnaire'!$K$29,)</f>
        <v>5.1820032148143303E-8</v>
      </c>
      <c r="BI336" s="373">
        <f ca="1">IF(BI$312&gt;='2.2 Input_General_Information'!$H$20,(BI$289*'2.3 Input_Main_Questionnaire'!$H$102*'2.3 Input_Main_Questionnaire'!$I$61)*'2.3 Input_Main_Questionnaire'!$K$29,)</f>
        <v>4.2164562649507405E-8</v>
      </c>
      <c r="BJ336" s="373">
        <f ca="1">IF(BJ$312&gt;='2.2 Input_General_Information'!$H$20,(BJ$289*'2.3 Input_Main_Questionnaire'!$H$102*'2.3 Input_Main_Questionnaire'!$I$61)*'2.3 Input_Main_Questionnaire'!$K$29,)</f>
        <v>3.4323981381256393E-8</v>
      </c>
      <c r="BK336" s="373">
        <f ca="1">IF(BK$312&gt;='2.2 Input_General_Information'!$H$20,(BK$289*'2.3 Input_Main_Questionnaire'!$H$102*'2.3 Input_Main_Questionnaire'!$I$61)*'2.3 Input_Main_Questionnaire'!$K$29,)</f>
        <v>2.79538229982706E-8</v>
      </c>
      <c r="BL336" s="381"/>
      <c r="BM336" s="381"/>
      <c r="BN336" s="381"/>
      <c r="BO336" s="381"/>
      <c r="BP336" s="381"/>
      <c r="BQ336" s="381"/>
      <c r="BR336" s="381"/>
      <c r="BS336" s="381"/>
      <c r="BT336" s="381"/>
      <c r="BU336" s="381"/>
    </row>
    <row r="337" spans="1:73" hidden="1">
      <c r="A337" s="6"/>
      <c r="B337" s="108"/>
      <c r="C337" s="1"/>
      <c r="D337" s="37"/>
      <c r="E337" s="1"/>
      <c r="F337" s="1"/>
      <c r="G337" s="3"/>
      <c r="H337" s="3"/>
      <c r="I337" s="3"/>
      <c r="J337" s="3"/>
      <c r="K337" s="3"/>
      <c r="L337" s="3"/>
      <c r="M337" s="3"/>
      <c r="N337" s="3"/>
      <c r="O337" s="1"/>
      <c r="P337" s="1"/>
      <c r="Q337" s="1"/>
      <c r="R337" s="162"/>
      <c r="S337" s="1"/>
      <c r="T337" s="103"/>
      <c r="U337" s="103"/>
      <c r="V337" s="103" t="str">
        <f>$K$10</f>
        <v>Profile 5</v>
      </c>
      <c r="W337" s="373">
        <f ca="1">IF(W$312&gt;='2.2 Input_General_Information'!$H$20,(W$289*'2.3 Input_Main_Questionnaire'!$H$102*'2.3 Input_Main_Questionnaire'!$I$61)*'2.3 Input_Main_Questionnaire'!$L$29,)</f>
        <v>0</v>
      </c>
      <c r="X337" s="373">
        <f ca="1">IF(X$312&gt;='2.2 Input_General_Information'!$H$20,(X$289*'2.3 Input_Main_Questionnaire'!$H$102*'2.3 Input_Main_Questionnaire'!$I$61)*'2.3 Input_Main_Questionnaire'!$L$29,)</f>
        <v>2.0336609260382409E-5</v>
      </c>
      <c r="Y337" s="373">
        <f ca="1">IF(Y$312&gt;='2.2 Input_General_Information'!$H$20,(Y$289*'2.3 Input_Main_Questionnaire'!$H$102*'2.3 Input_Main_Questionnaire'!$I$61)*'2.3 Input_Main_Questionnaire'!$L$29,)</f>
        <v>2.1564723016680454E-5</v>
      </c>
      <c r="Z337" s="373">
        <f ca="1">IF(Z$312&gt;='2.2 Input_General_Information'!$H$20,(Z$289*'2.3 Input_Main_Questionnaire'!$H$102*'2.3 Input_Main_Questionnaire'!$I$61)*'2.3 Input_Main_Questionnaire'!$L$29,)</f>
        <v>2.3028938100118223E-5</v>
      </c>
      <c r="AA337" s="373">
        <f ca="1">IF(AA$312&gt;='2.2 Input_General_Information'!$H$20,(AA$289*'2.3 Input_Main_Questionnaire'!$H$102*'2.3 Input_Main_Questionnaire'!$I$61)*'2.3 Input_Main_Questionnaire'!$L$29,)</f>
        <v>2.4447992953175197E-5</v>
      </c>
      <c r="AB337" s="373">
        <f ca="1">IF(AB$312&gt;='2.2 Input_General_Information'!$H$20,(AB$289*'2.3 Input_Main_Questionnaire'!$H$102*'2.3 Input_Main_Questionnaire'!$I$61)*'2.3 Input_Main_Questionnaire'!$L$29,)</f>
        <v>2.538535347678741E-5</v>
      </c>
      <c r="AC337" s="373">
        <f ca="1">IF(AC$312&gt;='2.2 Input_General_Information'!$H$20,(AC$289*'2.3 Input_Main_Questionnaire'!$H$102*'2.3 Input_Main_Questionnaire'!$I$61)*'2.3 Input_Main_Questionnaire'!$L$29,)</f>
        <v>2.5398932923597891E-5</v>
      </c>
      <c r="AD337" s="373">
        <f ca="1">IF(AD$312&gt;='2.2 Input_General_Information'!$H$20,(AD$289*'2.3 Input_Main_Questionnaire'!$H$102*'2.3 Input_Main_Questionnaire'!$I$61)*'2.3 Input_Main_Questionnaire'!$L$29,)</f>
        <v>2.4253050919867348E-5</v>
      </c>
      <c r="AE337" s="373">
        <f ca="1">IF(AE$312&gt;='2.2 Input_General_Information'!$H$20,(AE$289*'2.3 Input_Main_Questionnaire'!$H$102*'2.3 Input_Main_Questionnaire'!$I$61)*'2.3 Input_Main_Questionnaire'!$L$29,)</f>
        <v>2.2046358041217658E-5</v>
      </c>
      <c r="AF337" s="373">
        <f ca="1">IF(AF$312&gt;='2.2 Input_General_Information'!$H$20,(AF$289*'2.3 Input_Main_Questionnaire'!$H$102*'2.3 Input_Main_Questionnaire'!$I$61)*'2.3 Input_Main_Questionnaire'!$L$29,)</f>
        <v>1.9153234845269832E-5</v>
      </c>
      <c r="AG337" s="373">
        <f ca="1">IF(AG$312&gt;='2.2 Input_General_Information'!$H$20,(AG$289*'2.3 Input_Main_Questionnaire'!$H$102*'2.3 Input_Main_Questionnaire'!$I$61)*'2.3 Input_Main_Questionnaire'!$L$29,)</f>
        <v>1.6034764647069586E-5</v>
      </c>
      <c r="AH337" s="373">
        <f ca="1">IF(AH$312&gt;='2.2 Input_General_Information'!$H$20,(AH$289*'2.3 Input_Main_Questionnaire'!$H$102*'2.3 Input_Main_Questionnaire'!$I$61)*'2.3 Input_Main_Questionnaire'!$L$29,)</f>
        <v>1.3064995352606512E-5</v>
      </c>
      <c r="AI337" s="373">
        <f ca="1">IF(AI$312&gt;='2.2 Input_General_Information'!$H$20,(AI$289*'2.3 Input_Main_Questionnaire'!$H$102*'2.3 Input_Main_Questionnaire'!$I$61)*'2.3 Input_Main_Questionnaire'!$L$29,)</f>
        <v>1.0459315346531034E-5</v>
      </c>
      <c r="AJ337" s="373">
        <f ca="1">IF(AJ$312&gt;='2.2 Input_General_Information'!$H$20,(AJ$289*'2.3 Input_Main_Questionnaire'!$H$102*'2.3 Input_Main_Questionnaire'!$I$61)*'2.3 Input_Main_Questionnaire'!$L$29,)</f>
        <v>8.2915701682307417E-6</v>
      </c>
      <c r="AK337" s="373">
        <f ca="1">IF(AK$312&gt;='2.2 Input_General_Information'!$H$20,(AK$289*'2.3 Input_Main_Questionnaire'!$H$102*'2.3 Input_Main_Questionnaire'!$I$61)*'2.3 Input_Main_Questionnaire'!$L$29,)</f>
        <v>6.5461933051205487E-6</v>
      </c>
      <c r="AL337" s="373">
        <f ca="1">IF(AL$312&gt;='2.2 Input_General_Information'!$H$20,(AL$289*'2.3 Input_Main_Questionnaire'!$H$102*'2.3 Input_Main_Questionnaire'!$I$61)*'2.3 Input_Main_Questionnaire'!$L$29,)</f>
        <v>5.1662980404274481E-6</v>
      </c>
      <c r="AM337" s="373">
        <f ca="1">IF(AM$312&gt;='2.2 Input_General_Information'!$H$20,(AM$289*'2.3 Input_Main_Questionnaire'!$H$102*'2.3 Input_Main_Questionnaire'!$I$61)*'2.3 Input_Main_Questionnaire'!$L$29,)</f>
        <v>4.0845198675447893E-6</v>
      </c>
      <c r="AN337" s="373">
        <f ca="1">IF(AN$312&gt;='2.2 Input_General_Information'!$H$20,(AN$289*'2.3 Input_Main_Questionnaire'!$H$102*'2.3 Input_Main_Questionnaire'!$I$61)*'2.3 Input_Main_Questionnaire'!$L$29,)</f>
        <v>3.2383016928860627E-6</v>
      </c>
      <c r="AO337" s="373">
        <f ca="1">IF(AO$312&gt;='2.2 Input_General_Information'!$H$20,(AO$289*'2.3 Input_Main_Questionnaire'!$H$102*'2.3 Input_Main_Questionnaire'!$I$61)*'2.3 Input_Main_Questionnaire'!$L$29,)</f>
        <v>2.5753757526170771E-6</v>
      </c>
      <c r="AP337" s="373">
        <f ca="1">IF(AP$312&gt;='2.2 Input_General_Information'!$H$20,(AP$289*'2.3 Input_Main_Questionnaire'!$H$102*'2.3 Input_Main_Questionnaire'!$I$61)*'2.3 Input_Main_Questionnaire'!$L$29,)</f>
        <v>2.0543128679703116E-6</v>
      </c>
      <c r="AQ337" s="373">
        <f ca="1">IF(AQ$312&gt;='2.2 Input_General_Information'!$H$20,(AQ$289*'2.3 Input_Main_Questionnaire'!$H$102*'2.3 Input_Main_Questionnaire'!$I$61)*'2.3 Input_Main_Questionnaire'!$L$29,)</f>
        <v>1.64310860752789E-6</v>
      </c>
      <c r="AR337" s="373">
        <f ca="1">IF(AR$312&gt;='2.2 Input_General_Information'!$H$20,(AR$289*'2.3 Input_Main_Questionnaire'!$H$102*'2.3 Input_Main_Questionnaire'!$I$61)*'2.3 Input_Main_Questionnaire'!$L$29,)</f>
        <v>1.31729344520926E-6</v>
      </c>
      <c r="AS337" s="373">
        <f ca="1">IF(AS$312&gt;='2.2 Input_General_Information'!$H$20,(AS$289*'2.3 Input_Main_Questionnaire'!$H$102*'2.3 Input_Main_Questionnaire'!$I$61)*'2.3 Input_Main_Questionnaire'!$L$29,)</f>
        <v>1.058184175996677E-6</v>
      </c>
      <c r="AT337" s="373">
        <f ca="1">IF(AT$312&gt;='2.2 Input_General_Information'!$H$20,(AT$289*'2.3 Input_Main_Questionnaire'!$H$102*'2.3 Input_Main_Questionnaire'!$I$61)*'2.3 Input_Main_Questionnaire'!$L$29,)</f>
        <v>8.5146359209355329E-7</v>
      </c>
      <c r="AU337" s="373">
        <f ca="1">IF(AU$312&gt;='2.2 Input_General_Information'!$H$20,(AU$289*'2.3 Input_Main_Questionnaire'!$H$102*'2.3 Input_Main_Questionnaire'!$I$61)*'2.3 Input_Main_Questionnaire'!$L$29,)</f>
        <v>6.8609347994445629E-7</v>
      </c>
      <c r="AV337" s="373">
        <f ca="1">IF(AV$312&gt;='2.2 Input_General_Information'!$H$20,(AV$289*'2.3 Input_Main_Questionnaire'!$H$102*'2.3 Input_Main_Questionnaire'!$I$61)*'2.3 Input_Main_Questionnaire'!$L$29,)</f>
        <v>5.5350512517110323E-7</v>
      </c>
      <c r="AW337" s="373">
        <f ca="1">IF(AW$312&gt;='2.2 Input_General_Information'!$H$20,(AW$289*'2.3 Input_Main_Questionnaire'!$H$102*'2.3 Input_Main_Questionnaire'!$I$61)*'2.3 Input_Main_Questionnaire'!$L$29,)</f>
        <v>4.470022622745784E-7</v>
      </c>
      <c r="AX337" s="373">
        <f ca="1">IF(AX$312&gt;='2.2 Input_General_Information'!$H$20,(AX$289*'2.3 Input_Main_Questionnaire'!$H$102*'2.3 Input_Main_Questionnaire'!$I$61)*'2.3 Input_Main_Questionnaire'!$L$29,)</f>
        <v>3.6132039376725711E-7</v>
      </c>
      <c r="AY337" s="373">
        <f ca="1">IF(AY$312&gt;='2.2 Input_General_Information'!$H$20,(AY$289*'2.3 Input_Main_Questionnaire'!$H$102*'2.3 Input_Main_Questionnaire'!$I$61)*'2.3 Input_Main_Questionnaire'!$L$29,)</f>
        <v>2.9229934269572543E-7</v>
      </c>
      <c r="AZ337" s="373">
        <f ca="1">IF(AZ$312&gt;='2.2 Input_General_Information'!$H$20,(AZ$289*'2.3 Input_Main_Questionnaire'!$H$102*'2.3 Input_Main_Questionnaire'!$I$61)*'2.3 Input_Main_Questionnaire'!$L$29,)</f>
        <v>2.366375723379588E-7</v>
      </c>
      <c r="BA337" s="373">
        <f ca="1">IF(BA$312&gt;='2.2 Input_General_Information'!$H$20,(BA$289*'2.3 Input_Main_Questionnaire'!$H$102*'2.3 Input_Main_Questionnaire'!$I$61)*'2.3 Input_Main_Questionnaire'!$L$29,)</f>
        <v>1.9170587156491112E-7</v>
      </c>
      <c r="BB337" s="373">
        <f ca="1">IF(BB$312&gt;='2.2 Input_General_Information'!$H$20,(BB$289*'2.3 Input_Main_Questionnaire'!$H$102*'2.3 Input_Main_Questionnaire'!$I$61)*'2.3 Input_Main_Questionnaire'!$L$29,)</f>
        <v>1.5540458114342348E-7</v>
      </c>
      <c r="BC337" s="373">
        <f ca="1">IF(BC$312&gt;='2.2 Input_General_Information'!$H$20,(BC$289*'2.3 Input_Main_Questionnaire'!$H$102*'2.3 Input_Main_Questionnaire'!$I$61)*'2.3 Input_Main_Questionnaire'!$L$29,)</f>
        <v>1.260531522480357E-7</v>
      </c>
      <c r="BD337" s="373">
        <f ca="1">IF(BD$312&gt;='2.2 Input_General_Information'!$H$20,(BD$289*'2.3 Input_Main_Questionnaire'!$H$102*'2.3 Input_Main_Questionnaire'!$I$61)*'2.3 Input_Main_Questionnaire'!$L$29,)</f>
        <v>1.0230402390194239E-7</v>
      </c>
      <c r="BE337" s="373">
        <f ca="1">IF(BE$312&gt;='2.2 Input_General_Information'!$H$20,(BE$289*'2.3 Input_Main_Questionnaire'!$H$102*'2.3 Input_Main_Questionnaire'!$I$61)*'2.3 Input_Main_Questionnaire'!$L$29,)</f>
        <v>8.3075014978319936E-8</v>
      </c>
      <c r="BF337" s="373">
        <f ca="1">IF(BF$312&gt;='2.2 Input_General_Information'!$H$20,(BF$289*'2.3 Input_Main_Questionnaire'!$H$102*'2.3 Input_Main_Questionnaire'!$I$61)*'2.3 Input_Main_Questionnaire'!$L$29,)</f>
        <v>6.7495963905050968E-8</v>
      </c>
      <c r="BG337" s="373">
        <f ca="1">IF(BG$312&gt;='2.2 Input_General_Information'!$H$20,(BG$289*'2.3 Input_Main_Questionnaire'!$H$102*'2.3 Input_Main_Questionnaire'!$I$61)*'2.3 Input_Main_Questionnaire'!$L$29,)</f>
        <v>5.48664327184123E-8</v>
      </c>
      <c r="BH337" s="373">
        <f ca="1">IF(BH$312&gt;='2.2 Input_General_Information'!$H$20,(BH$289*'2.3 Input_Main_Questionnaire'!$H$102*'2.3 Input_Main_Questionnaire'!$I$61)*'2.3 Input_Main_Questionnaire'!$L$29,)</f>
        <v>4.4622067662163373E-8</v>
      </c>
      <c r="BI337" s="373">
        <f ca="1">IF(BI$312&gt;='2.2 Input_General_Information'!$H$20,(BI$289*'2.3 Input_Main_Questionnaire'!$H$102*'2.3 Input_Main_Questionnaire'!$I$61)*'2.3 Input_Main_Questionnaire'!$L$29,)</f>
        <v>3.6307773065695763E-8</v>
      </c>
      <c r="BJ337" s="373">
        <f ca="1">IF(BJ$312&gt;='2.2 Input_General_Information'!$H$20,(BJ$289*'2.3 Input_Main_Questionnaire'!$H$102*'2.3 Input_Main_Questionnaire'!$I$61)*'2.3 Input_Main_Questionnaire'!$L$29,)</f>
        <v>2.9556273049979875E-8</v>
      </c>
      <c r="BK337" s="373">
        <f ca="1">IF(BK$312&gt;='2.2 Input_General_Information'!$H$20,(BK$289*'2.3 Input_Main_Questionnaire'!$H$102*'2.3 Input_Main_Questionnaire'!$I$61)*'2.3 Input_Main_Questionnaire'!$L$29,)</f>
        <v>2.4070949583339111E-8</v>
      </c>
      <c r="BL337" s="381"/>
      <c r="BM337" s="381"/>
      <c r="BN337" s="381"/>
      <c r="BO337" s="381"/>
      <c r="BP337" s="381"/>
      <c r="BQ337" s="381"/>
      <c r="BR337" s="381"/>
      <c r="BS337" s="381"/>
      <c r="BT337" s="381"/>
      <c r="BU337" s="381"/>
    </row>
    <row r="338" spans="1:73" hidden="1">
      <c r="A338" s="6"/>
      <c r="B338" s="108"/>
      <c r="C338" s="1"/>
      <c r="D338" s="37"/>
      <c r="E338" s="1"/>
      <c r="F338" s="1"/>
      <c r="G338" s="3"/>
      <c r="H338" s="3"/>
      <c r="I338" s="3"/>
      <c r="J338" s="3"/>
      <c r="K338" s="3"/>
      <c r="L338" s="3"/>
      <c r="M338" s="3"/>
      <c r="N338" s="3"/>
      <c r="O338" s="1"/>
      <c r="P338" s="1"/>
      <c r="Q338" s="1"/>
      <c r="R338" s="162"/>
      <c r="S338" s="1"/>
      <c r="T338" s="103"/>
      <c r="U338" s="103"/>
      <c r="V338" s="103" t="str">
        <f>$L$10</f>
        <v>Profile 6</v>
      </c>
      <c r="W338" s="373">
        <f ca="1">IF(W$312&gt;='2.2 Input_General_Information'!$H$20,(W$289*'2.3 Input_Main_Questionnaire'!$H$102*'2.3 Input_Main_Questionnaire'!$I$61)*'2.3 Input_Main_Questionnaire'!$M$29,)</f>
        <v>0</v>
      </c>
      <c r="X338" s="373">
        <f ca="1">IF(X$312&gt;='2.2 Input_General_Information'!$H$20,(X$289*'2.3 Input_Main_Questionnaire'!$H$102*'2.3 Input_Main_Questionnaire'!$I$61)*'2.3 Input_Main_Questionnaire'!$M$29,)</f>
        <v>2.0336609260382409E-5</v>
      </c>
      <c r="Y338" s="373">
        <f ca="1">IF(Y$312&gt;='2.2 Input_General_Information'!$H$20,(Y$289*'2.3 Input_Main_Questionnaire'!$H$102*'2.3 Input_Main_Questionnaire'!$I$61)*'2.3 Input_Main_Questionnaire'!$M$29,)</f>
        <v>2.1564723016680454E-5</v>
      </c>
      <c r="Z338" s="373">
        <f ca="1">IF(Z$312&gt;='2.2 Input_General_Information'!$H$20,(Z$289*'2.3 Input_Main_Questionnaire'!$H$102*'2.3 Input_Main_Questionnaire'!$I$61)*'2.3 Input_Main_Questionnaire'!$M$29,)</f>
        <v>2.3028938100118223E-5</v>
      </c>
      <c r="AA338" s="373">
        <f ca="1">IF(AA$312&gt;='2.2 Input_General_Information'!$H$20,(AA$289*'2.3 Input_Main_Questionnaire'!$H$102*'2.3 Input_Main_Questionnaire'!$I$61)*'2.3 Input_Main_Questionnaire'!$M$29,)</f>
        <v>2.4447992953175197E-5</v>
      </c>
      <c r="AB338" s="373">
        <f ca="1">IF(AB$312&gt;='2.2 Input_General_Information'!$H$20,(AB$289*'2.3 Input_Main_Questionnaire'!$H$102*'2.3 Input_Main_Questionnaire'!$I$61)*'2.3 Input_Main_Questionnaire'!$M$29,)</f>
        <v>2.538535347678741E-5</v>
      </c>
      <c r="AC338" s="373">
        <f ca="1">IF(AC$312&gt;='2.2 Input_General_Information'!$H$20,(AC$289*'2.3 Input_Main_Questionnaire'!$H$102*'2.3 Input_Main_Questionnaire'!$I$61)*'2.3 Input_Main_Questionnaire'!$M$29,)</f>
        <v>2.5398932923597891E-5</v>
      </c>
      <c r="AD338" s="373">
        <f ca="1">IF(AD$312&gt;='2.2 Input_General_Information'!$H$20,(AD$289*'2.3 Input_Main_Questionnaire'!$H$102*'2.3 Input_Main_Questionnaire'!$I$61)*'2.3 Input_Main_Questionnaire'!$M$29,)</f>
        <v>2.4253050919867348E-5</v>
      </c>
      <c r="AE338" s="373">
        <f ca="1">IF(AE$312&gt;='2.2 Input_General_Information'!$H$20,(AE$289*'2.3 Input_Main_Questionnaire'!$H$102*'2.3 Input_Main_Questionnaire'!$I$61)*'2.3 Input_Main_Questionnaire'!$M$29,)</f>
        <v>2.2046358041217658E-5</v>
      </c>
      <c r="AF338" s="373">
        <f ca="1">IF(AF$312&gt;='2.2 Input_General_Information'!$H$20,(AF$289*'2.3 Input_Main_Questionnaire'!$H$102*'2.3 Input_Main_Questionnaire'!$I$61)*'2.3 Input_Main_Questionnaire'!$M$29,)</f>
        <v>1.9153234845269832E-5</v>
      </c>
      <c r="AG338" s="373">
        <f ca="1">IF(AG$312&gt;='2.2 Input_General_Information'!$H$20,(AG$289*'2.3 Input_Main_Questionnaire'!$H$102*'2.3 Input_Main_Questionnaire'!$I$61)*'2.3 Input_Main_Questionnaire'!$M$29,)</f>
        <v>1.6034764647069586E-5</v>
      </c>
      <c r="AH338" s="373">
        <f ca="1">IF(AH$312&gt;='2.2 Input_General_Information'!$H$20,(AH$289*'2.3 Input_Main_Questionnaire'!$H$102*'2.3 Input_Main_Questionnaire'!$I$61)*'2.3 Input_Main_Questionnaire'!$M$29,)</f>
        <v>1.3064995352606512E-5</v>
      </c>
      <c r="AI338" s="373">
        <f ca="1">IF(AI$312&gt;='2.2 Input_General_Information'!$H$20,(AI$289*'2.3 Input_Main_Questionnaire'!$H$102*'2.3 Input_Main_Questionnaire'!$I$61)*'2.3 Input_Main_Questionnaire'!$M$29,)</f>
        <v>1.0459315346531034E-5</v>
      </c>
      <c r="AJ338" s="373">
        <f ca="1">IF(AJ$312&gt;='2.2 Input_General_Information'!$H$20,(AJ$289*'2.3 Input_Main_Questionnaire'!$H$102*'2.3 Input_Main_Questionnaire'!$I$61)*'2.3 Input_Main_Questionnaire'!$M$29,)</f>
        <v>8.2915701682307417E-6</v>
      </c>
      <c r="AK338" s="373">
        <f ca="1">IF(AK$312&gt;='2.2 Input_General_Information'!$H$20,(AK$289*'2.3 Input_Main_Questionnaire'!$H$102*'2.3 Input_Main_Questionnaire'!$I$61)*'2.3 Input_Main_Questionnaire'!$M$29,)</f>
        <v>6.5461933051205487E-6</v>
      </c>
      <c r="AL338" s="373">
        <f ca="1">IF(AL$312&gt;='2.2 Input_General_Information'!$H$20,(AL$289*'2.3 Input_Main_Questionnaire'!$H$102*'2.3 Input_Main_Questionnaire'!$I$61)*'2.3 Input_Main_Questionnaire'!$M$29,)</f>
        <v>5.1662980404274481E-6</v>
      </c>
      <c r="AM338" s="373">
        <f ca="1">IF(AM$312&gt;='2.2 Input_General_Information'!$H$20,(AM$289*'2.3 Input_Main_Questionnaire'!$H$102*'2.3 Input_Main_Questionnaire'!$I$61)*'2.3 Input_Main_Questionnaire'!$M$29,)</f>
        <v>4.0845198675447893E-6</v>
      </c>
      <c r="AN338" s="373">
        <f ca="1">IF(AN$312&gt;='2.2 Input_General_Information'!$H$20,(AN$289*'2.3 Input_Main_Questionnaire'!$H$102*'2.3 Input_Main_Questionnaire'!$I$61)*'2.3 Input_Main_Questionnaire'!$M$29,)</f>
        <v>3.2383016928860627E-6</v>
      </c>
      <c r="AO338" s="373">
        <f ca="1">IF(AO$312&gt;='2.2 Input_General_Information'!$H$20,(AO$289*'2.3 Input_Main_Questionnaire'!$H$102*'2.3 Input_Main_Questionnaire'!$I$61)*'2.3 Input_Main_Questionnaire'!$M$29,)</f>
        <v>2.5753757526170771E-6</v>
      </c>
      <c r="AP338" s="373">
        <f ca="1">IF(AP$312&gt;='2.2 Input_General_Information'!$H$20,(AP$289*'2.3 Input_Main_Questionnaire'!$H$102*'2.3 Input_Main_Questionnaire'!$I$61)*'2.3 Input_Main_Questionnaire'!$M$29,)</f>
        <v>2.0543128679703116E-6</v>
      </c>
      <c r="AQ338" s="373">
        <f ca="1">IF(AQ$312&gt;='2.2 Input_General_Information'!$H$20,(AQ$289*'2.3 Input_Main_Questionnaire'!$H$102*'2.3 Input_Main_Questionnaire'!$I$61)*'2.3 Input_Main_Questionnaire'!$M$29,)</f>
        <v>1.64310860752789E-6</v>
      </c>
      <c r="AR338" s="373">
        <f ca="1">IF(AR$312&gt;='2.2 Input_General_Information'!$H$20,(AR$289*'2.3 Input_Main_Questionnaire'!$H$102*'2.3 Input_Main_Questionnaire'!$I$61)*'2.3 Input_Main_Questionnaire'!$M$29,)</f>
        <v>1.31729344520926E-6</v>
      </c>
      <c r="AS338" s="373">
        <f ca="1">IF(AS$312&gt;='2.2 Input_General_Information'!$H$20,(AS$289*'2.3 Input_Main_Questionnaire'!$H$102*'2.3 Input_Main_Questionnaire'!$I$61)*'2.3 Input_Main_Questionnaire'!$M$29,)</f>
        <v>1.058184175996677E-6</v>
      </c>
      <c r="AT338" s="373">
        <f ca="1">IF(AT$312&gt;='2.2 Input_General_Information'!$H$20,(AT$289*'2.3 Input_Main_Questionnaire'!$H$102*'2.3 Input_Main_Questionnaire'!$I$61)*'2.3 Input_Main_Questionnaire'!$M$29,)</f>
        <v>8.5146359209355329E-7</v>
      </c>
      <c r="AU338" s="373">
        <f ca="1">IF(AU$312&gt;='2.2 Input_General_Information'!$H$20,(AU$289*'2.3 Input_Main_Questionnaire'!$H$102*'2.3 Input_Main_Questionnaire'!$I$61)*'2.3 Input_Main_Questionnaire'!$M$29,)</f>
        <v>6.8609347994445629E-7</v>
      </c>
      <c r="AV338" s="373">
        <f ca="1">IF(AV$312&gt;='2.2 Input_General_Information'!$H$20,(AV$289*'2.3 Input_Main_Questionnaire'!$H$102*'2.3 Input_Main_Questionnaire'!$I$61)*'2.3 Input_Main_Questionnaire'!$M$29,)</f>
        <v>5.5350512517110323E-7</v>
      </c>
      <c r="AW338" s="373">
        <f ca="1">IF(AW$312&gt;='2.2 Input_General_Information'!$H$20,(AW$289*'2.3 Input_Main_Questionnaire'!$H$102*'2.3 Input_Main_Questionnaire'!$I$61)*'2.3 Input_Main_Questionnaire'!$M$29,)</f>
        <v>4.470022622745784E-7</v>
      </c>
      <c r="AX338" s="373">
        <f ca="1">IF(AX$312&gt;='2.2 Input_General_Information'!$H$20,(AX$289*'2.3 Input_Main_Questionnaire'!$H$102*'2.3 Input_Main_Questionnaire'!$I$61)*'2.3 Input_Main_Questionnaire'!$M$29,)</f>
        <v>3.6132039376725711E-7</v>
      </c>
      <c r="AY338" s="373">
        <f ca="1">IF(AY$312&gt;='2.2 Input_General_Information'!$H$20,(AY$289*'2.3 Input_Main_Questionnaire'!$H$102*'2.3 Input_Main_Questionnaire'!$I$61)*'2.3 Input_Main_Questionnaire'!$M$29,)</f>
        <v>2.9229934269572543E-7</v>
      </c>
      <c r="AZ338" s="373">
        <f ca="1">IF(AZ$312&gt;='2.2 Input_General_Information'!$H$20,(AZ$289*'2.3 Input_Main_Questionnaire'!$H$102*'2.3 Input_Main_Questionnaire'!$I$61)*'2.3 Input_Main_Questionnaire'!$M$29,)</f>
        <v>2.366375723379588E-7</v>
      </c>
      <c r="BA338" s="373">
        <f ca="1">IF(BA$312&gt;='2.2 Input_General_Information'!$H$20,(BA$289*'2.3 Input_Main_Questionnaire'!$H$102*'2.3 Input_Main_Questionnaire'!$I$61)*'2.3 Input_Main_Questionnaire'!$M$29,)</f>
        <v>1.9170587156491112E-7</v>
      </c>
      <c r="BB338" s="373">
        <f ca="1">IF(BB$312&gt;='2.2 Input_General_Information'!$H$20,(BB$289*'2.3 Input_Main_Questionnaire'!$H$102*'2.3 Input_Main_Questionnaire'!$I$61)*'2.3 Input_Main_Questionnaire'!$M$29,)</f>
        <v>1.5540458114342348E-7</v>
      </c>
      <c r="BC338" s="373">
        <f ca="1">IF(BC$312&gt;='2.2 Input_General_Information'!$H$20,(BC$289*'2.3 Input_Main_Questionnaire'!$H$102*'2.3 Input_Main_Questionnaire'!$I$61)*'2.3 Input_Main_Questionnaire'!$M$29,)</f>
        <v>1.260531522480357E-7</v>
      </c>
      <c r="BD338" s="373">
        <f ca="1">IF(BD$312&gt;='2.2 Input_General_Information'!$H$20,(BD$289*'2.3 Input_Main_Questionnaire'!$H$102*'2.3 Input_Main_Questionnaire'!$I$61)*'2.3 Input_Main_Questionnaire'!$M$29,)</f>
        <v>1.0230402390194239E-7</v>
      </c>
      <c r="BE338" s="373">
        <f ca="1">IF(BE$312&gt;='2.2 Input_General_Information'!$H$20,(BE$289*'2.3 Input_Main_Questionnaire'!$H$102*'2.3 Input_Main_Questionnaire'!$I$61)*'2.3 Input_Main_Questionnaire'!$M$29,)</f>
        <v>8.3075014978319936E-8</v>
      </c>
      <c r="BF338" s="373">
        <f ca="1">IF(BF$312&gt;='2.2 Input_General_Information'!$H$20,(BF$289*'2.3 Input_Main_Questionnaire'!$H$102*'2.3 Input_Main_Questionnaire'!$I$61)*'2.3 Input_Main_Questionnaire'!$M$29,)</f>
        <v>6.7495963905050968E-8</v>
      </c>
      <c r="BG338" s="373">
        <f ca="1">IF(BG$312&gt;='2.2 Input_General_Information'!$H$20,(BG$289*'2.3 Input_Main_Questionnaire'!$H$102*'2.3 Input_Main_Questionnaire'!$I$61)*'2.3 Input_Main_Questionnaire'!$M$29,)</f>
        <v>5.48664327184123E-8</v>
      </c>
      <c r="BH338" s="373">
        <f ca="1">IF(BH$312&gt;='2.2 Input_General_Information'!$H$20,(BH$289*'2.3 Input_Main_Questionnaire'!$H$102*'2.3 Input_Main_Questionnaire'!$I$61)*'2.3 Input_Main_Questionnaire'!$M$29,)</f>
        <v>4.4622067662163373E-8</v>
      </c>
      <c r="BI338" s="373">
        <f ca="1">IF(BI$312&gt;='2.2 Input_General_Information'!$H$20,(BI$289*'2.3 Input_Main_Questionnaire'!$H$102*'2.3 Input_Main_Questionnaire'!$I$61)*'2.3 Input_Main_Questionnaire'!$M$29,)</f>
        <v>3.6307773065695763E-8</v>
      </c>
      <c r="BJ338" s="373">
        <f ca="1">IF(BJ$312&gt;='2.2 Input_General_Information'!$H$20,(BJ$289*'2.3 Input_Main_Questionnaire'!$H$102*'2.3 Input_Main_Questionnaire'!$I$61)*'2.3 Input_Main_Questionnaire'!$M$29,)</f>
        <v>2.9556273049979875E-8</v>
      </c>
      <c r="BK338" s="373">
        <f ca="1">IF(BK$312&gt;='2.2 Input_General_Information'!$H$20,(BK$289*'2.3 Input_Main_Questionnaire'!$H$102*'2.3 Input_Main_Questionnaire'!$I$61)*'2.3 Input_Main_Questionnaire'!$M$29,)</f>
        <v>2.4070949583339111E-8</v>
      </c>
      <c r="BL338" s="381"/>
      <c r="BM338" s="381"/>
      <c r="BN338" s="381"/>
      <c r="BO338" s="381"/>
      <c r="BP338" s="381"/>
      <c r="BQ338" s="381"/>
      <c r="BR338" s="381"/>
      <c r="BS338" s="381"/>
      <c r="BT338" s="381"/>
      <c r="BU338" s="381"/>
    </row>
    <row r="339" spans="1:73" hidden="1">
      <c r="A339" s="6"/>
      <c r="B339" s="108"/>
      <c r="C339" s="1"/>
      <c r="D339" s="37"/>
      <c r="E339" s="1"/>
      <c r="F339" s="1"/>
      <c r="G339" s="3"/>
      <c r="H339" s="3"/>
      <c r="I339" s="3"/>
      <c r="J339" s="3"/>
      <c r="K339" s="3"/>
      <c r="L339" s="3"/>
      <c r="M339" s="3"/>
      <c r="N339" s="3"/>
      <c r="O339" s="1"/>
      <c r="P339" s="1"/>
      <c r="Q339" s="1"/>
      <c r="R339" s="162"/>
      <c r="S339" s="1"/>
      <c r="T339" s="103"/>
      <c r="U339" s="103"/>
      <c r="V339" s="103" t="str">
        <f>$M$10</f>
        <v>Profile 7</v>
      </c>
      <c r="W339" s="373">
        <f ca="1">IF(W$312&gt;='2.2 Input_General_Information'!$H$20,(W$289*'2.3 Input_Main_Questionnaire'!$H$102*'2.3 Input_Main_Questionnaire'!$I$61)*'2.3 Input_Main_Questionnaire'!$N$29,)</f>
        <v>0</v>
      </c>
      <c r="X339" s="373">
        <f ca="1">IF(X$312&gt;='2.2 Input_General_Information'!$H$20,(X$289*'2.3 Input_Main_Questionnaire'!$H$102*'2.3 Input_Main_Questionnaire'!$I$61)*'2.3 Input_Main_Questionnaire'!$N$29,)</f>
        <v>2.0336609260382409E-5</v>
      </c>
      <c r="Y339" s="373">
        <f ca="1">IF(Y$312&gt;='2.2 Input_General_Information'!$H$20,(Y$289*'2.3 Input_Main_Questionnaire'!$H$102*'2.3 Input_Main_Questionnaire'!$I$61)*'2.3 Input_Main_Questionnaire'!$N$29,)</f>
        <v>2.1564723016680454E-5</v>
      </c>
      <c r="Z339" s="373">
        <f ca="1">IF(Z$312&gt;='2.2 Input_General_Information'!$H$20,(Z$289*'2.3 Input_Main_Questionnaire'!$H$102*'2.3 Input_Main_Questionnaire'!$I$61)*'2.3 Input_Main_Questionnaire'!$N$29,)</f>
        <v>2.3028938100118223E-5</v>
      </c>
      <c r="AA339" s="373">
        <f ca="1">IF(AA$312&gt;='2.2 Input_General_Information'!$H$20,(AA$289*'2.3 Input_Main_Questionnaire'!$H$102*'2.3 Input_Main_Questionnaire'!$I$61)*'2.3 Input_Main_Questionnaire'!$N$29,)</f>
        <v>2.4447992953175197E-5</v>
      </c>
      <c r="AB339" s="373">
        <f ca="1">IF(AB$312&gt;='2.2 Input_General_Information'!$H$20,(AB$289*'2.3 Input_Main_Questionnaire'!$H$102*'2.3 Input_Main_Questionnaire'!$I$61)*'2.3 Input_Main_Questionnaire'!$N$29,)</f>
        <v>2.538535347678741E-5</v>
      </c>
      <c r="AC339" s="373">
        <f ca="1">IF(AC$312&gt;='2.2 Input_General_Information'!$H$20,(AC$289*'2.3 Input_Main_Questionnaire'!$H$102*'2.3 Input_Main_Questionnaire'!$I$61)*'2.3 Input_Main_Questionnaire'!$N$29,)</f>
        <v>2.5398932923597891E-5</v>
      </c>
      <c r="AD339" s="373">
        <f ca="1">IF(AD$312&gt;='2.2 Input_General_Information'!$H$20,(AD$289*'2.3 Input_Main_Questionnaire'!$H$102*'2.3 Input_Main_Questionnaire'!$I$61)*'2.3 Input_Main_Questionnaire'!$N$29,)</f>
        <v>2.4253050919867348E-5</v>
      </c>
      <c r="AE339" s="373">
        <f ca="1">IF(AE$312&gt;='2.2 Input_General_Information'!$H$20,(AE$289*'2.3 Input_Main_Questionnaire'!$H$102*'2.3 Input_Main_Questionnaire'!$I$61)*'2.3 Input_Main_Questionnaire'!$N$29,)</f>
        <v>2.2046358041217658E-5</v>
      </c>
      <c r="AF339" s="373">
        <f ca="1">IF(AF$312&gt;='2.2 Input_General_Information'!$H$20,(AF$289*'2.3 Input_Main_Questionnaire'!$H$102*'2.3 Input_Main_Questionnaire'!$I$61)*'2.3 Input_Main_Questionnaire'!$N$29,)</f>
        <v>1.9153234845269832E-5</v>
      </c>
      <c r="AG339" s="373">
        <f ca="1">IF(AG$312&gt;='2.2 Input_General_Information'!$H$20,(AG$289*'2.3 Input_Main_Questionnaire'!$H$102*'2.3 Input_Main_Questionnaire'!$I$61)*'2.3 Input_Main_Questionnaire'!$N$29,)</f>
        <v>1.6034764647069586E-5</v>
      </c>
      <c r="AH339" s="373">
        <f ca="1">IF(AH$312&gt;='2.2 Input_General_Information'!$H$20,(AH$289*'2.3 Input_Main_Questionnaire'!$H$102*'2.3 Input_Main_Questionnaire'!$I$61)*'2.3 Input_Main_Questionnaire'!$N$29,)</f>
        <v>1.3064995352606512E-5</v>
      </c>
      <c r="AI339" s="373">
        <f ca="1">IF(AI$312&gt;='2.2 Input_General_Information'!$H$20,(AI$289*'2.3 Input_Main_Questionnaire'!$H$102*'2.3 Input_Main_Questionnaire'!$I$61)*'2.3 Input_Main_Questionnaire'!$N$29,)</f>
        <v>1.0459315346531034E-5</v>
      </c>
      <c r="AJ339" s="373">
        <f ca="1">IF(AJ$312&gt;='2.2 Input_General_Information'!$H$20,(AJ$289*'2.3 Input_Main_Questionnaire'!$H$102*'2.3 Input_Main_Questionnaire'!$I$61)*'2.3 Input_Main_Questionnaire'!$N$29,)</f>
        <v>8.2915701682307417E-6</v>
      </c>
      <c r="AK339" s="373">
        <f ca="1">IF(AK$312&gt;='2.2 Input_General_Information'!$H$20,(AK$289*'2.3 Input_Main_Questionnaire'!$H$102*'2.3 Input_Main_Questionnaire'!$I$61)*'2.3 Input_Main_Questionnaire'!$N$29,)</f>
        <v>6.5461933051205487E-6</v>
      </c>
      <c r="AL339" s="373">
        <f ca="1">IF(AL$312&gt;='2.2 Input_General_Information'!$H$20,(AL$289*'2.3 Input_Main_Questionnaire'!$H$102*'2.3 Input_Main_Questionnaire'!$I$61)*'2.3 Input_Main_Questionnaire'!$N$29,)</f>
        <v>5.1662980404274481E-6</v>
      </c>
      <c r="AM339" s="373">
        <f ca="1">IF(AM$312&gt;='2.2 Input_General_Information'!$H$20,(AM$289*'2.3 Input_Main_Questionnaire'!$H$102*'2.3 Input_Main_Questionnaire'!$I$61)*'2.3 Input_Main_Questionnaire'!$N$29,)</f>
        <v>4.0845198675447893E-6</v>
      </c>
      <c r="AN339" s="373">
        <f ca="1">IF(AN$312&gt;='2.2 Input_General_Information'!$H$20,(AN$289*'2.3 Input_Main_Questionnaire'!$H$102*'2.3 Input_Main_Questionnaire'!$I$61)*'2.3 Input_Main_Questionnaire'!$N$29,)</f>
        <v>3.2383016928860627E-6</v>
      </c>
      <c r="AO339" s="373">
        <f ca="1">IF(AO$312&gt;='2.2 Input_General_Information'!$H$20,(AO$289*'2.3 Input_Main_Questionnaire'!$H$102*'2.3 Input_Main_Questionnaire'!$I$61)*'2.3 Input_Main_Questionnaire'!$N$29,)</f>
        <v>2.5753757526170771E-6</v>
      </c>
      <c r="AP339" s="373">
        <f ca="1">IF(AP$312&gt;='2.2 Input_General_Information'!$H$20,(AP$289*'2.3 Input_Main_Questionnaire'!$H$102*'2.3 Input_Main_Questionnaire'!$I$61)*'2.3 Input_Main_Questionnaire'!$N$29,)</f>
        <v>2.0543128679703116E-6</v>
      </c>
      <c r="AQ339" s="373">
        <f ca="1">IF(AQ$312&gt;='2.2 Input_General_Information'!$H$20,(AQ$289*'2.3 Input_Main_Questionnaire'!$H$102*'2.3 Input_Main_Questionnaire'!$I$61)*'2.3 Input_Main_Questionnaire'!$N$29,)</f>
        <v>1.64310860752789E-6</v>
      </c>
      <c r="AR339" s="373">
        <f ca="1">IF(AR$312&gt;='2.2 Input_General_Information'!$H$20,(AR$289*'2.3 Input_Main_Questionnaire'!$H$102*'2.3 Input_Main_Questionnaire'!$I$61)*'2.3 Input_Main_Questionnaire'!$N$29,)</f>
        <v>1.31729344520926E-6</v>
      </c>
      <c r="AS339" s="373">
        <f ca="1">IF(AS$312&gt;='2.2 Input_General_Information'!$H$20,(AS$289*'2.3 Input_Main_Questionnaire'!$H$102*'2.3 Input_Main_Questionnaire'!$I$61)*'2.3 Input_Main_Questionnaire'!$N$29,)</f>
        <v>1.058184175996677E-6</v>
      </c>
      <c r="AT339" s="373">
        <f ca="1">IF(AT$312&gt;='2.2 Input_General_Information'!$H$20,(AT$289*'2.3 Input_Main_Questionnaire'!$H$102*'2.3 Input_Main_Questionnaire'!$I$61)*'2.3 Input_Main_Questionnaire'!$N$29,)</f>
        <v>8.5146359209355329E-7</v>
      </c>
      <c r="AU339" s="373">
        <f ca="1">IF(AU$312&gt;='2.2 Input_General_Information'!$H$20,(AU$289*'2.3 Input_Main_Questionnaire'!$H$102*'2.3 Input_Main_Questionnaire'!$I$61)*'2.3 Input_Main_Questionnaire'!$N$29,)</f>
        <v>6.8609347994445629E-7</v>
      </c>
      <c r="AV339" s="373">
        <f ca="1">IF(AV$312&gt;='2.2 Input_General_Information'!$H$20,(AV$289*'2.3 Input_Main_Questionnaire'!$H$102*'2.3 Input_Main_Questionnaire'!$I$61)*'2.3 Input_Main_Questionnaire'!$N$29,)</f>
        <v>5.5350512517110323E-7</v>
      </c>
      <c r="AW339" s="373">
        <f ca="1">IF(AW$312&gt;='2.2 Input_General_Information'!$H$20,(AW$289*'2.3 Input_Main_Questionnaire'!$H$102*'2.3 Input_Main_Questionnaire'!$I$61)*'2.3 Input_Main_Questionnaire'!$N$29,)</f>
        <v>4.470022622745784E-7</v>
      </c>
      <c r="AX339" s="373">
        <f ca="1">IF(AX$312&gt;='2.2 Input_General_Information'!$H$20,(AX$289*'2.3 Input_Main_Questionnaire'!$H$102*'2.3 Input_Main_Questionnaire'!$I$61)*'2.3 Input_Main_Questionnaire'!$N$29,)</f>
        <v>3.6132039376725711E-7</v>
      </c>
      <c r="AY339" s="373">
        <f ca="1">IF(AY$312&gt;='2.2 Input_General_Information'!$H$20,(AY$289*'2.3 Input_Main_Questionnaire'!$H$102*'2.3 Input_Main_Questionnaire'!$I$61)*'2.3 Input_Main_Questionnaire'!$N$29,)</f>
        <v>2.9229934269572543E-7</v>
      </c>
      <c r="AZ339" s="373">
        <f ca="1">IF(AZ$312&gt;='2.2 Input_General_Information'!$H$20,(AZ$289*'2.3 Input_Main_Questionnaire'!$H$102*'2.3 Input_Main_Questionnaire'!$I$61)*'2.3 Input_Main_Questionnaire'!$N$29,)</f>
        <v>2.366375723379588E-7</v>
      </c>
      <c r="BA339" s="373">
        <f ca="1">IF(BA$312&gt;='2.2 Input_General_Information'!$H$20,(BA$289*'2.3 Input_Main_Questionnaire'!$H$102*'2.3 Input_Main_Questionnaire'!$I$61)*'2.3 Input_Main_Questionnaire'!$N$29,)</f>
        <v>1.9170587156491112E-7</v>
      </c>
      <c r="BB339" s="373">
        <f ca="1">IF(BB$312&gt;='2.2 Input_General_Information'!$H$20,(BB$289*'2.3 Input_Main_Questionnaire'!$H$102*'2.3 Input_Main_Questionnaire'!$I$61)*'2.3 Input_Main_Questionnaire'!$N$29,)</f>
        <v>1.5540458114342348E-7</v>
      </c>
      <c r="BC339" s="373">
        <f ca="1">IF(BC$312&gt;='2.2 Input_General_Information'!$H$20,(BC$289*'2.3 Input_Main_Questionnaire'!$H$102*'2.3 Input_Main_Questionnaire'!$I$61)*'2.3 Input_Main_Questionnaire'!$N$29,)</f>
        <v>1.260531522480357E-7</v>
      </c>
      <c r="BD339" s="373">
        <f ca="1">IF(BD$312&gt;='2.2 Input_General_Information'!$H$20,(BD$289*'2.3 Input_Main_Questionnaire'!$H$102*'2.3 Input_Main_Questionnaire'!$I$61)*'2.3 Input_Main_Questionnaire'!$N$29,)</f>
        <v>1.0230402390194239E-7</v>
      </c>
      <c r="BE339" s="373">
        <f ca="1">IF(BE$312&gt;='2.2 Input_General_Information'!$H$20,(BE$289*'2.3 Input_Main_Questionnaire'!$H$102*'2.3 Input_Main_Questionnaire'!$I$61)*'2.3 Input_Main_Questionnaire'!$N$29,)</f>
        <v>8.3075014978319936E-8</v>
      </c>
      <c r="BF339" s="373">
        <f ca="1">IF(BF$312&gt;='2.2 Input_General_Information'!$H$20,(BF$289*'2.3 Input_Main_Questionnaire'!$H$102*'2.3 Input_Main_Questionnaire'!$I$61)*'2.3 Input_Main_Questionnaire'!$N$29,)</f>
        <v>6.7495963905050968E-8</v>
      </c>
      <c r="BG339" s="373">
        <f ca="1">IF(BG$312&gt;='2.2 Input_General_Information'!$H$20,(BG$289*'2.3 Input_Main_Questionnaire'!$H$102*'2.3 Input_Main_Questionnaire'!$I$61)*'2.3 Input_Main_Questionnaire'!$N$29,)</f>
        <v>5.48664327184123E-8</v>
      </c>
      <c r="BH339" s="373">
        <f ca="1">IF(BH$312&gt;='2.2 Input_General_Information'!$H$20,(BH$289*'2.3 Input_Main_Questionnaire'!$H$102*'2.3 Input_Main_Questionnaire'!$I$61)*'2.3 Input_Main_Questionnaire'!$N$29,)</f>
        <v>4.4622067662163373E-8</v>
      </c>
      <c r="BI339" s="373">
        <f ca="1">IF(BI$312&gt;='2.2 Input_General_Information'!$H$20,(BI$289*'2.3 Input_Main_Questionnaire'!$H$102*'2.3 Input_Main_Questionnaire'!$I$61)*'2.3 Input_Main_Questionnaire'!$N$29,)</f>
        <v>3.6307773065695763E-8</v>
      </c>
      <c r="BJ339" s="373">
        <f ca="1">IF(BJ$312&gt;='2.2 Input_General_Information'!$H$20,(BJ$289*'2.3 Input_Main_Questionnaire'!$H$102*'2.3 Input_Main_Questionnaire'!$I$61)*'2.3 Input_Main_Questionnaire'!$N$29,)</f>
        <v>2.9556273049979875E-8</v>
      </c>
      <c r="BK339" s="373">
        <f ca="1">IF(BK$312&gt;='2.2 Input_General_Information'!$H$20,(BK$289*'2.3 Input_Main_Questionnaire'!$H$102*'2.3 Input_Main_Questionnaire'!$I$61)*'2.3 Input_Main_Questionnaire'!$N$29,)</f>
        <v>2.4070949583339111E-8</v>
      </c>
      <c r="BL339" s="381"/>
      <c r="BM339" s="381"/>
      <c r="BN339" s="381"/>
      <c r="BO339" s="381"/>
      <c r="BP339" s="381"/>
      <c r="BQ339" s="381"/>
      <c r="BR339" s="381"/>
      <c r="BS339" s="381"/>
      <c r="BT339" s="381"/>
      <c r="BU339" s="381"/>
    </row>
    <row r="340" spans="1:73" hidden="1">
      <c r="A340" s="6"/>
      <c r="B340" s="108"/>
      <c r="C340" s="1"/>
      <c r="D340" s="37"/>
      <c r="E340" s="1"/>
      <c r="F340" s="1"/>
      <c r="G340" s="3"/>
      <c r="H340" s="3"/>
      <c r="I340" s="3"/>
      <c r="J340" s="3"/>
      <c r="K340" s="3"/>
      <c r="L340" s="3"/>
      <c r="M340" s="3"/>
      <c r="N340" s="3"/>
      <c r="O340" s="1"/>
      <c r="P340" s="1"/>
      <c r="Q340" s="1"/>
      <c r="R340" s="162"/>
      <c r="S340" s="1"/>
      <c r="T340" s="103"/>
      <c r="U340" s="103"/>
      <c r="V340" s="103" t="str">
        <f>$N$10</f>
        <v>Profile 8</v>
      </c>
      <c r="W340" s="373">
        <f ca="1">IF(W$312&gt;='2.2 Input_General_Information'!$H$20,(W$289*'2.3 Input_Main_Questionnaire'!$H$102*'2.3 Input_Main_Questionnaire'!$I$61)*'2.3 Input_Main_Questionnaire'!$O$29,)</f>
        <v>0</v>
      </c>
      <c r="X340" s="373">
        <f ca="1">IF(X$312&gt;='2.2 Input_General_Information'!$H$20,(X$289*'2.3 Input_Main_Questionnaire'!$H$102*'2.3 Input_Main_Questionnaire'!$I$61)*'2.3 Input_Main_Questionnaire'!$O$29,)</f>
        <v>2.0336609260382409E-5</v>
      </c>
      <c r="Y340" s="373">
        <f ca="1">IF(Y$312&gt;='2.2 Input_General_Information'!$H$20,(Y$289*'2.3 Input_Main_Questionnaire'!$H$102*'2.3 Input_Main_Questionnaire'!$I$61)*'2.3 Input_Main_Questionnaire'!$O$29,)</f>
        <v>2.1564723016680454E-5</v>
      </c>
      <c r="Z340" s="373">
        <f ca="1">IF(Z$312&gt;='2.2 Input_General_Information'!$H$20,(Z$289*'2.3 Input_Main_Questionnaire'!$H$102*'2.3 Input_Main_Questionnaire'!$I$61)*'2.3 Input_Main_Questionnaire'!$O$29,)</f>
        <v>2.3028938100118223E-5</v>
      </c>
      <c r="AA340" s="373">
        <f ca="1">IF(AA$312&gt;='2.2 Input_General_Information'!$H$20,(AA$289*'2.3 Input_Main_Questionnaire'!$H$102*'2.3 Input_Main_Questionnaire'!$I$61)*'2.3 Input_Main_Questionnaire'!$O$29,)</f>
        <v>2.4447992953175197E-5</v>
      </c>
      <c r="AB340" s="373">
        <f ca="1">IF(AB$312&gt;='2.2 Input_General_Information'!$H$20,(AB$289*'2.3 Input_Main_Questionnaire'!$H$102*'2.3 Input_Main_Questionnaire'!$I$61)*'2.3 Input_Main_Questionnaire'!$O$29,)</f>
        <v>2.538535347678741E-5</v>
      </c>
      <c r="AC340" s="373">
        <f ca="1">IF(AC$312&gt;='2.2 Input_General_Information'!$H$20,(AC$289*'2.3 Input_Main_Questionnaire'!$H$102*'2.3 Input_Main_Questionnaire'!$I$61)*'2.3 Input_Main_Questionnaire'!$O$29,)</f>
        <v>2.5398932923597891E-5</v>
      </c>
      <c r="AD340" s="373">
        <f ca="1">IF(AD$312&gt;='2.2 Input_General_Information'!$H$20,(AD$289*'2.3 Input_Main_Questionnaire'!$H$102*'2.3 Input_Main_Questionnaire'!$I$61)*'2.3 Input_Main_Questionnaire'!$O$29,)</f>
        <v>2.4253050919867348E-5</v>
      </c>
      <c r="AE340" s="373">
        <f ca="1">IF(AE$312&gt;='2.2 Input_General_Information'!$H$20,(AE$289*'2.3 Input_Main_Questionnaire'!$H$102*'2.3 Input_Main_Questionnaire'!$I$61)*'2.3 Input_Main_Questionnaire'!$O$29,)</f>
        <v>2.2046358041217658E-5</v>
      </c>
      <c r="AF340" s="373">
        <f ca="1">IF(AF$312&gt;='2.2 Input_General_Information'!$H$20,(AF$289*'2.3 Input_Main_Questionnaire'!$H$102*'2.3 Input_Main_Questionnaire'!$I$61)*'2.3 Input_Main_Questionnaire'!$O$29,)</f>
        <v>1.9153234845269832E-5</v>
      </c>
      <c r="AG340" s="373">
        <f ca="1">IF(AG$312&gt;='2.2 Input_General_Information'!$H$20,(AG$289*'2.3 Input_Main_Questionnaire'!$H$102*'2.3 Input_Main_Questionnaire'!$I$61)*'2.3 Input_Main_Questionnaire'!$O$29,)</f>
        <v>1.6034764647069586E-5</v>
      </c>
      <c r="AH340" s="373">
        <f ca="1">IF(AH$312&gt;='2.2 Input_General_Information'!$H$20,(AH$289*'2.3 Input_Main_Questionnaire'!$H$102*'2.3 Input_Main_Questionnaire'!$I$61)*'2.3 Input_Main_Questionnaire'!$O$29,)</f>
        <v>1.3064995352606512E-5</v>
      </c>
      <c r="AI340" s="373">
        <f ca="1">IF(AI$312&gt;='2.2 Input_General_Information'!$H$20,(AI$289*'2.3 Input_Main_Questionnaire'!$H$102*'2.3 Input_Main_Questionnaire'!$I$61)*'2.3 Input_Main_Questionnaire'!$O$29,)</f>
        <v>1.0459315346531034E-5</v>
      </c>
      <c r="AJ340" s="373">
        <f ca="1">IF(AJ$312&gt;='2.2 Input_General_Information'!$H$20,(AJ$289*'2.3 Input_Main_Questionnaire'!$H$102*'2.3 Input_Main_Questionnaire'!$I$61)*'2.3 Input_Main_Questionnaire'!$O$29,)</f>
        <v>8.2915701682307417E-6</v>
      </c>
      <c r="AK340" s="373">
        <f ca="1">IF(AK$312&gt;='2.2 Input_General_Information'!$H$20,(AK$289*'2.3 Input_Main_Questionnaire'!$H$102*'2.3 Input_Main_Questionnaire'!$I$61)*'2.3 Input_Main_Questionnaire'!$O$29,)</f>
        <v>6.5461933051205487E-6</v>
      </c>
      <c r="AL340" s="373">
        <f ca="1">IF(AL$312&gt;='2.2 Input_General_Information'!$H$20,(AL$289*'2.3 Input_Main_Questionnaire'!$H$102*'2.3 Input_Main_Questionnaire'!$I$61)*'2.3 Input_Main_Questionnaire'!$O$29,)</f>
        <v>5.1662980404274481E-6</v>
      </c>
      <c r="AM340" s="373">
        <f ca="1">IF(AM$312&gt;='2.2 Input_General_Information'!$H$20,(AM$289*'2.3 Input_Main_Questionnaire'!$H$102*'2.3 Input_Main_Questionnaire'!$I$61)*'2.3 Input_Main_Questionnaire'!$O$29,)</f>
        <v>4.0845198675447893E-6</v>
      </c>
      <c r="AN340" s="373">
        <f ca="1">IF(AN$312&gt;='2.2 Input_General_Information'!$H$20,(AN$289*'2.3 Input_Main_Questionnaire'!$H$102*'2.3 Input_Main_Questionnaire'!$I$61)*'2.3 Input_Main_Questionnaire'!$O$29,)</f>
        <v>3.2383016928860627E-6</v>
      </c>
      <c r="AO340" s="373">
        <f ca="1">IF(AO$312&gt;='2.2 Input_General_Information'!$H$20,(AO$289*'2.3 Input_Main_Questionnaire'!$H$102*'2.3 Input_Main_Questionnaire'!$I$61)*'2.3 Input_Main_Questionnaire'!$O$29,)</f>
        <v>2.5753757526170771E-6</v>
      </c>
      <c r="AP340" s="373">
        <f ca="1">IF(AP$312&gt;='2.2 Input_General_Information'!$H$20,(AP$289*'2.3 Input_Main_Questionnaire'!$H$102*'2.3 Input_Main_Questionnaire'!$I$61)*'2.3 Input_Main_Questionnaire'!$O$29,)</f>
        <v>2.0543128679703116E-6</v>
      </c>
      <c r="AQ340" s="373">
        <f ca="1">IF(AQ$312&gt;='2.2 Input_General_Information'!$H$20,(AQ$289*'2.3 Input_Main_Questionnaire'!$H$102*'2.3 Input_Main_Questionnaire'!$I$61)*'2.3 Input_Main_Questionnaire'!$O$29,)</f>
        <v>1.64310860752789E-6</v>
      </c>
      <c r="AR340" s="373">
        <f ca="1">IF(AR$312&gt;='2.2 Input_General_Information'!$H$20,(AR$289*'2.3 Input_Main_Questionnaire'!$H$102*'2.3 Input_Main_Questionnaire'!$I$61)*'2.3 Input_Main_Questionnaire'!$O$29,)</f>
        <v>1.31729344520926E-6</v>
      </c>
      <c r="AS340" s="373">
        <f ca="1">IF(AS$312&gt;='2.2 Input_General_Information'!$H$20,(AS$289*'2.3 Input_Main_Questionnaire'!$H$102*'2.3 Input_Main_Questionnaire'!$I$61)*'2.3 Input_Main_Questionnaire'!$O$29,)</f>
        <v>1.058184175996677E-6</v>
      </c>
      <c r="AT340" s="373">
        <f ca="1">IF(AT$312&gt;='2.2 Input_General_Information'!$H$20,(AT$289*'2.3 Input_Main_Questionnaire'!$H$102*'2.3 Input_Main_Questionnaire'!$I$61)*'2.3 Input_Main_Questionnaire'!$O$29,)</f>
        <v>8.5146359209355329E-7</v>
      </c>
      <c r="AU340" s="373">
        <f ca="1">IF(AU$312&gt;='2.2 Input_General_Information'!$H$20,(AU$289*'2.3 Input_Main_Questionnaire'!$H$102*'2.3 Input_Main_Questionnaire'!$I$61)*'2.3 Input_Main_Questionnaire'!$O$29,)</f>
        <v>6.8609347994445629E-7</v>
      </c>
      <c r="AV340" s="373">
        <f ca="1">IF(AV$312&gt;='2.2 Input_General_Information'!$H$20,(AV$289*'2.3 Input_Main_Questionnaire'!$H$102*'2.3 Input_Main_Questionnaire'!$I$61)*'2.3 Input_Main_Questionnaire'!$O$29,)</f>
        <v>5.5350512517110323E-7</v>
      </c>
      <c r="AW340" s="373">
        <f ca="1">IF(AW$312&gt;='2.2 Input_General_Information'!$H$20,(AW$289*'2.3 Input_Main_Questionnaire'!$H$102*'2.3 Input_Main_Questionnaire'!$I$61)*'2.3 Input_Main_Questionnaire'!$O$29,)</f>
        <v>4.470022622745784E-7</v>
      </c>
      <c r="AX340" s="373">
        <f ca="1">IF(AX$312&gt;='2.2 Input_General_Information'!$H$20,(AX$289*'2.3 Input_Main_Questionnaire'!$H$102*'2.3 Input_Main_Questionnaire'!$I$61)*'2.3 Input_Main_Questionnaire'!$O$29,)</f>
        <v>3.6132039376725711E-7</v>
      </c>
      <c r="AY340" s="373">
        <f ca="1">IF(AY$312&gt;='2.2 Input_General_Information'!$H$20,(AY$289*'2.3 Input_Main_Questionnaire'!$H$102*'2.3 Input_Main_Questionnaire'!$I$61)*'2.3 Input_Main_Questionnaire'!$O$29,)</f>
        <v>2.9229934269572543E-7</v>
      </c>
      <c r="AZ340" s="373">
        <f ca="1">IF(AZ$312&gt;='2.2 Input_General_Information'!$H$20,(AZ$289*'2.3 Input_Main_Questionnaire'!$H$102*'2.3 Input_Main_Questionnaire'!$I$61)*'2.3 Input_Main_Questionnaire'!$O$29,)</f>
        <v>2.366375723379588E-7</v>
      </c>
      <c r="BA340" s="373">
        <f ca="1">IF(BA$312&gt;='2.2 Input_General_Information'!$H$20,(BA$289*'2.3 Input_Main_Questionnaire'!$H$102*'2.3 Input_Main_Questionnaire'!$I$61)*'2.3 Input_Main_Questionnaire'!$O$29,)</f>
        <v>1.9170587156491112E-7</v>
      </c>
      <c r="BB340" s="373">
        <f ca="1">IF(BB$312&gt;='2.2 Input_General_Information'!$H$20,(BB$289*'2.3 Input_Main_Questionnaire'!$H$102*'2.3 Input_Main_Questionnaire'!$I$61)*'2.3 Input_Main_Questionnaire'!$O$29,)</f>
        <v>1.5540458114342348E-7</v>
      </c>
      <c r="BC340" s="373">
        <f ca="1">IF(BC$312&gt;='2.2 Input_General_Information'!$H$20,(BC$289*'2.3 Input_Main_Questionnaire'!$H$102*'2.3 Input_Main_Questionnaire'!$I$61)*'2.3 Input_Main_Questionnaire'!$O$29,)</f>
        <v>1.260531522480357E-7</v>
      </c>
      <c r="BD340" s="373">
        <f ca="1">IF(BD$312&gt;='2.2 Input_General_Information'!$H$20,(BD$289*'2.3 Input_Main_Questionnaire'!$H$102*'2.3 Input_Main_Questionnaire'!$I$61)*'2.3 Input_Main_Questionnaire'!$O$29,)</f>
        <v>1.0230402390194239E-7</v>
      </c>
      <c r="BE340" s="373">
        <f ca="1">IF(BE$312&gt;='2.2 Input_General_Information'!$H$20,(BE$289*'2.3 Input_Main_Questionnaire'!$H$102*'2.3 Input_Main_Questionnaire'!$I$61)*'2.3 Input_Main_Questionnaire'!$O$29,)</f>
        <v>8.3075014978319936E-8</v>
      </c>
      <c r="BF340" s="373">
        <f ca="1">IF(BF$312&gt;='2.2 Input_General_Information'!$H$20,(BF$289*'2.3 Input_Main_Questionnaire'!$H$102*'2.3 Input_Main_Questionnaire'!$I$61)*'2.3 Input_Main_Questionnaire'!$O$29,)</f>
        <v>6.7495963905050968E-8</v>
      </c>
      <c r="BG340" s="373">
        <f ca="1">IF(BG$312&gt;='2.2 Input_General_Information'!$H$20,(BG$289*'2.3 Input_Main_Questionnaire'!$H$102*'2.3 Input_Main_Questionnaire'!$I$61)*'2.3 Input_Main_Questionnaire'!$O$29,)</f>
        <v>5.48664327184123E-8</v>
      </c>
      <c r="BH340" s="373">
        <f ca="1">IF(BH$312&gt;='2.2 Input_General_Information'!$H$20,(BH$289*'2.3 Input_Main_Questionnaire'!$H$102*'2.3 Input_Main_Questionnaire'!$I$61)*'2.3 Input_Main_Questionnaire'!$O$29,)</f>
        <v>4.4622067662163373E-8</v>
      </c>
      <c r="BI340" s="373">
        <f ca="1">IF(BI$312&gt;='2.2 Input_General_Information'!$H$20,(BI$289*'2.3 Input_Main_Questionnaire'!$H$102*'2.3 Input_Main_Questionnaire'!$I$61)*'2.3 Input_Main_Questionnaire'!$O$29,)</f>
        <v>3.6307773065695763E-8</v>
      </c>
      <c r="BJ340" s="373">
        <f ca="1">IF(BJ$312&gt;='2.2 Input_General_Information'!$H$20,(BJ$289*'2.3 Input_Main_Questionnaire'!$H$102*'2.3 Input_Main_Questionnaire'!$I$61)*'2.3 Input_Main_Questionnaire'!$O$29,)</f>
        <v>2.9556273049979875E-8</v>
      </c>
      <c r="BK340" s="373">
        <f ca="1">IF(BK$312&gt;='2.2 Input_General_Information'!$H$20,(BK$289*'2.3 Input_Main_Questionnaire'!$H$102*'2.3 Input_Main_Questionnaire'!$I$61)*'2.3 Input_Main_Questionnaire'!$O$29,)</f>
        <v>2.4070949583339111E-8</v>
      </c>
      <c r="BL340" s="381"/>
      <c r="BM340" s="381"/>
      <c r="BN340" s="381"/>
      <c r="BO340" s="381"/>
      <c r="BP340" s="381"/>
      <c r="BQ340" s="381"/>
      <c r="BR340" s="381"/>
      <c r="BS340" s="381"/>
      <c r="BT340" s="381"/>
      <c r="BU340" s="381"/>
    </row>
    <row r="341" spans="1:73" hidden="1">
      <c r="A341" s="6"/>
      <c r="B341" s="108"/>
      <c r="C341" s="1"/>
      <c r="D341" s="37"/>
      <c r="E341" s="1"/>
      <c r="F341" s="1"/>
      <c r="G341" s="3"/>
      <c r="H341" s="3"/>
      <c r="I341" s="3"/>
      <c r="J341" s="3"/>
      <c r="K341" s="3"/>
      <c r="L341" s="3"/>
      <c r="M341" s="3"/>
      <c r="N341" s="3"/>
      <c r="O341" s="1"/>
      <c r="P341" s="1"/>
      <c r="Q341" s="1"/>
      <c r="R341" s="162"/>
      <c r="S341" s="1"/>
      <c r="T341" s="103"/>
      <c r="U341" s="9" t="s">
        <v>29</v>
      </c>
      <c r="V341" s="103"/>
      <c r="W341" s="98"/>
      <c r="X341" s="98"/>
      <c r="Y341" s="98"/>
      <c r="Z341" s="98"/>
      <c r="AA341" s="98"/>
      <c r="AB341" s="98"/>
      <c r="AC341" s="98"/>
      <c r="AD341" s="98"/>
      <c r="AE341" s="98"/>
      <c r="AF341" s="98"/>
      <c r="AG341" s="98"/>
      <c r="AH341" s="98"/>
      <c r="AI341" s="98"/>
      <c r="AJ341" s="98"/>
      <c r="AK341" s="98"/>
      <c r="AL341" s="98"/>
      <c r="AM341" s="98"/>
      <c r="AN341" s="98"/>
      <c r="AO341" s="98"/>
      <c r="AP341" s="98"/>
      <c r="AQ341" s="98"/>
      <c r="AR341" s="98"/>
      <c r="AS341" s="98"/>
      <c r="AT341" s="98"/>
      <c r="AU341" s="98"/>
      <c r="AV341" s="98"/>
      <c r="AW341" s="98"/>
      <c r="AX341" s="98"/>
      <c r="AY341" s="98"/>
      <c r="AZ341" s="98"/>
      <c r="BA341" s="98"/>
      <c r="BB341" s="98"/>
      <c r="BC341" s="98"/>
      <c r="BD341" s="98"/>
      <c r="BE341" s="98"/>
      <c r="BF341" s="98"/>
      <c r="BG341" s="98"/>
      <c r="BH341" s="98"/>
      <c r="BI341" s="98"/>
      <c r="BJ341" s="98"/>
      <c r="BK341" s="98"/>
      <c r="BL341" s="99"/>
      <c r="BM341" s="99"/>
      <c r="BN341" s="99"/>
      <c r="BO341" s="99"/>
      <c r="BP341" s="99"/>
      <c r="BQ341" s="99"/>
      <c r="BR341" s="99"/>
      <c r="BS341" s="99"/>
      <c r="BT341" s="99"/>
      <c r="BU341" s="99"/>
    </row>
    <row r="342" spans="1:73">
      <c r="A342" s="6"/>
      <c r="B342" s="108"/>
      <c r="C342" s="1"/>
      <c r="D342" s="37"/>
      <c r="E342" s="1"/>
      <c r="F342" s="1"/>
      <c r="G342" s="3"/>
      <c r="H342" s="3"/>
      <c r="I342" s="3"/>
      <c r="J342" s="3"/>
      <c r="K342" s="3"/>
      <c r="L342" s="3"/>
      <c r="M342" s="3"/>
      <c r="N342" s="3"/>
      <c r="O342" s="1"/>
      <c r="P342" s="1"/>
      <c r="Q342" s="1"/>
      <c r="R342" s="162"/>
      <c r="S342" s="1"/>
      <c r="T342" s="103"/>
      <c r="U342" s="103"/>
      <c r="V342" s="103"/>
      <c r="W342" s="98"/>
      <c r="X342" s="98"/>
      <c r="Y342" s="98"/>
      <c r="Z342" s="98"/>
      <c r="AA342" s="98"/>
      <c r="AB342" s="98"/>
      <c r="AC342" s="98"/>
      <c r="AD342" s="98"/>
      <c r="AE342" s="98"/>
      <c r="AF342" s="98"/>
      <c r="AG342" s="98"/>
      <c r="AH342" s="98"/>
      <c r="AI342" s="98"/>
      <c r="AJ342" s="98"/>
      <c r="AK342" s="98"/>
      <c r="AL342" s="98"/>
      <c r="AM342" s="98"/>
      <c r="AN342" s="98"/>
      <c r="AO342" s="98"/>
      <c r="AP342" s="98"/>
      <c r="AQ342" s="98"/>
      <c r="AR342" s="98"/>
      <c r="AS342" s="98"/>
      <c r="AT342" s="98"/>
      <c r="AU342" s="98"/>
      <c r="AV342" s="98"/>
      <c r="AW342" s="98"/>
      <c r="AX342" s="98"/>
      <c r="AY342" s="98"/>
      <c r="AZ342" s="98"/>
      <c r="BA342" s="98"/>
      <c r="BB342" s="98"/>
      <c r="BC342" s="98"/>
      <c r="BD342" s="98"/>
      <c r="BE342" s="98"/>
      <c r="BF342" s="98"/>
      <c r="BG342" s="98"/>
      <c r="BH342" s="98"/>
      <c r="BI342" s="98"/>
      <c r="BJ342" s="98"/>
      <c r="BK342" s="98"/>
      <c r="BL342" s="99"/>
      <c r="BM342" s="99"/>
      <c r="BN342" s="99"/>
      <c r="BO342" s="99"/>
      <c r="BP342" s="99"/>
      <c r="BQ342" s="99"/>
      <c r="BR342" s="99"/>
      <c r="BS342" s="99"/>
      <c r="BT342" s="99"/>
      <c r="BU342" s="99"/>
    </row>
    <row r="343" spans="1:73">
      <c r="A343" s="6"/>
      <c r="B343" s="108"/>
      <c r="C343" s="1"/>
      <c r="D343" s="44" t="str">
        <f>"Inputs on: "&amp;'2.3 Input_Main_Questionnaire'!F30</f>
        <v>Inputs on: Pre-processing and data cleansing</v>
      </c>
      <c r="E343" s="45"/>
      <c r="F343" s="45"/>
      <c r="G343" s="142"/>
      <c r="H343" s="142"/>
      <c r="I343" s="142"/>
      <c r="J343" s="142"/>
      <c r="K343" s="142"/>
      <c r="L343" s="142"/>
      <c r="M343" s="142"/>
      <c r="N343" s="142"/>
      <c r="O343" s="1"/>
      <c r="P343" s="1"/>
      <c r="Q343" s="1"/>
      <c r="R343" s="162"/>
      <c r="S343" s="1"/>
      <c r="T343" s="103"/>
      <c r="U343" s="103"/>
      <c r="V343" s="103"/>
      <c r="W343" s="98"/>
      <c r="X343" s="98"/>
      <c r="Y343" s="98"/>
      <c r="Z343" s="98"/>
      <c r="AA343" s="98"/>
      <c r="AB343" s="98"/>
      <c r="AC343" s="98"/>
      <c r="AD343" s="98"/>
      <c r="AE343" s="98"/>
      <c r="AF343" s="98"/>
      <c r="AG343" s="98"/>
      <c r="AH343" s="98"/>
      <c r="AI343" s="98"/>
      <c r="AJ343" s="98"/>
      <c r="AK343" s="98"/>
      <c r="AL343" s="98"/>
      <c r="AM343" s="98"/>
      <c r="AN343" s="98"/>
      <c r="AO343" s="98"/>
      <c r="AP343" s="98"/>
      <c r="AQ343" s="98"/>
      <c r="AR343" s="98"/>
      <c r="AS343" s="98"/>
      <c r="AT343" s="98"/>
      <c r="AU343" s="98"/>
      <c r="AV343" s="98"/>
      <c r="AW343" s="98"/>
      <c r="AX343" s="98"/>
      <c r="AY343" s="98"/>
      <c r="AZ343" s="98"/>
      <c r="BA343" s="98"/>
      <c r="BB343" s="98"/>
      <c r="BC343" s="98"/>
      <c r="BD343" s="98"/>
      <c r="BE343" s="98"/>
      <c r="BF343" s="98"/>
      <c r="BG343" s="98"/>
      <c r="BH343" s="98"/>
      <c r="BI343" s="98"/>
      <c r="BJ343" s="98"/>
      <c r="BK343" s="98"/>
      <c r="BL343" s="99"/>
      <c r="BM343" s="99"/>
      <c r="BN343" s="99"/>
      <c r="BO343" s="99"/>
      <c r="BP343" s="99"/>
      <c r="BQ343" s="99"/>
      <c r="BR343" s="99"/>
      <c r="BS343" s="99"/>
      <c r="BT343" s="99"/>
      <c r="BU343" s="99"/>
    </row>
    <row r="344" spans="1:73">
      <c r="A344" s="6"/>
      <c r="B344" s="108"/>
      <c r="C344" s="1"/>
      <c r="D344" s="57"/>
      <c r="E344" s="1"/>
      <c r="F344" s="1"/>
      <c r="G344" s="43"/>
      <c r="H344" s="43"/>
      <c r="I344" s="43"/>
      <c r="J344" s="3"/>
      <c r="K344" s="3"/>
      <c r="L344" s="3"/>
      <c r="M344" s="3"/>
      <c r="N344" s="3"/>
      <c r="O344" s="1"/>
      <c r="P344" s="1"/>
      <c r="Q344" s="1"/>
      <c r="R344" s="162"/>
      <c r="S344" s="1"/>
      <c r="T344" s="103"/>
      <c r="U344" s="103"/>
      <c r="V344" s="103"/>
      <c r="W344" s="98"/>
      <c r="X344" s="98"/>
      <c r="Y344" s="98"/>
      <c r="Z344" s="98"/>
      <c r="AA344" s="98"/>
      <c r="AB344" s="98"/>
      <c r="AC344" s="98"/>
      <c r="AD344" s="98"/>
      <c r="AE344" s="98"/>
      <c r="AF344" s="98"/>
      <c r="AG344" s="98"/>
      <c r="AH344" s="98"/>
      <c r="AI344" s="98"/>
      <c r="AJ344" s="98"/>
      <c r="AK344" s="98"/>
      <c r="AL344" s="98"/>
      <c r="AM344" s="98"/>
      <c r="AN344" s="98"/>
      <c r="AO344" s="98"/>
      <c r="AP344" s="98"/>
      <c r="AQ344" s="98"/>
      <c r="AR344" s="98"/>
      <c r="AS344" s="98"/>
      <c r="AT344" s="98"/>
      <c r="AU344" s="98"/>
      <c r="AV344" s="98"/>
      <c r="AW344" s="98"/>
      <c r="AX344" s="98"/>
      <c r="AY344" s="98"/>
      <c r="AZ344" s="98"/>
      <c r="BA344" s="98"/>
      <c r="BB344" s="98"/>
      <c r="BC344" s="98"/>
      <c r="BD344" s="98"/>
      <c r="BE344" s="98"/>
      <c r="BF344" s="98"/>
      <c r="BG344" s="98"/>
      <c r="BH344" s="98"/>
      <c r="BI344" s="98"/>
      <c r="BJ344" s="98"/>
      <c r="BK344" s="98"/>
      <c r="BL344" s="99"/>
      <c r="BM344" s="99"/>
      <c r="BN344" s="99"/>
      <c r="BO344" s="99"/>
      <c r="BP344" s="99"/>
      <c r="BQ344" s="99"/>
      <c r="BR344" s="99"/>
      <c r="BS344" s="99"/>
      <c r="BT344" s="99"/>
      <c r="BU344" s="99"/>
    </row>
    <row r="345" spans="1:73">
      <c r="A345" s="6"/>
      <c r="B345" s="108"/>
      <c r="C345" s="1"/>
      <c r="D345" s="41" t="str">
        <f>'2.3 Input_Main_Questionnaire'!E162</f>
        <v>a) Other data cleansing and wrangling costs</v>
      </c>
      <c r="E345" s="46"/>
      <c r="F345" s="41"/>
      <c r="G345" s="72"/>
      <c r="H345" s="79"/>
      <c r="I345" s="79"/>
      <c r="J345" s="79"/>
      <c r="K345" s="79"/>
      <c r="L345" s="79"/>
      <c r="M345" s="79"/>
      <c r="N345" s="79"/>
      <c r="O345" s="1"/>
      <c r="P345" s="1"/>
      <c r="Q345" s="1"/>
      <c r="R345" s="162"/>
      <c r="S345" s="1"/>
      <c r="T345" s="103"/>
      <c r="U345" s="103"/>
      <c r="V345" s="103"/>
      <c r="W345" s="98"/>
      <c r="X345" s="98"/>
      <c r="Y345" s="98"/>
      <c r="Z345" s="98"/>
      <c r="AA345" s="98"/>
      <c r="AB345" s="98"/>
      <c r="AC345" s="98"/>
      <c r="AD345" s="98"/>
      <c r="AE345" s="98"/>
      <c r="AF345" s="98"/>
      <c r="AG345" s="98"/>
      <c r="AH345" s="98"/>
      <c r="AI345" s="98"/>
      <c r="AJ345" s="98"/>
      <c r="AK345" s="98"/>
      <c r="AL345" s="98"/>
      <c r="AM345" s="98"/>
      <c r="AN345" s="98"/>
      <c r="AO345" s="98"/>
      <c r="AP345" s="98"/>
      <c r="AQ345" s="98"/>
      <c r="AR345" s="98"/>
      <c r="AS345" s="98"/>
      <c r="AT345" s="98"/>
      <c r="AU345" s="98"/>
      <c r="AV345" s="98"/>
      <c r="AW345" s="98"/>
      <c r="AX345" s="98"/>
      <c r="AY345" s="98"/>
      <c r="AZ345" s="98"/>
      <c r="BA345" s="98"/>
      <c r="BB345" s="98"/>
      <c r="BC345" s="98"/>
      <c r="BD345" s="98"/>
      <c r="BE345" s="98"/>
      <c r="BF345" s="98"/>
      <c r="BG345" s="98"/>
      <c r="BH345" s="98"/>
      <c r="BI345" s="98"/>
      <c r="BJ345" s="98"/>
      <c r="BK345" s="98"/>
      <c r="BL345" s="99"/>
      <c r="BM345" s="99"/>
      <c r="BN345" s="99"/>
      <c r="BO345" s="99"/>
      <c r="BP345" s="99"/>
      <c r="BQ345" s="99"/>
      <c r="BR345" s="99"/>
      <c r="BS345" s="99"/>
      <c r="BT345" s="99"/>
      <c r="BU345" s="99"/>
    </row>
    <row r="346" spans="1:73" ht="5.25" customHeight="1">
      <c r="A346" s="6"/>
      <c r="B346" s="554"/>
      <c r="C346" s="566"/>
      <c r="D346" s="12"/>
      <c r="E346" s="1"/>
      <c r="F346" s="1"/>
      <c r="G346" s="567"/>
      <c r="H346" s="43"/>
      <c r="I346" s="43"/>
      <c r="J346" s="3"/>
      <c r="K346" s="3"/>
      <c r="L346" s="3"/>
      <c r="M346" s="3"/>
      <c r="N346" s="3"/>
      <c r="O346" s="1"/>
      <c r="P346" s="1"/>
      <c r="Q346" s="1"/>
      <c r="R346" s="162"/>
      <c r="S346" s="1"/>
      <c r="T346" s="103"/>
      <c r="U346" s="103"/>
      <c r="V346" s="103"/>
      <c r="W346" s="98"/>
      <c r="X346" s="98"/>
      <c r="Y346" s="98"/>
      <c r="Z346" s="98"/>
      <c r="AA346" s="98"/>
      <c r="AB346" s="98"/>
      <c r="AC346" s="98"/>
      <c r="AD346" s="98"/>
      <c r="AE346" s="98"/>
      <c r="AF346" s="98"/>
      <c r="AG346" s="98"/>
      <c r="AH346" s="98"/>
      <c r="AI346" s="98"/>
      <c r="AJ346" s="98"/>
      <c r="AK346" s="98"/>
      <c r="AL346" s="98"/>
      <c r="AM346" s="98"/>
      <c r="AN346" s="98"/>
      <c r="AO346" s="98"/>
      <c r="AP346" s="98"/>
      <c r="AQ346" s="98"/>
      <c r="AR346" s="98"/>
      <c r="AS346" s="98"/>
      <c r="AT346" s="98"/>
      <c r="AU346" s="98"/>
      <c r="AV346" s="98"/>
      <c r="AW346" s="98"/>
      <c r="AX346" s="98"/>
      <c r="AY346" s="98"/>
      <c r="AZ346" s="98"/>
      <c r="BA346" s="98"/>
      <c r="BB346" s="98"/>
      <c r="BC346" s="98"/>
      <c r="BD346" s="98"/>
      <c r="BE346" s="98"/>
      <c r="BF346" s="98"/>
      <c r="BG346" s="98"/>
      <c r="BH346" s="98"/>
      <c r="BI346" s="98"/>
      <c r="BJ346" s="98"/>
      <c r="BK346" s="98"/>
      <c r="BL346" s="99"/>
      <c r="BM346" s="99"/>
      <c r="BN346" s="99"/>
      <c r="BO346" s="99"/>
      <c r="BP346" s="99"/>
      <c r="BQ346" s="99"/>
      <c r="BR346" s="99"/>
      <c r="BS346" s="99"/>
      <c r="BT346" s="99"/>
      <c r="BU346" s="99"/>
    </row>
    <row r="347" spans="1:73">
      <c r="A347" s="6"/>
      <c r="B347" s="554" t="s">
        <v>654</v>
      </c>
      <c r="C347" s="566"/>
      <c r="D347" s="147" t="s">
        <v>533</v>
      </c>
      <c r="E347" s="200"/>
      <c r="F347" s="200"/>
      <c r="G347" s="568">
        <f>IF('2.3 Input_Main_Questionnaire'!H164="Yes",0,-'2.3 Input_Main_Questionnaire'!H168)</f>
        <v>-5000</v>
      </c>
      <c r="H347" s="204"/>
      <c r="I347" s="204"/>
      <c r="J347" s="204"/>
      <c r="K347" s="204"/>
      <c r="L347" s="204"/>
      <c r="M347" s="204"/>
      <c r="N347" s="204"/>
      <c r="O347" s="1"/>
      <c r="P347" s="1"/>
      <c r="Q347" s="1"/>
      <c r="R347" s="162"/>
      <c r="S347" s="1"/>
      <c r="T347" s="103"/>
      <c r="U347" s="103"/>
      <c r="V347" s="103"/>
      <c r="W347" s="98"/>
      <c r="X347" s="98"/>
      <c r="Y347" s="98"/>
      <c r="Z347" s="98"/>
      <c r="AA347" s="98"/>
      <c r="AB347" s="98"/>
      <c r="AC347" s="98"/>
      <c r="AD347" s="98"/>
      <c r="AE347" s="98"/>
      <c r="AF347" s="98"/>
      <c r="AG347" s="98"/>
      <c r="AH347" s="98"/>
      <c r="AI347" s="98"/>
      <c r="AJ347" s="98"/>
      <c r="AK347" s="98"/>
      <c r="AL347" s="98"/>
      <c r="AM347" s="98"/>
      <c r="AN347" s="98"/>
      <c r="AO347" s="98"/>
      <c r="AP347" s="98"/>
      <c r="AQ347" s="98"/>
      <c r="AR347" s="98"/>
      <c r="AS347" s="98"/>
      <c r="AT347" s="98"/>
      <c r="AU347" s="98"/>
      <c r="AV347" s="98"/>
      <c r="AW347" s="98"/>
      <c r="AX347" s="98"/>
      <c r="AY347" s="98"/>
      <c r="AZ347" s="98"/>
      <c r="BA347" s="98"/>
      <c r="BB347" s="98"/>
      <c r="BC347" s="98"/>
      <c r="BD347" s="98"/>
      <c r="BE347" s="98"/>
      <c r="BF347" s="98"/>
      <c r="BG347" s="98"/>
      <c r="BH347" s="98"/>
      <c r="BI347" s="98"/>
      <c r="BJ347" s="98"/>
      <c r="BK347" s="98"/>
      <c r="BL347" s="99"/>
      <c r="BM347" s="99"/>
      <c r="BN347" s="99"/>
      <c r="BO347" s="99"/>
      <c r="BP347" s="99"/>
      <c r="BQ347" s="99"/>
      <c r="BR347" s="99"/>
      <c r="BS347" s="99"/>
      <c r="BT347" s="99"/>
      <c r="BU347" s="99"/>
    </row>
    <row r="348" spans="1:73">
      <c r="A348" s="6"/>
      <c r="B348" s="108"/>
      <c r="C348" s="1"/>
      <c r="D348" s="57"/>
      <c r="E348" s="1"/>
      <c r="F348" s="1"/>
      <c r="G348" s="43"/>
      <c r="H348" s="43"/>
      <c r="I348" s="43"/>
      <c r="J348" s="3"/>
      <c r="K348" s="3"/>
      <c r="L348" s="3"/>
      <c r="M348" s="3"/>
      <c r="N348" s="3"/>
      <c r="O348" s="1"/>
      <c r="P348" s="1"/>
      <c r="Q348" s="1"/>
      <c r="R348" s="162"/>
      <c r="S348" s="1"/>
      <c r="T348" s="103"/>
      <c r="U348" s="103"/>
      <c r="V348" s="103"/>
      <c r="W348" s="98"/>
      <c r="X348" s="98"/>
      <c r="Y348" s="98"/>
      <c r="Z348" s="98"/>
      <c r="AA348" s="98"/>
      <c r="AB348" s="98"/>
      <c r="AC348" s="98"/>
      <c r="AD348" s="98"/>
      <c r="AE348" s="98"/>
      <c r="AF348" s="98"/>
      <c r="AG348" s="98"/>
      <c r="AH348" s="98"/>
      <c r="AI348" s="98"/>
      <c r="AJ348" s="98"/>
      <c r="AK348" s="98"/>
      <c r="AL348" s="98"/>
      <c r="AM348" s="98"/>
      <c r="AN348" s="98"/>
      <c r="AO348" s="98"/>
      <c r="AP348" s="98"/>
      <c r="AQ348" s="98"/>
      <c r="AR348" s="98"/>
      <c r="AS348" s="98"/>
      <c r="AT348" s="98"/>
      <c r="AU348" s="98"/>
      <c r="AV348" s="98"/>
      <c r="AW348" s="98"/>
      <c r="AX348" s="98"/>
      <c r="AY348" s="98"/>
      <c r="AZ348" s="98"/>
      <c r="BA348" s="98"/>
      <c r="BB348" s="98"/>
      <c r="BC348" s="98"/>
      <c r="BD348" s="98"/>
      <c r="BE348" s="98"/>
      <c r="BF348" s="98"/>
      <c r="BG348" s="98"/>
      <c r="BH348" s="98"/>
      <c r="BI348" s="98"/>
      <c r="BJ348" s="98"/>
      <c r="BK348" s="98"/>
      <c r="BL348" s="99"/>
      <c r="BM348" s="99"/>
      <c r="BN348" s="99"/>
      <c r="BO348" s="99"/>
      <c r="BP348" s="99"/>
      <c r="BQ348" s="99"/>
      <c r="BR348" s="99"/>
      <c r="BS348" s="99"/>
      <c r="BT348" s="99"/>
      <c r="BU348" s="99"/>
    </row>
    <row r="349" spans="1:73">
      <c r="A349" s="6"/>
      <c r="B349" s="108"/>
      <c r="C349" s="1"/>
      <c r="D349" s="41" t="str">
        <f>'2.3 Input_Main_Questionnaire'!E170</f>
        <v xml:space="preserve">b) Describing in accordance with metadata standards and assigning a PID (detailed estimation) </v>
      </c>
      <c r="E349" s="46"/>
      <c r="F349" s="46"/>
      <c r="G349" s="72"/>
      <c r="H349" s="55"/>
      <c r="I349" s="55"/>
      <c r="J349" s="78"/>
      <c r="K349" s="3"/>
      <c r="L349" s="3"/>
      <c r="M349" s="3"/>
      <c r="N349" s="3"/>
      <c r="O349" s="1"/>
      <c r="P349" s="1"/>
      <c r="Q349" s="1"/>
      <c r="R349" s="162"/>
      <c r="S349" s="1"/>
      <c r="T349" s="103"/>
      <c r="U349" s="103"/>
      <c r="V349" s="103"/>
      <c r="W349" s="98"/>
      <c r="X349" s="98"/>
      <c r="Y349" s="98"/>
      <c r="Z349" s="98"/>
      <c r="AA349" s="98"/>
      <c r="AB349" s="98"/>
      <c r="AC349" s="98"/>
      <c r="AD349" s="98"/>
      <c r="AE349" s="98"/>
      <c r="AF349" s="98"/>
      <c r="AG349" s="98"/>
      <c r="AH349" s="98"/>
      <c r="AI349" s="98"/>
      <c r="AJ349" s="98"/>
      <c r="AK349" s="98"/>
      <c r="AL349" s="98"/>
      <c r="AM349" s="98"/>
      <c r="AN349" s="98"/>
      <c r="AO349" s="98"/>
      <c r="AP349" s="98"/>
      <c r="AQ349" s="98"/>
      <c r="AR349" s="98"/>
      <c r="AS349" s="98"/>
      <c r="AT349" s="98"/>
      <c r="AU349" s="98"/>
      <c r="AV349" s="98"/>
      <c r="AW349" s="98"/>
      <c r="AX349" s="98"/>
      <c r="AY349" s="98"/>
      <c r="AZ349" s="98"/>
      <c r="BA349" s="98"/>
      <c r="BB349" s="98"/>
      <c r="BC349" s="98"/>
      <c r="BD349" s="98"/>
      <c r="BE349" s="98"/>
      <c r="BF349" s="98"/>
      <c r="BG349" s="98"/>
      <c r="BH349" s="98"/>
      <c r="BI349" s="98"/>
      <c r="BJ349" s="98"/>
      <c r="BK349" s="98"/>
      <c r="BL349" s="99"/>
      <c r="BM349" s="99"/>
      <c r="BN349" s="99"/>
      <c r="BO349" s="99"/>
      <c r="BP349" s="99"/>
      <c r="BQ349" s="99"/>
      <c r="BR349" s="99"/>
      <c r="BS349" s="99"/>
      <c r="BT349" s="99"/>
      <c r="BU349" s="99"/>
    </row>
    <row r="350" spans="1:73" ht="5.25" customHeight="1">
      <c r="A350" s="6"/>
      <c r="B350" s="108"/>
      <c r="C350" s="1"/>
      <c r="D350" s="12"/>
      <c r="E350" s="1"/>
      <c r="F350" s="1"/>
      <c r="G350" s="43"/>
      <c r="H350" s="43"/>
      <c r="I350" s="43"/>
      <c r="J350" s="3"/>
      <c r="K350" s="3"/>
      <c r="L350" s="3"/>
      <c r="M350" s="3"/>
      <c r="N350" s="3"/>
      <c r="O350" s="1"/>
      <c r="P350" s="1"/>
      <c r="Q350" s="1"/>
      <c r="R350" s="162"/>
      <c r="S350" s="1"/>
      <c r="T350" s="103"/>
      <c r="U350" s="103"/>
      <c r="V350" s="103"/>
      <c r="W350" s="98"/>
      <c r="X350" s="98"/>
      <c r="Y350" s="98"/>
      <c r="Z350" s="98"/>
      <c r="AA350" s="98"/>
      <c r="AB350" s="98"/>
      <c r="AC350" s="98"/>
      <c r="AD350" s="98"/>
      <c r="AE350" s="98"/>
      <c r="AF350" s="98"/>
      <c r="AG350" s="98"/>
      <c r="AH350" s="98"/>
      <c r="AI350" s="98"/>
      <c r="AJ350" s="98"/>
      <c r="AK350" s="98"/>
      <c r="AL350" s="98"/>
      <c r="AM350" s="98"/>
      <c r="AN350" s="98"/>
      <c r="AO350" s="98"/>
      <c r="AP350" s="98"/>
      <c r="AQ350" s="98"/>
      <c r="AR350" s="98"/>
      <c r="AS350" s="98"/>
      <c r="AT350" s="98"/>
      <c r="AU350" s="98"/>
      <c r="AV350" s="98"/>
      <c r="AW350" s="98"/>
      <c r="AX350" s="98"/>
      <c r="AY350" s="98"/>
      <c r="AZ350" s="98"/>
      <c r="BA350" s="98"/>
      <c r="BB350" s="98"/>
      <c r="BC350" s="98"/>
      <c r="BD350" s="98"/>
      <c r="BE350" s="98"/>
      <c r="BF350" s="98"/>
      <c r="BG350" s="98"/>
      <c r="BH350" s="98"/>
      <c r="BI350" s="98"/>
      <c r="BJ350" s="98"/>
      <c r="BK350" s="98"/>
      <c r="BL350" s="99"/>
      <c r="BM350" s="99"/>
      <c r="BN350" s="99"/>
      <c r="BO350" s="99"/>
      <c r="BP350" s="99"/>
      <c r="BQ350" s="99"/>
      <c r="BR350" s="99"/>
      <c r="BS350" s="99"/>
      <c r="BT350" s="99"/>
      <c r="BU350" s="99"/>
    </row>
    <row r="351" spans="1:73">
      <c r="A351" s="6"/>
      <c r="B351" s="108"/>
      <c r="C351" s="1"/>
      <c r="D351" s="12" t="s">
        <v>1013</v>
      </c>
      <c r="E351" s="1"/>
      <c r="F351" s="1"/>
      <c r="G351" s="14">
        <f>'2.3 Input_Main_Questionnaire'!H136</f>
        <v>5</v>
      </c>
      <c r="H351" s="43"/>
      <c r="I351" s="43"/>
      <c r="J351" s="3"/>
      <c r="K351" s="3"/>
      <c r="L351" s="3"/>
      <c r="M351" s="3"/>
      <c r="N351" s="3"/>
      <c r="O351" s="1"/>
      <c r="P351" s="1"/>
      <c r="Q351" s="1"/>
      <c r="R351" s="162"/>
      <c r="S351" s="1"/>
      <c r="T351" s="103"/>
      <c r="U351" s="103"/>
      <c r="V351" s="103"/>
      <c r="W351" s="98"/>
      <c r="X351" s="98"/>
      <c r="Y351" s="98"/>
      <c r="Z351" s="98"/>
      <c r="AA351" s="98"/>
      <c r="AB351" s="98"/>
      <c r="AC351" s="98"/>
      <c r="AD351" s="98"/>
      <c r="AE351" s="98"/>
      <c r="AF351" s="98"/>
      <c r="AG351" s="98"/>
      <c r="AH351" s="98"/>
      <c r="AI351" s="98"/>
      <c r="AJ351" s="98"/>
      <c r="AK351" s="98"/>
      <c r="AL351" s="98"/>
      <c r="AM351" s="98"/>
      <c r="AN351" s="98"/>
      <c r="AO351" s="98"/>
      <c r="AP351" s="98"/>
      <c r="AQ351" s="98"/>
      <c r="AR351" s="98"/>
      <c r="AS351" s="98"/>
      <c r="AT351" s="98"/>
      <c r="AU351" s="98"/>
      <c r="AV351" s="98"/>
      <c r="AW351" s="98"/>
      <c r="AX351" s="98"/>
      <c r="AY351" s="98"/>
      <c r="AZ351" s="98"/>
      <c r="BA351" s="98"/>
      <c r="BB351" s="98"/>
      <c r="BC351" s="98"/>
      <c r="BD351" s="98"/>
      <c r="BE351" s="98"/>
      <c r="BF351" s="98"/>
      <c r="BG351" s="98"/>
      <c r="BH351" s="98"/>
      <c r="BI351" s="98"/>
      <c r="BJ351" s="98"/>
      <c r="BK351" s="98"/>
      <c r="BL351" s="99"/>
      <c r="BM351" s="99"/>
      <c r="BN351" s="99"/>
      <c r="BO351" s="99"/>
      <c r="BP351" s="99"/>
      <c r="BQ351" s="99"/>
      <c r="BR351" s="99"/>
      <c r="BS351" s="99"/>
      <c r="BT351" s="99"/>
      <c r="BU351" s="99"/>
    </row>
    <row r="352" spans="1:73">
      <c r="A352" s="6"/>
      <c r="B352" s="108"/>
      <c r="C352" s="1"/>
      <c r="D352" s="57"/>
      <c r="E352" s="1"/>
      <c r="F352" s="1"/>
      <c r="G352" s="43"/>
      <c r="H352" s="43"/>
      <c r="I352" s="43"/>
      <c r="J352" s="3"/>
      <c r="K352" s="3"/>
      <c r="L352" s="3"/>
      <c r="M352" s="3"/>
      <c r="N352" s="3"/>
      <c r="O352" s="1"/>
      <c r="P352" s="1"/>
      <c r="Q352" s="1"/>
      <c r="R352" s="162"/>
      <c r="S352" s="1"/>
      <c r="T352" s="103"/>
      <c r="U352" s="103"/>
      <c r="V352" s="103"/>
      <c r="W352" s="98"/>
      <c r="X352" s="98"/>
      <c r="Y352" s="98"/>
      <c r="Z352" s="98"/>
      <c r="AA352" s="98"/>
      <c r="AB352" s="98"/>
      <c r="AC352" s="98"/>
      <c r="AD352" s="98"/>
      <c r="AE352" s="98"/>
      <c r="AF352" s="98"/>
      <c r="AG352" s="98"/>
      <c r="AH352" s="98"/>
      <c r="AI352" s="98"/>
      <c r="AJ352" s="98"/>
      <c r="AK352" s="98"/>
      <c r="AL352" s="98"/>
      <c r="AM352" s="98"/>
      <c r="AN352" s="98"/>
      <c r="AO352" s="98"/>
      <c r="AP352" s="98"/>
      <c r="AQ352" s="98"/>
      <c r="AR352" s="98"/>
      <c r="AS352" s="98"/>
      <c r="AT352" s="98"/>
      <c r="AU352" s="98"/>
      <c r="AV352" s="98"/>
      <c r="AW352" s="98"/>
      <c r="AX352" s="98"/>
      <c r="AY352" s="98"/>
      <c r="AZ352" s="98"/>
      <c r="BA352" s="98"/>
      <c r="BB352" s="98"/>
      <c r="BC352" s="98"/>
      <c r="BD352" s="98"/>
      <c r="BE352" s="98"/>
      <c r="BF352" s="98"/>
      <c r="BG352" s="98"/>
      <c r="BH352" s="98"/>
      <c r="BI352" s="98"/>
      <c r="BJ352" s="98"/>
      <c r="BK352" s="98"/>
      <c r="BL352" s="99"/>
      <c r="BM352" s="99"/>
      <c r="BN352" s="99"/>
      <c r="BO352" s="99"/>
      <c r="BP352" s="99"/>
      <c r="BQ352" s="99"/>
      <c r="BR352" s="99"/>
      <c r="BS352" s="99"/>
      <c r="BT352" s="99"/>
      <c r="BU352" s="99"/>
    </row>
    <row r="353" spans="1:73">
      <c r="A353" s="6"/>
      <c r="B353" s="108"/>
      <c r="C353" s="1"/>
      <c r="D353" s="12" t="s">
        <v>1014</v>
      </c>
      <c r="E353" s="1"/>
      <c r="F353" s="1175" t="s">
        <v>908</v>
      </c>
      <c r="G353" s="1174"/>
      <c r="H353" s="1174"/>
      <c r="I353" s="1175" t="s">
        <v>909</v>
      </c>
      <c r="J353" s="1174"/>
      <c r="K353" s="3"/>
      <c r="L353" s="6"/>
      <c r="M353" s="6"/>
      <c r="N353" s="3"/>
      <c r="O353" s="1"/>
      <c r="P353" s="1"/>
      <c r="Q353" s="1"/>
      <c r="R353" s="162"/>
      <c r="S353" s="1"/>
      <c r="T353" s="103"/>
      <c r="U353" s="103"/>
      <c r="V353" s="103"/>
      <c r="W353" s="98"/>
      <c r="X353" s="98"/>
      <c r="Y353" s="98"/>
      <c r="Z353" s="98"/>
      <c r="AA353" s="98"/>
      <c r="AB353" s="98"/>
      <c r="AC353" s="98"/>
      <c r="AD353" s="98"/>
      <c r="AE353" s="98"/>
      <c r="AF353" s="98"/>
      <c r="AG353" s="98"/>
      <c r="AH353" s="98"/>
      <c r="AI353" s="98"/>
      <c r="AJ353" s="98"/>
      <c r="AK353" s="98"/>
      <c r="AL353" s="98"/>
      <c r="AM353" s="98"/>
      <c r="AN353" s="98"/>
      <c r="AO353" s="98"/>
      <c r="AP353" s="98"/>
      <c r="AQ353" s="98"/>
      <c r="AR353" s="98"/>
      <c r="AS353" s="98"/>
      <c r="AT353" s="98"/>
      <c r="AU353" s="98"/>
      <c r="AV353" s="98"/>
      <c r="AW353" s="98"/>
      <c r="AX353" s="98"/>
      <c r="AY353" s="98"/>
      <c r="AZ353" s="98"/>
      <c r="BA353" s="98"/>
      <c r="BB353" s="98"/>
      <c r="BC353" s="98"/>
      <c r="BD353" s="98"/>
      <c r="BE353" s="98"/>
      <c r="BF353" s="98"/>
      <c r="BG353" s="98"/>
      <c r="BH353" s="98"/>
      <c r="BI353" s="98"/>
      <c r="BJ353" s="98"/>
      <c r="BK353" s="98"/>
      <c r="BL353" s="99"/>
      <c r="BM353" s="99"/>
      <c r="BN353" s="99"/>
      <c r="BO353" s="99"/>
      <c r="BP353" s="99"/>
      <c r="BQ353" s="99"/>
      <c r="BR353" s="99"/>
      <c r="BS353" s="99"/>
      <c r="BT353" s="99"/>
      <c r="BU353" s="99"/>
    </row>
    <row r="354" spans="1:73">
      <c r="A354" s="6"/>
      <c r="B354" s="108"/>
      <c r="C354" s="1"/>
      <c r="D354" s="12" t="s">
        <v>1015</v>
      </c>
      <c r="E354" s="1"/>
      <c r="F354" s="50" t="s">
        <v>389</v>
      </c>
      <c r="G354" s="50" t="s">
        <v>1016</v>
      </c>
      <c r="H354" s="50" t="s">
        <v>910</v>
      </c>
      <c r="I354" s="50" t="s">
        <v>246</v>
      </c>
      <c r="J354" s="50" t="s">
        <v>449</v>
      </c>
      <c r="K354" s="43"/>
      <c r="L354" s="569" t="s">
        <v>1017</v>
      </c>
      <c r="M354" s="66"/>
      <c r="N354" s="3"/>
      <c r="O354" s="1"/>
      <c r="P354" s="1"/>
      <c r="Q354" s="1"/>
      <c r="R354" s="162"/>
      <c r="S354" s="1"/>
      <c r="T354" s="103"/>
      <c r="U354" s="103"/>
      <c r="V354" s="103"/>
      <c r="W354" s="98"/>
      <c r="X354" s="98"/>
      <c r="Y354" s="98"/>
      <c r="Z354" s="98"/>
      <c r="AA354" s="98"/>
      <c r="AB354" s="98"/>
      <c r="AC354" s="98"/>
      <c r="AD354" s="98"/>
      <c r="AE354" s="98"/>
      <c r="AF354" s="98"/>
      <c r="AG354" s="98"/>
      <c r="AH354" s="98"/>
      <c r="AI354" s="98"/>
      <c r="AJ354" s="98"/>
      <c r="AK354" s="98"/>
      <c r="AL354" s="98"/>
      <c r="AM354" s="98"/>
      <c r="AN354" s="98"/>
      <c r="AO354" s="98"/>
      <c r="AP354" s="98"/>
      <c r="AQ354" s="98"/>
      <c r="AR354" s="98"/>
      <c r="AS354" s="98"/>
      <c r="AT354" s="98"/>
      <c r="AU354" s="98"/>
      <c r="AV354" s="98"/>
      <c r="AW354" s="98"/>
      <c r="AX354" s="98"/>
      <c r="AY354" s="98"/>
      <c r="AZ354" s="98"/>
      <c r="BA354" s="98"/>
      <c r="BB354" s="98"/>
      <c r="BC354" s="98"/>
      <c r="BD354" s="98"/>
      <c r="BE354" s="98"/>
      <c r="BF354" s="98"/>
      <c r="BG354" s="98"/>
      <c r="BH354" s="98"/>
      <c r="BI354" s="98"/>
      <c r="BJ354" s="98"/>
      <c r="BK354" s="98"/>
      <c r="BL354" s="99"/>
      <c r="BM354" s="99"/>
      <c r="BN354" s="99"/>
      <c r="BO354" s="99"/>
      <c r="BP354" s="99"/>
      <c r="BQ354" s="99"/>
      <c r="BR354" s="99"/>
      <c r="BS354" s="99"/>
      <c r="BT354" s="99"/>
      <c r="BU354" s="99"/>
    </row>
    <row r="355" spans="1:73">
      <c r="A355" s="6"/>
      <c r="B355" s="108"/>
      <c r="C355" s="1"/>
      <c r="D355" s="1"/>
      <c r="E355" s="12" t="s">
        <v>339</v>
      </c>
      <c r="F355" s="408">
        <f>'2.3 Input_Main_Questionnaire'!H173</f>
        <v>0.05</v>
      </c>
      <c r="G355" s="408">
        <v>0</v>
      </c>
      <c r="H355" s="408">
        <v>0</v>
      </c>
      <c r="I355" s="539">
        <v>0</v>
      </c>
      <c r="J355" s="540">
        <v>0</v>
      </c>
      <c r="K355" s="570"/>
      <c r="L355" s="571">
        <v>0</v>
      </c>
      <c r="M355" s="572" t="s">
        <v>1018</v>
      </c>
      <c r="N355" s="3"/>
      <c r="O355" s="1173"/>
      <c r="P355" s="1174"/>
      <c r="Q355" s="1"/>
      <c r="R355" s="162"/>
      <c r="S355" s="1"/>
      <c r="T355" s="103"/>
      <c r="U355" s="103"/>
      <c r="V355" s="103"/>
      <c r="W355" s="98"/>
      <c r="X355" s="98"/>
      <c r="Y355" s="98"/>
      <c r="Z355" s="98"/>
      <c r="AA355" s="98"/>
      <c r="AB355" s="98"/>
      <c r="AC355" s="98"/>
      <c r="AD355" s="98"/>
      <c r="AE355" s="98"/>
      <c r="AF355" s="98"/>
      <c r="AG355" s="98"/>
      <c r="AH355" s="98"/>
      <c r="AI355" s="98"/>
      <c r="AJ355" s="98"/>
      <c r="AK355" s="98"/>
      <c r="AL355" s="98"/>
      <c r="AM355" s="98"/>
      <c r="AN355" s="98"/>
      <c r="AO355" s="98"/>
      <c r="AP355" s="98"/>
      <c r="AQ355" s="98"/>
      <c r="AR355" s="98"/>
      <c r="AS355" s="98"/>
      <c r="AT355" s="98"/>
      <c r="AU355" s="98"/>
      <c r="AV355" s="98"/>
      <c r="AW355" s="98"/>
      <c r="AX355" s="98"/>
      <c r="AY355" s="98"/>
      <c r="AZ355" s="98"/>
      <c r="BA355" s="98"/>
      <c r="BB355" s="98"/>
      <c r="BC355" s="98"/>
      <c r="BD355" s="98"/>
      <c r="BE355" s="98"/>
      <c r="BF355" s="98"/>
      <c r="BG355" s="98"/>
      <c r="BH355" s="98"/>
      <c r="BI355" s="98"/>
      <c r="BJ355" s="98"/>
      <c r="BK355" s="98"/>
      <c r="BL355" s="99"/>
      <c r="BM355" s="99"/>
      <c r="BN355" s="99"/>
      <c r="BO355" s="99"/>
      <c r="BP355" s="99"/>
      <c r="BQ355" s="99"/>
      <c r="BR355" s="99"/>
      <c r="BS355" s="99"/>
      <c r="BT355" s="99"/>
      <c r="BU355" s="99"/>
    </row>
    <row r="356" spans="1:73">
      <c r="A356" s="6"/>
      <c r="B356" s="108"/>
      <c r="C356" s="1"/>
      <c r="D356" s="1"/>
      <c r="E356" s="12" t="s">
        <v>331</v>
      </c>
      <c r="F356" s="408">
        <f>'2.3 Input_Main_Questionnaire'!H174</f>
        <v>0.4</v>
      </c>
      <c r="G356" s="408">
        <f t="shared" ref="G356:G358" si="63">F356/SUM($F$356:$F$358)</f>
        <v>0.42105263157894735</v>
      </c>
      <c r="H356" s="408">
        <f>'2.3 Input_Main_Questionnaire'!$H$183*G356*L356</f>
        <v>0.21894736842105267</v>
      </c>
      <c r="I356" s="542">
        <v>0</v>
      </c>
      <c r="J356" s="543">
        <v>0</v>
      </c>
      <c r="K356" s="570"/>
      <c r="L356" s="573">
        <v>0.8</v>
      </c>
      <c r="M356" s="574" t="s">
        <v>1018</v>
      </c>
      <c r="N356" s="3"/>
      <c r="O356" s="1173"/>
      <c r="P356" s="1174"/>
      <c r="Q356" s="1"/>
      <c r="R356" s="162"/>
      <c r="S356" s="1"/>
      <c r="T356" s="103"/>
      <c r="U356" s="103"/>
      <c r="V356" s="103"/>
      <c r="W356" s="98"/>
      <c r="X356" s="98"/>
      <c r="Y356" s="98"/>
      <c r="Z356" s="98"/>
      <c r="AA356" s="98"/>
      <c r="AB356" s="98"/>
      <c r="AC356" s="98"/>
      <c r="AD356" s="98"/>
      <c r="AE356" s="98"/>
      <c r="AF356" s="98"/>
      <c r="AG356" s="98"/>
      <c r="AH356" s="98"/>
      <c r="AI356" s="98"/>
      <c r="AJ356" s="98"/>
      <c r="AK356" s="98"/>
      <c r="AL356" s="98"/>
      <c r="AM356" s="98"/>
      <c r="AN356" s="98"/>
      <c r="AO356" s="98"/>
      <c r="AP356" s="98"/>
      <c r="AQ356" s="98"/>
      <c r="AR356" s="98"/>
      <c r="AS356" s="98"/>
      <c r="AT356" s="98"/>
      <c r="AU356" s="98"/>
      <c r="AV356" s="98"/>
      <c r="AW356" s="98"/>
      <c r="AX356" s="98"/>
      <c r="AY356" s="98"/>
      <c r="AZ356" s="98"/>
      <c r="BA356" s="98"/>
      <c r="BB356" s="98"/>
      <c r="BC356" s="98"/>
      <c r="BD356" s="98"/>
      <c r="BE356" s="98"/>
      <c r="BF356" s="98"/>
      <c r="BG356" s="98"/>
      <c r="BH356" s="98"/>
      <c r="BI356" s="98"/>
      <c r="BJ356" s="98"/>
      <c r="BK356" s="98"/>
      <c r="BL356" s="99"/>
      <c r="BM356" s="99"/>
      <c r="BN356" s="99"/>
      <c r="BO356" s="99"/>
      <c r="BP356" s="99"/>
      <c r="BQ356" s="99"/>
      <c r="BR356" s="99"/>
      <c r="BS356" s="99"/>
      <c r="BT356" s="99"/>
      <c r="BU356" s="99"/>
    </row>
    <row r="357" spans="1:73">
      <c r="A357" s="6"/>
      <c r="B357" s="108"/>
      <c r="C357" s="1"/>
      <c r="D357" s="1"/>
      <c r="E357" s="12" t="s">
        <v>332</v>
      </c>
      <c r="F357" s="408">
        <f>'2.3 Input_Main_Questionnaire'!H175</f>
        <v>0.4</v>
      </c>
      <c r="G357" s="408">
        <f t="shared" si="63"/>
        <v>0.42105263157894735</v>
      </c>
      <c r="H357" s="408">
        <f>'2.3 Input_Main_Questionnaire'!$H$183*G357*L357</f>
        <v>0.27368421052631581</v>
      </c>
      <c r="I357" s="542">
        <v>0</v>
      </c>
      <c r="J357" s="543">
        <v>0</v>
      </c>
      <c r="K357" s="570"/>
      <c r="L357" s="573">
        <v>1</v>
      </c>
      <c r="M357" s="574" t="s">
        <v>1018</v>
      </c>
      <c r="N357" s="3"/>
      <c r="O357" s="1173"/>
      <c r="P357" s="1174"/>
      <c r="Q357" s="1"/>
      <c r="R357" s="162"/>
      <c r="S357" s="1"/>
      <c r="T357" s="103"/>
      <c r="U357" s="103"/>
      <c r="V357" s="103"/>
      <c r="W357" s="98"/>
      <c r="X357" s="98"/>
      <c r="Y357" s="98"/>
      <c r="Z357" s="98"/>
      <c r="AA357" s="98"/>
      <c r="AB357" s="98"/>
      <c r="AC357" s="98"/>
      <c r="AD357" s="98"/>
      <c r="AE357" s="98"/>
      <c r="AF357" s="98"/>
      <c r="AG357" s="98"/>
      <c r="AH357" s="98"/>
      <c r="AI357" s="98"/>
      <c r="AJ357" s="98"/>
      <c r="AK357" s="98"/>
      <c r="AL357" s="98"/>
      <c r="AM357" s="98"/>
      <c r="AN357" s="98"/>
      <c r="AO357" s="98"/>
      <c r="AP357" s="98"/>
      <c r="AQ357" s="98"/>
      <c r="AR357" s="98"/>
      <c r="AS357" s="98"/>
      <c r="AT357" s="98"/>
      <c r="AU357" s="98"/>
      <c r="AV357" s="98"/>
      <c r="AW357" s="98"/>
      <c r="AX357" s="98"/>
      <c r="AY357" s="98"/>
      <c r="AZ357" s="98"/>
      <c r="BA357" s="98"/>
      <c r="BB357" s="98"/>
      <c r="BC357" s="98"/>
      <c r="BD357" s="98"/>
      <c r="BE357" s="98"/>
      <c r="BF357" s="98"/>
      <c r="BG357" s="98"/>
      <c r="BH357" s="98"/>
      <c r="BI357" s="98"/>
      <c r="BJ357" s="98"/>
      <c r="BK357" s="98"/>
      <c r="BL357" s="99"/>
      <c r="BM357" s="99"/>
      <c r="BN357" s="99"/>
      <c r="BO357" s="99"/>
      <c r="BP357" s="99"/>
      <c r="BQ357" s="99"/>
      <c r="BR357" s="99"/>
      <c r="BS357" s="99"/>
      <c r="BT357" s="99"/>
      <c r="BU357" s="99"/>
    </row>
    <row r="358" spans="1:73">
      <c r="A358" s="6"/>
      <c r="B358" s="108"/>
      <c r="C358" s="1"/>
      <c r="D358" s="1"/>
      <c r="E358" s="12" t="s">
        <v>340</v>
      </c>
      <c r="F358" s="408">
        <f>'2.3 Input_Main_Questionnaire'!H176</f>
        <v>0.15</v>
      </c>
      <c r="G358" s="408">
        <f t="shared" si="63"/>
        <v>0.15789473684210525</v>
      </c>
      <c r="H358" s="408">
        <f>'2.3 Input_Main_Questionnaire'!$H$183*G358*L358</f>
        <v>0.20526315789473684</v>
      </c>
      <c r="I358" s="544">
        <v>1</v>
      </c>
      <c r="J358" s="545">
        <f>H358/F358*I358</f>
        <v>1.368421052631579</v>
      </c>
      <c r="K358" s="570"/>
      <c r="L358" s="575">
        <v>2</v>
      </c>
      <c r="M358" s="576" t="s">
        <v>1018</v>
      </c>
      <c r="N358" s="3"/>
      <c r="O358" s="1173"/>
      <c r="P358" s="1174"/>
      <c r="Q358" s="1"/>
      <c r="R358" s="162"/>
      <c r="S358" s="1"/>
      <c r="T358" s="101"/>
      <c r="U358" s="101"/>
      <c r="V358" s="101"/>
      <c r="W358" s="98"/>
      <c r="X358" s="98"/>
      <c r="Y358" s="98"/>
      <c r="Z358" s="98"/>
      <c r="AA358" s="98"/>
      <c r="AB358" s="98"/>
      <c r="AC358" s="98"/>
      <c r="AD358" s="98"/>
      <c r="AE358" s="98"/>
      <c r="AF358" s="98"/>
      <c r="AG358" s="98"/>
      <c r="AH358" s="98"/>
      <c r="AI358" s="98"/>
      <c r="AJ358" s="98"/>
      <c r="AK358" s="98"/>
      <c r="AL358" s="98"/>
      <c r="AM358" s="98"/>
      <c r="AN358" s="98"/>
      <c r="AO358" s="98"/>
      <c r="AP358" s="98"/>
      <c r="AQ358" s="98"/>
      <c r="AR358" s="98"/>
      <c r="AS358" s="98"/>
      <c r="AT358" s="98"/>
      <c r="AU358" s="98"/>
      <c r="AV358" s="98"/>
      <c r="AW358" s="98"/>
      <c r="AX358" s="98"/>
      <c r="AY358" s="98"/>
      <c r="AZ358" s="98"/>
      <c r="BA358" s="98"/>
      <c r="BB358" s="98"/>
      <c r="BC358" s="98"/>
      <c r="BD358" s="98"/>
      <c r="BE358" s="98"/>
      <c r="BF358" s="98"/>
      <c r="BG358" s="98"/>
      <c r="BH358" s="98"/>
      <c r="BI358" s="98"/>
      <c r="BJ358" s="98"/>
      <c r="BK358" s="98"/>
      <c r="BL358" s="99"/>
      <c r="BM358" s="99"/>
      <c r="BN358" s="99"/>
      <c r="BO358" s="99"/>
      <c r="BP358" s="99"/>
      <c r="BQ358" s="99"/>
      <c r="BR358" s="99"/>
      <c r="BS358" s="99"/>
      <c r="BT358" s="99"/>
      <c r="BU358" s="99"/>
    </row>
    <row r="359" spans="1:73" ht="17.25" hidden="1" customHeight="1">
      <c r="A359" s="6"/>
      <c r="B359" s="108"/>
      <c r="C359" s="1"/>
      <c r="D359" s="12"/>
      <c r="E359" s="1"/>
      <c r="F359" s="6"/>
      <c r="G359" s="3"/>
      <c r="H359" s="3"/>
      <c r="I359" s="3"/>
      <c r="J359" s="3"/>
      <c r="K359" s="3"/>
      <c r="L359" s="3"/>
      <c r="M359" s="3"/>
      <c r="N359" s="3"/>
      <c r="O359" s="1"/>
      <c r="P359" s="1"/>
      <c r="Q359" s="1"/>
      <c r="R359" s="162"/>
      <c r="S359" s="1"/>
      <c r="T359" s="103"/>
      <c r="U359" s="9" t="s">
        <v>5</v>
      </c>
      <c r="V359" s="103"/>
      <c r="W359" s="98"/>
      <c r="X359" s="98"/>
      <c r="Y359" s="98"/>
      <c r="Z359" s="98"/>
      <c r="AA359" s="98"/>
      <c r="AB359" s="98"/>
      <c r="AC359" s="98"/>
      <c r="AD359" s="98"/>
      <c r="AE359" s="98"/>
      <c r="AF359" s="98"/>
      <c r="AG359" s="98"/>
      <c r="AH359" s="98"/>
      <c r="AI359" s="98"/>
      <c r="AJ359" s="98"/>
      <c r="AK359" s="98"/>
      <c r="AL359" s="98"/>
      <c r="AM359" s="98"/>
      <c r="AN359" s="98"/>
      <c r="AO359" s="98"/>
      <c r="AP359" s="98"/>
      <c r="AQ359" s="98"/>
      <c r="AR359" s="98"/>
      <c r="AS359" s="98"/>
      <c r="AT359" s="98"/>
      <c r="AU359" s="98"/>
      <c r="AV359" s="98"/>
      <c r="AW359" s="98"/>
      <c r="AX359" s="98"/>
      <c r="AY359" s="98"/>
      <c r="AZ359" s="98"/>
      <c r="BA359" s="98"/>
      <c r="BB359" s="98"/>
      <c r="BC359" s="98"/>
      <c r="BD359" s="98"/>
      <c r="BE359" s="98"/>
      <c r="BF359" s="98"/>
      <c r="BG359" s="98"/>
      <c r="BH359" s="98"/>
      <c r="BI359" s="98"/>
      <c r="BJ359" s="98"/>
      <c r="BK359" s="98"/>
      <c r="BL359" s="99"/>
      <c r="BM359" s="99"/>
      <c r="BN359" s="99"/>
      <c r="BO359" s="99"/>
      <c r="BP359" s="99"/>
      <c r="BQ359" s="99"/>
      <c r="BR359" s="99"/>
      <c r="BS359" s="99"/>
      <c r="BT359" s="99"/>
      <c r="BU359" s="99"/>
    </row>
    <row r="360" spans="1:73" ht="17.25" hidden="1" customHeight="1">
      <c r="A360" s="6"/>
      <c r="B360" s="108"/>
      <c r="C360" s="1"/>
      <c r="D360" s="12"/>
      <c r="E360" s="1"/>
      <c r="F360" s="6"/>
      <c r="G360" s="3"/>
      <c r="H360" s="3"/>
      <c r="I360" s="3"/>
      <c r="J360" s="3"/>
      <c r="K360" s="3"/>
      <c r="L360" s="3"/>
      <c r="M360" s="3"/>
      <c r="N360" s="3"/>
      <c r="O360" s="1"/>
      <c r="P360" s="1"/>
      <c r="Q360" s="1"/>
      <c r="R360" s="162"/>
      <c r="S360" s="1"/>
      <c r="T360" s="103"/>
      <c r="U360" s="103"/>
      <c r="V360" s="103" t="str">
        <f>D353</f>
        <v>Time change due to FAIR</v>
      </c>
      <c r="W360" s="98"/>
      <c r="X360" s="98"/>
      <c r="Y360" s="98"/>
      <c r="Z360" s="98"/>
      <c r="AA360" s="98"/>
      <c r="AB360" s="98"/>
      <c r="AC360" s="98"/>
      <c r="AD360" s="98"/>
      <c r="AE360" s="98"/>
      <c r="AF360" s="98"/>
      <c r="AG360" s="98"/>
      <c r="AH360" s="98"/>
      <c r="AI360" s="98"/>
      <c r="AJ360" s="98"/>
      <c r="AK360" s="98"/>
      <c r="AL360" s="98"/>
      <c r="AM360" s="98"/>
      <c r="AN360" s="98"/>
      <c r="AO360" s="98"/>
      <c r="AP360" s="98"/>
      <c r="AQ360" s="98"/>
      <c r="AR360" s="98"/>
      <c r="AS360" s="98"/>
      <c r="AT360" s="98"/>
      <c r="AU360" s="98"/>
      <c r="AV360" s="98"/>
      <c r="AW360" s="98"/>
      <c r="AX360" s="98"/>
      <c r="AY360" s="98"/>
      <c r="AZ360" s="98"/>
      <c r="BA360" s="98"/>
      <c r="BB360" s="98"/>
      <c r="BC360" s="98"/>
      <c r="BD360" s="98"/>
      <c r="BE360" s="98"/>
      <c r="BF360" s="98"/>
      <c r="BG360" s="98"/>
      <c r="BH360" s="98"/>
      <c r="BI360" s="98"/>
      <c r="BJ360" s="98"/>
      <c r="BK360" s="98"/>
      <c r="BL360" s="99"/>
      <c r="BM360" s="99"/>
      <c r="BN360" s="99"/>
      <c r="BO360" s="99"/>
      <c r="BP360" s="99"/>
      <c r="BQ360" s="99"/>
      <c r="BR360" s="99"/>
      <c r="BS360" s="99"/>
      <c r="BT360" s="99"/>
      <c r="BU360" s="99"/>
    </row>
    <row r="361" spans="1:73" ht="17.25" hidden="1" customHeight="1">
      <c r="A361" s="6"/>
      <c r="B361" s="108"/>
      <c r="C361" s="1"/>
      <c r="D361" s="12"/>
      <c r="E361" s="1"/>
      <c r="F361" s="6"/>
      <c r="G361" s="3"/>
      <c r="H361" s="3"/>
      <c r="I361" s="3"/>
      <c r="J361" s="3"/>
      <c r="K361" s="3"/>
      <c r="L361" s="3"/>
      <c r="M361" s="3"/>
      <c r="N361" s="3"/>
      <c r="O361" s="1"/>
      <c r="P361" s="1"/>
      <c r="Q361" s="1"/>
      <c r="R361" s="162"/>
      <c r="S361" s="1"/>
      <c r="T361" s="101" t="s">
        <v>865</v>
      </c>
      <c r="U361" s="101" t="s">
        <v>289</v>
      </c>
      <c r="V361" s="101" t="s">
        <v>208</v>
      </c>
      <c r="W361" s="98">
        <f>Growth!B20</f>
        <v>2018</v>
      </c>
      <c r="X361" s="98">
        <f t="shared" ref="X361:BK361" si="64">W361+1</f>
        <v>2019</v>
      </c>
      <c r="Y361" s="98">
        <f t="shared" si="64"/>
        <v>2020</v>
      </c>
      <c r="Z361" s="98">
        <f t="shared" si="64"/>
        <v>2021</v>
      </c>
      <c r="AA361" s="98">
        <f t="shared" si="64"/>
        <v>2022</v>
      </c>
      <c r="AB361" s="98">
        <f t="shared" si="64"/>
        <v>2023</v>
      </c>
      <c r="AC361" s="98">
        <f t="shared" si="64"/>
        <v>2024</v>
      </c>
      <c r="AD361" s="98">
        <f t="shared" si="64"/>
        <v>2025</v>
      </c>
      <c r="AE361" s="98">
        <f t="shared" si="64"/>
        <v>2026</v>
      </c>
      <c r="AF361" s="98">
        <f t="shared" si="64"/>
        <v>2027</v>
      </c>
      <c r="AG361" s="98">
        <f t="shared" si="64"/>
        <v>2028</v>
      </c>
      <c r="AH361" s="98">
        <f t="shared" si="64"/>
        <v>2029</v>
      </c>
      <c r="AI361" s="98">
        <f t="shared" si="64"/>
        <v>2030</v>
      </c>
      <c r="AJ361" s="98">
        <f t="shared" si="64"/>
        <v>2031</v>
      </c>
      <c r="AK361" s="98">
        <f t="shared" si="64"/>
        <v>2032</v>
      </c>
      <c r="AL361" s="98">
        <f t="shared" si="64"/>
        <v>2033</v>
      </c>
      <c r="AM361" s="98">
        <f t="shared" si="64"/>
        <v>2034</v>
      </c>
      <c r="AN361" s="98">
        <f t="shared" si="64"/>
        <v>2035</v>
      </c>
      <c r="AO361" s="98">
        <f t="shared" si="64"/>
        <v>2036</v>
      </c>
      <c r="AP361" s="98">
        <f t="shared" si="64"/>
        <v>2037</v>
      </c>
      <c r="AQ361" s="98">
        <f t="shared" si="64"/>
        <v>2038</v>
      </c>
      <c r="AR361" s="98">
        <f t="shared" si="64"/>
        <v>2039</v>
      </c>
      <c r="AS361" s="98">
        <f t="shared" si="64"/>
        <v>2040</v>
      </c>
      <c r="AT361" s="98">
        <f t="shared" si="64"/>
        <v>2041</v>
      </c>
      <c r="AU361" s="98">
        <f t="shared" si="64"/>
        <v>2042</v>
      </c>
      <c r="AV361" s="98">
        <f t="shared" si="64"/>
        <v>2043</v>
      </c>
      <c r="AW361" s="98">
        <f t="shared" si="64"/>
        <v>2044</v>
      </c>
      <c r="AX361" s="98">
        <f t="shared" si="64"/>
        <v>2045</v>
      </c>
      <c r="AY361" s="98">
        <f t="shared" si="64"/>
        <v>2046</v>
      </c>
      <c r="AZ361" s="98">
        <f t="shared" si="64"/>
        <v>2047</v>
      </c>
      <c r="BA361" s="98">
        <f t="shared" si="64"/>
        <v>2048</v>
      </c>
      <c r="BB361" s="98">
        <f t="shared" si="64"/>
        <v>2049</v>
      </c>
      <c r="BC361" s="98">
        <f t="shared" si="64"/>
        <v>2050</v>
      </c>
      <c r="BD361" s="98">
        <f t="shared" si="64"/>
        <v>2051</v>
      </c>
      <c r="BE361" s="98">
        <f t="shared" si="64"/>
        <v>2052</v>
      </c>
      <c r="BF361" s="98">
        <f t="shared" si="64"/>
        <v>2053</v>
      </c>
      <c r="BG361" s="98">
        <f t="shared" si="64"/>
        <v>2054</v>
      </c>
      <c r="BH361" s="98">
        <f t="shared" si="64"/>
        <v>2055</v>
      </c>
      <c r="BI361" s="98">
        <f t="shared" si="64"/>
        <v>2056</v>
      </c>
      <c r="BJ361" s="98">
        <f t="shared" si="64"/>
        <v>2057</v>
      </c>
      <c r="BK361" s="98">
        <f t="shared" si="64"/>
        <v>2058</v>
      </c>
      <c r="BL361" s="98"/>
      <c r="BM361" s="98"/>
      <c r="BN361" s="98"/>
      <c r="BO361" s="98"/>
      <c r="BP361" s="98"/>
      <c r="BQ361" s="98"/>
      <c r="BR361" s="98"/>
      <c r="BS361" s="98"/>
      <c r="BT361" s="98"/>
      <c r="BU361" s="98"/>
    </row>
    <row r="362" spans="1:73" ht="17.25" hidden="1" customHeight="1">
      <c r="A362" s="6"/>
      <c r="B362" s="108"/>
      <c r="C362" s="1"/>
      <c r="D362" s="12"/>
      <c r="E362" s="1"/>
      <c r="F362" s="6"/>
      <c r="G362" s="3"/>
      <c r="H362" s="3"/>
      <c r="I362" s="3"/>
      <c r="J362" s="3"/>
      <c r="K362" s="3"/>
      <c r="L362" s="3"/>
      <c r="M362" s="3"/>
      <c r="N362" s="3"/>
      <c r="O362" s="1"/>
      <c r="P362" s="1"/>
      <c r="Q362" s="1"/>
      <c r="R362" s="162"/>
      <c r="S362" s="1"/>
      <c r="T362" s="103"/>
      <c r="U362" s="103"/>
      <c r="V362" s="103"/>
      <c r="W362" s="134">
        <v>3</v>
      </c>
      <c r="X362" s="134">
        <v>4</v>
      </c>
      <c r="Y362" s="134">
        <v>5</v>
      </c>
      <c r="Z362" s="134">
        <v>6</v>
      </c>
      <c r="AA362" s="134">
        <v>7</v>
      </c>
      <c r="AB362" s="134">
        <v>8</v>
      </c>
      <c r="AC362" s="134">
        <v>9</v>
      </c>
      <c r="AD362" s="134">
        <v>10</v>
      </c>
      <c r="AE362" s="134">
        <v>11</v>
      </c>
      <c r="AF362" s="134">
        <v>12</v>
      </c>
      <c r="AG362" s="134">
        <v>13</v>
      </c>
      <c r="AH362" s="134">
        <v>14</v>
      </c>
      <c r="AI362" s="134">
        <v>15</v>
      </c>
      <c r="AJ362" s="134">
        <v>16</v>
      </c>
      <c r="AK362" s="134">
        <v>17</v>
      </c>
      <c r="AL362" s="134">
        <v>18</v>
      </c>
      <c r="AM362" s="134">
        <v>19</v>
      </c>
      <c r="AN362" s="134">
        <v>20</v>
      </c>
      <c r="AO362" s="134">
        <v>21</v>
      </c>
      <c r="AP362" s="134">
        <v>22</v>
      </c>
      <c r="AQ362" s="134">
        <v>23</v>
      </c>
      <c r="AR362" s="134">
        <v>24</v>
      </c>
      <c r="AS362" s="134">
        <v>25</v>
      </c>
      <c r="AT362" s="134">
        <v>26</v>
      </c>
      <c r="AU362" s="134">
        <v>27</v>
      </c>
      <c r="AV362" s="134">
        <v>28</v>
      </c>
      <c r="AW362" s="134">
        <v>29</v>
      </c>
      <c r="AX362" s="134">
        <v>30</v>
      </c>
      <c r="AY362" s="134">
        <v>31</v>
      </c>
      <c r="AZ362" s="134">
        <v>32</v>
      </c>
      <c r="BA362" s="134">
        <v>33</v>
      </c>
      <c r="BB362" s="134">
        <v>34</v>
      </c>
      <c r="BC362" s="134">
        <v>35</v>
      </c>
      <c r="BD362" s="134">
        <v>36</v>
      </c>
      <c r="BE362" s="134">
        <v>37</v>
      </c>
      <c r="BF362" s="134">
        <v>38</v>
      </c>
      <c r="BG362" s="134">
        <v>39</v>
      </c>
      <c r="BH362" s="134">
        <v>40</v>
      </c>
      <c r="BI362" s="134">
        <v>41</v>
      </c>
      <c r="BJ362" s="134">
        <v>42</v>
      </c>
      <c r="BK362" s="134">
        <v>43</v>
      </c>
      <c r="BL362" s="134"/>
      <c r="BM362" s="134"/>
      <c r="BN362" s="134"/>
      <c r="BO362" s="134"/>
      <c r="BP362" s="134"/>
      <c r="BQ362" s="134"/>
      <c r="BR362" s="134"/>
      <c r="BS362" s="134"/>
      <c r="BT362" s="134"/>
      <c r="BU362" s="134"/>
    </row>
    <row r="363" spans="1:73" ht="17.25" hidden="1" customHeight="1">
      <c r="A363" s="6"/>
      <c r="B363" s="108"/>
      <c r="C363" s="1"/>
      <c r="D363" s="12"/>
      <c r="E363" s="1"/>
      <c r="F363" s="1"/>
      <c r="G363" s="3"/>
      <c r="H363" s="3"/>
      <c r="I363" s="3"/>
      <c r="J363" s="3"/>
      <c r="K363" s="3"/>
      <c r="L363" s="3"/>
      <c r="M363" s="3"/>
      <c r="N363" s="3"/>
      <c r="O363" s="1"/>
      <c r="P363" s="1"/>
      <c r="Q363" s="1"/>
      <c r="R363" s="162"/>
      <c r="S363" s="1"/>
      <c r="T363" s="101" t="s">
        <v>865</v>
      </c>
      <c r="U363" s="101" t="s">
        <v>289</v>
      </c>
      <c r="V363" s="101" t="s">
        <v>339</v>
      </c>
      <c r="W363" s="416">
        <f>IF($G$355=0%,0%, IF(W$361&gt;='2.2 Input_General_Information'!$H$20,$G$355 * VLOOKUP(W$631,Growth!$B$128:$L$170, 9, FALSE),))</f>
        <v>0</v>
      </c>
      <c r="X363" s="416">
        <f>IF($G$355=0%,0%, IF(X$361&gt;='2.2 Input_General_Information'!$H$20,$G$355 * VLOOKUP(X$631,Growth!$B$128:$L$170, 9, FALSE),))</f>
        <v>0</v>
      </c>
      <c r="Y363" s="416">
        <f>IF($G$355=0%,0%, IF(Y$361&gt;='2.2 Input_General_Information'!$H$20,$G$355 * VLOOKUP(Y$631,Growth!$B$128:$L$170, 9, FALSE),))</f>
        <v>0</v>
      </c>
      <c r="Z363" s="416">
        <f>IF($G$355=0%,0%, IF(Z$361&gt;='2.2 Input_General_Information'!$H$20,$G$355 * VLOOKUP(Z$631,Growth!$B$128:$L$170, 9, FALSE),))</f>
        <v>0</v>
      </c>
      <c r="AA363" s="416">
        <f>IF($G$355=0%,0%, IF(AA$361&gt;='2.2 Input_General_Information'!$H$20,$G$355 * VLOOKUP(AA$631,Growth!$B$128:$L$170, 9, FALSE),))</f>
        <v>0</v>
      </c>
      <c r="AB363" s="416">
        <f>IF($G$355=0%,0%, IF(AB$361&gt;='2.2 Input_General_Information'!$H$20,$G$355 * VLOOKUP(AB$631,Growth!$B$128:$L$170, 9, FALSE),))</f>
        <v>0</v>
      </c>
      <c r="AC363" s="416">
        <f>IF($G$355=0%,0%, IF(AC$361&gt;='2.2 Input_General_Information'!$H$20,$G$355 * VLOOKUP(AC$631,Growth!$B$128:$L$170, 9, FALSE),))</f>
        <v>0</v>
      </c>
      <c r="AD363" s="416">
        <f>IF($G$355=0%,0%, IF(AD$361&gt;='2.2 Input_General_Information'!$H$20,$G$355 * VLOOKUP(AD$631,Growth!$B$128:$L$170, 9, FALSE),))</f>
        <v>0</v>
      </c>
      <c r="AE363" s="416">
        <f>IF($G$355=0%,0%, IF(AE$361&gt;='2.2 Input_General_Information'!$H$20,$G$355 * VLOOKUP(AE$631,Growth!$B$128:$L$170, 9, FALSE),))</f>
        <v>0</v>
      </c>
      <c r="AF363" s="416">
        <f>IF($G$355=0%,0%, IF(AF$361&gt;='2.2 Input_General_Information'!$H$20,$G$355 * VLOOKUP(AF$631,Growth!$B$128:$L$170, 9, FALSE),))</f>
        <v>0</v>
      </c>
      <c r="AG363" s="416">
        <f>IF($G$355=0%,0%, IF(AG$361&gt;='2.2 Input_General_Information'!$H$20,$G$355 * VLOOKUP(AG$631,Growth!$B$128:$L$170, 9, FALSE),))</f>
        <v>0</v>
      </c>
      <c r="AH363" s="416">
        <f>IF($G$355=0%,0%, IF(AH$361&gt;='2.2 Input_General_Information'!$H$20,$G$355 * VLOOKUP(AH$631,Growth!$B$128:$L$170, 9, FALSE),))</f>
        <v>0</v>
      </c>
      <c r="AI363" s="416">
        <f>IF($G$355=0%,0%, IF(AI$361&gt;='2.2 Input_General_Information'!$H$20,$G$355 * VLOOKUP(AI$631,Growth!$B$128:$L$170, 9, FALSE),))</f>
        <v>0</v>
      </c>
      <c r="AJ363" s="416">
        <f>IF($G$355=0%,0%, IF(AJ$361&gt;='2.2 Input_General_Information'!$H$20,$G$355 * VLOOKUP(AJ$631,Growth!$B$128:$L$170, 9, FALSE),))</f>
        <v>0</v>
      </c>
      <c r="AK363" s="416">
        <f>IF($G$355=0%,0%, IF(AK$361&gt;='2.2 Input_General_Information'!$H$20,$G$355 * VLOOKUP(AK$631,Growth!$B$128:$L$170, 9, FALSE),))</f>
        <v>0</v>
      </c>
      <c r="AL363" s="416">
        <f>IF($G$355=0%,0%, IF(AL$361&gt;='2.2 Input_General_Information'!$H$20,$G$355 * VLOOKUP(AL$631,Growth!$B$128:$L$170, 9, FALSE),))</f>
        <v>0</v>
      </c>
      <c r="AM363" s="416">
        <f>IF($G$355=0%,0%, IF(AM$361&gt;='2.2 Input_General_Information'!$H$20,$G$355 * VLOOKUP(AM$631,Growth!$B$128:$L$170, 9, FALSE),))</f>
        <v>0</v>
      </c>
      <c r="AN363" s="416">
        <f>IF($G$355=0%,0%, IF(AN$361&gt;='2.2 Input_General_Information'!$H$20,$G$355 * VLOOKUP(AN$631,Growth!$B$128:$L$170, 9, FALSE),))</f>
        <v>0</v>
      </c>
      <c r="AO363" s="416">
        <f>IF($G$355=0%,0%, IF(AO$361&gt;='2.2 Input_General_Information'!$H$20,$G$355 * VLOOKUP(AO$631,Growth!$B$128:$L$170, 9, FALSE),))</f>
        <v>0</v>
      </c>
      <c r="AP363" s="416">
        <f>IF($G$355=0%,0%, IF(AP$361&gt;='2.2 Input_General_Information'!$H$20,$G$355 * VLOOKUP(AP$631,Growth!$B$128:$L$170, 9, FALSE),))</f>
        <v>0</v>
      </c>
      <c r="AQ363" s="416">
        <f>IF($G$355=0%,0%, IF(AQ$361&gt;='2.2 Input_General_Information'!$H$20,$G$355 * VLOOKUP(AQ$631,Growth!$B$128:$L$170, 9, FALSE),))</f>
        <v>0</v>
      </c>
      <c r="AR363" s="416">
        <f>IF($G$355=0%,0%, IF(AR$361&gt;='2.2 Input_General_Information'!$H$20,$G$355 * VLOOKUP(AR$631,Growth!$B$128:$L$170, 9, FALSE),))</f>
        <v>0</v>
      </c>
      <c r="AS363" s="416">
        <f>IF($G$355=0%,0%, IF(AS$361&gt;='2.2 Input_General_Information'!$H$20,$G$355 * VLOOKUP(AS$631,Growth!$B$128:$L$170, 9, FALSE),))</f>
        <v>0</v>
      </c>
      <c r="AT363" s="416">
        <f>IF($G$355=0%,0%, IF(AT$361&gt;='2.2 Input_General_Information'!$H$20,$G$355 * VLOOKUP(AT$631,Growth!$B$128:$L$170, 9, FALSE),))</f>
        <v>0</v>
      </c>
      <c r="AU363" s="416">
        <f>IF($G$355=0%,0%, IF(AU$361&gt;='2.2 Input_General_Information'!$H$20,$G$355 * VLOOKUP(AU$631,Growth!$B$128:$L$170, 9, FALSE),))</f>
        <v>0</v>
      </c>
      <c r="AV363" s="416">
        <f>IF($G$355=0%,0%, IF(AV$361&gt;='2.2 Input_General_Information'!$H$20,$G$355 * VLOOKUP(AV$631,Growth!$B$128:$L$170, 9, FALSE),))</f>
        <v>0</v>
      </c>
      <c r="AW363" s="416">
        <f>IF($G$355=0%,0%, IF(AW$361&gt;='2.2 Input_General_Information'!$H$20,$G$355 * VLOOKUP(AW$631,Growth!$B$128:$L$170, 9, FALSE),))</f>
        <v>0</v>
      </c>
      <c r="AX363" s="416">
        <f>IF($G$355=0%,0%, IF(AX$361&gt;='2.2 Input_General_Information'!$H$20,$G$355 * VLOOKUP(AX$631,Growth!$B$128:$L$170, 9, FALSE),))</f>
        <v>0</v>
      </c>
      <c r="AY363" s="416">
        <f>IF($G$355=0%,0%, IF(AY$361&gt;='2.2 Input_General_Information'!$H$20,$G$355 * VLOOKUP(AY$631,Growth!$B$128:$L$170, 9, FALSE),))</f>
        <v>0</v>
      </c>
      <c r="AZ363" s="416">
        <f>IF($G$355=0%,0%, IF(AZ$361&gt;='2.2 Input_General_Information'!$H$20,$G$355 * VLOOKUP(AZ$631,Growth!$B$128:$L$170, 9, FALSE),))</f>
        <v>0</v>
      </c>
      <c r="BA363" s="416">
        <f>IF($G$355=0%,0%, IF(BA$361&gt;='2.2 Input_General_Information'!$H$20,$G$355 * VLOOKUP(BA$631,Growth!$B$128:$L$170, 9, FALSE),))</f>
        <v>0</v>
      </c>
      <c r="BB363" s="416">
        <f>IF($G$355=0%,0%, IF(BB$361&gt;='2.2 Input_General_Information'!$H$20,$G$355 * VLOOKUP(BB$631,Growth!$B$128:$L$170, 9, FALSE),))</f>
        <v>0</v>
      </c>
      <c r="BC363" s="416">
        <f>IF($G$355=0%,0%, IF(BC$361&gt;='2.2 Input_General_Information'!$H$20,$G$355 * VLOOKUP(BC$631,Growth!$B$128:$L$170, 9, FALSE),))</f>
        <v>0</v>
      </c>
      <c r="BD363" s="416">
        <f>IF($G$355=0%,0%, IF(BD$361&gt;='2.2 Input_General_Information'!$H$20,$G$355 * VLOOKUP(BD$631,Growth!$B$128:$L$170, 9, FALSE),))</f>
        <v>0</v>
      </c>
      <c r="BE363" s="416">
        <f>IF($G$355=0%,0%, IF(BE$361&gt;='2.2 Input_General_Information'!$H$20,$G$355 * VLOOKUP(BE$631,Growth!$B$128:$L$170, 9, FALSE),))</f>
        <v>0</v>
      </c>
      <c r="BF363" s="416">
        <f>IF($G$355=0%,0%, IF(BF$361&gt;='2.2 Input_General_Information'!$H$20,$G$355 * VLOOKUP(BF$631,Growth!$B$128:$L$170, 9, FALSE),))</f>
        <v>0</v>
      </c>
      <c r="BG363" s="416">
        <f>IF($G$355=0%,0%, IF(BG$361&gt;='2.2 Input_General_Information'!$H$20,$G$355 * VLOOKUP(BG$631,Growth!$B$128:$L$170, 9, FALSE),))</f>
        <v>0</v>
      </c>
      <c r="BH363" s="416">
        <f>IF($G$355=0%,0%, IF(BH$361&gt;='2.2 Input_General_Information'!$H$20,$G$355 * VLOOKUP(BH$631,Growth!$B$128:$L$170, 9, FALSE),))</f>
        <v>0</v>
      </c>
      <c r="BI363" s="416">
        <f>IF($G$355=0%,0%, IF(BI$361&gt;='2.2 Input_General_Information'!$H$20,$G$355 * VLOOKUP(BI$631,Growth!$B$128:$L$170, 9, FALSE),))</f>
        <v>0</v>
      </c>
      <c r="BJ363" s="416">
        <f>IF($G$355=0%,0%, IF(BJ$361&gt;='2.2 Input_General_Information'!$H$20,$G$355 * VLOOKUP(BJ$631,Growth!$B$128:$L$170, 9, FALSE),))</f>
        <v>0</v>
      </c>
      <c r="BK363" s="416">
        <f>IF($G$355=0%,0%, IF(BK$361&gt;='2.2 Input_General_Information'!$H$20,$G$355 * VLOOKUP(BK$631,Growth!$B$128:$L$170, 9, FALSE),))</f>
        <v>0</v>
      </c>
      <c r="BL363" s="416"/>
      <c r="BM363" s="416"/>
      <c r="BN363" s="416"/>
      <c r="BO363" s="416"/>
      <c r="BP363" s="416"/>
      <c r="BQ363" s="416"/>
      <c r="BR363" s="416"/>
      <c r="BS363" s="416"/>
      <c r="BT363" s="416"/>
      <c r="BU363" s="416"/>
    </row>
    <row r="364" spans="1:73" ht="17.25" hidden="1" customHeight="1">
      <c r="A364" s="6"/>
      <c r="B364" s="108"/>
      <c r="C364" s="1"/>
      <c r="D364" s="12"/>
      <c r="E364" s="1"/>
      <c r="F364" s="1"/>
      <c r="G364" s="3"/>
      <c r="H364" s="3"/>
      <c r="I364" s="3"/>
      <c r="J364" s="3"/>
      <c r="K364" s="3"/>
      <c r="L364" s="3"/>
      <c r="M364" s="3"/>
      <c r="N364" s="3"/>
      <c r="O364" s="1"/>
      <c r="P364" s="1"/>
      <c r="Q364" s="1"/>
      <c r="R364" s="162"/>
      <c r="S364" s="1"/>
      <c r="T364" s="101" t="s">
        <v>865</v>
      </c>
      <c r="U364" s="101" t="s">
        <v>289</v>
      </c>
      <c r="V364" s="101" t="s">
        <v>331</v>
      </c>
      <c r="W364" s="416">
        <f ca="1">IF($G$356=0%,0%, IF(W$361&gt;='2.2 Input_General_Information'!$H$20,$G$356 * VLOOKUP(W$631,Growth!$B$128:$L$170, 9, FALSE),))</f>
        <v>0.42101052631578945</v>
      </c>
      <c r="X364" s="416">
        <f ca="1">IF($G$356=0%,0%, IF(X$361&gt;='2.2 Input_General_Information'!$H$20,$G$356 * VLOOKUP(X$631,Growth!$B$128:$L$170, 9, FALSE),))</f>
        <v>0.40237539746575052</v>
      </c>
      <c r="Y364" s="416">
        <f ca="1">IF($G$356=0%,0%, IF(Y$361&gt;='2.2 Input_General_Information'!$H$20,$G$356 * VLOOKUP(Y$631,Growth!$B$128:$L$170, 9, FALSE),))</f>
        <v>1.8677234113196849E-2</v>
      </c>
      <c r="Z364" s="416">
        <f ca="1">IF($G$356=0%,0%, IF(Z$361&gt;='2.2 Input_General_Information'!$H$20,$G$356 * VLOOKUP(Z$631,Growth!$B$128:$L$170, 9, FALSE),))</f>
        <v>4.2105263157843353E-5</v>
      </c>
      <c r="AA364" s="416">
        <f ca="1">IF($G$356=0%,0%, IF(AA$361&gt;='2.2 Input_General_Information'!$H$20,$G$356 * VLOOKUP(AA$631,Growth!$B$128:$L$170, 9, FALSE),))</f>
        <v>0</v>
      </c>
      <c r="AB364" s="416">
        <f ca="1">IF($G$356=0%,0%, IF(AB$361&gt;='2.2 Input_General_Information'!$H$20,$G$356 * VLOOKUP(AB$631,Growth!$B$128:$L$170, 9, FALSE),))</f>
        <v>0</v>
      </c>
      <c r="AC364" s="416">
        <f ca="1">IF($G$356=0%,0%, IF(AC$361&gt;='2.2 Input_General_Information'!$H$20,$G$356 * VLOOKUP(AC$631,Growth!$B$128:$L$170, 9, FALSE),))</f>
        <v>0</v>
      </c>
      <c r="AD364" s="416">
        <f ca="1">IF($G$356=0%,0%, IF(AD$361&gt;='2.2 Input_General_Information'!$H$20,$G$356 * VLOOKUP(AD$631,Growth!$B$128:$L$170, 9, FALSE),))</f>
        <v>0</v>
      </c>
      <c r="AE364" s="416">
        <f ca="1">IF($G$356=0%,0%, IF(AE$361&gt;='2.2 Input_General_Information'!$H$20,$G$356 * VLOOKUP(AE$631,Growth!$B$128:$L$170, 9, FALSE),))</f>
        <v>0</v>
      </c>
      <c r="AF364" s="416">
        <f ca="1">IF($G$356=0%,0%, IF(AF$361&gt;='2.2 Input_General_Information'!$H$20,$G$356 * VLOOKUP(AF$631,Growth!$B$128:$L$170, 9, FALSE),))</f>
        <v>0</v>
      </c>
      <c r="AG364" s="416">
        <f ca="1">IF($G$356=0%,0%, IF(AG$361&gt;='2.2 Input_General_Information'!$H$20,$G$356 * VLOOKUP(AG$631,Growth!$B$128:$L$170, 9, FALSE),))</f>
        <v>0</v>
      </c>
      <c r="AH364" s="416">
        <f ca="1">IF($G$356=0%,0%, IF(AH$361&gt;='2.2 Input_General_Information'!$H$20,$G$356 * VLOOKUP(AH$631,Growth!$B$128:$L$170, 9, FALSE),))</f>
        <v>0</v>
      </c>
      <c r="AI364" s="416">
        <f ca="1">IF($G$356=0%,0%, IF(AI$361&gt;='2.2 Input_General_Information'!$H$20,$G$356 * VLOOKUP(AI$631,Growth!$B$128:$L$170, 9, FALSE),))</f>
        <v>0</v>
      </c>
      <c r="AJ364" s="416">
        <f ca="1">IF($G$356=0%,0%, IF(AJ$361&gt;='2.2 Input_General_Information'!$H$20,$G$356 * VLOOKUP(AJ$631,Growth!$B$128:$L$170, 9, FALSE),))</f>
        <v>0</v>
      </c>
      <c r="AK364" s="416">
        <f ca="1">IF($G$356=0%,0%, IF(AK$361&gt;='2.2 Input_General_Information'!$H$20,$G$356 * VLOOKUP(AK$631,Growth!$B$128:$L$170, 9, FALSE),))</f>
        <v>0</v>
      </c>
      <c r="AL364" s="416">
        <f ca="1">IF($G$356=0%,0%, IF(AL$361&gt;='2.2 Input_General_Information'!$H$20,$G$356 * VLOOKUP(AL$631,Growth!$B$128:$L$170, 9, FALSE),))</f>
        <v>0</v>
      </c>
      <c r="AM364" s="416">
        <f ca="1">IF($G$356=0%,0%, IF(AM$361&gt;='2.2 Input_General_Information'!$H$20,$G$356 * VLOOKUP(AM$631,Growth!$B$128:$L$170, 9, FALSE),))</f>
        <v>0</v>
      </c>
      <c r="AN364" s="416">
        <f ca="1">IF($G$356=0%,0%, IF(AN$361&gt;='2.2 Input_General_Information'!$H$20,$G$356 * VLOOKUP(AN$631,Growth!$B$128:$L$170, 9, FALSE),))</f>
        <v>0</v>
      </c>
      <c r="AO364" s="416">
        <f ca="1">IF($G$356=0%,0%, IF(AO$361&gt;='2.2 Input_General_Information'!$H$20,$G$356 * VLOOKUP(AO$631,Growth!$B$128:$L$170, 9, FALSE),))</f>
        <v>0</v>
      </c>
      <c r="AP364" s="416">
        <f ca="1">IF($G$356=0%,0%, IF(AP$361&gt;='2.2 Input_General_Information'!$H$20,$G$356 * VLOOKUP(AP$631,Growth!$B$128:$L$170, 9, FALSE),))</f>
        <v>0</v>
      </c>
      <c r="AQ364" s="416">
        <f ca="1">IF($G$356=0%,0%, IF(AQ$361&gt;='2.2 Input_General_Information'!$H$20,$G$356 * VLOOKUP(AQ$631,Growth!$B$128:$L$170, 9, FALSE),))</f>
        <v>0</v>
      </c>
      <c r="AR364" s="416">
        <f ca="1">IF($G$356=0%,0%, IF(AR$361&gt;='2.2 Input_General_Information'!$H$20,$G$356 * VLOOKUP(AR$631,Growth!$B$128:$L$170, 9, FALSE),))</f>
        <v>0</v>
      </c>
      <c r="AS364" s="416">
        <f ca="1">IF($G$356=0%,0%, IF(AS$361&gt;='2.2 Input_General_Information'!$H$20,$G$356 * VLOOKUP(AS$631,Growth!$B$128:$L$170, 9, FALSE),))</f>
        <v>0</v>
      </c>
      <c r="AT364" s="416">
        <f ca="1">IF($G$356=0%,0%, IF(AT$361&gt;='2.2 Input_General_Information'!$H$20,$G$356 * VLOOKUP(AT$631,Growth!$B$128:$L$170, 9, FALSE),))</f>
        <v>0</v>
      </c>
      <c r="AU364" s="416">
        <f ca="1">IF($G$356=0%,0%, IF(AU$361&gt;='2.2 Input_General_Information'!$H$20,$G$356 * VLOOKUP(AU$631,Growth!$B$128:$L$170, 9, FALSE),))</f>
        <v>0</v>
      </c>
      <c r="AV364" s="416">
        <f ca="1">IF($G$356=0%,0%, IF(AV$361&gt;='2.2 Input_General_Information'!$H$20,$G$356 * VLOOKUP(AV$631,Growth!$B$128:$L$170, 9, FALSE),))</f>
        <v>0</v>
      </c>
      <c r="AW364" s="416">
        <f ca="1">IF($G$356=0%,0%, IF(AW$361&gt;='2.2 Input_General_Information'!$H$20,$G$356 * VLOOKUP(AW$631,Growth!$B$128:$L$170, 9, FALSE),))</f>
        <v>0</v>
      </c>
      <c r="AX364" s="416">
        <f ca="1">IF($G$356=0%,0%, IF(AX$361&gt;='2.2 Input_General_Information'!$H$20,$G$356 * VLOOKUP(AX$631,Growth!$B$128:$L$170, 9, FALSE),))</f>
        <v>0</v>
      </c>
      <c r="AY364" s="416">
        <f ca="1">IF($G$356=0%,0%, IF(AY$361&gt;='2.2 Input_General_Information'!$H$20,$G$356 * VLOOKUP(AY$631,Growth!$B$128:$L$170, 9, FALSE),))</f>
        <v>0</v>
      </c>
      <c r="AZ364" s="416">
        <f ca="1">IF($G$356=0%,0%, IF(AZ$361&gt;='2.2 Input_General_Information'!$H$20,$G$356 * VLOOKUP(AZ$631,Growth!$B$128:$L$170, 9, FALSE),))</f>
        <v>0</v>
      </c>
      <c r="BA364" s="416">
        <f ca="1">IF($G$356=0%,0%, IF(BA$361&gt;='2.2 Input_General_Information'!$H$20,$G$356 * VLOOKUP(BA$631,Growth!$B$128:$L$170, 9, FALSE),))</f>
        <v>0</v>
      </c>
      <c r="BB364" s="416">
        <f ca="1">IF($G$356=0%,0%, IF(BB$361&gt;='2.2 Input_General_Information'!$H$20,$G$356 * VLOOKUP(BB$631,Growth!$B$128:$L$170, 9, FALSE),))</f>
        <v>0</v>
      </c>
      <c r="BC364" s="416">
        <f ca="1">IF($G$356=0%,0%, IF(BC$361&gt;='2.2 Input_General_Information'!$H$20,$G$356 * VLOOKUP(BC$631,Growth!$B$128:$L$170, 9, FALSE),))</f>
        <v>0</v>
      </c>
      <c r="BD364" s="416">
        <f ca="1">IF($G$356=0%,0%, IF(BD$361&gt;='2.2 Input_General_Information'!$H$20,$G$356 * VLOOKUP(BD$631,Growth!$B$128:$L$170, 9, FALSE),))</f>
        <v>0</v>
      </c>
      <c r="BE364" s="416">
        <f ca="1">IF($G$356=0%,0%, IF(BE$361&gt;='2.2 Input_General_Information'!$H$20,$G$356 * VLOOKUP(BE$631,Growth!$B$128:$L$170, 9, FALSE),))</f>
        <v>0</v>
      </c>
      <c r="BF364" s="416">
        <f ca="1">IF($G$356=0%,0%, IF(BF$361&gt;='2.2 Input_General_Information'!$H$20,$G$356 * VLOOKUP(BF$631,Growth!$B$128:$L$170, 9, FALSE),))</f>
        <v>0</v>
      </c>
      <c r="BG364" s="416">
        <f ca="1">IF($G$356=0%,0%, IF(BG$361&gt;='2.2 Input_General_Information'!$H$20,$G$356 * VLOOKUP(BG$631,Growth!$B$128:$L$170, 9, FALSE),))</f>
        <v>0</v>
      </c>
      <c r="BH364" s="416">
        <f ca="1">IF($G$356=0%,0%, IF(BH$361&gt;='2.2 Input_General_Information'!$H$20,$G$356 * VLOOKUP(BH$631,Growth!$B$128:$L$170, 9, FALSE),))</f>
        <v>0</v>
      </c>
      <c r="BI364" s="416">
        <f ca="1">IF($G$356=0%,0%, IF(BI$361&gt;='2.2 Input_General_Information'!$H$20,$G$356 * VLOOKUP(BI$631,Growth!$B$128:$L$170, 9, FALSE),))</f>
        <v>0</v>
      </c>
      <c r="BJ364" s="416">
        <f ca="1">IF($G$356=0%,0%, IF(BJ$361&gt;='2.2 Input_General_Information'!$H$20,$G$356 * VLOOKUP(BJ$631,Growth!$B$128:$L$170, 9, FALSE),))</f>
        <v>0</v>
      </c>
      <c r="BK364" s="416">
        <f ca="1">IF($G$356=0%,0%, IF(BK$361&gt;='2.2 Input_General_Information'!$H$20,$G$356 * VLOOKUP(BK$631,Growth!$B$128:$L$170, 9, FALSE),))</f>
        <v>0</v>
      </c>
      <c r="BL364" s="416"/>
      <c r="BM364" s="416"/>
      <c r="BN364" s="416"/>
      <c r="BO364" s="416"/>
      <c r="BP364" s="416"/>
      <c r="BQ364" s="416"/>
      <c r="BR364" s="416"/>
      <c r="BS364" s="416"/>
      <c r="BT364" s="416"/>
      <c r="BU364" s="416"/>
    </row>
    <row r="365" spans="1:73" ht="17.25" hidden="1" customHeight="1">
      <c r="A365" s="6"/>
      <c r="B365" s="108"/>
      <c r="C365" s="1"/>
      <c r="D365" s="12"/>
      <c r="E365" s="1"/>
      <c r="F365" s="1"/>
      <c r="G365" s="3"/>
      <c r="H365" s="3"/>
      <c r="I365" s="3"/>
      <c r="J365" s="3"/>
      <c r="K365" s="3"/>
      <c r="L365" s="3"/>
      <c r="M365" s="3"/>
      <c r="N365" s="3"/>
      <c r="O365" s="1"/>
      <c r="P365" s="1"/>
      <c r="Q365" s="1"/>
      <c r="R365" s="162"/>
      <c r="S365" s="1"/>
      <c r="T365" s="101" t="s">
        <v>865</v>
      </c>
      <c r="U365" s="101" t="s">
        <v>289</v>
      </c>
      <c r="V365" s="101" t="s">
        <v>332</v>
      </c>
      <c r="W365" s="416">
        <f ca="1">IF($G$357=0%,0%, IF(W$361&gt;='2.2 Input_General_Information'!$H$20,$G$357 * VLOOKUP(W$631,Growth!$B$128:$L$170, 9, FALSE),))</f>
        <v>0.42101052631578945</v>
      </c>
      <c r="X365" s="416">
        <f ca="1">IF($G$357=0%,0%, IF(X$361&gt;='2.2 Input_General_Information'!$H$20,$G$357 * VLOOKUP(X$631,Growth!$B$128:$L$170, 9, FALSE),))</f>
        <v>0.40237539746575052</v>
      </c>
      <c r="Y365" s="416">
        <f ca="1">IF($G$357=0%,0%, IF(Y$361&gt;='2.2 Input_General_Information'!$H$20,$G$357 * VLOOKUP(Y$631,Growth!$B$128:$L$170, 9, FALSE),))</f>
        <v>1.8677234113196849E-2</v>
      </c>
      <c r="Z365" s="416">
        <f ca="1">IF($G$357=0%,0%, IF(Z$361&gt;='2.2 Input_General_Information'!$H$20,$G$357 * VLOOKUP(Z$631,Growth!$B$128:$L$170, 9, FALSE),))</f>
        <v>4.2105263157843353E-5</v>
      </c>
      <c r="AA365" s="416">
        <f ca="1">IF($G$357=0%,0%, IF(AA$361&gt;='2.2 Input_General_Information'!$H$20,$G$357 * VLOOKUP(AA$631,Growth!$B$128:$L$170, 9, FALSE),))</f>
        <v>0</v>
      </c>
      <c r="AB365" s="416">
        <f ca="1">IF($G$357=0%,0%, IF(AB$361&gt;='2.2 Input_General_Information'!$H$20,$G$357 * VLOOKUP(AB$631,Growth!$B$128:$L$170, 9, FALSE),))</f>
        <v>0</v>
      </c>
      <c r="AC365" s="416">
        <f ca="1">IF($G$357=0%,0%, IF(AC$361&gt;='2.2 Input_General_Information'!$H$20,$G$357 * VLOOKUP(AC$631,Growth!$B$128:$L$170, 9, FALSE),))</f>
        <v>0</v>
      </c>
      <c r="AD365" s="416">
        <f ca="1">IF($G$357=0%,0%, IF(AD$361&gt;='2.2 Input_General_Information'!$H$20,$G$357 * VLOOKUP(AD$631,Growth!$B$128:$L$170, 9, FALSE),))</f>
        <v>0</v>
      </c>
      <c r="AE365" s="416">
        <f ca="1">IF($G$357=0%,0%, IF(AE$361&gt;='2.2 Input_General_Information'!$H$20,$G$357 * VLOOKUP(AE$631,Growth!$B$128:$L$170, 9, FALSE),))</f>
        <v>0</v>
      </c>
      <c r="AF365" s="416">
        <f ca="1">IF($G$357=0%,0%, IF(AF$361&gt;='2.2 Input_General_Information'!$H$20,$G$357 * VLOOKUP(AF$631,Growth!$B$128:$L$170, 9, FALSE),))</f>
        <v>0</v>
      </c>
      <c r="AG365" s="416">
        <f ca="1">IF($G$357=0%,0%, IF(AG$361&gt;='2.2 Input_General_Information'!$H$20,$G$357 * VLOOKUP(AG$631,Growth!$B$128:$L$170, 9, FALSE),))</f>
        <v>0</v>
      </c>
      <c r="AH365" s="416">
        <f ca="1">IF($G$357=0%,0%, IF(AH$361&gt;='2.2 Input_General_Information'!$H$20,$G$357 * VLOOKUP(AH$631,Growth!$B$128:$L$170, 9, FALSE),))</f>
        <v>0</v>
      </c>
      <c r="AI365" s="416">
        <f ca="1">IF($G$357=0%,0%, IF(AI$361&gt;='2.2 Input_General_Information'!$H$20,$G$357 * VLOOKUP(AI$631,Growth!$B$128:$L$170, 9, FALSE),))</f>
        <v>0</v>
      </c>
      <c r="AJ365" s="416">
        <f ca="1">IF($G$357=0%,0%, IF(AJ$361&gt;='2.2 Input_General_Information'!$H$20,$G$357 * VLOOKUP(AJ$631,Growth!$B$128:$L$170, 9, FALSE),))</f>
        <v>0</v>
      </c>
      <c r="AK365" s="416">
        <f ca="1">IF($G$357=0%,0%, IF(AK$361&gt;='2.2 Input_General_Information'!$H$20,$G$357 * VLOOKUP(AK$631,Growth!$B$128:$L$170, 9, FALSE),))</f>
        <v>0</v>
      </c>
      <c r="AL365" s="416">
        <f ca="1">IF($G$357=0%,0%, IF(AL$361&gt;='2.2 Input_General_Information'!$H$20,$G$357 * VLOOKUP(AL$631,Growth!$B$128:$L$170, 9, FALSE),))</f>
        <v>0</v>
      </c>
      <c r="AM365" s="416">
        <f ca="1">IF($G$357=0%,0%, IF(AM$361&gt;='2.2 Input_General_Information'!$H$20,$G$357 * VLOOKUP(AM$631,Growth!$B$128:$L$170, 9, FALSE),))</f>
        <v>0</v>
      </c>
      <c r="AN365" s="416">
        <f ca="1">IF($G$357=0%,0%, IF(AN$361&gt;='2.2 Input_General_Information'!$H$20,$G$357 * VLOOKUP(AN$631,Growth!$B$128:$L$170, 9, FALSE),))</f>
        <v>0</v>
      </c>
      <c r="AO365" s="416">
        <f ca="1">IF($G$357=0%,0%, IF(AO$361&gt;='2.2 Input_General_Information'!$H$20,$G$357 * VLOOKUP(AO$631,Growth!$B$128:$L$170, 9, FALSE),))</f>
        <v>0</v>
      </c>
      <c r="AP365" s="416">
        <f ca="1">IF($G$357=0%,0%, IF(AP$361&gt;='2.2 Input_General_Information'!$H$20,$G$357 * VLOOKUP(AP$631,Growth!$B$128:$L$170, 9, FALSE),))</f>
        <v>0</v>
      </c>
      <c r="AQ365" s="416">
        <f ca="1">IF($G$357=0%,0%, IF(AQ$361&gt;='2.2 Input_General_Information'!$H$20,$G$357 * VLOOKUP(AQ$631,Growth!$B$128:$L$170, 9, FALSE),))</f>
        <v>0</v>
      </c>
      <c r="AR365" s="416">
        <f ca="1">IF($G$357=0%,0%, IF(AR$361&gt;='2.2 Input_General_Information'!$H$20,$G$357 * VLOOKUP(AR$631,Growth!$B$128:$L$170, 9, FALSE),))</f>
        <v>0</v>
      </c>
      <c r="AS365" s="416">
        <f ca="1">IF($G$357=0%,0%, IF(AS$361&gt;='2.2 Input_General_Information'!$H$20,$G$357 * VLOOKUP(AS$631,Growth!$B$128:$L$170, 9, FALSE),))</f>
        <v>0</v>
      </c>
      <c r="AT365" s="416">
        <f ca="1">IF($G$357=0%,0%, IF(AT$361&gt;='2.2 Input_General_Information'!$H$20,$G$357 * VLOOKUP(AT$631,Growth!$B$128:$L$170, 9, FALSE),))</f>
        <v>0</v>
      </c>
      <c r="AU365" s="416">
        <f ca="1">IF($G$357=0%,0%, IF(AU$361&gt;='2.2 Input_General_Information'!$H$20,$G$357 * VLOOKUP(AU$631,Growth!$B$128:$L$170, 9, FALSE),))</f>
        <v>0</v>
      </c>
      <c r="AV365" s="416">
        <f ca="1">IF($G$357=0%,0%, IF(AV$361&gt;='2.2 Input_General_Information'!$H$20,$G$357 * VLOOKUP(AV$631,Growth!$B$128:$L$170, 9, FALSE),))</f>
        <v>0</v>
      </c>
      <c r="AW365" s="416">
        <f ca="1">IF($G$357=0%,0%, IF(AW$361&gt;='2.2 Input_General_Information'!$H$20,$G$357 * VLOOKUP(AW$631,Growth!$B$128:$L$170, 9, FALSE),))</f>
        <v>0</v>
      </c>
      <c r="AX365" s="416">
        <f ca="1">IF($G$357=0%,0%, IF(AX$361&gt;='2.2 Input_General_Information'!$H$20,$G$357 * VLOOKUP(AX$631,Growth!$B$128:$L$170, 9, FALSE),))</f>
        <v>0</v>
      </c>
      <c r="AY365" s="416">
        <f ca="1">IF($G$357=0%,0%, IF(AY$361&gt;='2.2 Input_General_Information'!$H$20,$G$357 * VLOOKUP(AY$631,Growth!$B$128:$L$170, 9, FALSE),))</f>
        <v>0</v>
      </c>
      <c r="AZ365" s="416">
        <f ca="1">IF($G$357=0%,0%, IF(AZ$361&gt;='2.2 Input_General_Information'!$H$20,$G$357 * VLOOKUP(AZ$631,Growth!$B$128:$L$170, 9, FALSE),))</f>
        <v>0</v>
      </c>
      <c r="BA365" s="416">
        <f ca="1">IF($G$357=0%,0%, IF(BA$361&gt;='2.2 Input_General_Information'!$H$20,$G$357 * VLOOKUP(BA$631,Growth!$B$128:$L$170, 9, FALSE),))</f>
        <v>0</v>
      </c>
      <c r="BB365" s="416">
        <f ca="1">IF($G$357=0%,0%, IF(BB$361&gt;='2.2 Input_General_Information'!$H$20,$G$357 * VLOOKUP(BB$631,Growth!$B$128:$L$170, 9, FALSE),))</f>
        <v>0</v>
      </c>
      <c r="BC365" s="416">
        <f ca="1">IF($G$357=0%,0%, IF(BC$361&gt;='2.2 Input_General_Information'!$H$20,$G$357 * VLOOKUP(BC$631,Growth!$B$128:$L$170, 9, FALSE),))</f>
        <v>0</v>
      </c>
      <c r="BD365" s="416">
        <f ca="1">IF($G$357=0%,0%, IF(BD$361&gt;='2.2 Input_General_Information'!$H$20,$G$357 * VLOOKUP(BD$631,Growth!$B$128:$L$170, 9, FALSE),))</f>
        <v>0</v>
      </c>
      <c r="BE365" s="416">
        <f ca="1">IF($G$357=0%,0%, IF(BE$361&gt;='2.2 Input_General_Information'!$H$20,$G$357 * VLOOKUP(BE$631,Growth!$B$128:$L$170, 9, FALSE),))</f>
        <v>0</v>
      </c>
      <c r="BF365" s="416">
        <f ca="1">IF($G$357=0%,0%, IF(BF$361&gt;='2.2 Input_General_Information'!$H$20,$G$357 * VLOOKUP(BF$631,Growth!$B$128:$L$170, 9, FALSE),))</f>
        <v>0</v>
      </c>
      <c r="BG365" s="416">
        <f ca="1">IF($G$357=0%,0%, IF(BG$361&gt;='2.2 Input_General_Information'!$H$20,$G$357 * VLOOKUP(BG$631,Growth!$B$128:$L$170, 9, FALSE),))</f>
        <v>0</v>
      </c>
      <c r="BH365" s="416">
        <f ca="1">IF($G$357=0%,0%, IF(BH$361&gt;='2.2 Input_General_Information'!$H$20,$G$357 * VLOOKUP(BH$631,Growth!$B$128:$L$170, 9, FALSE),))</f>
        <v>0</v>
      </c>
      <c r="BI365" s="416">
        <f ca="1">IF($G$357=0%,0%, IF(BI$361&gt;='2.2 Input_General_Information'!$H$20,$G$357 * VLOOKUP(BI$631,Growth!$B$128:$L$170, 9, FALSE),))</f>
        <v>0</v>
      </c>
      <c r="BJ365" s="416">
        <f ca="1">IF($G$357=0%,0%, IF(BJ$361&gt;='2.2 Input_General_Information'!$H$20,$G$357 * VLOOKUP(BJ$631,Growth!$B$128:$L$170, 9, FALSE),))</f>
        <v>0</v>
      </c>
      <c r="BK365" s="416">
        <f ca="1">IF($G$357=0%,0%, IF(BK$361&gt;='2.2 Input_General_Information'!$H$20,$G$357 * VLOOKUP(BK$631,Growth!$B$128:$L$170, 9, FALSE),))</f>
        <v>0</v>
      </c>
      <c r="BL365" s="416"/>
      <c r="BM365" s="416"/>
      <c r="BN365" s="416"/>
      <c r="BO365" s="416"/>
      <c r="BP365" s="416"/>
      <c r="BQ365" s="416"/>
      <c r="BR365" s="416"/>
      <c r="BS365" s="416"/>
      <c r="BT365" s="416"/>
      <c r="BU365" s="416"/>
    </row>
    <row r="366" spans="1:73" ht="17.25" hidden="1" customHeight="1">
      <c r="A366" s="6"/>
      <c r="B366" s="108"/>
      <c r="C366" s="1"/>
      <c r="D366" s="12"/>
      <c r="E366" s="1"/>
      <c r="F366" s="1"/>
      <c r="G366" s="3"/>
      <c r="H366" s="3"/>
      <c r="I366" s="3"/>
      <c r="J366" s="3"/>
      <c r="K366" s="3"/>
      <c r="L366" s="3"/>
      <c r="M366" s="3"/>
      <c r="N366" s="3"/>
      <c r="O366" s="1"/>
      <c r="P366" s="1"/>
      <c r="Q366" s="1"/>
      <c r="R366" s="162"/>
      <c r="S366" s="1"/>
      <c r="T366" s="101" t="s">
        <v>865</v>
      </c>
      <c r="U366" s="372" t="s">
        <v>866</v>
      </c>
      <c r="V366" s="101" t="s">
        <v>340</v>
      </c>
      <c r="W366" s="416">
        <f ca="1">IF($G$358=100%,100%, IF(W$361&gt;='2.2 Input_General_Information'!$H$20,MIN(HLOOKUP($G$358,Growth!$H$195:$H$237, W362, FALSE),1),))</f>
        <v>0.15789473684208183</v>
      </c>
      <c r="X366" s="416">
        <f ca="1">IF($G$358=100%,100%, IF(X$361&gt;='2.2 Input_General_Information'!$H$20,MIN(HLOOKUP($G$358,Growth!$H$195:$H$237, X362, FALSE),1),))</f>
        <v>0.87589256438410668</v>
      </c>
      <c r="Y366" s="416">
        <f ca="1">IF($G$358=100%,100%, IF(Y$361&gt;='2.2 Input_General_Information'!$H$20,MIN(HLOOKUP($G$358,Growth!$H$195:$H$237, Y362, FALSE),1),))</f>
        <v>0.99624972244698928</v>
      </c>
      <c r="Z366" s="416">
        <f ca="1">IF($G$358=100%,100%, IF(Z$361&gt;='2.2 Input_General_Information'!$H$20,MIN(HLOOKUP($G$358,Growth!$H$195:$H$237, Z362, FALSE),1),))</f>
        <v>0.99990000000000012</v>
      </c>
      <c r="AA366" s="416">
        <f ca="1">IF($G$358=100%,100%, IF(AA$361&gt;='2.2 Input_General_Information'!$H$20,MIN(HLOOKUP($G$358,Growth!$H$195:$H$237, AA362, FALSE),1),))</f>
        <v>1</v>
      </c>
      <c r="AB366" s="416">
        <f ca="1">IF($G$358=100%,100%, IF(AB$361&gt;='2.2 Input_General_Information'!$H$20,MIN(HLOOKUP($G$358,Growth!$H$195:$H$237, AB362, FALSE),1),))</f>
        <v>1</v>
      </c>
      <c r="AC366" s="416">
        <f ca="1">IF($G$358=100%,100%, IF(AC$361&gt;='2.2 Input_General_Information'!$H$20,MIN(HLOOKUP($G$358,Growth!$H$195:$H$237, AC362, FALSE),1),))</f>
        <v>1</v>
      </c>
      <c r="AD366" s="416">
        <f ca="1">IF($G$358=100%,100%, IF(AD$361&gt;='2.2 Input_General_Information'!$H$20,MIN(HLOOKUP($G$358,Growth!$H$195:$H$237, AD362, FALSE),1),))</f>
        <v>1</v>
      </c>
      <c r="AE366" s="416">
        <f ca="1">IF($G$358=100%,100%, IF(AE$361&gt;='2.2 Input_General_Information'!$H$20,MIN(HLOOKUP($G$358,Growth!$H$195:$H$237, AE362, FALSE),1),))</f>
        <v>1</v>
      </c>
      <c r="AF366" s="416">
        <f ca="1">IF($G$358=100%,100%, IF(AF$361&gt;='2.2 Input_General_Information'!$H$20,MIN(HLOOKUP($G$358,Growth!$H$195:$H$237, AF362, FALSE),1),))</f>
        <v>1</v>
      </c>
      <c r="AG366" s="416">
        <f ca="1">IF($G$358=100%,100%, IF(AG$361&gt;='2.2 Input_General_Information'!$H$20,MIN(HLOOKUP($G$358,Growth!$H$195:$H$237, AG362, FALSE),1),))</f>
        <v>1</v>
      </c>
      <c r="AH366" s="416">
        <f ca="1">IF($G$358=100%,100%, IF(AH$361&gt;='2.2 Input_General_Information'!$H$20,IF(HLOOKUP($G$358,Growth!$H$195:$H$237, AH362, FALSE)="",1,HLOOKUP($G$358,Growth!$H$195:$H$237, AH362, FALSE)),))</f>
        <v>1</v>
      </c>
      <c r="AI366" s="469">
        <f ca="1">IF($G$358=100%,100%, IF(AI$361&gt;='2.2 Input_General_Information'!$H$20,IF(HLOOKUP($G$358,Growth!$H$195:$H$237, AI362, FALSE)="",1,HLOOKUP($G$358,Growth!$H$195:$H$237, AI362, FALSE)),))</f>
        <v>1</v>
      </c>
      <c r="AJ366" s="469">
        <f ca="1">IF($G$358=100%,100%, IF(AJ$361&gt;='2.2 Input_General_Information'!$H$20,IF(HLOOKUP($G$358,Growth!$H$195:$H$237, AJ362, FALSE)="",1,HLOOKUP($G$358,Growth!$H$195:$H$237, AJ362, FALSE)),))</f>
        <v>1</v>
      </c>
      <c r="AK366" s="469">
        <f ca="1">IF($G$358=100%,100%, IF(AK$361&gt;='2.2 Input_General_Information'!$H$20,IF(HLOOKUP($G$358,Growth!$H$195:$H$237, AK362, FALSE)="",1,HLOOKUP($G$358,Growth!$H$195:$H$237, AK362, FALSE)),))</f>
        <v>1</v>
      </c>
      <c r="AL366" s="469">
        <f ca="1">IF($G$358=100%,100%, IF(AL$361&gt;='2.2 Input_General_Information'!$H$20,IF(HLOOKUP($G$358,Growth!$H$195:$H$237, AL362, FALSE)="",1,HLOOKUP($G$358,Growth!$H$195:$H$237, AL362, FALSE)),))</f>
        <v>1</v>
      </c>
      <c r="AM366" s="469">
        <f ca="1">IF($G$358=100%,100%, IF(AM$361&gt;='2.2 Input_General_Information'!$H$20,IF(HLOOKUP($G$358,Growth!$H$195:$H$237, AM362, FALSE)="",1,HLOOKUP($G$358,Growth!$H$195:$H$237, AM362, FALSE)),))</f>
        <v>1</v>
      </c>
      <c r="AN366" s="469">
        <f ca="1">IF($G$358=100%,100%, IF(AN$361&gt;='2.2 Input_General_Information'!$H$20,IF(HLOOKUP($G$358,Growth!$H$195:$H$237, AN362, FALSE)="",1,HLOOKUP($G$358,Growth!$H$195:$H$237, AN362, FALSE)),))</f>
        <v>1</v>
      </c>
      <c r="AO366" s="469">
        <f ca="1">IF($G$358=100%,100%, IF(AO$361&gt;='2.2 Input_General_Information'!$H$20,IF(HLOOKUP($G$358,Growth!$H$195:$H$237, AO362, FALSE)="",1,HLOOKUP($G$358,Growth!$H$195:$H$237, AO362, FALSE)),))</f>
        <v>1</v>
      </c>
      <c r="AP366" s="469">
        <f ca="1">IF($G$358=100%,100%, IF(AP$361&gt;='2.2 Input_General_Information'!$H$20,IF(HLOOKUP($G$358,Growth!$H$195:$H$237, AP362, FALSE)="",1,HLOOKUP($G$358,Growth!$H$195:$H$237, AP362, FALSE)),))</f>
        <v>1</v>
      </c>
      <c r="AQ366" s="469">
        <f ca="1">IF($G$358=100%,100%, IF(AQ$361&gt;='2.2 Input_General_Information'!$H$20,IF(HLOOKUP($G$358,Growth!$H$195:$H$237, AQ362, FALSE)="",1,HLOOKUP($G$358,Growth!$H$195:$H$237, AQ362, FALSE)),))</f>
        <v>1</v>
      </c>
      <c r="AR366" s="469">
        <f ca="1">IF($G$358=100%,100%, IF(AR$361&gt;='2.2 Input_General_Information'!$H$20,IF(HLOOKUP($G$358,Growth!$H$195:$H$237, AR362, FALSE)="",1,HLOOKUP($G$358,Growth!$H$195:$H$237, AR362, FALSE)),))</f>
        <v>1</v>
      </c>
      <c r="AS366" s="469">
        <f ca="1">IF($G$358=100%,100%, IF(AS$361&gt;='2.2 Input_General_Information'!$H$20,IF(HLOOKUP($G$358,Growth!$H$195:$H$237, AS362, FALSE)="",1,HLOOKUP($G$358,Growth!$H$195:$H$237, AS362, FALSE)),))</f>
        <v>1</v>
      </c>
      <c r="AT366" s="469">
        <f ca="1">IF($G$358=100%,100%, IF(AT$361&gt;='2.2 Input_General_Information'!$H$20,IF(HLOOKUP($G$358,Growth!$H$195:$H$237, AT362, FALSE)="",1,HLOOKUP($G$358,Growth!$H$195:$H$237, AT362, FALSE)),))</f>
        <v>1</v>
      </c>
      <c r="AU366" s="469">
        <f ca="1">IF($G$358=100%,100%, IF(AU$361&gt;='2.2 Input_General_Information'!$H$20,IF(HLOOKUP($G$358,Growth!$H$195:$H$237, AU362, FALSE)="",1,HLOOKUP($G$358,Growth!$H$195:$H$237, AU362, FALSE)),))</f>
        <v>1</v>
      </c>
      <c r="AV366" s="469">
        <f ca="1">IF($G$358=100%,100%, IF(AV$361&gt;='2.2 Input_General_Information'!$H$20,IF(HLOOKUP($G$358,Growth!$H$195:$H$237, AV362, FALSE)="",1,HLOOKUP($G$358,Growth!$H$195:$H$237, AV362, FALSE)),))</f>
        <v>1</v>
      </c>
      <c r="AW366" s="469">
        <f ca="1">IF($G$358=100%,100%, IF(AW$361&gt;='2.2 Input_General_Information'!$H$20,IF(HLOOKUP($G$358,Growth!$H$195:$H$237, AW362, FALSE)="",1,HLOOKUP($G$358,Growth!$H$195:$H$237, AW362, FALSE)),))</f>
        <v>1</v>
      </c>
      <c r="AX366" s="469">
        <f ca="1">IF($G$358=100%,100%, IF(AX$361&gt;='2.2 Input_General_Information'!$H$20,IF(HLOOKUP($G$358,Growth!$H$195:$H$237, AX362, FALSE)="",1,HLOOKUP($G$358,Growth!$H$195:$H$237, AX362, FALSE)),))</f>
        <v>1</v>
      </c>
      <c r="AY366" s="469">
        <f ca="1">IF($G$358=100%,100%, IF(AY$361&gt;='2.2 Input_General_Information'!$H$20,IF(HLOOKUP($G$358,Growth!$H$195:$H$237, AY362, FALSE)="",1,HLOOKUP($G$358,Growth!$H$195:$H$237, AY362, FALSE)),))</f>
        <v>1</v>
      </c>
      <c r="AZ366" s="469">
        <f ca="1">IF($G$358=100%,100%, IF(AZ$361&gt;='2.2 Input_General_Information'!$H$20,IF(HLOOKUP($G$358,Growth!$H$195:$H$237, AZ362, FALSE)="",1,HLOOKUP($G$358,Growth!$H$195:$H$237, AZ362, FALSE)),))</f>
        <v>1</v>
      </c>
      <c r="BA366" s="469">
        <f ca="1">IF($G$358=100%,100%, IF(BA$361&gt;='2.2 Input_General_Information'!$H$20,IF(HLOOKUP($G$358,Growth!$H$195:$H$237, BA362, FALSE)="",1,HLOOKUP($G$358,Growth!$H$195:$H$237, BA362, FALSE)),))</f>
        <v>1</v>
      </c>
      <c r="BB366" s="469">
        <f ca="1">IF($G$358=100%,100%, IF(BB$361&gt;='2.2 Input_General_Information'!$H$20,IF(HLOOKUP($G$358,Growth!$H$195:$H$237, BB362, FALSE)="",1,HLOOKUP($G$358,Growth!$H$195:$H$237, BB362, FALSE)),))</f>
        <v>1</v>
      </c>
      <c r="BC366" s="469">
        <f ca="1">IF($G$358=100%,100%, IF(BC$361&gt;='2.2 Input_General_Information'!$H$20,IF(HLOOKUP($G$358,Growth!$H$195:$H$237, BC362, FALSE)="",1,HLOOKUP($G$358,Growth!$H$195:$H$237, BC362, FALSE)),))</f>
        <v>1</v>
      </c>
      <c r="BD366" s="469">
        <f ca="1">IF($G$358=100%,100%, IF(BD$361&gt;='2.2 Input_General_Information'!$H$20,IF(HLOOKUP($G$358,Growth!$H$195:$H$237, BD362, FALSE)="",1,HLOOKUP($G$358,Growth!$H$195:$H$237, BD362, FALSE)),))</f>
        <v>1</v>
      </c>
      <c r="BE366" s="469">
        <f ca="1">IF($G$358=100%,100%, IF(BE$361&gt;='2.2 Input_General_Information'!$H$20,IF(HLOOKUP($G$358,Growth!$H$195:$H$237, BE362, FALSE)="",1,HLOOKUP($G$358,Growth!$H$195:$H$237, BE362, FALSE)),))</f>
        <v>1</v>
      </c>
      <c r="BF366" s="469">
        <f ca="1">IF($G$358=100%,100%, IF(BF$361&gt;='2.2 Input_General_Information'!$H$20,IF(HLOOKUP($G$358,Growth!$H$195:$H$237, BF362, FALSE)="",1,HLOOKUP($G$358,Growth!$H$195:$H$237, BF362, FALSE)),))</f>
        <v>1</v>
      </c>
      <c r="BG366" s="469">
        <f ca="1">IF($G$358=100%,100%, IF(BG$361&gt;='2.2 Input_General_Information'!$H$20,IF(HLOOKUP($G$358,Growth!$H$195:$H$237, BG362, FALSE)="",1,HLOOKUP($G$358,Growth!$H$195:$H$237, BG362, FALSE)),))</f>
        <v>1</v>
      </c>
      <c r="BH366" s="469">
        <f ca="1">IF($G$358=100%,100%, IF(BH$361&gt;='2.2 Input_General_Information'!$H$20,IF(HLOOKUP($G$358,Growth!$H$195:$H$237, BH362, FALSE)="",1,HLOOKUP($G$358,Growth!$H$195:$H$237, BH362, FALSE)),))</f>
        <v>1</v>
      </c>
      <c r="BI366" s="469">
        <f ca="1">IF($G$358=100%,100%, IF(BI$361&gt;='2.2 Input_General_Information'!$H$20,IF(HLOOKUP($G$358,Growth!$H$195:$H$237, BI362, FALSE)="",1,HLOOKUP($G$358,Growth!$H$195:$H$237, BI362, FALSE)),))</f>
        <v>1</v>
      </c>
      <c r="BJ366" s="469">
        <f ca="1">IF($G$358=100%,100%, IF(BJ$361&gt;='2.2 Input_General_Information'!$H$20,IF(HLOOKUP($G$358,Growth!$H$195:$H$237, BJ362, FALSE)="",1,HLOOKUP($G$358,Growth!$H$195:$H$237, BJ362, FALSE)),))</f>
        <v>1</v>
      </c>
      <c r="BK366" s="469">
        <f ca="1">IF($G$358=100%,100%, IF(BK$361&gt;='2.2 Input_General_Information'!$H$20,IF(HLOOKUP($G$358,Growth!$H$195:$H$237, BK362, FALSE)="",1,HLOOKUP($G$358,Growth!$H$195:$H$237, BK362, FALSE)),))</f>
        <v>1</v>
      </c>
      <c r="BL366" s="416"/>
      <c r="BM366" s="416"/>
      <c r="BN366" s="416"/>
      <c r="BO366" s="416"/>
      <c r="BP366" s="416"/>
      <c r="BQ366" s="416"/>
      <c r="BR366" s="416"/>
      <c r="BS366" s="416"/>
      <c r="BT366" s="416"/>
      <c r="BU366" s="416"/>
    </row>
    <row r="367" spans="1:73" ht="17.25" hidden="1" customHeight="1">
      <c r="A367" s="6"/>
      <c r="B367" s="108"/>
      <c r="C367" s="1"/>
      <c r="D367" s="12"/>
      <c r="E367" s="1"/>
      <c r="F367" s="1"/>
      <c r="G367" s="3"/>
      <c r="H367" s="3"/>
      <c r="I367" s="3"/>
      <c r="J367" s="3"/>
      <c r="K367" s="3"/>
      <c r="L367" s="3"/>
      <c r="M367" s="3"/>
      <c r="N367" s="3"/>
      <c r="O367" s="1"/>
      <c r="P367" s="1"/>
      <c r="Q367" s="1"/>
      <c r="R367" s="162"/>
      <c r="S367" s="1"/>
      <c r="T367" s="103"/>
      <c r="U367" s="103"/>
      <c r="V367" s="103"/>
      <c r="W367" s="416"/>
      <c r="X367" s="416"/>
      <c r="Y367" s="416"/>
      <c r="Z367" s="416"/>
      <c r="AA367" s="416"/>
      <c r="AB367" s="416"/>
      <c r="AC367" s="416"/>
      <c r="AD367" s="416"/>
      <c r="AE367" s="416"/>
      <c r="AF367" s="416"/>
      <c r="AG367" s="416"/>
      <c r="AH367" s="416"/>
      <c r="AI367" s="416"/>
      <c r="AJ367" s="416"/>
      <c r="AK367" s="416"/>
      <c r="AL367" s="416"/>
      <c r="AM367" s="416"/>
      <c r="AN367" s="416"/>
      <c r="AO367" s="416"/>
      <c r="AP367" s="416"/>
      <c r="AQ367" s="416"/>
      <c r="AR367" s="416"/>
      <c r="AS367" s="416"/>
      <c r="AT367" s="416"/>
      <c r="AU367" s="416"/>
      <c r="AV367" s="416"/>
      <c r="AW367" s="416"/>
      <c r="AX367" s="416"/>
      <c r="AY367" s="416"/>
      <c r="AZ367" s="416"/>
      <c r="BA367" s="416"/>
      <c r="BB367" s="416"/>
      <c r="BC367" s="416"/>
      <c r="BD367" s="416"/>
      <c r="BE367" s="416"/>
      <c r="BF367" s="416"/>
      <c r="BG367" s="416"/>
      <c r="BH367" s="416"/>
      <c r="BI367" s="416"/>
      <c r="BJ367" s="416"/>
      <c r="BK367" s="416"/>
      <c r="BL367" s="99"/>
      <c r="BM367" s="99"/>
      <c r="BN367" s="99"/>
      <c r="BO367" s="99"/>
      <c r="BP367" s="99"/>
      <c r="BQ367" s="99"/>
      <c r="BR367" s="99"/>
      <c r="BS367" s="99"/>
      <c r="BT367" s="99"/>
      <c r="BU367" s="99"/>
    </row>
    <row r="368" spans="1:73" ht="17.25" hidden="1" customHeight="1">
      <c r="A368" s="6"/>
      <c r="B368" s="108"/>
      <c r="C368" s="1"/>
      <c r="D368" s="12"/>
      <c r="E368" s="1"/>
      <c r="F368" s="1"/>
      <c r="G368" s="3"/>
      <c r="H368" s="3"/>
      <c r="I368" s="3"/>
      <c r="J368" s="3"/>
      <c r="K368" s="3"/>
      <c r="L368" s="3"/>
      <c r="M368" s="3"/>
      <c r="N368" s="3"/>
      <c r="O368" s="1"/>
      <c r="P368" s="1"/>
      <c r="Q368" s="1"/>
      <c r="R368" s="162"/>
      <c r="S368" s="1"/>
      <c r="T368" s="103"/>
      <c r="U368" s="103"/>
      <c r="V368" s="101" t="s">
        <v>932</v>
      </c>
      <c r="W368" s="416">
        <f ca="1">IF(W$361&gt;='2.2 Input_General_Information'!$H$20,SUM(W363:W366),)</f>
        <v>0.99991578947366078</v>
      </c>
      <c r="X368" s="416">
        <f ca="1">IF(X$361&gt;='2.2 Input_General_Information'!$H$20,SUM(X363:X366),)</f>
        <v>1.6806433593156078</v>
      </c>
      <c r="Y368" s="416">
        <f ca="1">IF(Y$361&gt;='2.2 Input_General_Information'!$H$20,SUM(Y363:Y366),)</f>
        <v>1.033604190673383</v>
      </c>
      <c r="Z368" s="416">
        <f ca="1">IF(Z$361&gt;='2.2 Input_General_Information'!$H$20,SUM(Z363:Z366),)</f>
        <v>0.99998421052631581</v>
      </c>
      <c r="AA368" s="416">
        <f ca="1">IF(AA$361&gt;='2.2 Input_General_Information'!$H$20,SUM(AA363:AA366),)</f>
        <v>1</v>
      </c>
      <c r="AB368" s="416">
        <f ca="1">IF(AB$361&gt;='2.2 Input_General_Information'!$H$20,SUM(AB363:AB366),)</f>
        <v>1</v>
      </c>
      <c r="AC368" s="416">
        <f ca="1">IF(AC$361&gt;='2.2 Input_General_Information'!$H$20,SUM(AC363:AC366),)</f>
        <v>1</v>
      </c>
      <c r="AD368" s="416">
        <f ca="1">IF(AD$361&gt;='2.2 Input_General_Information'!$H$20,SUM(AD363:AD366),)</f>
        <v>1</v>
      </c>
      <c r="AE368" s="416">
        <f ca="1">IF(AE$361&gt;='2.2 Input_General_Information'!$H$20,SUM(AE363:AE366),)</f>
        <v>1</v>
      </c>
      <c r="AF368" s="416">
        <f ca="1">IF(AF$361&gt;='2.2 Input_General_Information'!$H$20,SUM(AF363:AF366),)</f>
        <v>1</v>
      </c>
      <c r="AG368" s="416">
        <f ca="1">IF(AG$361&gt;='2.2 Input_General_Information'!$H$20,SUM(AG363:AG366),)</f>
        <v>1</v>
      </c>
      <c r="AH368" s="416">
        <f ca="1">IF(AH$361&gt;='2.2 Input_General_Information'!$H$20,SUM(AH363:AH366),)</f>
        <v>1</v>
      </c>
      <c r="AI368" s="416">
        <f ca="1">IF(AI$361&gt;='2.2 Input_General_Information'!$H$20,SUM(AI363:AI366),)</f>
        <v>1</v>
      </c>
      <c r="AJ368" s="416">
        <f ca="1">IF(AJ$361&gt;='2.2 Input_General_Information'!$H$20,SUM(AJ363:AJ366),)</f>
        <v>1</v>
      </c>
      <c r="AK368" s="416">
        <f ca="1">IF(AK$361&gt;='2.2 Input_General_Information'!$H$20,SUM(AK363:AK366),)</f>
        <v>1</v>
      </c>
      <c r="AL368" s="416">
        <f ca="1">IF(AL$361&gt;='2.2 Input_General_Information'!$H$20,SUM(AL363:AL366),)</f>
        <v>1</v>
      </c>
      <c r="AM368" s="416">
        <f ca="1">IF(AM$361&gt;='2.2 Input_General_Information'!$H$20,SUM(AM363:AM366),)</f>
        <v>1</v>
      </c>
      <c r="AN368" s="416">
        <f ca="1">IF(AN$361&gt;='2.2 Input_General_Information'!$H$20,SUM(AN363:AN366),)</f>
        <v>1</v>
      </c>
      <c r="AO368" s="416">
        <f ca="1">IF(AO$361&gt;='2.2 Input_General_Information'!$H$20,SUM(AO363:AO366),)</f>
        <v>1</v>
      </c>
      <c r="AP368" s="416">
        <f ca="1">IF(AP$361&gt;='2.2 Input_General_Information'!$H$20,SUM(AP363:AP366),)</f>
        <v>1</v>
      </c>
      <c r="AQ368" s="416">
        <f ca="1">IF(AQ$361&gt;='2.2 Input_General_Information'!$H$20,SUM(AQ363:AQ366),)</f>
        <v>1</v>
      </c>
      <c r="AR368" s="416">
        <f ca="1">IF(AR$361&gt;='2.2 Input_General_Information'!$H$20,SUM(AR363:AR366),)</f>
        <v>1</v>
      </c>
      <c r="AS368" s="416">
        <f ca="1">IF(AS$361&gt;='2.2 Input_General_Information'!$H$20,SUM(AS363:AS366),)</f>
        <v>1</v>
      </c>
      <c r="AT368" s="416">
        <f ca="1">IF(AT$361&gt;='2.2 Input_General_Information'!$H$20,SUM(AT363:AT366),)</f>
        <v>1</v>
      </c>
      <c r="AU368" s="416">
        <f ca="1">IF(AU$361&gt;='2.2 Input_General_Information'!$H$20,SUM(AU363:AU366),)</f>
        <v>1</v>
      </c>
      <c r="AV368" s="416">
        <f ca="1">IF(AV$361&gt;='2.2 Input_General_Information'!$H$20,SUM(AV363:AV366),)</f>
        <v>1</v>
      </c>
      <c r="AW368" s="416">
        <f ca="1">IF(AW$361&gt;='2.2 Input_General_Information'!$H$20,SUM(AW363:AW366),)</f>
        <v>1</v>
      </c>
      <c r="AX368" s="416">
        <f ca="1">IF(AX$361&gt;='2.2 Input_General_Information'!$H$20,SUM(AX363:AX366),)</f>
        <v>1</v>
      </c>
      <c r="AY368" s="416">
        <f ca="1">IF(AY$361&gt;='2.2 Input_General_Information'!$H$20,SUM(AY363:AY366),)</f>
        <v>1</v>
      </c>
      <c r="AZ368" s="416">
        <f ca="1">IF(AZ$361&gt;='2.2 Input_General_Information'!$H$20,SUM(AZ363:AZ366),)</f>
        <v>1</v>
      </c>
      <c r="BA368" s="416">
        <f ca="1">IF(BA$361&gt;='2.2 Input_General_Information'!$H$20,SUM(BA363:BA366),)</f>
        <v>1</v>
      </c>
      <c r="BB368" s="416">
        <f ca="1">IF(BB$361&gt;='2.2 Input_General_Information'!$H$20,SUM(BB363:BB366),)</f>
        <v>1</v>
      </c>
      <c r="BC368" s="416">
        <f ca="1">IF(BC$361&gt;='2.2 Input_General_Information'!$H$20,SUM(BC363:BC366),)</f>
        <v>1</v>
      </c>
      <c r="BD368" s="416">
        <f ca="1">IF(BD$361&gt;='2.2 Input_General_Information'!$H$20,SUM(BD363:BD366),)</f>
        <v>1</v>
      </c>
      <c r="BE368" s="416">
        <f ca="1">IF(BE$361&gt;='2.2 Input_General_Information'!$H$20,SUM(BE363:BE366),)</f>
        <v>1</v>
      </c>
      <c r="BF368" s="416">
        <f ca="1">IF(BF$361&gt;='2.2 Input_General_Information'!$H$20,SUM(BF363:BF366),)</f>
        <v>1</v>
      </c>
      <c r="BG368" s="416">
        <f ca="1">IF(BG$361&gt;='2.2 Input_General_Information'!$H$20,SUM(BG363:BG366),)</f>
        <v>1</v>
      </c>
      <c r="BH368" s="416">
        <f ca="1">IF(BH$361&gt;='2.2 Input_General_Information'!$H$20,SUM(BH363:BH366),)</f>
        <v>1</v>
      </c>
      <c r="BI368" s="416">
        <f ca="1">IF(BI$361&gt;='2.2 Input_General_Information'!$H$20,SUM(BI363:BI366),)</f>
        <v>1</v>
      </c>
      <c r="BJ368" s="416">
        <f ca="1">IF(BJ$361&gt;='2.2 Input_General_Information'!$H$20,SUM(BJ363:BJ366),)</f>
        <v>1</v>
      </c>
      <c r="BK368" s="416">
        <f ca="1">IF(BK$361&gt;='2.2 Input_General_Information'!$H$20,SUM(BK363:BK366),)</f>
        <v>1</v>
      </c>
      <c r="BL368" s="99"/>
      <c r="BM368" s="99"/>
      <c r="BN368" s="99"/>
      <c r="BO368" s="99"/>
      <c r="BP368" s="99"/>
      <c r="BQ368" s="99"/>
      <c r="BR368" s="99"/>
      <c r="BS368" s="99"/>
      <c r="BT368" s="99"/>
      <c r="BU368" s="99"/>
    </row>
    <row r="369" spans="1:73" ht="17.25" hidden="1" customHeight="1">
      <c r="A369" s="6"/>
      <c r="B369" s="108"/>
      <c r="C369" s="1"/>
      <c r="D369" s="12"/>
      <c r="E369" s="1"/>
      <c r="F369" s="1"/>
      <c r="G369" s="3"/>
      <c r="H369" s="3"/>
      <c r="I369" s="3"/>
      <c r="J369" s="3"/>
      <c r="K369" s="3"/>
      <c r="L369" s="3"/>
      <c r="M369" s="3"/>
      <c r="N369" s="3"/>
      <c r="O369" s="1"/>
      <c r="P369" s="1"/>
      <c r="Q369" s="1"/>
      <c r="R369" s="162"/>
      <c r="S369" s="1"/>
      <c r="T369" s="103"/>
      <c r="U369" s="101" t="s">
        <v>936</v>
      </c>
      <c r="V369" s="101" t="str">
        <f t="shared" ref="V369:V372" si="65">V363</f>
        <v>No metadata</v>
      </c>
      <c r="W369" s="416">
        <f ca="1">IF(W$361&gt;='2.2 Input_General_Information'!$H$20,W$363/W$368,)</f>
        <v>0</v>
      </c>
      <c r="X369" s="416">
        <f ca="1">IF(X$361&gt;='2.2 Input_General_Information'!$H$20,X$363/X$368,)</f>
        <v>0</v>
      </c>
      <c r="Y369" s="416">
        <f ca="1">IF(Y$361&gt;='2.2 Input_General_Information'!$H$20,Y$363/Y$368,)</f>
        <v>0</v>
      </c>
      <c r="Z369" s="416">
        <f ca="1">IF(Z$361&gt;='2.2 Input_General_Information'!$H$20,Z$363/Z$368,)</f>
        <v>0</v>
      </c>
      <c r="AA369" s="416">
        <f ca="1">IF(AA$361&gt;='2.2 Input_General_Information'!$H$20,AA$363/AA$368,)</f>
        <v>0</v>
      </c>
      <c r="AB369" s="416">
        <f ca="1">IF(AB$361&gt;='2.2 Input_General_Information'!$H$20,AB$363/AB$368,)</f>
        <v>0</v>
      </c>
      <c r="AC369" s="416">
        <f ca="1">IF(AC$361&gt;='2.2 Input_General_Information'!$H$20,AC$363/AC$368,)</f>
        <v>0</v>
      </c>
      <c r="AD369" s="416">
        <f ca="1">IF(AD$361&gt;='2.2 Input_General_Information'!$H$20,AD$363/AD$368,)</f>
        <v>0</v>
      </c>
      <c r="AE369" s="416">
        <f ca="1">IF(AE$361&gt;='2.2 Input_General_Information'!$H$20,AE$363/AE$368,)</f>
        <v>0</v>
      </c>
      <c r="AF369" s="416">
        <f ca="1">IF(AF$361&gt;='2.2 Input_General_Information'!$H$20,AF$363/AF$368,)</f>
        <v>0</v>
      </c>
      <c r="AG369" s="416">
        <f ca="1">IF(AG$361&gt;='2.2 Input_General_Information'!$H$20,AG$363/AG$368,)</f>
        <v>0</v>
      </c>
      <c r="AH369" s="416">
        <f ca="1">IF(AH$361&gt;='2.2 Input_General_Information'!$H$20,AH$363/AH$368,)</f>
        <v>0</v>
      </c>
      <c r="AI369" s="416">
        <f ca="1">IF(AI$361&gt;='2.2 Input_General_Information'!$H$20,AI$363/AI$368,)</f>
        <v>0</v>
      </c>
      <c r="AJ369" s="416">
        <f ca="1">IF(AJ$361&gt;='2.2 Input_General_Information'!$H$20,AJ$363/AJ$368,)</f>
        <v>0</v>
      </c>
      <c r="AK369" s="416">
        <f ca="1">IF(AK$361&gt;='2.2 Input_General_Information'!$H$20,AK$363/AK$368,)</f>
        <v>0</v>
      </c>
      <c r="AL369" s="416">
        <f ca="1">IF(AL$361&gt;='2.2 Input_General_Information'!$H$20,AL$363/AL$368,)</f>
        <v>0</v>
      </c>
      <c r="AM369" s="416">
        <f ca="1">IF(AM$361&gt;='2.2 Input_General_Information'!$H$20,AM$363/AM$368,)</f>
        <v>0</v>
      </c>
      <c r="AN369" s="416">
        <f ca="1">IF(AN$361&gt;='2.2 Input_General_Information'!$H$20,AN$363/AN$368,)</f>
        <v>0</v>
      </c>
      <c r="AO369" s="416">
        <f ca="1">IF(AO$361&gt;='2.2 Input_General_Information'!$H$20,AO$363/AO$368,)</f>
        <v>0</v>
      </c>
      <c r="AP369" s="416">
        <f ca="1">IF(AP$361&gt;='2.2 Input_General_Information'!$H$20,AP$363/AP$368,)</f>
        <v>0</v>
      </c>
      <c r="AQ369" s="416">
        <f ca="1">IF(AQ$361&gt;='2.2 Input_General_Information'!$H$20,AQ$363/AQ$368,)</f>
        <v>0</v>
      </c>
      <c r="AR369" s="416">
        <f ca="1">IF(AR$361&gt;='2.2 Input_General_Information'!$H$20,AR$363/AR$368,)</f>
        <v>0</v>
      </c>
      <c r="AS369" s="416">
        <f ca="1">IF(AS$361&gt;='2.2 Input_General_Information'!$H$20,AS$363/AS$368,)</f>
        <v>0</v>
      </c>
      <c r="AT369" s="416">
        <f ca="1">IF(AT$361&gt;='2.2 Input_General_Information'!$H$20,AT$363/AT$368,)</f>
        <v>0</v>
      </c>
      <c r="AU369" s="416">
        <f ca="1">IF(AU$361&gt;='2.2 Input_General_Information'!$H$20,AU$363/AU$368,)</f>
        <v>0</v>
      </c>
      <c r="AV369" s="416">
        <f ca="1">IF(AV$361&gt;='2.2 Input_General_Information'!$H$20,AV$363/AV$368,)</f>
        <v>0</v>
      </c>
      <c r="AW369" s="416">
        <f ca="1">IF(AW$361&gt;='2.2 Input_General_Information'!$H$20,AW$363/AW$368,)</f>
        <v>0</v>
      </c>
      <c r="AX369" s="416">
        <f ca="1">IF(AX$361&gt;='2.2 Input_General_Information'!$H$20,AX$363/AX$368,)</f>
        <v>0</v>
      </c>
      <c r="AY369" s="416">
        <f ca="1">IF(AY$361&gt;='2.2 Input_General_Information'!$H$20,AY$363/AY$368,)</f>
        <v>0</v>
      </c>
      <c r="AZ369" s="416">
        <f ca="1">IF(AZ$361&gt;='2.2 Input_General_Information'!$H$20,AZ$363/AZ$368,)</f>
        <v>0</v>
      </c>
      <c r="BA369" s="416">
        <f ca="1">IF(BA$361&gt;='2.2 Input_General_Information'!$H$20,BA$363/BA$368,)</f>
        <v>0</v>
      </c>
      <c r="BB369" s="416">
        <f ca="1">IF(BB$361&gt;='2.2 Input_General_Information'!$H$20,BB$363/BB$368,)</f>
        <v>0</v>
      </c>
      <c r="BC369" s="416">
        <f ca="1">IF(BC$361&gt;='2.2 Input_General_Information'!$H$20,BC$363/BC$368,)</f>
        <v>0</v>
      </c>
      <c r="BD369" s="416">
        <f ca="1">IF(BD$361&gt;='2.2 Input_General_Information'!$H$20,BD$363/BD$368,)</f>
        <v>0</v>
      </c>
      <c r="BE369" s="416">
        <f ca="1">IF(BE$361&gt;='2.2 Input_General_Information'!$H$20,BE$363/BE$368,)</f>
        <v>0</v>
      </c>
      <c r="BF369" s="416">
        <f ca="1">IF(BF$361&gt;='2.2 Input_General_Information'!$H$20,BF$363/BF$368,)</f>
        <v>0</v>
      </c>
      <c r="BG369" s="416">
        <f ca="1">IF(BG$361&gt;='2.2 Input_General_Information'!$H$20,BG$363/BG$368,)</f>
        <v>0</v>
      </c>
      <c r="BH369" s="416">
        <f ca="1">IF(BH$361&gt;='2.2 Input_General_Information'!$H$20,BH$363/BH$368,)</f>
        <v>0</v>
      </c>
      <c r="BI369" s="416">
        <f ca="1">IF(BI$361&gt;='2.2 Input_General_Information'!$H$20,BI$363/BI$368,)</f>
        <v>0</v>
      </c>
      <c r="BJ369" s="416">
        <f ca="1">IF(BJ$361&gt;='2.2 Input_General_Information'!$H$20,BJ$363/BJ$368,)</f>
        <v>0</v>
      </c>
      <c r="BK369" s="416">
        <f ca="1">IF(BK$361&gt;='2.2 Input_General_Information'!$H$20,BK$363/BK$368,)</f>
        <v>0</v>
      </c>
      <c r="BL369" s="99"/>
      <c r="BM369" s="99"/>
      <c r="BN369" s="99"/>
      <c r="BO369" s="99"/>
      <c r="BP369" s="99"/>
      <c r="BQ369" s="99"/>
      <c r="BR369" s="99"/>
      <c r="BS369" s="99"/>
      <c r="BT369" s="99"/>
      <c r="BU369" s="99"/>
    </row>
    <row r="370" spans="1:73" ht="17.25" hidden="1" customHeight="1">
      <c r="A370" s="6"/>
      <c r="B370" s="108"/>
      <c r="C370" s="1"/>
      <c r="D370" s="12"/>
      <c r="E370" s="1"/>
      <c r="F370" s="1"/>
      <c r="G370" s="3"/>
      <c r="H370" s="3"/>
      <c r="I370" s="3"/>
      <c r="J370" s="3"/>
      <c r="K370" s="3"/>
      <c r="L370" s="3"/>
      <c r="M370" s="3"/>
      <c r="N370" s="3"/>
      <c r="O370" s="1"/>
      <c r="P370" s="1"/>
      <c r="Q370" s="1"/>
      <c r="R370" s="162"/>
      <c r="S370" s="1"/>
      <c r="T370" s="103"/>
      <c r="U370" s="101" t="s">
        <v>936</v>
      </c>
      <c r="V370" s="101" t="str">
        <f t="shared" si="65"/>
        <v>No metadata standards</v>
      </c>
      <c r="W370" s="416">
        <f ca="1">IF(W$361&gt;='2.2 Input_General_Information'!$H$20,W364/W$368,)</f>
        <v>0.42104598281961569</v>
      </c>
      <c r="X370" s="416">
        <f ca="1">IF(X$361&gt;='2.2 Input_General_Information'!$H$20,X364/X$368,)</f>
        <v>0.23941747976180144</v>
      </c>
      <c r="Y370" s="416">
        <f ca="1">IF(Y$361&gt;='2.2 Input_General_Information'!$H$20,Y364/Y$368,)</f>
        <v>1.8070006180053132E-2</v>
      </c>
      <c r="Z370" s="416">
        <f ca="1">IF(Z$361&gt;='2.2 Input_General_Information'!$H$20,Z364/Z$368,)</f>
        <v>4.2105927988285273E-5</v>
      </c>
      <c r="AA370" s="416">
        <f ca="1">IF(AA$361&gt;='2.2 Input_General_Information'!$H$20,AA364/AA$368,)</f>
        <v>0</v>
      </c>
      <c r="AB370" s="416">
        <f ca="1">IF(AB$361&gt;='2.2 Input_General_Information'!$H$20,AB364/AB$368,)</f>
        <v>0</v>
      </c>
      <c r="AC370" s="416">
        <f ca="1">IF(AC$361&gt;='2.2 Input_General_Information'!$H$20,AC364/AC$368,)</f>
        <v>0</v>
      </c>
      <c r="AD370" s="416">
        <f ca="1">IF(AD$361&gt;='2.2 Input_General_Information'!$H$20,AD364/AD$368,)</f>
        <v>0</v>
      </c>
      <c r="AE370" s="416">
        <f ca="1">IF(AE$361&gt;='2.2 Input_General_Information'!$H$20,AE364/AE$368,)</f>
        <v>0</v>
      </c>
      <c r="AF370" s="416">
        <f ca="1">IF(AF$361&gt;='2.2 Input_General_Information'!$H$20,AF364/AF$368,)</f>
        <v>0</v>
      </c>
      <c r="AG370" s="416">
        <f ca="1">IF(AG$361&gt;='2.2 Input_General_Information'!$H$20,AG364/AG$368,)</f>
        <v>0</v>
      </c>
      <c r="AH370" s="416">
        <f ca="1">IF(AH$361&gt;='2.2 Input_General_Information'!$H$20,AH364/AH$368,)</f>
        <v>0</v>
      </c>
      <c r="AI370" s="416">
        <f ca="1">IF(AI$361&gt;='2.2 Input_General_Information'!$H$20,AI364/AI$368,)</f>
        <v>0</v>
      </c>
      <c r="AJ370" s="416">
        <f ca="1">IF(AJ$361&gt;='2.2 Input_General_Information'!$H$20,AJ364/AJ$368,)</f>
        <v>0</v>
      </c>
      <c r="AK370" s="416">
        <f ca="1">IF(AK$361&gt;='2.2 Input_General_Information'!$H$20,AK364/AK$368,)</f>
        <v>0</v>
      </c>
      <c r="AL370" s="416">
        <f ca="1">IF(AL$361&gt;='2.2 Input_General_Information'!$H$20,AL364/AL$368,)</f>
        <v>0</v>
      </c>
      <c r="AM370" s="416">
        <f ca="1">IF(AM$361&gt;='2.2 Input_General_Information'!$H$20,AM364/AM$368,)</f>
        <v>0</v>
      </c>
      <c r="AN370" s="416">
        <f ca="1">IF(AN$361&gt;='2.2 Input_General_Information'!$H$20,AN364/AN$368,)</f>
        <v>0</v>
      </c>
      <c r="AO370" s="416">
        <f ca="1">IF(AO$361&gt;='2.2 Input_General_Information'!$H$20,AO364/AO$368,)</f>
        <v>0</v>
      </c>
      <c r="AP370" s="416">
        <f ca="1">IF(AP$361&gt;='2.2 Input_General_Information'!$H$20,AP364/AP$368,)</f>
        <v>0</v>
      </c>
      <c r="AQ370" s="416">
        <f ca="1">IF(AQ$361&gt;='2.2 Input_General_Information'!$H$20,AQ364/AQ$368,)</f>
        <v>0</v>
      </c>
      <c r="AR370" s="416">
        <f ca="1">IF(AR$361&gt;='2.2 Input_General_Information'!$H$20,AR364/AR$368,)</f>
        <v>0</v>
      </c>
      <c r="AS370" s="416">
        <f ca="1">IF(AS$361&gt;='2.2 Input_General_Information'!$H$20,AS364/AS$368,)</f>
        <v>0</v>
      </c>
      <c r="AT370" s="416">
        <f ca="1">IF(AT$361&gt;='2.2 Input_General_Information'!$H$20,AT364/AT$368,)</f>
        <v>0</v>
      </c>
      <c r="AU370" s="416">
        <f ca="1">IF(AU$361&gt;='2.2 Input_General_Information'!$H$20,AU364/AU$368,)</f>
        <v>0</v>
      </c>
      <c r="AV370" s="416">
        <f ca="1">IF(AV$361&gt;='2.2 Input_General_Information'!$H$20,AV364/AV$368,)</f>
        <v>0</v>
      </c>
      <c r="AW370" s="416">
        <f ca="1">IF(AW$361&gt;='2.2 Input_General_Information'!$H$20,AW364/AW$368,)</f>
        <v>0</v>
      </c>
      <c r="AX370" s="416">
        <f ca="1">IF(AX$361&gt;='2.2 Input_General_Information'!$H$20,AX364/AX$368,)</f>
        <v>0</v>
      </c>
      <c r="AY370" s="416">
        <f ca="1">IF(AY$361&gt;='2.2 Input_General_Information'!$H$20,AY364/AY$368,)</f>
        <v>0</v>
      </c>
      <c r="AZ370" s="416">
        <f ca="1">IF(AZ$361&gt;='2.2 Input_General_Information'!$H$20,AZ364/AZ$368,)</f>
        <v>0</v>
      </c>
      <c r="BA370" s="416">
        <f ca="1">IF(BA$361&gt;='2.2 Input_General_Information'!$H$20,BA364/BA$368,)</f>
        <v>0</v>
      </c>
      <c r="BB370" s="416">
        <f ca="1">IF(BB$361&gt;='2.2 Input_General_Information'!$H$20,BB364/BB$368,)</f>
        <v>0</v>
      </c>
      <c r="BC370" s="416">
        <f ca="1">IF(BC$361&gt;='2.2 Input_General_Information'!$H$20,BC364/BC$368,)</f>
        <v>0</v>
      </c>
      <c r="BD370" s="416">
        <f ca="1">IF(BD$361&gt;='2.2 Input_General_Information'!$H$20,BD364/BD$368,)</f>
        <v>0</v>
      </c>
      <c r="BE370" s="416">
        <f ca="1">IF(BE$361&gt;='2.2 Input_General_Information'!$H$20,BE364/BE$368,)</f>
        <v>0</v>
      </c>
      <c r="BF370" s="416">
        <f ca="1">IF(BF$361&gt;='2.2 Input_General_Information'!$H$20,BF364/BF$368,)</f>
        <v>0</v>
      </c>
      <c r="BG370" s="416">
        <f ca="1">IF(BG$361&gt;='2.2 Input_General_Information'!$H$20,BG364/BG$368,)</f>
        <v>0</v>
      </c>
      <c r="BH370" s="416">
        <f ca="1">IF(BH$361&gt;='2.2 Input_General_Information'!$H$20,BH364/BH$368,)</f>
        <v>0</v>
      </c>
      <c r="BI370" s="416">
        <f ca="1">IF(BI$361&gt;='2.2 Input_General_Information'!$H$20,BI364/BI$368,)</f>
        <v>0</v>
      </c>
      <c r="BJ370" s="416">
        <f ca="1">IF(BJ$361&gt;='2.2 Input_General_Information'!$H$20,BJ364/BJ$368,)</f>
        <v>0</v>
      </c>
      <c r="BK370" s="416">
        <f ca="1">IF(BK$361&gt;='2.2 Input_General_Information'!$H$20,BK364/BK$368,)</f>
        <v>0</v>
      </c>
      <c r="BL370" s="99"/>
      <c r="BM370" s="99"/>
      <c r="BN370" s="99"/>
      <c r="BO370" s="99"/>
      <c r="BP370" s="99"/>
      <c r="BQ370" s="99"/>
      <c r="BR370" s="99"/>
      <c r="BS370" s="99"/>
      <c r="BT370" s="99"/>
      <c r="BU370" s="99"/>
    </row>
    <row r="371" spans="1:73" ht="17.25" hidden="1" customHeight="1">
      <c r="A371" s="6"/>
      <c r="B371" s="108"/>
      <c r="C371" s="1"/>
      <c r="D371" s="12"/>
      <c r="E371" s="1"/>
      <c r="F371" s="1"/>
      <c r="G371" s="3"/>
      <c r="H371" s="3"/>
      <c r="I371" s="3"/>
      <c r="J371" s="3"/>
      <c r="K371" s="3"/>
      <c r="L371" s="3"/>
      <c r="M371" s="3"/>
      <c r="N371" s="3"/>
      <c r="O371" s="1"/>
      <c r="P371" s="1"/>
      <c r="Q371" s="1"/>
      <c r="R371" s="162"/>
      <c r="S371" s="1"/>
      <c r="T371" s="103"/>
      <c r="U371" s="101" t="s">
        <v>936</v>
      </c>
      <c r="V371" s="101" t="str">
        <f t="shared" si="65"/>
        <v>Local metadata standards</v>
      </c>
      <c r="W371" s="416">
        <f ca="1">IF(W$361&gt;='2.2 Input_General_Information'!$H$20,W365/W$368,)</f>
        <v>0.42104598281961569</v>
      </c>
      <c r="X371" s="416">
        <f ca="1">IF(X$361&gt;='2.2 Input_General_Information'!$H$20,X365/X$368,)</f>
        <v>0.23941747976180144</v>
      </c>
      <c r="Y371" s="416">
        <f ca="1">IF(Y$361&gt;='2.2 Input_General_Information'!$H$20,Y365/Y$368,)</f>
        <v>1.8070006180053132E-2</v>
      </c>
      <c r="Z371" s="416">
        <f ca="1">IF(Z$361&gt;='2.2 Input_General_Information'!$H$20,Z365/Z$368,)</f>
        <v>4.2105927988285273E-5</v>
      </c>
      <c r="AA371" s="416">
        <f ca="1">IF(AA$361&gt;='2.2 Input_General_Information'!$H$20,AA365/AA$368,)</f>
        <v>0</v>
      </c>
      <c r="AB371" s="416">
        <f ca="1">IF(AB$361&gt;='2.2 Input_General_Information'!$H$20,AB365/AB$368,)</f>
        <v>0</v>
      </c>
      <c r="AC371" s="416">
        <f ca="1">IF(AC$361&gt;='2.2 Input_General_Information'!$H$20,AC365/AC$368,)</f>
        <v>0</v>
      </c>
      <c r="AD371" s="416">
        <f ca="1">IF(AD$361&gt;='2.2 Input_General_Information'!$H$20,AD365/AD$368,)</f>
        <v>0</v>
      </c>
      <c r="AE371" s="416">
        <f ca="1">IF(AE$361&gt;='2.2 Input_General_Information'!$H$20,AE365/AE$368,)</f>
        <v>0</v>
      </c>
      <c r="AF371" s="416">
        <f ca="1">IF(AF$361&gt;='2.2 Input_General_Information'!$H$20,AF365/AF$368,)</f>
        <v>0</v>
      </c>
      <c r="AG371" s="416">
        <f ca="1">IF(AG$361&gt;='2.2 Input_General_Information'!$H$20,AG365/AG$368,)</f>
        <v>0</v>
      </c>
      <c r="AH371" s="416">
        <f ca="1">IF(AH$361&gt;='2.2 Input_General_Information'!$H$20,AH365/AH$368,)</f>
        <v>0</v>
      </c>
      <c r="AI371" s="416">
        <f ca="1">IF(AI$361&gt;='2.2 Input_General_Information'!$H$20,AI365/AI$368,)</f>
        <v>0</v>
      </c>
      <c r="AJ371" s="416">
        <f ca="1">IF(AJ$361&gt;='2.2 Input_General_Information'!$H$20,AJ365/AJ$368,)</f>
        <v>0</v>
      </c>
      <c r="AK371" s="416">
        <f ca="1">IF(AK$361&gt;='2.2 Input_General_Information'!$H$20,AK365/AK$368,)</f>
        <v>0</v>
      </c>
      <c r="AL371" s="416">
        <f ca="1">IF(AL$361&gt;='2.2 Input_General_Information'!$H$20,AL365/AL$368,)</f>
        <v>0</v>
      </c>
      <c r="AM371" s="416">
        <f ca="1">IF(AM$361&gt;='2.2 Input_General_Information'!$H$20,AM365/AM$368,)</f>
        <v>0</v>
      </c>
      <c r="AN371" s="416">
        <f ca="1">IF(AN$361&gt;='2.2 Input_General_Information'!$H$20,AN365/AN$368,)</f>
        <v>0</v>
      </c>
      <c r="AO371" s="416">
        <f ca="1">IF(AO$361&gt;='2.2 Input_General_Information'!$H$20,AO365/AO$368,)</f>
        <v>0</v>
      </c>
      <c r="AP371" s="416">
        <f ca="1">IF(AP$361&gt;='2.2 Input_General_Information'!$H$20,AP365/AP$368,)</f>
        <v>0</v>
      </c>
      <c r="AQ371" s="416">
        <f ca="1">IF(AQ$361&gt;='2.2 Input_General_Information'!$H$20,AQ365/AQ$368,)</f>
        <v>0</v>
      </c>
      <c r="AR371" s="416">
        <f ca="1">IF(AR$361&gt;='2.2 Input_General_Information'!$H$20,AR365/AR$368,)</f>
        <v>0</v>
      </c>
      <c r="AS371" s="416">
        <f ca="1">IF(AS$361&gt;='2.2 Input_General_Information'!$H$20,AS365/AS$368,)</f>
        <v>0</v>
      </c>
      <c r="AT371" s="416">
        <f ca="1">IF(AT$361&gt;='2.2 Input_General_Information'!$H$20,AT365/AT$368,)</f>
        <v>0</v>
      </c>
      <c r="AU371" s="416">
        <f ca="1">IF(AU$361&gt;='2.2 Input_General_Information'!$H$20,AU365/AU$368,)</f>
        <v>0</v>
      </c>
      <c r="AV371" s="416">
        <f ca="1">IF(AV$361&gt;='2.2 Input_General_Information'!$H$20,AV365/AV$368,)</f>
        <v>0</v>
      </c>
      <c r="AW371" s="416">
        <f ca="1">IF(AW$361&gt;='2.2 Input_General_Information'!$H$20,AW365/AW$368,)</f>
        <v>0</v>
      </c>
      <c r="AX371" s="416">
        <f ca="1">IF(AX$361&gt;='2.2 Input_General_Information'!$H$20,AX365/AX$368,)</f>
        <v>0</v>
      </c>
      <c r="AY371" s="416">
        <f ca="1">IF(AY$361&gt;='2.2 Input_General_Information'!$H$20,AY365/AY$368,)</f>
        <v>0</v>
      </c>
      <c r="AZ371" s="416">
        <f ca="1">IF(AZ$361&gt;='2.2 Input_General_Information'!$H$20,AZ365/AZ$368,)</f>
        <v>0</v>
      </c>
      <c r="BA371" s="416">
        <f ca="1">IF(BA$361&gt;='2.2 Input_General_Information'!$H$20,BA365/BA$368,)</f>
        <v>0</v>
      </c>
      <c r="BB371" s="416">
        <f ca="1">IF(BB$361&gt;='2.2 Input_General_Information'!$H$20,BB365/BB$368,)</f>
        <v>0</v>
      </c>
      <c r="BC371" s="416">
        <f ca="1">IF(BC$361&gt;='2.2 Input_General_Information'!$H$20,BC365/BC$368,)</f>
        <v>0</v>
      </c>
      <c r="BD371" s="416">
        <f ca="1">IF(BD$361&gt;='2.2 Input_General_Information'!$H$20,BD365/BD$368,)</f>
        <v>0</v>
      </c>
      <c r="BE371" s="416">
        <f ca="1">IF(BE$361&gt;='2.2 Input_General_Information'!$H$20,BE365/BE$368,)</f>
        <v>0</v>
      </c>
      <c r="BF371" s="416">
        <f ca="1">IF(BF$361&gt;='2.2 Input_General_Information'!$H$20,BF365/BF$368,)</f>
        <v>0</v>
      </c>
      <c r="BG371" s="416">
        <f ca="1">IF(BG$361&gt;='2.2 Input_General_Information'!$H$20,BG365/BG$368,)</f>
        <v>0</v>
      </c>
      <c r="BH371" s="416">
        <f ca="1">IF(BH$361&gt;='2.2 Input_General_Information'!$H$20,BH365/BH$368,)</f>
        <v>0</v>
      </c>
      <c r="BI371" s="416">
        <f ca="1">IF(BI$361&gt;='2.2 Input_General_Information'!$H$20,BI365/BI$368,)</f>
        <v>0</v>
      </c>
      <c r="BJ371" s="416">
        <f ca="1">IF(BJ$361&gt;='2.2 Input_General_Information'!$H$20,BJ365/BJ$368,)</f>
        <v>0</v>
      </c>
      <c r="BK371" s="416">
        <f ca="1">IF(BK$361&gt;='2.2 Input_General_Information'!$H$20,BK365/BK$368,)</f>
        <v>0</v>
      </c>
      <c r="BL371" s="99"/>
      <c r="BM371" s="99"/>
      <c r="BN371" s="99"/>
      <c r="BO371" s="99"/>
      <c r="BP371" s="99"/>
      <c r="BQ371" s="99"/>
      <c r="BR371" s="99"/>
      <c r="BS371" s="99"/>
      <c r="BT371" s="99"/>
      <c r="BU371" s="99"/>
    </row>
    <row r="372" spans="1:73" ht="17.25" hidden="1" customHeight="1">
      <c r="A372" s="6"/>
      <c r="B372" s="108"/>
      <c r="C372" s="1"/>
      <c r="D372" s="12"/>
      <c r="E372" s="1"/>
      <c r="F372" s="1"/>
      <c r="G372" s="3"/>
      <c r="H372" s="3"/>
      <c r="I372" s="3"/>
      <c r="J372" s="3"/>
      <c r="K372" s="3"/>
      <c r="L372" s="3"/>
      <c r="M372" s="3"/>
      <c r="N372" s="3"/>
      <c r="O372" s="1"/>
      <c r="P372" s="1"/>
      <c r="Q372" s="1"/>
      <c r="R372" s="162"/>
      <c r="S372" s="1"/>
      <c r="T372" s="103"/>
      <c r="U372" s="101" t="s">
        <v>936</v>
      </c>
      <c r="V372" s="101" t="str">
        <f t="shared" si="65"/>
        <v>Recognized metadata standards</v>
      </c>
      <c r="W372" s="416">
        <f ca="1">IF(W$361&gt;='2.2 Input_General_Information'!$H$20,W366/W$368,)</f>
        <v>0.15790803436076853</v>
      </c>
      <c r="X372" s="416">
        <f ca="1">IF(X$361&gt;='2.2 Input_General_Information'!$H$20,X366/X$368,)</f>
        <v>0.52116504047639711</v>
      </c>
      <c r="Y372" s="416">
        <f ca="1">IF(Y$361&gt;='2.2 Input_General_Information'!$H$20,Y366/Y$368,)</f>
        <v>0.96385998763989367</v>
      </c>
      <c r="Z372" s="416">
        <f ca="1">IF(Z$361&gt;='2.2 Input_General_Information'!$H$20,Z366/Z$368,)</f>
        <v>0.99991578814402338</v>
      </c>
      <c r="AA372" s="416">
        <f ca="1">IF(AA$361&gt;='2.2 Input_General_Information'!$H$20,AA366/AA$368,)</f>
        <v>1</v>
      </c>
      <c r="AB372" s="416">
        <f ca="1">IF(AB$361&gt;='2.2 Input_General_Information'!$H$20,AB366/AB$368,)</f>
        <v>1</v>
      </c>
      <c r="AC372" s="416">
        <f ca="1">IF(AC$361&gt;='2.2 Input_General_Information'!$H$20,AC366/AC$368,)</f>
        <v>1</v>
      </c>
      <c r="AD372" s="416">
        <f ca="1">IF(AD$361&gt;='2.2 Input_General_Information'!$H$20,AD366/AD$368,)</f>
        <v>1</v>
      </c>
      <c r="AE372" s="416">
        <f ca="1">IF(AE$361&gt;='2.2 Input_General_Information'!$H$20,AE366/AE$368,)</f>
        <v>1</v>
      </c>
      <c r="AF372" s="416">
        <f ca="1">IF(AF$361&gt;='2.2 Input_General_Information'!$H$20,AF366/AF$368,)</f>
        <v>1</v>
      </c>
      <c r="AG372" s="416">
        <f ca="1">IF(AG$361&gt;='2.2 Input_General_Information'!$H$20,AG366/AG$368,)</f>
        <v>1</v>
      </c>
      <c r="AH372" s="416">
        <f ca="1">IF(AH$361&gt;='2.2 Input_General_Information'!$H$20,AH366/AH$368,)</f>
        <v>1</v>
      </c>
      <c r="AI372" s="416">
        <f ca="1">IF(AI$361&gt;='2.2 Input_General_Information'!$H$20,AI366/AI$368,)</f>
        <v>1</v>
      </c>
      <c r="AJ372" s="416">
        <f ca="1">IF(AJ$361&gt;='2.2 Input_General_Information'!$H$20,AJ366/AJ$368,)</f>
        <v>1</v>
      </c>
      <c r="AK372" s="416">
        <f ca="1">IF(AK$361&gt;='2.2 Input_General_Information'!$H$20,AK366/AK$368,)</f>
        <v>1</v>
      </c>
      <c r="AL372" s="416">
        <f ca="1">IF(AL$361&gt;='2.2 Input_General_Information'!$H$20,AL366/AL$368,)</f>
        <v>1</v>
      </c>
      <c r="AM372" s="416">
        <f ca="1">IF(AM$361&gt;='2.2 Input_General_Information'!$H$20,AM366/AM$368,)</f>
        <v>1</v>
      </c>
      <c r="AN372" s="416">
        <f ca="1">IF(AN$361&gt;='2.2 Input_General_Information'!$H$20,AN366/AN$368,)</f>
        <v>1</v>
      </c>
      <c r="AO372" s="416">
        <f ca="1">IF(AO$361&gt;='2.2 Input_General_Information'!$H$20,AO366/AO$368,)</f>
        <v>1</v>
      </c>
      <c r="AP372" s="416">
        <f ca="1">IF(AP$361&gt;='2.2 Input_General_Information'!$H$20,AP366/AP$368,)</f>
        <v>1</v>
      </c>
      <c r="AQ372" s="416">
        <f ca="1">IF(AQ$361&gt;='2.2 Input_General_Information'!$H$20,AQ366/AQ$368,)</f>
        <v>1</v>
      </c>
      <c r="AR372" s="416">
        <f ca="1">IF(AR$361&gt;='2.2 Input_General_Information'!$H$20,AR366/AR$368,)</f>
        <v>1</v>
      </c>
      <c r="AS372" s="416">
        <f ca="1">IF(AS$361&gt;='2.2 Input_General_Information'!$H$20,AS366/AS$368,)</f>
        <v>1</v>
      </c>
      <c r="AT372" s="416">
        <f ca="1">IF(AT$361&gt;='2.2 Input_General_Information'!$H$20,AT366/AT$368,)</f>
        <v>1</v>
      </c>
      <c r="AU372" s="416">
        <f ca="1">IF(AU$361&gt;='2.2 Input_General_Information'!$H$20,AU366/AU$368,)</f>
        <v>1</v>
      </c>
      <c r="AV372" s="416">
        <f ca="1">IF(AV$361&gt;='2.2 Input_General_Information'!$H$20,AV366/AV$368,)</f>
        <v>1</v>
      </c>
      <c r="AW372" s="416">
        <f ca="1">IF(AW$361&gt;='2.2 Input_General_Information'!$H$20,AW366/AW$368,)</f>
        <v>1</v>
      </c>
      <c r="AX372" s="416">
        <f ca="1">IF(AX$361&gt;='2.2 Input_General_Information'!$H$20,AX366/AX$368,)</f>
        <v>1</v>
      </c>
      <c r="AY372" s="416">
        <f ca="1">IF(AY$361&gt;='2.2 Input_General_Information'!$H$20,AY366/AY$368,)</f>
        <v>1</v>
      </c>
      <c r="AZ372" s="416">
        <f ca="1">IF(AZ$361&gt;='2.2 Input_General_Information'!$H$20,AZ366/AZ$368,)</f>
        <v>1</v>
      </c>
      <c r="BA372" s="416">
        <f ca="1">IF(BA$361&gt;='2.2 Input_General_Information'!$H$20,BA366/BA$368,)</f>
        <v>1</v>
      </c>
      <c r="BB372" s="416">
        <f ca="1">IF(BB$361&gt;='2.2 Input_General_Information'!$H$20,BB366/BB$368,)</f>
        <v>1</v>
      </c>
      <c r="BC372" s="416">
        <f ca="1">IF(BC$361&gt;='2.2 Input_General_Information'!$H$20,BC366/BC$368,)</f>
        <v>1</v>
      </c>
      <c r="BD372" s="416">
        <f ca="1">IF(BD$361&gt;='2.2 Input_General_Information'!$H$20,BD366/BD$368,)</f>
        <v>1</v>
      </c>
      <c r="BE372" s="416">
        <f ca="1">IF(BE$361&gt;='2.2 Input_General_Information'!$H$20,BE366/BE$368,)</f>
        <v>1</v>
      </c>
      <c r="BF372" s="416">
        <f ca="1">IF(BF$361&gt;='2.2 Input_General_Information'!$H$20,BF366/BF$368,)</f>
        <v>1</v>
      </c>
      <c r="BG372" s="416">
        <f ca="1">IF(BG$361&gt;='2.2 Input_General_Information'!$H$20,BG366/BG$368,)</f>
        <v>1</v>
      </c>
      <c r="BH372" s="416">
        <f ca="1">IF(BH$361&gt;='2.2 Input_General_Information'!$H$20,BH366/BH$368,)</f>
        <v>1</v>
      </c>
      <c r="BI372" s="416">
        <f ca="1">IF(BI$361&gt;='2.2 Input_General_Information'!$H$20,BI366/BI$368,)</f>
        <v>1</v>
      </c>
      <c r="BJ372" s="416">
        <f ca="1">IF(BJ$361&gt;='2.2 Input_General_Information'!$H$20,BJ366/BJ$368,)</f>
        <v>1</v>
      </c>
      <c r="BK372" s="416">
        <f ca="1">IF(BK$361&gt;='2.2 Input_General_Information'!$H$20,BK366/BK$368,)</f>
        <v>1</v>
      </c>
      <c r="BL372" s="99"/>
      <c r="BM372" s="99"/>
      <c r="BN372" s="99"/>
      <c r="BO372" s="99"/>
      <c r="BP372" s="99"/>
      <c r="BQ372" s="99"/>
      <c r="BR372" s="99"/>
      <c r="BS372" s="99"/>
      <c r="BT372" s="99"/>
      <c r="BU372" s="99"/>
    </row>
    <row r="373" spans="1:73" ht="17.25" hidden="1" customHeight="1">
      <c r="A373" s="6"/>
      <c r="B373" s="108"/>
      <c r="C373" s="1"/>
      <c r="D373" s="12"/>
      <c r="E373" s="1"/>
      <c r="F373" s="1"/>
      <c r="G373" s="3"/>
      <c r="H373" s="3"/>
      <c r="I373" s="3"/>
      <c r="J373" s="3"/>
      <c r="K373" s="3"/>
      <c r="L373" s="3"/>
      <c r="M373" s="3"/>
      <c r="N373" s="3"/>
      <c r="O373" s="1"/>
      <c r="P373" s="1"/>
      <c r="Q373" s="1"/>
      <c r="R373" s="162"/>
      <c r="S373" s="1"/>
      <c r="T373" s="103"/>
      <c r="U373" s="103"/>
      <c r="V373" s="103"/>
      <c r="W373" s="416"/>
      <c r="X373" s="416"/>
      <c r="Y373" s="416"/>
      <c r="Z373" s="416"/>
      <c r="AA373" s="416"/>
      <c r="AB373" s="416"/>
      <c r="AC373" s="416"/>
      <c r="AD373" s="416"/>
      <c r="AE373" s="416"/>
      <c r="AF373" s="416"/>
      <c r="AG373" s="416"/>
      <c r="AH373" s="416"/>
      <c r="AI373" s="416"/>
      <c r="AJ373" s="416"/>
      <c r="AK373" s="416"/>
      <c r="AL373" s="416"/>
      <c r="AM373" s="416"/>
      <c r="AN373" s="416"/>
      <c r="AO373" s="416"/>
      <c r="AP373" s="416"/>
      <c r="AQ373" s="416"/>
      <c r="AR373" s="416"/>
      <c r="AS373" s="416"/>
      <c r="AT373" s="416"/>
      <c r="AU373" s="416"/>
      <c r="AV373" s="416"/>
      <c r="AW373" s="416"/>
      <c r="AX373" s="416"/>
      <c r="AY373" s="416"/>
      <c r="AZ373" s="416"/>
      <c r="BA373" s="416"/>
      <c r="BB373" s="416"/>
      <c r="BC373" s="416"/>
      <c r="BD373" s="416"/>
      <c r="BE373" s="416"/>
      <c r="BF373" s="416"/>
      <c r="BG373" s="416"/>
      <c r="BH373" s="416"/>
      <c r="BI373" s="416"/>
      <c r="BJ373" s="416"/>
      <c r="BK373" s="416"/>
      <c r="BL373" s="349"/>
      <c r="BM373" s="349"/>
      <c r="BN373" s="349"/>
      <c r="BO373" s="349"/>
      <c r="BP373" s="349"/>
      <c r="BQ373" s="349"/>
      <c r="BR373" s="349"/>
      <c r="BS373" s="349"/>
      <c r="BT373" s="349"/>
      <c r="BU373" s="349"/>
    </row>
    <row r="374" spans="1:73" ht="17.25" hidden="1" customHeight="1">
      <c r="A374" s="6"/>
      <c r="B374" s="108"/>
      <c r="C374" s="1"/>
      <c r="D374" s="12"/>
      <c r="E374" s="1"/>
      <c r="F374" s="1"/>
      <c r="G374" s="3"/>
      <c r="H374" s="3"/>
      <c r="I374" s="3"/>
      <c r="J374" s="3"/>
      <c r="K374" s="3"/>
      <c r="L374" s="3"/>
      <c r="M374" s="3"/>
      <c r="N374" s="3"/>
      <c r="O374" s="1"/>
      <c r="P374" s="1"/>
      <c r="Q374" s="1"/>
      <c r="R374" s="162"/>
      <c r="S374" s="1"/>
      <c r="T374" s="103"/>
      <c r="U374" s="101" t="s">
        <v>449</v>
      </c>
      <c r="V374" s="103" t="str">
        <f t="shared" ref="V374:V377" si="66">E355</f>
        <v>No metadata</v>
      </c>
      <c r="W374" s="416">
        <f ca="1">IF(W$361&lt;'2.2 Input_General_Information'!$H$20, ,IF(W$361='2.2 Input_General_Information'!$H$20,$H$355,IFERROR(V374/V369*W369,0)))</f>
        <v>0</v>
      </c>
      <c r="X374" s="416">
        <f ca="1">IF(X$361&lt;'2.2 Input_General_Information'!$H$20, ,IF(X$361='2.2 Input_General_Information'!$H$20,$H$355,IFERROR(W374/W369*X369,0)))</f>
        <v>0</v>
      </c>
      <c r="Y374" s="416">
        <f ca="1">IF(Y$361&lt;'2.2 Input_General_Information'!$H$20, ,IF(Y$361='2.2 Input_General_Information'!$H$20,$H$355,IFERROR(X374/X369*Y369,0)))</f>
        <v>0</v>
      </c>
      <c r="Z374" s="416">
        <f ca="1">IF(Z$361&lt;'2.2 Input_General_Information'!$H$20, ,IF(Z$361='2.2 Input_General_Information'!$H$20,$H$355,IFERROR(Y374/Y369*Z369,0)))</f>
        <v>0</v>
      </c>
      <c r="AA374" s="416">
        <f ca="1">IF(AA$361&lt;'2.2 Input_General_Information'!$H$20, ,IF(AA$361='2.2 Input_General_Information'!$H$20,$H$355,IFERROR(Z374/Z369*AA369,0)))</f>
        <v>0</v>
      </c>
      <c r="AB374" s="416">
        <f ca="1">IF(AB$361&lt;'2.2 Input_General_Information'!$H$20, ,IF(AB$361='2.2 Input_General_Information'!$H$20,$H$355,IFERROR(AA374/AA369*AB369,0)))</f>
        <v>0</v>
      </c>
      <c r="AC374" s="416">
        <f ca="1">IF(AC$361&lt;'2.2 Input_General_Information'!$H$20, ,IF(AC$361='2.2 Input_General_Information'!$H$20,$H$355,IFERROR(AB374/AB369*AC369,0)))</f>
        <v>0</v>
      </c>
      <c r="AD374" s="416">
        <f ca="1">IF(AD$361&lt;'2.2 Input_General_Information'!$H$20, ,IF(AD$361='2.2 Input_General_Information'!$H$20,$H$355,IFERROR(AC374/AC369*AD369,0)))</f>
        <v>0</v>
      </c>
      <c r="AE374" s="416">
        <f ca="1">IF(AE$361&lt;'2.2 Input_General_Information'!$H$20, ,IF(AE$361='2.2 Input_General_Information'!$H$20,$H$355,IFERROR(AD374/AD369*AE369,0)))</f>
        <v>0</v>
      </c>
      <c r="AF374" s="416">
        <f ca="1">IF(AF$361&lt;'2.2 Input_General_Information'!$H$20, ,IF(AF$361='2.2 Input_General_Information'!$H$20,$H$355,IFERROR(AE374/AE369*AF369,0)))</f>
        <v>0</v>
      </c>
      <c r="AG374" s="416">
        <f ca="1">IF(AG$361&lt;'2.2 Input_General_Information'!$H$20, ,IF(AG$361='2.2 Input_General_Information'!$H$20,$H$355,IFERROR(AF374/AF369*AG369,0)))</f>
        <v>0</v>
      </c>
      <c r="AH374" s="416">
        <f ca="1">IF(AH$361&lt;'2.2 Input_General_Information'!$H$20, ,IF(AH$361='2.2 Input_General_Information'!$H$20,$H$355,IFERROR(AG374/AG369*AH369,0)))</f>
        <v>0</v>
      </c>
      <c r="AI374" s="416">
        <f ca="1">IF(AI$361&lt;'2.2 Input_General_Information'!$H$20, ,IF(AI$361='2.2 Input_General_Information'!$H$20,$H$355,IFERROR(AH374/AH369*AI369,0)))</f>
        <v>0</v>
      </c>
      <c r="AJ374" s="416">
        <f ca="1">IF(AJ$361&lt;'2.2 Input_General_Information'!$H$20, ,IF(AJ$361='2.2 Input_General_Information'!$H$20,$H$355,IFERROR(AI374/AI369*AJ369,0)))</f>
        <v>0</v>
      </c>
      <c r="AK374" s="416">
        <f ca="1">IF(AK$361&lt;'2.2 Input_General_Information'!$H$20, ,IF(AK$361='2.2 Input_General_Information'!$H$20,$H$355,IFERROR(AJ374/AJ369*AK369,0)))</f>
        <v>0</v>
      </c>
      <c r="AL374" s="416">
        <f ca="1">IF(AL$361&lt;'2.2 Input_General_Information'!$H$20, ,IF(AL$361='2.2 Input_General_Information'!$H$20,$H$355,IFERROR(AK374/AK369*AL369,0)))</f>
        <v>0</v>
      </c>
      <c r="AM374" s="416">
        <f ca="1">IF(AM$361&lt;'2.2 Input_General_Information'!$H$20, ,IF(AM$361='2.2 Input_General_Information'!$H$20,$H$355,IFERROR(AL374/AL369*AM369,0)))</f>
        <v>0</v>
      </c>
      <c r="AN374" s="416">
        <f ca="1">IF(AN$361&lt;'2.2 Input_General_Information'!$H$20, ,IF(AN$361='2.2 Input_General_Information'!$H$20,$H$355,IFERROR(AM374/AM369*AN369,0)))</f>
        <v>0</v>
      </c>
      <c r="AO374" s="416">
        <f ca="1">IF(AO$361&lt;'2.2 Input_General_Information'!$H$20, ,IF(AO$361='2.2 Input_General_Information'!$H$20,$H$355,IFERROR(AN374/AN369*AO369,0)))</f>
        <v>0</v>
      </c>
      <c r="AP374" s="416">
        <f ca="1">IF(AP$361&lt;'2.2 Input_General_Information'!$H$20, ,IF(AP$361='2.2 Input_General_Information'!$H$20,$H$355,IFERROR(AO374/AO369*AP369,0)))</f>
        <v>0</v>
      </c>
      <c r="AQ374" s="416">
        <f ca="1">IF(AQ$361&lt;'2.2 Input_General_Information'!$H$20, ,IF(AQ$361='2.2 Input_General_Information'!$H$20,$H$355,IFERROR(AP374/AP369*AQ369,0)))</f>
        <v>0</v>
      </c>
      <c r="AR374" s="416">
        <f ca="1">IF(AR$361&lt;'2.2 Input_General_Information'!$H$20, ,IF(AR$361='2.2 Input_General_Information'!$H$20,$H$355,IFERROR(AQ374/AQ369*AR369,0)))</f>
        <v>0</v>
      </c>
      <c r="AS374" s="416">
        <f ca="1">IF(AS$361&lt;'2.2 Input_General_Information'!$H$20, ,IF(AS$361='2.2 Input_General_Information'!$H$20,$H$355,IFERROR(AR374/AR369*AS369,0)))</f>
        <v>0</v>
      </c>
      <c r="AT374" s="416">
        <f ca="1">IF(AT$361&lt;'2.2 Input_General_Information'!$H$20, ,IF(AT$361='2.2 Input_General_Information'!$H$20,$H$355,IFERROR(AS374/AS369*AT369,0)))</f>
        <v>0</v>
      </c>
      <c r="AU374" s="416">
        <f ca="1">IF(AU$361&lt;'2.2 Input_General_Information'!$H$20, ,IF(AU$361='2.2 Input_General_Information'!$H$20,$H$355,IFERROR(AT374/AT369*AU369,0)))</f>
        <v>0</v>
      </c>
      <c r="AV374" s="416">
        <f ca="1">IF(AV$361&lt;'2.2 Input_General_Information'!$H$20, ,IF(AV$361='2.2 Input_General_Information'!$H$20,$H$355,IFERROR(AU374/AU369*AV369,0)))</f>
        <v>0</v>
      </c>
      <c r="AW374" s="416">
        <f ca="1">IF(AW$361&lt;'2.2 Input_General_Information'!$H$20, ,IF(AW$361='2.2 Input_General_Information'!$H$20,$H$355,IFERROR(AV374/AV369*AW369,0)))</f>
        <v>0</v>
      </c>
      <c r="AX374" s="416">
        <f ca="1">IF(AX$361&lt;'2.2 Input_General_Information'!$H$20, ,IF(AX$361='2.2 Input_General_Information'!$H$20,$H$355,IFERROR(AW374/AW369*AX369,0)))</f>
        <v>0</v>
      </c>
      <c r="AY374" s="416">
        <f ca="1">IF(AY$361&lt;'2.2 Input_General_Information'!$H$20, ,IF(AY$361='2.2 Input_General_Information'!$H$20,$H$355,IFERROR(AX374/AX369*AY369,0)))</f>
        <v>0</v>
      </c>
      <c r="AZ374" s="416">
        <f ca="1">IF(AZ$361&lt;'2.2 Input_General_Information'!$H$20, ,IF(AZ$361='2.2 Input_General_Information'!$H$20,$H$355,IFERROR(AY374/AY369*AZ369,0)))</f>
        <v>0</v>
      </c>
      <c r="BA374" s="416">
        <f ca="1">IF(BA$361&lt;'2.2 Input_General_Information'!$H$20, ,IF(BA$361='2.2 Input_General_Information'!$H$20,$H$355,IFERROR(AZ374/AZ369*BA369,0)))</f>
        <v>0</v>
      </c>
      <c r="BB374" s="416">
        <f ca="1">IF(BB$361&lt;'2.2 Input_General_Information'!$H$20, ,IF(BB$361='2.2 Input_General_Information'!$H$20,$H$355,IFERROR(BA374/BA369*BB369,0)))</f>
        <v>0</v>
      </c>
      <c r="BC374" s="416">
        <f ca="1">IF(BC$361&lt;'2.2 Input_General_Information'!$H$20, ,IF(BC$361='2.2 Input_General_Information'!$H$20,$H$355,IFERROR(BB374/BB369*BC369,0)))</f>
        <v>0</v>
      </c>
      <c r="BD374" s="416">
        <f ca="1">IF(BD$361&lt;'2.2 Input_General_Information'!$H$20, ,IF(BD$361='2.2 Input_General_Information'!$H$20,$H$355,IFERROR(BC374/BC369*BD369,0)))</f>
        <v>0</v>
      </c>
      <c r="BE374" s="416">
        <f ca="1">IF(BE$361&lt;'2.2 Input_General_Information'!$H$20, ,IF(BE$361='2.2 Input_General_Information'!$H$20,$H$355,IFERROR(BD374/BD369*BE369,0)))</f>
        <v>0</v>
      </c>
      <c r="BF374" s="416">
        <f ca="1">IF(BF$361&lt;'2.2 Input_General_Information'!$H$20, ,IF(BF$361='2.2 Input_General_Information'!$H$20,$H$355,IFERROR(BE374/BE369*BF369,0)))</f>
        <v>0</v>
      </c>
      <c r="BG374" s="416">
        <f ca="1">IF(BG$361&lt;'2.2 Input_General_Information'!$H$20, ,IF(BG$361='2.2 Input_General_Information'!$H$20,$H$355,IFERROR(BF374/BF369*BG369,0)))</f>
        <v>0</v>
      </c>
      <c r="BH374" s="416">
        <f ca="1">IF(BH$361&lt;'2.2 Input_General_Information'!$H$20, ,IF(BH$361='2.2 Input_General_Information'!$H$20,$H$355,IFERROR(BG374/BG369*BH369,0)))</f>
        <v>0</v>
      </c>
      <c r="BI374" s="416">
        <f ca="1">IF(BI$361&lt;'2.2 Input_General_Information'!$H$20, ,IF(BI$361='2.2 Input_General_Information'!$H$20,$H$355,IFERROR(BH374/BH369*BI369,0)))</f>
        <v>0</v>
      </c>
      <c r="BJ374" s="416">
        <f ca="1">IF(BJ$361&lt;'2.2 Input_General_Information'!$H$20, ,IF(BJ$361='2.2 Input_General_Information'!$H$20,$H$355,IFERROR(BI374/BI369*BJ369,0)))</f>
        <v>0</v>
      </c>
      <c r="BK374" s="416">
        <f ca="1">IF(BK$361&lt;'2.2 Input_General_Information'!$H$20, ,IF(BK$361='2.2 Input_General_Information'!$H$20,$H$355,IFERROR(BJ374/BJ369*BK369,0)))</f>
        <v>0</v>
      </c>
      <c r="BL374" s="349"/>
      <c r="BM374" s="349"/>
      <c r="BN374" s="349"/>
      <c r="BO374" s="349"/>
      <c r="BP374" s="349"/>
      <c r="BQ374" s="349"/>
      <c r="BR374" s="349"/>
      <c r="BS374" s="349"/>
      <c r="BT374" s="349"/>
      <c r="BU374" s="349"/>
    </row>
    <row r="375" spans="1:73" ht="17.25" hidden="1" customHeight="1">
      <c r="A375" s="6"/>
      <c r="B375" s="108"/>
      <c r="C375" s="1"/>
      <c r="D375" s="12"/>
      <c r="E375" s="1"/>
      <c r="F375" s="1"/>
      <c r="G375" s="3"/>
      <c r="H375" s="3"/>
      <c r="I375" s="3"/>
      <c r="J375" s="3"/>
      <c r="K375" s="3"/>
      <c r="L375" s="3"/>
      <c r="M375" s="3"/>
      <c r="N375" s="3"/>
      <c r="O375" s="1"/>
      <c r="P375" s="1"/>
      <c r="Q375" s="1"/>
      <c r="R375" s="162"/>
      <c r="S375" s="1"/>
      <c r="T375" s="103"/>
      <c r="U375" s="101" t="s">
        <v>449</v>
      </c>
      <c r="V375" s="103" t="str">
        <f t="shared" si="66"/>
        <v>No metadata standards</v>
      </c>
      <c r="W375" s="416">
        <f ca="1">IF(W$361&lt;'2.2 Input_General_Information'!$H$20, ,IF(W$361='2.2 Input_General_Information'!$H$20,$H$356,IFERROR(V375/V370*W370,0)))</f>
        <v>0.21894736842105267</v>
      </c>
      <c r="X375" s="416">
        <f ca="1">IF(X$361&lt;'2.2 Input_General_Information'!$H$20, ,IF(X$361='2.2 Input_General_Information'!$H$20,$H$356,IFERROR(W375/W370*X370,0)))</f>
        <v>0.12449905541624591</v>
      </c>
      <c r="Y375" s="416">
        <f ca="1">IF(Y$361&lt;'2.2 Input_General_Information'!$H$20, ,IF(Y$361='2.2 Input_General_Information'!$H$20,$H$356,IFERROR(X375/X370*Y370,0)))</f>
        <v>9.3965515927265878E-3</v>
      </c>
      <c r="Z375" s="416">
        <f ca="1">IF(Z$361&lt;'2.2 Input_General_Information'!$H$20, ,IF(Z$361='2.2 Input_General_Information'!$H$20,$H$356,IFERROR(Y375/Y370*Z370,0)))</f>
        <v>2.1895428300312272E-5</v>
      </c>
      <c r="AA375" s="416">
        <f ca="1">IF(AA$361&lt;'2.2 Input_General_Information'!$H$20, ,IF(AA$361='2.2 Input_General_Information'!$H$20,$H$356,IFERROR(Z375/Z370*AA370,0)))</f>
        <v>0</v>
      </c>
      <c r="AB375" s="416">
        <f ca="1">IF(AB$361&lt;'2.2 Input_General_Information'!$H$20, ,IF(AB$361='2.2 Input_General_Information'!$H$20,$H$356,IFERROR(AA375/AA370*AB370,0)))</f>
        <v>0</v>
      </c>
      <c r="AC375" s="416">
        <f ca="1">IF(AC$361&lt;'2.2 Input_General_Information'!$H$20, ,IF(AC$361='2.2 Input_General_Information'!$H$20,$H$356,IFERROR(AB375/AB370*AC370,0)))</f>
        <v>0</v>
      </c>
      <c r="AD375" s="416">
        <f ca="1">IF(AD$361&lt;'2.2 Input_General_Information'!$H$20, ,IF(AD$361='2.2 Input_General_Information'!$H$20,$H$356,IFERROR(AC375/AC370*AD370,0)))</f>
        <v>0</v>
      </c>
      <c r="AE375" s="416">
        <f ca="1">IF(AE$361&lt;'2.2 Input_General_Information'!$H$20, ,IF(AE$361='2.2 Input_General_Information'!$H$20,$H$356,IFERROR(AD375/AD370*AE370,0)))</f>
        <v>0</v>
      </c>
      <c r="AF375" s="416">
        <f ca="1">IF(AF$361&lt;'2.2 Input_General_Information'!$H$20, ,IF(AF$361='2.2 Input_General_Information'!$H$20,$H$356,IFERROR(AE375/AE370*AF370,0)))</f>
        <v>0</v>
      </c>
      <c r="AG375" s="416">
        <f ca="1">IF(AG$361&lt;'2.2 Input_General_Information'!$H$20, ,IF(AG$361='2.2 Input_General_Information'!$H$20,$H$356,IFERROR(AF375/AF370*AG370,0)))</f>
        <v>0</v>
      </c>
      <c r="AH375" s="416">
        <f ca="1">IF(AH$361&lt;'2.2 Input_General_Information'!$H$20, ,IF(AH$361='2.2 Input_General_Information'!$H$20,$H$356,IFERROR(AG375/AG370*AH370,0)))</f>
        <v>0</v>
      </c>
      <c r="AI375" s="416">
        <f ca="1">IF(AI$361&lt;'2.2 Input_General_Information'!$H$20, ,IF(AI$361='2.2 Input_General_Information'!$H$20,$H$356,IFERROR(AH375/AH370*AI370,0)))</f>
        <v>0</v>
      </c>
      <c r="AJ375" s="416">
        <f ca="1">IF(AJ$361&lt;'2.2 Input_General_Information'!$H$20, ,IF(AJ$361='2.2 Input_General_Information'!$H$20,$H$356,IFERROR(AI375/AI370*AJ370,0)))</f>
        <v>0</v>
      </c>
      <c r="AK375" s="416">
        <f ca="1">IF(AK$361&lt;'2.2 Input_General_Information'!$H$20, ,IF(AK$361='2.2 Input_General_Information'!$H$20,$H$356,IFERROR(AJ375/AJ370*AK370,0)))</f>
        <v>0</v>
      </c>
      <c r="AL375" s="416">
        <f ca="1">IF(AL$361&lt;'2.2 Input_General_Information'!$H$20, ,IF(AL$361='2.2 Input_General_Information'!$H$20,$H$356,IFERROR(AK375/AK370*AL370,0)))</f>
        <v>0</v>
      </c>
      <c r="AM375" s="416">
        <f ca="1">IF(AM$361&lt;'2.2 Input_General_Information'!$H$20, ,IF(AM$361='2.2 Input_General_Information'!$H$20,$H$356,IFERROR(AL375/AL370*AM370,0)))</f>
        <v>0</v>
      </c>
      <c r="AN375" s="416">
        <f ca="1">IF(AN$361&lt;'2.2 Input_General_Information'!$H$20, ,IF(AN$361='2.2 Input_General_Information'!$H$20,$H$356,IFERROR(AM375/AM370*AN370,0)))</f>
        <v>0</v>
      </c>
      <c r="AO375" s="416">
        <f ca="1">IF(AO$361&lt;'2.2 Input_General_Information'!$H$20, ,IF(AO$361='2.2 Input_General_Information'!$H$20,$H$356,IFERROR(AN375/AN370*AO370,0)))</f>
        <v>0</v>
      </c>
      <c r="AP375" s="416">
        <f ca="1">IF(AP$361&lt;'2.2 Input_General_Information'!$H$20, ,IF(AP$361='2.2 Input_General_Information'!$H$20,$H$356,IFERROR(AO375/AO370*AP370,0)))</f>
        <v>0</v>
      </c>
      <c r="AQ375" s="416">
        <f ca="1">IF(AQ$361&lt;'2.2 Input_General_Information'!$H$20, ,IF(AQ$361='2.2 Input_General_Information'!$H$20,$H$356,IFERROR(AP375/AP370*AQ370,0)))</f>
        <v>0</v>
      </c>
      <c r="AR375" s="416">
        <f ca="1">IF(AR$361&lt;'2.2 Input_General_Information'!$H$20, ,IF(AR$361='2.2 Input_General_Information'!$H$20,$H$356,IFERROR(AQ375/AQ370*AR370,0)))</f>
        <v>0</v>
      </c>
      <c r="AS375" s="416">
        <f ca="1">IF(AS$361&lt;'2.2 Input_General_Information'!$H$20, ,IF(AS$361='2.2 Input_General_Information'!$H$20,$H$356,IFERROR(AR375/AR370*AS370,0)))</f>
        <v>0</v>
      </c>
      <c r="AT375" s="416">
        <f ca="1">IF(AT$361&lt;'2.2 Input_General_Information'!$H$20, ,IF(AT$361='2.2 Input_General_Information'!$H$20,$H$356,IFERROR(AS375/AS370*AT370,0)))</f>
        <v>0</v>
      </c>
      <c r="AU375" s="416">
        <f ca="1">IF(AU$361&lt;'2.2 Input_General_Information'!$H$20, ,IF(AU$361='2.2 Input_General_Information'!$H$20,$H$356,IFERROR(AT375/AT370*AU370,0)))</f>
        <v>0</v>
      </c>
      <c r="AV375" s="416">
        <f ca="1">IF(AV$361&lt;'2.2 Input_General_Information'!$H$20, ,IF(AV$361='2.2 Input_General_Information'!$H$20,$H$356,IFERROR(AU375/AU370*AV370,0)))</f>
        <v>0</v>
      </c>
      <c r="AW375" s="416">
        <f ca="1">IF(AW$361&lt;'2.2 Input_General_Information'!$H$20, ,IF(AW$361='2.2 Input_General_Information'!$H$20,$H$356,IFERROR(AV375/AV370*AW370,0)))</f>
        <v>0</v>
      </c>
      <c r="AX375" s="416">
        <f ca="1">IF(AX$361&lt;'2.2 Input_General_Information'!$H$20, ,IF(AX$361='2.2 Input_General_Information'!$H$20,$H$356,IFERROR(AW375/AW370*AX370,0)))</f>
        <v>0</v>
      </c>
      <c r="AY375" s="416">
        <f ca="1">IF(AY$361&lt;'2.2 Input_General_Information'!$H$20, ,IF(AY$361='2.2 Input_General_Information'!$H$20,$H$356,IFERROR(AX375/AX370*AY370,0)))</f>
        <v>0</v>
      </c>
      <c r="AZ375" s="416">
        <f ca="1">IF(AZ$361&lt;'2.2 Input_General_Information'!$H$20, ,IF(AZ$361='2.2 Input_General_Information'!$H$20,$H$356,IFERROR(AY375/AY370*AZ370,0)))</f>
        <v>0</v>
      </c>
      <c r="BA375" s="416">
        <f ca="1">IF(BA$361&lt;'2.2 Input_General_Information'!$H$20, ,IF(BA$361='2.2 Input_General_Information'!$H$20,$H$356,IFERROR(AZ375/AZ370*BA370,0)))</f>
        <v>0</v>
      </c>
      <c r="BB375" s="416">
        <f ca="1">IF(BB$361&lt;'2.2 Input_General_Information'!$H$20, ,IF(BB$361='2.2 Input_General_Information'!$H$20,$H$356,IFERROR(BA375/BA370*BB370,0)))</f>
        <v>0</v>
      </c>
      <c r="BC375" s="416">
        <f ca="1">IF(BC$361&lt;'2.2 Input_General_Information'!$H$20, ,IF(BC$361='2.2 Input_General_Information'!$H$20,$H$356,IFERROR(BB375/BB370*BC370,0)))</f>
        <v>0</v>
      </c>
      <c r="BD375" s="416">
        <f ca="1">IF(BD$361&lt;'2.2 Input_General_Information'!$H$20, ,IF(BD$361='2.2 Input_General_Information'!$H$20,$H$356,IFERROR(BC375/BC370*BD370,0)))</f>
        <v>0</v>
      </c>
      <c r="BE375" s="416">
        <f ca="1">IF(BE$361&lt;'2.2 Input_General_Information'!$H$20, ,IF(BE$361='2.2 Input_General_Information'!$H$20,$H$356,IFERROR(BD375/BD370*BE370,0)))</f>
        <v>0</v>
      </c>
      <c r="BF375" s="416">
        <f ca="1">IF(BF$361&lt;'2.2 Input_General_Information'!$H$20, ,IF(BF$361='2.2 Input_General_Information'!$H$20,$H$356,IFERROR(BE375/BE370*BF370,0)))</f>
        <v>0</v>
      </c>
      <c r="BG375" s="416">
        <f ca="1">IF(BG$361&lt;'2.2 Input_General_Information'!$H$20, ,IF(BG$361='2.2 Input_General_Information'!$H$20,$H$356,IFERROR(BF375/BF370*BG370,0)))</f>
        <v>0</v>
      </c>
      <c r="BH375" s="416">
        <f ca="1">IF(BH$361&lt;'2.2 Input_General_Information'!$H$20, ,IF(BH$361='2.2 Input_General_Information'!$H$20,$H$356,IFERROR(BG375/BG370*BH370,0)))</f>
        <v>0</v>
      </c>
      <c r="BI375" s="416">
        <f ca="1">IF(BI$361&lt;'2.2 Input_General_Information'!$H$20, ,IF(BI$361='2.2 Input_General_Information'!$H$20,$H$356,IFERROR(BH375/BH370*BI370,0)))</f>
        <v>0</v>
      </c>
      <c r="BJ375" s="416">
        <f ca="1">IF(BJ$361&lt;'2.2 Input_General_Information'!$H$20, ,IF(BJ$361='2.2 Input_General_Information'!$H$20,$H$356,IFERROR(BI375/BI370*BJ370,0)))</f>
        <v>0</v>
      </c>
      <c r="BK375" s="416">
        <f ca="1">IF(BK$361&lt;'2.2 Input_General_Information'!$H$20, ,IF(BK$361='2.2 Input_General_Information'!$H$20,$H$356,IFERROR(BJ375/BJ370*BK370,0)))</f>
        <v>0</v>
      </c>
      <c r="BL375" s="349"/>
      <c r="BM375" s="349"/>
      <c r="BN375" s="349"/>
      <c r="BO375" s="349"/>
      <c r="BP375" s="349"/>
      <c r="BQ375" s="349"/>
      <c r="BR375" s="349"/>
      <c r="BS375" s="349"/>
      <c r="BT375" s="349"/>
      <c r="BU375" s="349"/>
    </row>
    <row r="376" spans="1:73" ht="17.25" hidden="1" customHeight="1">
      <c r="A376" s="6"/>
      <c r="B376" s="108"/>
      <c r="C376" s="1"/>
      <c r="D376" s="12"/>
      <c r="E376" s="1"/>
      <c r="F376" s="1"/>
      <c r="G376" s="3"/>
      <c r="H376" s="3"/>
      <c r="I376" s="3"/>
      <c r="J376" s="3"/>
      <c r="K376" s="3"/>
      <c r="L376" s="3"/>
      <c r="M376" s="3"/>
      <c r="N376" s="3"/>
      <c r="O376" s="1"/>
      <c r="P376" s="1"/>
      <c r="Q376" s="1"/>
      <c r="R376" s="162"/>
      <c r="S376" s="1"/>
      <c r="T376" s="103"/>
      <c r="U376" s="101" t="s">
        <v>449</v>
      </c>
      <c r="V376" s="103" t="str">
        <f t="shared" si="66"/>
        <v>Local metadata standards</v>
      </c>
      <c r="W376" s="416">
        <f ca="1">IF(W$361&lt;'2.2 Input_General_Information'!$H$20, ,IF(W$361='2.2 Input_General_Information'!$H$20,$H$357,IFERROR(V376/V371*W371,0)))</f>
        <v>0.27368421052631581</v>
      </c>
      <c r="X376" s="416">
        <f ca="1">IF(X$361&lt;'2.2 Input_General_Information'!$H$20, ,IF(X$361='2.2 Input_General_Information'!$H$20,$H$357,IFERROR(W376/W371*X371,0)))</f>
        <v>0.15562381927030738</v>
      </c>
      <c r="Y376" s="416">
        <f ca="1">IF(Y$361&lt;'2.2 Input_General_Information'!$H$20, ,IF(Y$361='2.2 Input_General_Information'!$H$20,$H$357,IFERROR(X376/X371*Y371,0)))</f>
        <v>1.1745689490908234E-2</v>
      </c>
      <c r="Z376" s="416">
        <f ca="1">IF(Z$361&lt;'2.2 Input_General_Information'!$H$20, ,IF(Z$361='2.2 Input_General_Information'!$H$20,$H$357,IFERROR(Y376/Y371*Z371,0)))</f>
        <v>2.736928537539034E-5</v>
      </c>
      <c r="AA376" s="416">
        <f ca="1">IF(AA$361&lt;'2.2 Input_General_Information'!$H$20, ,IF(AA$361='2.2 Input_General_Information'!$H$20,$H$357,IFERROR(Z376/Z371*AA371,0)))</f>
        <v>0</v>
      </c>
      <c r="AB376" s="416">
        <f ca="1">IF(AB$361&lt;'2.2 Input_General_Information'!$H$20, ,IF(AB$361='2.2 Input_General_Information'!$H$20,$H$357,IFERROR(AA376/AA371*AB371,0)))</f>
        <v>0</v>
      </c>
      <c r="AC376" s="416">
        <f ca="1">IF(AC$361&lt;'2.2 Input_General_Information'!$H$20, ,IF(AC$361='2.2 Input_General_Information'!$H$20,$H$357,IFERROR(AB376/AB371*AC371,0)))</f>
        <v>0</v>
      </c>
      <c r="AD376" s="416">
        <f ca="1">IF(AD$361&lt;'2.2 Input_General_Information'!$H$20, ,IF(AD$361='2.2 Input_General_Information'!$H$20,$H$357,IFERROR(AC376/AC371*AD371,0)))</f>
        <v>0</v>
      </c>
      <c r="AE376" s="416">
        <f ca="1">IF(AE$361&lt;'2.2 Input_General_Information'!$H$20, ,IF(AE$361='2.2 Input_General_Information'!$H$20,$H$357,IFERROR(AD376/AD371*AE371,0)))</f>
        <v>0</v>
      </c>
      <c r="AF376" s="416">
        <f ca="1">IF(AF$361&lt;'2.2 Input_General_Information'!$H$20, ,IF(AF$361='2.2 Input_General_Information'!$H$20,$H$357,IFERROR(AE376/AE371*AF371,0)))</f>
        <v>0</v>
      </c>
      <c r="AG376" s="416">
        <f ca="1">IF(AG$361&lt;'2.2 Input_General_Information'!$H$20, ,IF(AG$361='2.2 Input_General_Information'!$H$20,$H$357,IFERROR(AF376/AF371*AG371,0)))</f>
        <v>0</v>
      </c>
      <c r="AH376" s="416">
        <f ca="1">IF(AH$361&lt;'2.2 Input_General_Information'!$H$20, ,IF(AH$361='2.2 Input_General_Information'!$H$20,$H$357,IFERROR(AG376/AG371*AH371,0)))</f>
        <v>0</v>
      </c>
      <c r="AI376" s="416">
        <f ca="1">IF(AI$361&lt;'2.2 Input_General_Information'!$H$20, ,IF(AI$361='2.2 Input_General_Information'!$H$20,$H$357,IFERROR(AH376/AH371*AI371,0)))</f>
        <v>0</v>
      </c>
      <c r="AJ376" s="416">
        <f ca="1">IF(AJ$361&lt;'2.2 Input_General_Information'!$H$20, ,IF(AJ$361='2.2 Input_General_Information'!$H$20,$H$357,IFERROR(AI376/AI371*AJ371,0)))</f>
        <v>0</v>
      </c>
      <c r="AK376" s="416">
        <f ca="1">IF(AK$361&lt;'2.2 Input_General_Information'!$H$20, ,IF(AK$361='2.2 Input_General_Information'!$H$20,$H$357,IFERROR(AJ376/AJ371*AK371,0)))</f>
        <v>0</v>
      </c>
      <c r="AL376" s="416">
        <f ca="1">IF(AL$361&lt;'2.2 Input_General_Information'!$H$20, ,IF(AL$361='2.2 Input_General_Information'!$H$20,$H$357,IFERROR(AK376/AK371*AL371,0)))</f>
        <v>0</v>
      </c>
      <c r="AM376" s="416">
        <f ca="1">IF(AM$361&lt;'2.2 Input_General_Information'!$H$20, ,IF(AM$361='2.2 Input_General_Information'!$H$20,$H$357,IFERROR(AL376/AL371*AM371,0)))</f>
        <v>0</v>
      </c>
      <c r="AN376" s="416">
        <f ca="1">IF(AN$361&lt;'2.2 Input_General_Information'!$H$20, ,IF(AN$361='2.2 Input_General_Information'!$H$20,$H$357,IFERROR(AM376/AM371*AN371,0)))</f>
        <v>0</v>
      </c>
      <c r="AO376" s="416">
        <f ca="1">IF(AO$361&lt;'2.2 Input_General_Information'!$H$20, ,IF(AO$361='2.2 Input_General_Information'!$H$20,$H$357,IFERROR(AN376/AN371*AO371,0)))</f>
        <v>0</v>
      </c>
      <c r="AP376" s="416">
        <f ca="1">IF(AP$361&lt;'2.2 Input_General_Information'!$H$20, ,IF(AP$361='2.2 Input_General_Information'!$H$20,$H$357,IFERROR(AO376/AO371*AP371,0)))</f>
        <v>0</v>
      </c>
      <c r="AQ376" s="416">
        <f ca="1">IF(AQ$361&lt;'2.2 Input_General_Information'!$H$20, ,IF(AQ$361='2.2 Input_General_Information'!$H$20,$H$357,IFERROR(AP376/AP371*AQ371,0)))</f>
        <v>0</v>
      </c>
      <c r="AR376" s="416">
        <f ca="1">IF(AR$361&lt;'2.2 Input_General_Information'!$H$20, ,IF(AR$361='2.2 Input_General_Information'!$H$20,$H$357,IFERROR(AQ376/AQ371*AR371,0)))</f>
        <v>0</v>
      </c>
      <c r="AS376" s="416">
        <f ca="1">IF(AS$361&lt;'2.2 Input_General_Information'!$H$20, ,IF(AS$361='2.2 Input_General_Information'!$H$20,$H$357,IFERROR(AR376/AR371*AS371,0)))</f>
        <v>0</v>
      </c>
      <c r="AT376" s="416">
        <f ca="1">IF(AT$361&lt;'2.2 Input_General_Information'!$H$20, ,IF(AT$361='2.2 Input_General_Information'!$H$20,$H$357,IFERROR(AS376/AS371*AT371,0)))</f>
        <v>0</v>
      </c>
      <c r="AU376" s="416">
        <f ca="1">IF(AU$361&lt;'2.2 Input_General_Information'!$H$20, ,IF(AU$361='2.2 Input_General_Information'!$H$20,$H$357,IFERROR(AT376/AT371*AU371,0)))</f>
        <v>0</v>
      </c>
      <c r="AV376" s="416">
        <f ca="1">IF(AV$361&lt;'2.2 Input_General_Information'!$H$20, ,IF(AV$361='2.2 Input_General_Information'!$H$20,$H$357,IFERROR(AU376/AU371*AV371,0)))</f>
        <v>0</v>
      </c>
      <c r="AW376" s="416">
        <f ca="1">IF(AW$361&lt;'2.2 Input_General_Information'!$H$20, ,IF(AW$361='2.2 Input_General_Information'!$H$20,$H$357,IFERROR(AV376/AV371*AW371,0)))</f>
        <v>0</v>
      </c>
      <c r="AX376" s="416">
        <f ca="1">IF(AX$361&lt;'2.2 Input_General_Information'!$H$20, ,IF(AX$361='2.2 Input_General_Information'!$H$20,$H$357,IFERROR(AW376/AW371*AX371,0)))</f>
        <v>0</v>
      </c>
      <c r="AY376" s="416">
        <f ca="1">IF(AY$361&lt;'2.2 Input_General_Information'!$H$20, ,IF(AY$361='2.2 Input_General_Information'!$H$20,$H$357,IFERROR(AX376/AX371*AY371,0)))</f>
        <v>0</v>
      </c>
      <c r="AZ376" s="416">
        <f ca="1">IF(AZ$361&lt;'2.2 Input_General_Information'!$H$20, ,IF(AZ$361='2.2 Input_General_Information'!$H$20,$H$357,IFERROR(AY376/AY371*AZ371,0)))</f>
        <v>0</v>
      </c>
      <c r="BA376" s="416">
        <f ca="1">IF(BA$361&lt;'2.2 Input_General_Information'!$H$20, ,IF(BA$361='2.2 Input_General_Information'!$H$20,$H$357,IFERROR(AZ376/AZ371*BA371,0)))</f>
        <v>0</v>
      </c>
      <c r="BB376" s="416">
        <f ca="1">IF(BB$361&lt;'2.2 Input_General_Information'!$H$20, ,IF(BB$361='2.2 Input_General_Information'!$H$20,$H$357,IFERROR(BA376/BA371*BB371,0)))</f>
        <v>0</v>
      </c>
      <c r="BC376" s="416">
        <f ca="1">IF(BC$361&lt;'2.2 Input_General_Information'!$H$20, ,IF(BC$361='2.2 Input_General_Information'!$H$20,$H$357,IFERROR(BB376/BB371*BC371,0)))</f>
        <v>0</v>
      </c>
      <c r="BD376" s="416">
        <f ca="1">IF(BD$361&lt;'2.2 Input_General_Information'!$H$20, ,IF(BD$361='2.2 Input_General_Information'!$H$20,$H$357,IFERROR(BC376/BC371*BD371,0)))</f>
        <v>0</v>
      </c>
      <c r="BE376" s="416">
        <f ca="1">IF(BE$361&lt;'2.2 Input_General_Information'!$H$20, ,IF(BE$361='2.2 Input_General_Information'!$H$20,$H$357,IFERROR(BD376/BD371*BE371,0)))</f>
        <v>0</v>
      </c>
      <c r="BF376" s="416">
        <f ca="1">IF(BF$361&lt;'2.2 Input_General_Information'!$H$20, ,IF(BF$361='2.2 Input_General_Information'!$H$20,$H$357,IFERROR(BE376/BE371*BF371,0)))</f>
        <v>0</v>
      </c>
      <c r="BG376" s="416">
        <f ca="1">IF(BG$361&lt;'2.2 Input_General_Information'!$H$20, ,IF(BG$361='2.2 Input_General_Information'!$H$20,$H$357,IFERROR(BF376/BF371*BG371,0)))</f>
        <v>0</v>
      </c>
      <c r="BH376" s="416">
        <f ca="1">IF(BH$361&lt;'2.2 Input_General_Information'!$H$20, ,IF(BH$361='2.2 Input_General_Information'!$H$20,$H$357,IFERROR(BG376/BG371*BH371,0)))</f>
        <v>0</v>
      </c>
      <c r="BI376" s="416">
        <f ca="1">IF(BI$361&lt;'2.2 Input_General_Information'!$H$20, ,IF(BI$361='2.2 Input_General_Information'!$H$20,$H$357,IFERROR(BH376/BH371*BI371,0)))</f>
        <v>0</v>
      </c>
      <c r="BJ376" s="416">
        <f ca="1">IF(BJ$361&lt;'2.2 Input_General_Information'!$H$20, ,IF(BJ$361='2.2 Input_General_Information'!$H$20,$H$357,IFERROR(BI376/BI371*BJ371,0)))</f>
        <v>0</v>
      </c>
      <c r="BK376" s="416">
        <f ca="1">IF(BK$361&lt;'2.2 Input_General_Information'!$H$20, ,IF(BK$361='2.2 Input_General_Information'!$H$20,$H$357,IFERROR(BJ376/BJ371*BK371,0)))</f>
        <v>0</v>
      </c>
      <c r="BL376" s="349"/>
      <c r="BM376" s="349"/>
      <c r="BN376" s="349"/>
      <c r="BO376" s="349"/>
      <c r="BP376" s="349"/>
      <c r="BQ376" s="349"/>
      <c r="BR376" s="349"/>
      <c r="BS376" s="349"/>
      <c r="BT376" s="349"/>
      <c r="BU376" s="349"/>
    </row>
    <row r="377" spans="1:73" ht="17.25" hidden="1" customHeight="1">
      <c r="A377" s="6"/>
      <c r="B377" s="108"/>
      <c r="C377" s="1"/>
      <c r="D377" s="12"/>
      <c r="E377" s="1"/>
      <c r="F377" s="1"/>
      <c r="G377" s="3"/>
      <c r="H377" s="3"/>
      <c r="I377" s="3"/>
      <c r="J377" s="3"/>
      <c r="K377" s="3"/>
      <c r="L377" s="3"/>
      <c r="M377" s="3"/>
      <c r="N377" s="3"/>
      <c r="O377" s="1"/>
      <c r="P377" s="1"/>
      <c r="Q377" s="1"/>
      <c r="R377" s="162"/>
      <c r="S377" s="1"/>
      <c r="T377" s="103"/>
      <c r="U377" s="101" t="s">
        <v>449</v>
      </c>
      <c r="V377" s="103" t="str">
        <f t="shared" si="66"/>
        <v>Recognized metadata standards</v>
      </c>
      <c r="W377" s="416">
        <f ca="1">IF(W$361&lt;'2.2 Input_General_Information'!$H$20, ,IF(W$361='2.2 Input_General_Information'!$H$20,$H$358,IFERROR(V377/V372*W372,0)))</f>
        <v>0.20526315789473684</v>
      </c>
      <c r="X377" s="416">
        <f ca="1">IF(X$361&lt;'2.2 Input_General_Information'!$H$20, ,IF(X$361='2.2 Input_General_Information'!$H$20,$H$358,IFERROR(W377/W372*X372,0)))</f>
        <v>0.67745749876233829</v>
      </c>
      <c r="Y377" s="416">
        <f ca="1">IF(Y$361&lt;'2.2 Input_General_Information'!$H$20, ,IF(Y$361='2.2 Input_General_Information'!$H$20,$H$358,IFERROR(X377/X372*Y372,0)))</f>
        <v>1.2529124666281084</v>
      </c>
      <c r="Z377" s="416">
        <f ca="1">IF(Z$361&lt;'2.2 Input_General_Information'!$H$20, ,IF(Z$361='2.2 Input_General_Information'!$H$20,$H$358,IFERROR(Y377/Y372*Z372,0)))</f>
        <v>1.2997810601221647</v>
      </c>
      <c r="AA377" s="416">
        <f ca="1">IF(AA$361&lt;'2.2 Input_General_Information'!$H$20, ,IF(AA$361='2.2 Input_General_Information'!$H$20,$H$358,IFERROR(Z377/Z372*AA372,0)))</f>
        <v>1.2998905263159521</v>
      </c>
      <c r="AB377" s="416">
        <f ca="1">IF(AB$361&lt;'2.2 Input_General_Information'!$H$20, ,IF(AB$361='2.2 Input_General_Information'!$H$20,$H$358,IFERROR(AA377/AA372*AB372,0)))</f>
        <v>1.2998905263159521</v>
      </c>
      <c r="AC377" s="416">
        <f ca="1">IF(AC$361&lt;'2.2 Input_General_Information'!$H$20, ,IF(AC$361='2.2 Input_General_Information'!$H$20,$H$358,IFERROR(AB377/AB372*AC372,0)))</f>
        <v>1.2998905263159521</v>
      </c>
      <c r="AD377" s="416">
        <f ca="1">IF(AD$361&lt;'2.2 Input_General_Information'!$H$20, ,IF(AD$361='2.2 Input_General_Information'!$H$20,$H$358,IFERROR(AC377/AC372*AD372,0)))</f>
        <v>1.2998905263159521</v>
      </c>
      <c r="AE377" s="416">
        <f ca="1">IF(AE$361&lt;'2.2 Input_General_Information'!$H$20, ,IF(AE$361='2.2 Input_General_Information'!$H$20,$H$358,IFERROR(AD377/AD372*AE372,0)))</f>
        <v>1.2998905263159521</v>
      </c>
      <c r="AF377" s="416">
        <f ca="1">IF(AF$361&lt;'2.2 Input_General_Information'!$H$20, ,IF(AF$361='2.2 Input_General_Information'!$H$20,$H$358,IFERROR(AE377/AE372*AF372,0)))</f>
        <v>1.2998905263159521</v>
      </c>
      <c r="AG377" s="416">
        <f ca="1">IF(AG$361&lt;'2.2 Input_General_Information'!$H$20, ,IF(AG$361='2.2 Input_General_Information'!$H$20,$H$358,IFERROR(AF377/AF372*AG372,0)))</f>
        <v>1.2998905263159521</v>
      </c>
      <c r="AH377" s="416">
        <f ca="1">IF(AH$361&lt;'2.2 Input_General_Information'!$H$20, ,IF(AH$361='2.2 Input_General_Information'!$H$20,$H$358,IFERROR(AG377/AG372*AH372,0)))</f>
        <v>1.2998905263159521</v>
      </c>
      <c r="AI377" s="416">
        <f ca="1">IF(AI$361&lt;'2.2 Input_General_Information'!$H$20, ,IF(AI$361='2.2 Input_General_Information'!$H$20,$H$358,IFERROR(AH377/AH372*AI372,0)))</f>
        <v>1.2998905263159521</v>
      </c>
      <c r="AJ377" s="416">
        <f ca="1">IF(AJ$361&lt;'2.2 Input_General_Information'!$H$20, ,IF(AJ$361='2.2 Input_General_Information'!$H$20,$H$358,IFERROR(AI377/AI372*AJ372,0)))</f>
        <v>1.2998905263159521</v>
      </c>
      <c r="AK377" s="416">
        <f ca="1">IF(AK$361&lt;'2.2 Input_General_Information'!$H$20, ,IF(AK$361='2.2 Input_General_Information'!$H$20,$H$358,IFERROR(AJ377/AJ372*AK372,0)))</f>
        <v>1.2998905263159521</v>
      </c>
      <c r="AL377" s="416">
        <f ca="1">IF(AL$361&lt;'2.2 Input_General_Information'!$H$20, ,IF(AL$361='2.2 Input_General_Information'!$H$20,$H$358,IFERROR(AK377/AK372*AL372,0)))</f>
        <v>1.2998905263159521</v>
      </c>
      <c r="AM377" s="416">
        <f ca="1">IF(AM$361&lt;'2.2 Input_General_Information'!$H$20, ,IF(AM$361='2.2 Input_General_Information'!$H$20,$H$358,IFERROR(AL377/AL372*AM372,0)))</f>
        <v>1.2998905263159521</v>
      </c>
      <c r="AN377" s="416">
        <f ca="1">IF(AN$361&lt;'2.2 Input_General_Information'!$H$20, ,IF(AN$361='2.2 Input_General_Information'!$H$20,$H$358,IFERROR(AM377/AM372*AN372,0)))</f>
        <v>1.2998905263159521</v>
      </c>
      <c r="AO377" s="416">
        <f ca="1">IF(AO$361&lt;'2.2 Input_General_Information'!$H$20, ,IF(AO$361='2.2 Input_General_Information'!$H$20,$H$358,IFERROR(AN377/AN372*AO372,0)))</f>
        <v>1.2998905263159521</v>
      </c>
      <c r="AP377" s="416">
        <f ca="1">IF(AP$361&lt;'2.2 Input_General_Information'!$H$20, ,IF(AP$361='2.2 Input_General_Information'!$H$20,$H$358,IFERROR(AO377/AO372*AP372,0)))</f>
        <v>1.2998905263159521</v>
      </c>
      <c r="AQ377" s="416">
        <f ca="1">IF(AQ$361&lt;'2.2 Input_General_Information'!$H$20, ,IF(AQ$361='2.2 Input_General_Information'!$H$20,$H$358,IFERROR(AP377/AP372*AQ372,0)))</f>
        <v>1.2998905263159521</v>
      </c>
      <c r="AR377" s="416">
        <f ca="1">IF(AR$361&lt;'2.2 Input_General_Information'!$H$20, ,IF(AR$361='2.2 Input_General_Information'!$H$20,$H$358,IFERROR(AQ377/AQ372*AR372,0)))</f>
        <v>1.2998905263159521</v>
      </c>
      <c r="AS377" s="416">
        <f ca="1">IF(AS$361&lt;'2.2 Input_General_Information'!$H$20, ,IF(AS$361='2.2 Input_General_Information'!$H$20,$H$358,IFERROR(AR377/AR372*AS372,0)))</f>
        <v>1.2998905263159521</v>
      </c>
      <c r="AT377" s="416">
        <f ca="1">IF(AT$361&lt;'2.2 Input_General_Information'!$H$20, ,IF(AT$361='2.2 Input_General_Information'!$H$20,$H$358,IFERROR(AS377/AS372*AT372,0)))</f>
        <v>1.2998905263159521</v>
      </c>
      <c r="AU377" s="416">
        <f ca="1">IF(AU$361&lt;'2.2 Input_General_Information'!$H$20, ,IF(AU$361='2.2 Input_General_Information'!$H$20,$H$358,IFERROR(AT377/AT372*AU372,0)))</f>
        <v>1.2998905263159521</v>
      </c>
      <c r="AV377" s="416">
        <f ca="1">IF(AV$361&lt;'2.2 Input_General_Information'!$H$20, ,IF(AV$361='2.2 Input_General_Information'!$H$20,$H$358,IFERROR(AU377/AU372*AV372,0)))</f>
        <v>1.2998905263159521</v>
      </c>
      <c r="AW377" s="416">
        <f ca="1">IF(AW$361&lt;'2.2 Input_General_Information'!$H$20, ,IF(AW$361='2.2 Input_General_Information'!$H$20,$H$358,IFERROR(AV377/AV372*AW372,0)))</f>
        <v>1.2998905263159521</v>
      </c>
      <c r="AX377" s="416">
        <f ca="1">IF(AX$361&lt;'2.2 Input_General_Information'!$H$20, ,IF(AX$361='2.2 Input_General_Information'!$H$20,$H$358,IFERROR(AW377/AW372*AX372,0)))</f>
        <v>1.2998905263159521</v>
      </c>
      <c r="AY377" s="416">
        <f ca="1">IF(AY$361&lt;'2.2 Input_General_Information'!$H$20, ,IF(AY$361='2.2 Input_General_Information'!$H$20,$H$358,IFERROR(AX377/AX372*AY372,0)))</f>
        <v>1.2998905263159521</v>
      </c>
      <c r="AZ377" s="416">
        <f ca="1">IF(AZ$361&lt;'2.2 Input_General_Information'!$H$20, ,IF(AZ$361='2.2 Input_General_Information'!$H$20,$H$358,IFERROR(AY377/AY372*AZ372,0)))</f>
        <v>1.2998905263159521</v>
      </c>
      <c r="BA377" s="416">
        <f ca="1">IF(BA$361&lt;'2.2 Input_General_Information'!$H$20, ,IF(BA$361='2.2 Input_General_Information'!$H$20,$H$358,IFERROR(AZ377/AZ372*BA372,0)))</f>
        <v>1.2998905263159521</v>
      </c>
      <c r="BB377" s="416">
        <f ca="1">IF(BB$361&lt;'2.2 Input_General_Information'!$H$20, ,IF(BB$361='2.2 Input_General_Information'!$H$20,$H$358,IFERROR(BA377/BA372*BB372,0)))</f>
        <v>1.2998905263159521</v>
      </c>
      <c r="BC377" s="416">
        <f ca="1">IF(BC$361&lt;'2.2 Input_General_Information'!$H$20, ,IF(BC$361='2.2 Input_General_Information'!$H$20,$H$358,IFERROR(BB377/BB372*BC372,0)))</f>
        <v>1.2998905263159521</v>
      </c>
      <c r="BD377" s="416">
        <f ca="1">IF(BD$361&lt;'2.2 Input_General_Information'!$H$20, ,IF(BD$361='2.2 Input_General_Information'!$H$20,$H$358,IFERROR(BC377/BC372*BD372,0)))</f>
        <v>1.2998905263159521</v>
      </c>
      <c r="BE377" s="416">
        <f ca="1">IF(BE$361&lt;'2.2 Input_General_Information'!$H$20, ,IF(BE$361='2.2 Input_General_Information'!$H$20,$H$358,IFERROR(BD377/BD372*BE372,0)))</f>
        <v>1.2998905263159521</v>
      </c>
      <c r="BF377" s="416">
        <f ca="1">IF(BF$361&lt;'2.2 Input_General_Information'!$H$20, ,IF(BF$361='2.2 Input_General_Information'!$H$20,$H$358,IFERROR(BE377/BE372*BF372,0)))</f>
        <v>1.2998905263159521</v>
      </c>
      <c r="BG377" s="416">
        <f ca="1">IF(BG$361&lt;'2.2 Input_General_Information'!$H$20, ,IF(BG$361='2.2 Input_General_Information'!$H$20,$H$358,IFERROR(BF377/BF372*BG372,0)))</f>
        <v>1.2998905263159521</v>
      </c>
      <c r="BH377" s="416">
        <f ca="1">IF(BH$361&lt;'2.2 Input_General_Information'!$H$20, ,IF(BH$361='2.2 Input_General_Information'!$H$20,$H$358,IFERROR(BG377/BG372*BH372,0)))</f>
        <v>1.2998905263159521</v>
      </c>
      <c r="BI377" s="416">
        <f ca="1">IF(BI$361&lt;'2.2 Input_General_Information'!$H$20, ,IF(BI$361='2.2 Input_General_Information'!$H$20,$H$358,IFERROR(BH377/BH372*BI372,0)))</f>
        <v>1.2998905263159521</v>
      </c>
      <c r="BJ377" s="416">
        <f ca="1">IF(BJ$361&lt;'2.2 Input_General_Information'!$H$20, ,IF(BJ$361='2.2 Input_General_Information'!$H$20,$H$358,IFERROR(BI377/BI372*BJ372,0)))</f>
        <v>1.2998905263159521</v>
      </c>
      <c r="BK377" s="416">
        <f ca="1">IF(BK$361&lt;'2.2 Input_General_Information'!$H$20, ,IF(BK$361='2.2 Input_General_Information'!$H$20,$H$358,IFERROR(BJ377/BJ372*BK372,0)))</f>
        <v>1.2998905263159521</v>
      </c>
      <c r="BL377" s="349"/>
      <c r="BM377" s="349"/>
      <c r="BN377" s="349"/>
      <c r="BO377" s="349"/>
      <c r="BP377" s="349"/>
      <c r="BQ377" s="349"/>
      <c r="BR377" s="349"/>
      <c r="BS377" s="349"/>
      <c r="BT377" s="349"/>
      <c r="BU377" s="349"/>
    </row>
    <row r="378" spans="1:73" ht="17.25" hidden="1" customHeight="1">
      <c r="A378" s="6"/>
      <c r="B378" s="108"/>
      <c r="C378" s="1"/>
      <c r="D378" s="12"/>
      <c r="E378" s="1"/>
      <c r="F378" s="1"/>
      <c r="G378" s="3"/>
      <c r="H378" s="3"/>
      <c r="I378" s="3"/>
      <c r="J378" s="3"/>
      <c r="K378" s="3"/>
      <c r="L378" s="3"/>
      <c r="M378" s="3"/>
      <c r="N378" s="3"/>
      <c r="O378" s="1"/>
      <c r="P378" s="1"/>
      <c r="Q378" s="1"/>
      <c r="R378" s="162"/>
      <c r="S378" s="1"/>
      <c r="T378" s="103"/>
      <c r="U378" s="103"/>
      <c r="V378" s="103"/>
      <c r="W378" s="416"/>
      <c r="X378" s="416"/>
      <c r="Y378" s="416"/>
      <c r="Z378" s="416"/>
      <c r="AA378" s="416"/>
      <c r="AB378" s="416"/>
      <c r="AC378" s="416"/>
      <c r="AD378" s="416"/>
      <c r="AE378" s="416"/>
      <c r="AF378" s="416"/>
      <c r="AG378" s="416"/>
      <c r="AH378" s="416"/>
      <c r="AI378" s="416"/>
      <c r="AJ378" s="416"/>
      <c r="AK378" s="416"/>
      <c r="AL378" s="416"/>
      <c r="AM378" s="416"/>
      <c r="AN378" s="416"/>
      <c r="AO378" s="416"/>
      <c r="AP378" s="416"/>
      <c r="AQ378" s="416"/>
      <c r="AR378" s="416"/>
      <c r="AS378" s="416"/>
      <c r="AT378" s="416"/>
      <c r="AU378" s="416"/>
      <c r="AV378" s="416"/>
      <c r="AW378" s="416"/>
      <c r="AX378" s="416"/>
      <c r="AY378" s="416"/>
      <c r="AZ378" s="416"/>
      <c r="BA378" s="416"/>
      <c r="BB378" s="416"/>
      <c r="BC378" s="416"/>
      <c r="BD378" s="416"/>
      <c r="BE378" s="416"/>
      <c r="BF378" s="416"/>
      <c r="BG378" s="416"/>
      <c r="BH378" s="416"/>
      <c r="BI378" s="416"/>
      <c r="BJ378" s="416"/>
      <c r="BK378" s="416"/>
      <c r="BL378" s="99"/>
      <c r="BM378" s="99"/>
      <c r="BN378" s="99"/>
      <c r="BO378" s="99"/>
      <c r="BP378" s="99"/>
      <c r="BQ378" s="99"/>
      <c r="BR378" s="99"/>
      <c r="BS378" s="99"/>
      <c r="BT378" s="99"/>
      <c r="BU378" s="99"/>
    </row>
    <row r="379" spans="1:73" ht="17.25" hidden="1" customHeight="1">
      <c r="A379" s="6"/>
      <c r="B379" s="108"/>
      <c r="C379" s="1"/>
      <c r="D379" s="12"/>
      <c r="E379" s="1"/>
      <c r="F379" s="1"/>
      <c r="G379" s="24"/>
      <c r="H379" s="3"/>
      <c r="I379" s="24"/>
      <c r="J379" s="3"/>
      <c r="K379" s="3"/>
      <c r="L379" s="3"/>
      <c r="M379" s="3"/>
      <c r="N379" s="3"/>
      <c r="O379" s="1"/>
      <c r="P379" s="1"/>
      <c r="Q379" s="1"/>
      <c r="R379" s="162"/>
      <c r="S379" s="1"/>
      <c r="T379" s="103"/>
      <c r="U379" s="103"/>
      <c r="V379" s="103" t="str">
        <f>D382</f>
        <v>Time change</v>
      </c>
      <c r="W379" s="416">
        <f ca="1">IF(W$361&lt;'2.2 Input_General_Information'!$H$20, ,IF(W$361='2.2 Input_General_Information'!$H$20,0,SUM(V374:V377)-SUM(W374:W377)))</f>
        <v>0</v>
      </c>
      <c r="X379" s="416">
        <f ca="1">IF(X$361&lt;'2.2 Input_General_Information'!$H$20, ,IF(X$361='2.2 Input_General_Information'!$H$20,0,SUM(W374:W377)-SUM(X374:X377)))</f>
        <v>-0.25968563660678623</v>
      </c>
      <c r="Y379" s="416">
        <f ca="1">IF(Y$361&lt;'2.2 Input_General_Information'!$H$20, ,IF(Y$361='2.2 Input_General_Information'!$H$20,0,SUM(X374:X377)-SUM(Y374:Y377)))</f>
        <v>-0.31647433426285165</v>
      </c>
      <c r="Z379" s="416">
        <f ca="1">IF(Z$361&lt;'2.2 Input_General_Information'!$H$20, ,IF(Z$361='2.2 Input_General_Information'!$H$20,0,SUM(Y374:Y377)-SUM(Z374:Z377)))</f>
        <v>-2.5775617124097039E-2</v>
      </c>
      <c r="AA379" s="416">
        <f ca="1">IF(AA$361&lt;'2.2 Input_General_Information'!$H$20, ,IF(AA$361='2.2 Input_General_Information'!$H$20,0,SUM(Z374:Z377)-SUM(AA374:AA377)))</f>
        <v>-6.0201480111876648E-5</v>
      </c>
      <c r="AB379" s="416">
        <f ca="1">IF(AB$361&lt;'2.2 Input_General_Information'!$H$20, ,IF(AB$361='2.2 Input_General_Information'!$H$20,0,SUM(AA374:AA377)-SUM(AB374:AB377)))</f>
        <v>0</v>
      </c>
      <c r="AC379" s="416">
        <f ca="1">IF(AC$361&lt;'2.2 Input_General_Information'!$H$20, ,IF(AC$361='2.2 Input_General_Information'!$H$20,0,SUM(AB374:AB377)-SUM(AC374:AC377)))</f>
        <v>0</v>
      </c>
      <c r="AD379" s="416">
        <f ca="1">IF(AD$361&lt;'2.2 Input_General_Information'!$H$20, ,IF(AD$361='2.2 Input_General_Information'!$H$20,0,SUM(AC374:AC377)-SUM(AD374:AD377)))</f>
        <v>0</v>
      </c>
      <c r="AE379" s="416">
        <f ca="1">IF(AE$361&lt;'2.2 Input_General_Information'!$H$20, ,IF(AE$361='2.2 Input_General_Information'!$H$20,0,SUM(AD374:AD377)-SUM(AE374:AE377)))</f>
        <v>0</v>
      </c>
      <c r="AF379" s="416">
        <f ca="1">IF(AF$361&lt;'2.2 Input_General_Information'!$H$20, ,IF(AF$361='2.2 Input_General_Information'!$H$20,0,SUM(AE374:AE377)-SUM(AF374:AF377)))</f>
        <v>0</v>
      </c>
      <c r="AG379" s="416">
        <f ca="1">IF(AG$361&lt;'2.2 Input_General_Information'!$H$20, ,IF(AG$361='2.2 Input_General_Information'!$H$20,0,SUM(AF374:AF377)-SUM(AG374:AG377)))</f>
        <v>0</v>
      </c>
      <c r="AH379" s="416">
        <f ca="1">IF(AH$361&lt;'2.2 Input_General_Information'!$H$20, ,IF(AH$361='2.2 Input_General_Information'!$H$20,0,SUM(AG374:AG377)-SUM(AH374:AH377)))</f>
        <v>0</v>
      </c>
      <c r="AI379" s="416">
        <f ca="1">IF(AI$361&lt;'2.2 Input_General_Information'!$H$20, ,IF(AI$361='2.2 Input_General_Information'!$H$20,0,SUM(AH374:AH377)-SUM(AI374:AI377)))</f>
        <v>0</v>
      </c>
      <c r="AJ379" s="416">
        <f ca="1">IF(AJ$361&lt;'2.2 Input_General_Information'!$H$20, ,IF(AJ$361='2.2 Input_General_Information'!$H$20,0,SUM(AI374:AI377)-SUM(AJ374:AJ377)))</f>
        <v>0</v>
      </c>
      <c r="AK379" s="416">
        <f ca="1">IF(AK$361&lt;'2.2 Input_General_Information'!$H$20, ,IF(AK$361='2.2 Input_General_Information'!$H$20,0,SUM(AJ374:AJ377)-SUM(AK374:AK377)))</f>
        <v>0</v>
      </c>
      <c r="AL379" s="416">
        <f ca="1">IF(AL$361&lt;'2.2 Input_General_Information'!$H$20, ,IF(AL$361='2.2 Input_General_Information'!$H$20,0,SUM(AK374:AK377)-SUM(AL374:AL377)))</f>
        <v>0</v>
      </c>
      <c r="AM379" s="416">
        <f ca="1">IF(AM$361&lt;'2.2 Input_General_Information'!$H$20, ,IF(AM$361='2.2 Input_General_Information'!$H$20,0,SUM(AL374:AL377)-SUM(AM374:AM377)))</f>
        <v>0</v>
      </c>
      <c r="AN379" s="416">
        <f ca="1">IF(AN$361&lt;'2.2 Input_General_Information'!$H$20, ,IF(AN$361='2.2 Input_General_Information'!$H$20,0,SUM(AM374:AM377)-SUM(AN374:AN377)))</f>
        <v>0</v>
      </c>
      <c r="AO379" s="416">
        <f ca="1">IF(AO$361&lt;'2.2 Input_General_Information'!$H$20, ,IF(AO$361='2.2 Input_General_Information'!$H$20,0,SUM(AN374:AN377)-SUM(AO374:AO377)))</f>
        <v>0</v>
      </c>
      <c r="AP379" s="416">
        <f ca="1">IF(AP$361&lt;'2.2 Input_General_Information'!$H$20, ,IF(AP$361='2.2 Input_General_Information'!$H$20,0,SUM(AO374:AO377)-SUM(AP374:AP377)))</f>
        <v>0</v>
      </c>
      <c r="AQ379" s="416">
        <f ca="1">IF(AQ$361&lt;'2.2 Input_General_Information'!$H$20, ,IF(AQ$361='2.2 Input_General_Information'!$H$20,0,SUM(AP374:AP377)-SUM(AQ374:AQ377)))</f>
        <v>0</v>
      </c>
      <c r="AR379" s="416">
        <f ca="1">IF(AR$361&lt;'2.2 Input_General_Information'!$H$20, ,IF(AR$361='2.2 Input_General_Information'!$H$20,0,SUM(AQ374:AQ377)-SUM(AR374:AR377)))</f>
        <v>0</v>
      </c>
      <c r="AS379" s="416">
        <f ca="1">IF(AS$361&lt;'2.2 Input_General_Information'!$H$20, ,IF(AS$361='2.2 Input_General_Information'!$H$20,0,SUM(AR374:AR377)-SUM(AS374:AS377)))</f>
        <v>0</v>
      </c>
      <c r="AT379" s="416">
        <f ca="1">IF(AT$361&lt;'2.2 Input_General_Information'!$H$20, ,IF(AT$361='2.2 Input_General_Information'!$H$20,0,SUM(AS374:AS377)-SUM(AT374:AT377)))</f>
        <v>0</v>
      </c>
      <c r="AU379" s="416">
        <f ca="1">IF(AU$361&lt;'2.2 Input_General_Information'!$H$20, ,IF(AU$361='2.2 Input_General_Information'!$H$20,0,SUM(AT374:AT377)-SUM(AU374:AU377)))</f>
        <v>0</v>
      </c>
      <c r="AV379" s="416">
        <f ca="1">IF(AV$361&lt;'2.2 Input_General_Information'!$H$20, ,IF(AV$361='2.2 Input_General_Information'!$H$20,0,SUM(AU374:AU377)-SUM(AV374:AV377)))</f>
        <v>0</v>
      </c>
      <c r="AW379" s="416">
        <f ca="1">IF(AW$361&lt;'2.2 Input_General_Information'!$H$20, ,IF(AW$361='2.2 Input_General_Information'!$H$20,0,SUM(AV374:AV377)-SUM(AW374:AW377)))</f>
        <v>0</v>
      </c>
      <c r="AX379" s="416">
        <f ca="1">IF(AX$361&lt;'2.2 Input_General_Information'!$H$20, ,IF(AX$361='2.2 Input_General_Information'!$H$20,0,SUM(AW374:AW377)-SUM(AX374:AX377)))</f>
        <v>0</v>
      </c>
      <c r="AY379" s="416">
        <f ca="1">IF(AY$361&lt;'2.2 Input_General_Information'!$H$20, ,IF(AY$361='2.2 Input_General_Information'!$H$20,0,SUM(AX374:AX377)-SUM(AY374:AY377)))</f>
        <v>0</v>
      </c>
      <c r="AZ379" s="416">
        <f ca="1">IF(AZ$361&lt;'2.2 Input_General_Information'!$H$20, ,IF(AZ$361='2.2 Input_General_Information'!$H$20,0,SUM(AY374:AY377)-SUM(AZ374:AZ377)))</f>
        <v>0</v>
      </c>
      <c r="BA379" s="416">
        <f ca="1">IF(BA$361&lt;'2.2 Input_General_Information'!$H$20, ,IF(BA$361='2.2 Input_General_Information'!$H$20,0,SUM(AZ374:AZ377)-SUM(BA374:BA377)))</f>
        <v>0</v>
      </c>
      <c r="BB379" s="416">
        <f ca="1">IF(BB$361&lt;'2.2 Input_General_Information'!$H$20, ,IF(BB$361='2.2 Input_General_Information'!$H$20,0,SUM(BA374:BA377)-SUM(BB374:BB377)))</f>
        <v>0</v>
      </c>
      <c r="BC379" s="416">
        <f ca="1">IF(BC$361&lt;'2.2 Input_General_Information'!$H$20, ,IF(BC$361='2.2 Input_General_Information'!$H$20,0,SUM(BB374:BB377)-SUM(BC374:BC377)))</f>
        <v>0</v>
      </c>
      <c r="BD379" s="416">
        <f ca="1">IF(BD$361&lt;'2.2 Input_General_Information'!$H$20, ,IF(BD$361='2.2 Input_General_Information'!$H$20,0,SUM(BC374:BC377)-SUM(BD374:BD377)))</f>
        <v>0</v>
      </c>
      <c r="BE379" s="416">
        <f ca="1">IF(BE$361&lt;'2.2 Input_General_Information'!$H$20, ,IF(BE$361='2.2 Input_General_Information'!$H$20,0,SUM(BD374:BD377)-SUM(BE374:BE377)))</f>
        <v>0</v>
      </c>
      <c r="BF379" s="416">
        <f ca="1">IF(BF$361&lt;'2.2 Input_General_Information'!$H$20, ,IF(BF$361='2.2 Input_General_Information'!$H$20,0,SUM(BE374:BE377)-SUM(BF374:BF377)))</f>
        <v>0</v>
      </c>
      <c r="BG379" s="416">
        <f ca="1">IF(BG$361&lt;'2.2 Input_General_Information'!$H$20, ,IF(BG$361='2.2 Input_General_Information'!$H$20,0,SUM(BF374:BF377)-SUM(BG374:BG377)))</f>
        <v>0</v>
      </c>
      <c r="BH379" s="416">
        <f ca="1">IF(BH$361&lt;'2.2 Input_General_Information'!$H$20, ,IF(BH$361='2.2 Input_General_Information'!$H$20,0,SUM(BG374:BG377)-SUM(BH374:BH377)))</f>
        <v>0</v>
      </c>
      <c r="BI379" s="416">
        <f ca="1">IF(BI$361&lt;'2.2 Input_General_Information'!$H$20, ,IF(BI$361='2.2 Input_General_Information'!$H$20,0,SUM(BH374:BH377)-SUM(BI374:BI377)))</f>
        <v>0</v>
      </c>
      <c r="BJ379" s="416">
        <f ca="1">IF(BJ$361&lt;'2.2 Input_General_Information'!$H$20, ,IF(BJ$361='2.2 Input_General_Information'!$H$20,0,SUM(BI374:BI377)-SUM(BJ374:BJ377)))</f>
        <v>0</v>
      </c>
      <c r="BK379" s="416">
        <f ca="1">IF(BK$361&lt;'2.2 Input_General_Information'!$H$20, ,IF(BK$361='2.2 Input_General_Information'!$H$20,0,SUM(BJ374:BJ377)-SUM(BK374:BK377)))</f>
        <v>0</v>
      </c>
      <c r="BL379" s="349"/>
      <c r="BM379" s="349"/>
      <c r="BN379" s="349"/>
      <c r="BO379" s="349"/>
      <c r="BP379" s="349"/>
      <c r="BQ379" s="349"/>
      <c r="BR379" s="349"/>
      <c r="BS379" s="349"/>
      <c r="BT379" s="349"/>
      <c r="BU379" s="349"/>
    </row>
    <row r="380" spans="1:73" ht="17.25" hidden="1" customHeight="1">
      <c r="A380" s="6"/>
      <c r="B380" s="108"/>
      <c r="C380" s="1"/>
      <c r="D380" s="12"/>
      <c r="E380" s="1"/>
      <c r="F380" s="1"/>
      <c r="G380" s="24"/>
      <c r="H380" s="3"/>
      <c r="I380" s="24"/>
      <c r="J380" s="3"/>
      <c r="K380" s="3"/>
      <c r="L380" s="3"/>
      <c r="M380" s="3"/>
      <c r="N380" s="3"/>
      <c r="O380" s="1"/>
      <c r="P380" s="1"/>
      <c r="Q380" s="1"/>
      <c r="R380" s="162"/>
      <c r="S380" s="1"/>
      <c r="T380" s="103"/>
      <c r="U380" s="9" t="s">
        <v>5</v>
      </c>
      <c r="V380" s="6"/>
      <c r="W380" s="81"/>
      <c r="X380" s="81"/>
      <c r="Y380" s="81"/>
      <c r="Z380" s="81"/>
      <c r="AA380" s="81"/>
      <c r="AB380" s="81"/>
      <c r="AC380" s="81"/>
      <c r="AD380" s="81"/>
      <c r="AE380" s="81"/>
      <c r="AF380" s="81"/>
      <c r="AG380" s="81"/>
      <c r="AH380" s="81"/>
      <c r="AI380" s="81"/>
      <c r="AJ380" s="81"/>
      <c r="AK380" s="81"/>
      <c r="AL380" s="81"/>
      <c r="AM380" s="81"/>
      <c r="AN380" s="81"/>
      <c r="AO380" s="81"/>
      <c r="AP380" s="81"/>
      <c r="AQ380" s="81"/>
      <c r="AR380" s="81"/>
      <c r="AS380" s="81"/>
      <c r="AT380" s="81"/>
      <c r="AU380" s="81"/>
      <c r="AV380" s="81"/>
      <c r="AW380" s="81"/>
      <c r="AX380" s="81"/>
      <c r="AY380" s="81"/>
      <c r="AZ380" s="81"/>
      <c r="BA380" s="81"/>
      <c r="BB380" s="81"/>
      <c r="BC380" s="81"/>
      <c r="BD380" s="81"/>
      <c r="BE380" s="81"/>
      <c r="BF380" s="81"/>
      <c r="BG380" s="81"/>
      <c r="BH380" s="81"/>
      <c r="BI380" s="81"/>
      <c r="BJ380" s="81"/>
      <c r="BK380" s="81"/>
      <c r="BL380" s="6"/>
      <c r="BM380" s="6"/>
      <c r="BN380" s="6"/>
      <c r="BO380" s="6"/>
      <c r="BP380" s="6"/>
      <c r="BQ380" s="6"/>
      <c r="BR380" s="6"/>
      <c r="BS380" s="6"/>
      <c r="BT380" s="6"/>
      <c r="BU380" s="6"/>
    </row>
    <row r="381" spans="1:73" ht="17.25" customHeight="1">
      <c r="A381" s="6"/>
      <c r="B381" s="108"/>
      <c r="C381" s="1"/>
      <c r="D381" s="12"/>
      <c r="E381" s="1"/>
      <c r="F381" s="1"/>
      <c r="G381" s="24"/>
      <c r="H381" s="3"/>
      <c r="I381" s="24"/>
      <c r="J381" s="3"/>
      <c r="K381" s="3"/>
      <c r="L381" s="3"/>
      <c r="M381" s="3"/>
      <c r="N381" s="3"/>
      <c r="O381" s="1"/>
      <c r="P381" s="1"/>
      <c r="Q381" s="1"/>
      <c r="R381" s="162"/>
      <c r="S381" s="1"/>
      <c r="T381" s="103"/>
      <c r="U381" s="6"/>
      <c r="V381" s="6"/>
      <c r="W381" s="81"/>
      <c r="X381" s="81"/>
      <c r="Y381" s="81"/>
      <c r="Z381" s="81"/>
      <c r="AA381" s="81"/>
      <c r="AB381" s="81"/>
      <c r="AC381" s="81"/>
      <c r="AD381" s="81"/>
      <c r="AE381" s="81"/>
      <c r="AF381" s="81"/>
      <c r="AG381" s="81"/>
      <c r="AH381" s="81"/>
      <c r="AI381" s="81"/>
      <c r="AJ381" s="81"/>
      <c r="AK381" s="81"/>
      <c r="AL381" s="81"/>
      <c r="AM381" s="81"/>
      <c r="AN381" s="81"/>
      <c r="AO381" s="81"/>
      <c r="AP381" s="81"/>
      <c r="AQ381" s="81"/>
      <c r="AR381" s="81"/>
      <c r="AS381" s="81"/>
      <c r="AT381" s="81"/>
      <c r="AU381" s="81"/>
      <c r="AV381" s="81"/>
      <c r="AW381" s="81"/>
      <c r="AX381" s="81"/>
      <c r="AY381" s="81"/>
      <c r="AZ381" s="81"/>
      <c r="BA381" s="81"/>
      <c r="BB381" s="81"/>
      <c r="BC381" s="81"/>
      <c r="BD381" s="81"/>
      <c r="BE381" s="81"/>
      <c r="BF381" s="81"/>
      <c r="BG381" s="81"/>
      <c r="BH381" s="81"/>
      <c r="BI381" s="81"/>
      <c r="BJ381" s="81"/>
      <c r="BK381" s="81"/>
      <c r="BL381" s="6"/>
      <c r="BM381" s="6"/>
      <c r="BN381" s="6"/>
      <c r="BO381" s="6"/>
      <c r="BP381" s="6"/>
      <c r="BQ381" s="6"/>
      <c r="BR381" s="6"/>
      <c r="BS381" s="6"/>
      <c r="BT381" s="6"/>
      <c r="BU381" s="6"/>
    </row>
    <row r="382" spans="1:73" ht="17.25" customHeight="1">
      <c r="A382" s="6"/>
      <c r="B382" s="108"/>
      <c r="C382" s="1"/>
      <c r="D382" s="16" t="s">
        <v>1019</v>
      </c>
      <c r="E382" s="1"/>
      <c r="F382" s="1"/>
      <c r="G382" s="538">
        <f>SUM(H355:H358)-SUM(J355:J358)</f>
        <v>-0.67052631578947364</v>
      </c>
      <c r="H382" s="3"/>
      <c r="I382" s="3"/>
      <c r="J382" s="3"/>
      <c r="K382" s="3"/>
      <c r="L382" s="3"/>
      <c r="M382" s="3"/>
      <c r="N382" s="3"/>
      <c r="O382" s="1"/>
      <c r="P382" s="1"/>
      <c r="Q382" s="1"/>
      <c r="R382" s="162"/>
      <c r="S382" s="1"/>
      <c r="T382" s="103"/>
      <c r="U382" s="103"/>
      <c r="V382" s="103"/>
      <c r="W382" s="98"/>
      <c r="X382" s="98"/>
      <c r="Y382" s="98"/>
      <c r="Z382" s="98"/>
      <c r="AA382" s="98"/>
      <c r="AB382" s="98"/>
      <c r="AC382" s="98"/>
      <c r="AD382" s="98"/>
      <c r="AE382" s="98"/>
      <c r="AF382" s="98"/>
      <c r="AG382" s="98"/>
      <c r="AH382" s="98"/>
      <c r="AI382" s="98"/>
      <c r="AJ382" s="98"/>
      <c r="AK382" s="98"/>
      <c r="AL382" s="98"/>
      <c r="AM382" s="98"/>
      <c r="AN382" s="98"/>
      <c r="AO382" s="98"/>
      <c r="AP382" s="98"/>
      <c r="AQ382" s="98"/>
      <c r="AR382" s="98"/>
      <c r="AS382" s="98"/>
      <c r="AT382" s="98"/>
      <c r="AU382" s="98"/>
      <c r="AV382" s="98"/>
      <c r="AW382" s="98"/>
      <c r="AX382" s="98"/>
      <c r="AY382" s="98"/>
      <c r="AZ382" s="98"/>
      <c r="BA382" s="98"/>
      <c r="BB382" s="98"/>
      <c r="BC382" s="98"/>
      <c r="BD382" s="98"/>
      <c r="BE382" s="98"/>
      <c r="BF382" s="98"/>
      <c r="BG382" s="98"/>
      <c r="BH382" s="98"/>
      <c r="BI382" s="98"/>
      <c r="BJ382" s="98"/>
      <c r="BK382" s="98"/>
      <c r="BL382" s="99"/>
      <c r="BM382" s="99"/>
      <c r="BN382" s="99"/>
      <c r="BO382" s="99"/>
      <c r="BP382" s="99"/>
      <c r="BQ382" s="99"/>
      <c r="BR382" s="99"/>
      <c r="BS382" s="99"/>
      <c r="BT382" s="99"/>
      <c r="BU382" s="99"/>
    </row>
    <row r="383" spans="1:73" ht="17.25" customHeight="1">
      <c r="A383" s="6"/>
      <c r="B383" s="577"/>
      <c r="C383" s="578"/>
      <c r="D383" s="12"/>
      <c r="E383" s="1"/>
      <c r="F383" s="1"/>
      <c r="G383" s="3"/>
      <c r="H383" s="3"/>
      <c r="I383" s="3"/>
      <c r="J383" s="3"/>
      <c r="K383" s="3"/>
      <c r="L383" s="3"/>
      <c r="M383" s="3"/>
      <c r="N383" s="3"/>
      <c r="O383" s="1"/>
      <c r="P383" s="1"/>
      <c r="Q383" s="1"/>
      <c r="R383" s="162"/>
      <c r="S383" s="1"/>
      <c r="T383" s="103"/>
      <c r="U383" s="103"/>
      <c r="V383" s="103"/>
      <c r="W383" s="98"/>
      <c r="X383" s="98"/>
      <c r="Y383" s="98"/>
      <c r="Z383" s="98"/>
      <c r="AA383" s="98"/>
      <c r="AB383" s="98"/>
      <c r="AC383" s="98"/>
      <c r="AD383" s="98"/>
      <c r="AE383" s="98"/>
      <c r="AF383" s="98"/>
      <c r="AG383" s="98"/>
      <c r="AH383" s="98"/>
      <c r="AI383" s="98"/>
      <c r="AJ383" s="98"/>
      <c r="AK383" s="98"/>
      <c r="AL383" s="98"/>
      <c r="AM383" s="98"/>
      <c r="AN383" s="98"/>
      <c r="AO383" s="98"/>
      <c r="AP383" s="98"/>
      <c r="AQ383" s="98"/>
      <c r="AR383" s="98"/>
      <c r="AS383" s="98"/>
      <c r="AT383" s="98"/>
      <c r="AU383" s="98"/>
      <c r="AV383" s="98"/>
      <c r="AW383" s="98"/>
      <c r="AX383" s="98"/>
      <c r="AY383" s="98"/>
      <c r="AZ383" s="98"/>
      <c r="BA383" s="98"/>
      <c r="BB383" s="98"/>
      <c r="BC383" s="98"/>
      <c r="BD383" s="98"/>
      <c r="BE383" s="98"/>
      <c r="BF383" s="98"/>
      <c r="BG383" s="98"/>
      <c r="BH383" s="98"/>
      <c r="BI383" s="98"/>
      <c r="BJ383" s="98"/>
      <c r="BK383" s="98"/>
      <c r="BL383" s="99"/>
      <c r="BM383" s="99"/>
      <c r="BN383" s="99"/>
      <c r="BO383" s="99"/>
      <c r="BP383" s="99"/>
      <c r="BQ383" s="99"/>
      <c r="BR383" s="99"/>
      <c r="BS383" s="99"/>
      <c r="BT383" s="99"/>
      <c r="BU383" s="99"/>
    </row>
    <row r="384" spans="1:73" ht="17.25" customHeight="1">
      <c r="A384" s="6"/>
      <c r="B384" s="577"/>
      <c r="C384" s="578"/>
      <c r="D384" s="12" t="s">
        <v>1014</v>
      </c>
      <c r="E384" s="1"/>
      <c r="F384" s="1"/>
      <c r="G384" s="1175" t="s">
        <v>908</v>
      </c>
      <c r="H384" s="1174"/>
      <c r="I384" s="1175" t="s">
        <v>909</v>
      </c>
      <c r="J384" s="1174"/>
      <c r="K384" s="3"/>
      <c r="L384" s="3"/>
      <c r="M384" s="3"/>
      <c r="N384" s="3"/>
      <c r="O384" s="1"/>
      <c r="P384" s="1"/>
      <c r="Q384" s="1"/>
      <c r="R384" s="162"/>
      <c r="S384" s="1"/>
      <c r="T384" s="103"/>
      <c r="U384" s="103"/>
      <c r="V384" s="103"/>
      <c r="W384" s="98"/>
      <c r="X384" s="98"/>
      <c r="Y384" s="98"/>
      <c r="Z384" s="98"/>
      <c r="AA384" s="98"/>
      <c r="AB384" s="98"/>
      <c r="AC384" s="98"/>
      <c r="AD384" s="98"/>
      <c r="AE384" s="98"/>
      <c r="AF384" s="98"/>
      <c r="AG384" s="98"/>
      <c r="AH384" s="98"/>
      <c r="AI384" s="98"/>
      <c r="AJ384" s="98"/>
      <c r="AK384" s="98"/>
      <c r="AL384" s="98"/>
      <c r="AM384" s="98"/>
      <c r="AN384" s="98"/>
      <c r="AO384" s="98"/>
      <c r="AP384" s="98"/>
      <c r="AQ384" s="98"/>
      <c r="AR384" s="98"/>
      <c r="AS384" s="98"/>
      <c r="AT384" s="98"/>
      <c r="AU384" s="98"/>
      <c r="AV384" s="98"/>
      <c r="AW384" s="98"/>
      <c r="AX384" s="98"/>
      <c r="AY384" s="98"/>
      <c r="AZ384" s="98"/>
      <c r="BA384" s="98"/>
      <c r="BB384" s="98"/>
      <c r="BC384" s="98"/>
      <c r="BD384" s="98"/>
      <c r="BE384" s="98"/>
      <c r="BF384" s="98"/>
      <c r="BG384" s="98"/>
      <c r="BH384" s="98"/>
      <c r="BI384" s="98"/>
      <c r="BJ384" s="98"/>
      <c r="BK384" s="98"/>
      <c r="BL384" s="99"/>
      <c r="BM384" s="99"/>
      <c r="BN384" s="99"/>
      <c r="BO384" s="99"/>
      <c r="BP384" s="99"/>
      <c r="BQ384" s="99"/>
      <c r="BR384" s="99"/>
      <c r="BS384" s="99"/>
      <c r="BT384" s="99"/>
      <c r="BU384" s="99"/>
    </row>
    <row r="385" spans="1:73" ht="17.25" customHeight="1">
      <c r="A385" s="6"/>
      <c r="B385" s="577"/>
      <c r="C385" s="578"/>
      <c r="D385" s="12" t="s">
        <v>1015</v>
      </c>
      <c r="E385" s="1"/>
      <c r="F385" s="1"/>
      <c r="G385" s="50" t="s">
        <v>389</v>
      </c>
      <c r="H385" s="50" t="s">
        <v>910</v>
      </c>
      <c r="I385" s="50" t="s">
        <v>246</v>
      </c>
      <c r="J385" s="50" t="s">
        <v>449</v>
      </c>
      <c r="K385" s="43"/>
      <c r="L385" s="3"/>
      <c r="M385" s="3"/>
      <c r="N385" s="3"/>
      <c r="O385" s="1"/>
      <c r="P385" s="1"/>
      <c r="Q385" s="1"/>
      <c r="R385" s="162"/>
      <c r="S385" s="1"/>
      <c r="T385" s="103"/>
      <c r="U385" s="103"/>
      <c r="V385" s="103"/>
      <c r="W385" s="98"/>
      <c r="X385" s="98"/>
      <c r="Y385" s="98"/>
      <c r="Z385" s="98"/>
      <c r="AA385" s="98"/>
      <c r="AB385" s="98"/>
      <c r="AC385" s="98"/>
      <c r="AD385" s="98"/>
      <c r="AE385" s="98"/>
      <c r="AF385" s="98"/>
      <c r="AG385" s="98"/>
      <c r="AH385" s="98"/>
      <c r="AI385" s="98"/>
      <c r="AJ385" s="98"/>
      <c r="AK385" s="98"/>
      <c r="AL385" s="98"/>
      <c r="AM385" s="98"/>
      <c r="AN385" s="98"/>
      <c r="AO385" s="98"/>
      <c r="AP385" s="98"/>
      <c r="AQ385" s="98"/>
      <c r="AR385" s="98"/>
      <c r="AS385" s="98"/>
      <c r="AT385" s="98"/>
      <c r="AU385" s="98"/>
      <c r="AV385" s="98"/>
      <c r="AW385" s="98"/>
      <c r="AX385" s="98"/>
      <c r="AY385" s="98"/>
      <c r="AZ385" s="98"/>
      <c r="BA385" s="98"/>
      <c r="BB385" s="98"/>
      <c r="BC385" s="98"/>
      <c r="BD385" s="98"/>
      <c r="BE385" s="98"/>
      <c r="BF385" s="98"/>
      <c r="BG385" s="98"/>
      <c r="BH385" s="98"/>
      <c r="BI385" s="98"/>
      <c r="BJ385" s="98"/>
      <c r="BK385" s="98"/>
      <c r="BL385" s="99"/>
      <c r="BM385" s="99"/>
      <c r="BN385" s="99"/>
      <c r="BO385" s="99"/>
      <c r="BP385" s="99"/>
      <c r="BQ385" s="99"/>
      <c r="BR385" s="99"/>
      <c r="BS385" s="99"/>
      <c r="BT385" s="99"/>
      <c r="BU385" s="99"/>
    </row>
    <row r="386" spans="1:73" ht="17.25" customHeight="1">
      <c r="A386" s="6"/>
      <c r="B386" s="577"/>
      <c r="C386" s="578"/>
      <c r="D386" s="1"/>
      <c r="E386" s="12" t="s">
        <v>1020</v>
      </c>
      <c r="F386" s="1"/>
      <c r="G386" s="408">
        <f>'2.3 Input_Main_Questionnaire'!H188</f>
        <v>0.25</v>
      </c>
      <c r="H386" s="408">
        <f>'2.3 Input_Main_Questionnaire'!I188</f>
        <v>0</v>
      </c>
      <c r="I386" s="539">
        <v>0</v>
      </c>
      <c r="J386" s="540">
        <v>0</v>
      </c>
      <c r="K386" s="570"/>
      <c r="L386" s="3"/>
      <c r="M386" s="3"/>
      <c r="N386" s="3"/>
      <c r="O386" s="1173"/>
      <c r="P386" s="1174"/>
      <c r="Q386" s="1"/>
      <c r="R386" s="162"/>
      <c r="S386" s="1"/>
      <c r="T386" s="103"/>
      <c r="U386" s="103"/>
      <c r="V386" s="103"/>
      <c r="W386" s="98"/>
      <c r="X386" s="98"/>
      <c r="Y386" s="98"/>
      <c r="Z386" s="98"/>
      <c r="AA386" s="98"/>
      <c r="AB386" s="98"/>
      <c r="AC386" s="98"/>
      <c r="AD386" s="98"/>
      <c r="AE386" s="98"/>
      <c r="AF386" s="98"/>
      <c r="AG386" s="98"/>
      <c r="AH386" s="98"/>
      <c r="AI386" s="98"/>
      <c r="AJ386" s="98"/>
      <c r="AK386" s="98"/>
      <c r="AL386" s="98"/>
      <c r="AM386" s="98"/>
      <c r="AN386" s="98"/>
      <c r="AO386" s="98"/>
      <c r="AP386" s="98"/>
      <c r="AQ386" s="98"/>
      <c r="AR386" s="98"/>
      <c r="AS386" s="98"/>
      <c r="AT386" s="98"/>
      <c r="AU386" s="98"/>
      <c r="AV386" s="98"/>
      <c r="AW386" s="98"/>
      <c r="AX386" s="98"/>
      <c r="AY386" s="98"/>
      <c r="AZ386" s="98"/>
      <c r="BA386" s="98"/>
      <c r="BB386" s="98"/>
      <c r="BC386" s="98"/>
      <c r="BD386" s="98"/>
      <c r="BE386" s="98"/>
      <c r="BF386" s="98"/>
      <c r="BG386" s="98"/>
      <c r="BH386" s="98"/>
      <c r="BI386" s="98"/>
      <c r="BJ386" s="98"/>
      <c r="BK386" s="98"/>
      <c r="BL386" s="99"/>
      <c r="BM386" s="99"/>
      <c r="BN386" s="99"/>
      <c r="BO386" s="99"/>
      <c r="BP386" s="99"/>
      <c r="BQ386" s="99"/>
      <c r="BR386" s="99"/>
      <c r="BS386" s="99"/>
      <c r="BT386" s="99"/>
      <c r="BU386" s="99"/>
    </row>
    <row r="387" spans="1:73" ht="17.25" customHeight="1">
      <c r="A387" s="6"/>
      <c r="B387" s="577"/>
      <c r="C387" s="578"/>
      <c r="D387" s="1"/>
      <c r="E387" s="12" t="s">
        <v>1021</v>
      </c>
      <c r="F387" s="1"/>
      <c r="G387" s="408">
        <f>'2.3 Input_Main_Questionnaire'!H189</f>
        <v>0.6</v>
      </c>
      <c r="H387" s="408">
        <f>'2.3 Input_Main_Questionnaire'!I189</f>
        <v>0.15</v>
      </c>
      <c r="I387" s="542">
        <v>0</v>
      </c>
      <c r="J387" s="543">
        <v>0</v>
      </c>
      <c r="K387" s="570"/>
      <c r="L387" s="3"/>
      <c r="M387" s="3"/>
      <c r="N387" s="3"/>
      <c r="O387" s="1173"/>
      <c r="P387" s="1174"/>
      <c r="Q387" s="1"/>
      <c r="R387" s="162"/>
      <c r="S387" s="1"/>
      <c r="T387" s="103"/>
      <c r="U387" s="103"/>
      <c r="V387" s="103"/>
      <c r="W387" s="98"/>
      <c r="X387" s="98"/>
      <c r="Y387" s="98"/>
      <c r="Z387" s="98"/>
      <c r="AA387" s="98"/>
      <c r="AB387" s="98"/>
      <c r="AC387" s="98"/>
      <c r="AD387" s="98"/>
      <c r="AE387" s="98"/>
      <c r="AF387" s="98"/>
      <c r="AG387" s="98"/>
      <c r="AH387" s="98"/>
      <c r="AI387" s="98"/>
      <c r="AJ387" s="98"/>
      <c r="AK387" s="98"/>
      <c r="AL387" s="98"/>
      <c r="AM387" s="98"/>
      <c r="AN387" s="98"/>
      <c r="AO387" s="98"/>
      <c r="AP387" s="98"/>
      <c r="AQ387" s="98"/>
      <c r="AR387" s="98"/>
      <c r="AS387" s="98"/>
      <c r="AT387" s="98"/>
      <c r="AU387" s="98"/>
      <c r="AV387" s="98"/>
      <c r="AW387" s="98"/>
      <c r="AX387" s="98"/>
      <c r="AY387" s="98"/>
      <c r="AZ387" s="98"/>
      <c r="BA387" s="98"/>
      <c r="BB387" s="98"/>
      <c r="BC387" s="98"/>
      <c r="BD387" s="98"/>
      <c r="BE387" s="98"/>
      <c r="BF387" s="98"/>
      <c r="BG387" s="98"/>
      <c r="BH387" s="98"/>
      <c r="BI387" s="98"/>
      <c r="BJ387" s="98"/>
      <c r="BK387" s="98"/>
      <c r="BL387" s="99"/>
      <c r="BM387" s="99"/>
      <c r="BN387" s="99"/>
      <c r="BO387" s="99"/>
      <c r="BP387" s="99"/>
      <c r="BQ387" s="99"/>
      <c r="BR387" s="99"/>
      <c r="BS387" s="99"/>
      <c r="BT387" s="99"/>
      <c r="BU387" s="99"/>
    </row>
    <row r="388" spans="1:73" ht="17.25" customHeight="1">
      <c r="A388" s="6"/>
      <c r="B388" s="577"/>
      <c r="C388" s="578"/>
      <c r="D388" s="1"/>
      <c r="E388" s="12" t="s">
        <v>1022</v>
      </c>
      <c r="F388" s="1"/>
      <c r="G388" s="408">
        <f>'2.3 Input_Main_Questionnaire'!H190</f>
        <v>0.15</v>
      </c>
      <c r="H388" s="408">
        <f>'2.3 Input_Main_Questionnaire'!I190</f>
        <v>0.2</v>
      </c>
      <c r="I388" s="544">
        <v>1</v>
      </c>
      <c r="J388" s="545">
        <f>H388/G388*I388</f>
        <v>1.3333333333333335</v>
      </c>
      <c r="K388" s="570"/>
      <c r="L388" s="3"/>
      <c r="M388" s="3"/>
      <c r="N388" s="3"/>
      <c r="O388" s="1173"/>
      <c r="P388" s="1174"/>
      <c r="Q388" s="1"/>
      <c r="R388" s="162"/>
      <c r="S388" s="1"/>
      <c r="T388" s="103"/>
      <c r="U388" s="103"/>
      <c r="V388" s="103"/>
      <c r="W388" s="98"/>
      <c r="X388" s="98"/>
      <c r="Y388" s="98"/>
      <c r="Z388" s="98"/>
      <c r="AA388" s="98"/>
      <c r="AB388" s="98"/>
      <c r="AC388" s="98"/>
      <c r="AD388" s="98"/>
      <c r="AE388" s="98"/>
      <c r="AF388" s="98"/>
      <c r="AG388" s="98"/>
      <c r="AH388" s="98"/>
      <c r="AI388" s="98"/>
      <c r="AJ388" s="98"/>
      <c r="AK388" s="98"/>
      <c r="AL388" s="98"/>
      <c r="AM388" s="98"/>
      <c r="AN388" s="98"/>
      <c r="AO388" s="98"/>
      <c r="AP388" s="98"/>
      <c r="AQ388" s="98"/>
      <c r="AR388" s="98"/>
      <c r="AS388" s="98"/>
      <c r="AT388" s="98"/>
      <c r="AU388" s="98"/>
      <c r="AV388" s="98"/>
      <c r="AW388" s="98"/>
      <c r="AX388" s="98"/>
      <c r="AY388" s="98"/>
      <c r="AZ388" s="98"/>
      <c r="BA388" s="98"/>
      <c r="BB388" s="98"/>
      <c r="BC388" s="98"/>
      <c r="BD388" s="98"/>
      <c r="BE388" s="98"/>
      <c r="BF388" s="98"/>
      <c r="BG388" s="98"/>
      <c r="BH388" s="98"/>
      <c r="BI388" s="98"/>
      <c r="BJ388" s="98"/>
      <c r="BK388" s="98"/>
      <c r="BL388" s="99"/>
      <c r="BM388" s="99"/>
      <c r="BN388" s="99"/>
      <c r="BO388" s="99"/>
      <c r="BP388" s="99"/>
      <c r="BQ388" s="99"/>
      <c r="BR388" s="99"/>
      <c r="BS388" s="99"/>
      <c r="BT388" s="99"/>
      <c r="BU388" s="99"/>
    </row>
    <row r="389" spans="1:73" ht="17.25" customHeight="1">
      <c r="A389" s="6"/>
      <c r="B389" s="577"/>
      <c r="C389" s="578"/>
      <c r="D389" s="12"/>
      <c r="E389" s="1"/>
      <c r="F389" s="1"/>
      <c r="G389" s="3"/>
      <c r="H389" s="3"/>
      <c r="I389" s="3"/>
      <c r="J389" s="3"/>
      <c r="K389" s="3"/>
      <c r="L389" s="3"/>
      <c r="M389" s="3"/>
      <c r="N389" s="3"/>
      <c r="O389" s="1"/>
      <c r="P389" s="1"/>
      <c r="Q389" s="1"/>
      <c r="R389" s="162"/>
      <c r="S389" s="1"/>
      <c r="T389" s="103"/>
      <c r="U389" s="103"/>
      <c r="V389" s="103"/>
      <c r="W389" s="98"/>
      <c r="X389" s="98"/>
      <c r="Y389" s="98"/>
      <c r="Z389" s="98"/>
      <c r="AA389" s="98"/>
      <c r="AB389" s="98"/>
      <c r="AC389" s="98"/>
      <c r="AD389" s="98"/>
      <c r="AE389" s="98"/>
      <c r="AF389" s="98"/>
      <c r="AG389" s="98"/>
      <c r="AH389" s="98"/>
      <c r="AI389" s="98"/>
      <c r="AJ389" s="98"/>
      <c r="AK389" s="98"/>
      <c r="AL389" s="98"/>
      <c r="AM389" s="98"/>
      <c r="AN389" s="98"/>
      <c r="AO389" s="98"/>
      <c r="AP389" s="98"/>
      <c r="AQ389" s="98"/>
      <c r="AR389" s="98"/>
      <c r="AS389" s="98"/>
      <c r="AT389" s="98"/>
      <c r="AU389" s="98"/>
      <c r="AV389" s="98"/>
      <c r="AW389" s="98"/>
      <c r="AX389" s="98"/>
      <c r="AY389" s="98"/>
      <c r="AZ389" s="98"/>
      <c r="BA389" s="98"/>
      <c r="BB389" s="98"/>
      <c r="BC389" s="98"/>
      <c r="BD389" s="98"/>
      <c r="BE389" s="98"/>
      <c r="BF389" s="98"/>
      <c r="BG389" s="98"/>
      <c r="BH389" s="98"/>
      <c r="BI389" s="98"/>
      <c r="BJ389" s="98"/>
      <c r="BK389" s="98"/>
      <c r="BL389" s="99"/>
      <c r="BM389" s="99"/>
      <c r="BN389" s="99"/>
      <c r="BO389" s="99"/>
      <c r="BP389" s="99"/>
      <c r="BQ389" s="99"/>
      <c r="BR389" s="99"/>
      <c r="BS389" s="99"/>
      <c r="BT389" s="99"/>
      <c r="BU389" s="99"/>
    </row>
    <row r="390" spans="1:73" ht="17.25" hidden="1" customHeight="1">
      <c r="A390" s="6"/>
      <c r="B390" s="577"/>
      <c r="C390" s="578"/>
      <c r="D390" s="12"/>
      <c r="E390" s="1"/>
      <c r="F390" s="1"/>
      <c r="G390" s="3"/>
      <c r="H390" s="3"/>
      <c r="I390" s="3"/>
      <c r="J390" s="3"/>
      <c r="K390" s="3"/>
      <c r="L390" s="3"/>
      <c r="M390" s="3"/>
      <c r="N390" s="3"/>
      <c r="O390" s="1"/>
      <c r="P390" s="1"/>
      <c r="Q390" s="1"/>
      <c r="R390" s="162"/>
      <c r="S390" s="1"/>
      <c r="T390" s="103"/>
      <c r="U390" s="9" t="s">
        <v>5</v>
      </c>
      <c r="V390" s="103"/>
      <c r="W390" s="98"/>
      <c r="X390" s="98"/>
      <c r="Y390" s="98"/>
      <c r="Z390" s="98"/>
      <c r="AA390" s="98"/>
      <c r="AB390" s="98"/>
      <c r="AC390" s="98"/>
      <c r="AD390" s="98"/>
      <c r="AE390" s="98"/>
      <c r="AF390" s="98"/>
      <c r="AG390" s="98"/>
      <c r="AH390" s="98"/>
      <c r="AI390" s="98"/>
      <c r="AJ390" s="98"/>
      <c r="AK390" s="98"/>
      <c r="AL390" s="98"/>
      <c r="AM390" s="98"/>
      <c r="AN390" s="98"/>
      <c r="AO390" s="98"/>
      <c r="AP390" s="98"/>
      <c r="AQ390" s="98"/>
      <c r="AR390" s="98"/>
      <c r="AS390" s="98"/>
      <c r="AT390" s="98"/>
      <c r="AU390" s="98"/>
      <c r="AV390" s="98"/>
      <c r="AW390" s="98"/>
      <c r="AX390" s="98"/>
      <c r="AY390" s="98"/>
      <c r="AZ390" s="98"/>
      <c r="BA390" s="98"/>
      <c r="BB390" s="98"/>
      <c r="BC390" s="98"/>
      <c r="BD390" s="98"/>
      <c r="BE390" s="98"/>
      <c r="BF390" s="98"/>
      <c r="BG390" s="98"/>
      <c r="BH390" s="98"/>
      <c r="BI390" s="98"/>
      <c r="BJ390" s="98"/>
      <c r="BK390" s="98"/>
      <c r="BL390" s="99"/>
      <c r="BM390" s="99"/>
      <c r="BN390" s="99"/>
      <c r="BO390" s="99"/>
      <c r="BP390" s="99"/>
      <c r="BQ390" s="99"/>
      <c r="BR390" s="99"/>
      <c r="BS390" s="99"/>
      <c r="BT390" s="99"/>
      <c r="BU390" s="99"/>
    </row>
    <row r="391" spans="1:73" ht="17.25" hidden="1" customHeight="1">
      <c r="A391" s="6"/>
      <c r="B391" s="108"/>
      <c r="C391" s="1"/>
      <c r="D391" s="12"/>
      <c r="E391" s="1"/>
      <c r="F391" s="6"/>
      <c r="G391" s="3"/>
      <c r="H391" s="3"/>
      <c r="I391" s="3"/>
      <c r="J391" s="3"/>
      <c r="K391" s="3"/>
      <c r="L391" s="3"/>
      <c r="M391" s="3"/>
      <c r="N391" s="3"/>
      <c r="O391" s="1"/>
      <c r="P391" s="1"/>
      <c r="Q391" s="1"/>
      <c r="R391" s="162"/>
      <c r="S391" s="1"/>
      <c r="T391" s="103"/>
      <c r="U391" s="103"/>
      <c r="V391" s="103" t="str">
        <f>D384</f>
        <v>Time change due to FAIR</v>
      </c>
      <c r="W391" s="98"/>
      <c r="X391" s="98"/>
      <c r="Y391" s="98"/>
      <c r="Z391" s="98"/>
      <c r="AA391" s="98"/>
      <c r="AB391" s="98"/>
      <c r="AC391" s="98"/>
      <c r="AD391" s="98"/>
      <c r="AE391" s="98"/>
      <c r="AF391" s="98"/>
      <c r="AG391" s="98"/>
      <c r="AH391" s="98"/>
      <c r="AI391" s="98"/>
      <c r="AJ391" s="98"/>
      <c r="AK391" s="98"/>
      <c r="AL391" s="98"/>
      <c r="AM391" s="98"/>
      <c r="AN391" s="98"/>
      <c r="AO391" s="98"/>
      <c r="AP391" s="98"/>
      <c r="AQ391" s="98"/>
      <c r="AR391" s="98"/>
      <c r="AS391" s="98"/>
      <c r="AT391" s="98"/>
      <c r="AU391" s="98"/>
      <c r="AV391" s="98"/>
      <c r="AW391" s="98"/>
      <c r="AX391" s="98"/>
      <c r="AY391" s="98"/>
      <c r="AZ391" s="98"/>
      <c r="BA391" s="98"/>
      <c r="BB391" s="98"/>
      <c r="BC391" s="98"/>
      <c r="BD391" s="98"/>
      <c r="BE391" s="98"/>
      <c r="BF391" s="98"/>
      <c r="BG391" s="98"/>
      <c r="BH391" s="98"/>
      <c r="BI391" s="98"/>
      <c r="BJ391" s="98"/>
      <c r="BK391" s="98"/>
      <c r="BL391" s="99"/>
      <c r="BM391" s="99"/>
      <c r="BN391" s="99"/>
      <c r="BO391" s="99"/>
      <c r="BP391" s="99"/>
      <c r="BQ391" s="99"/>
      <c r="BR391" s="99"/>
      <c r="BS391" s="99"/>
      <c r="BT391" s="99"/>
      <c r="BU391" s="99"/>
    </row>
    <row r="392" spans="1:73" ht="17.25" hidden="1" customHeight="1">
      <c r="A392" s="6"/>
      <c r="B392" s="108"/>
      <c r="C392" s="1"/>
      <c r="D392" s="12"/>
      <c r="E392" s="1"/>
      <c r="F392" s="6"/>
      <c r="G392" s="3"/>
      <c r="H392" s="3"/>
      <c r="I392" s="3"/>
      <c r="J392" s="3"/>
      <c r="K392" s="3"/>
      <c r="L392" s="3"/>
      <c r="M392" s="3"/>
      <c r="N392" s="3"/>
      <c r="O392" s="1"/>
      <c r="P392" s="1"/>
      <c r="Q392" s="1"/>
      <c r="R392" s="162"/>
      <c r="S392" s="1"/>
      <c r="T392" s="6"/>
      <c r="U392" s="6"/>
      <c r="V392" s="103"/>
      <c r="W392" s="98">
        <f>Growth!B20</f>
        <v>2018</v>
      </c>
      <c r="X392" s="98">
        <f t="shared" ref="X392:BK392" si="67">W392+1</f>
        <v>2019</v>
      </c>
      <c r="Y392" s="98">
        <f t="shared" si="67"/>
        <v>2020</v>
      </c>
      <c r="Z392" s="98">
        <f t="shared" si="67"/>
        <v>2021</v>
      </c>
      <c r="AA392" s="98">
        <f t="shared" si="67"/>
        <v>2022</v>
      </c>
      <c r="AB392" s="98">
        <f t="shared" si="67"/>
        <v>2023</v>
      </c>
      <c r="AC392" s="98">
        <f t="shared" si="67"/>
        <v>2024</v>
      </c>
      <c r="AD392" s="98">
        <f t="shared" si="67"/>
        <v>2025</v>
      </c>
      <c r="AE392" s="98">
        <f t="shared" si="67"/>
        <v>2026</v>
      </c>
      <c r="AF392" s="98">
        <f t="shared" si="67"/>
        <v>2027</v>
      </c>
      <c r="AG392" s="98">
        <f t="shared" si="67"/>
        <v>2028</v>
      </c>
      <c r="AH392" s="98">
        <f t="shared" si="67"/>
        <v>2029</v>
      </c>
      <c r="AI392" s="98">
        <f t="shared" si="67"/>
        <v>2030</v>
      </c>
      <c r="AJ392" s="98">
        <f t="shared" si="67"/>
        <v>2031</v>
      </c>
      <c r="AK392" s="98">
        <f t="shared" si="67"/>
        <v>2032</v>
      </c>
      <c r="AL392" s="98">
        <f t="shared" si="67"/>
        <v>2033</v>
      </c>
      <c r="AM392" s="98">
        <f t="shared" si="67"/>
        <v>2034</v>
      </c>
      <c r="AN392" s="98">
        <f t="shared" si="67"/>
        <v>2035</v>
      </c>
      <c r="AO392" s="98">
        <f t="shared" si="67"/>
        <v>2036</v>
      </c>
      <c r="AP392" s="98">
        <f t="shared" si="67"/>
        <v>2037</v>
      </c>
      <c r="AQ392" s="98">
        <f t="shared" si="67"/>
        <v>2038</v>
      </c>
      <c r="AR392" s="98">
        <f t="shared" si="67"/>
        <v>2039</v>
      </c>
      <c r="AS392" s="98">
        <f t="shared" si="67"/>
        <v>2040</v>
      </c>
      <c r="AT392" s="98">
        <f t="shared" si="67"/>
        <v>2041</v>
      </c>
      <c r="AU392" s="98">
        <f t="shared" si="67"/>
        <v>2042</v>
      </c>
      <c r="AV392" s="98">
        <f t="shared" si="67"/>
        <v>2043</v>
      </c>
      <c r="AW392" s="98">
        <f t="shared" si="67"/>
        <v>2044</v>
      </c>
      <c r="AX392" s="98">
        <f t="shared" si="67"/>
        <v>2045</v>
      </c>
      <c r="AY392" s="98">
        <f t="shared" si="67"/>
        <v>2046</v>
      </c>
      <c r="AZ392" s="98">
        <f t="shared" si="67"/>
        <v>2047</v>
      </c>
      <c r="BA392" s="98">
        <f t="shared" si="67"/>
        <v>2048</v>
      </c>
      <c r="BB392" s="98">
        <f t="shared" si="67"/>
        <v>2049</v>
      </c>
      <c r="BC392" s="98">
        <f t="shared" si="67"/>
        <v>2050</v>
      </c>
      <c r="BD392" s="98">
        <f t="shared" si="67"/>
        <v>2051</v>
      </c>
      <c r="BE392" s="98">
        <f t="shared" si="67"/>
        <v>2052</v>
      </c>
      <c r="BF392" s="98">
        <f t="shared" si="67"/>
        <v>2053</v>
      </c>
      <c r="BG392" s="98">
        <f t="shared" si="67"/>
        <v>2054</v>
      </c>
      <c r="BH392" s="98">
        <f t="shared" si="67"/>
        <v>2055</v>
      </c>
      <c r="BI392" s="98">
        <f t="shared" si="67"/>
        <v>2056</v>
      </c>
      <c r="BJ392" s="98">
        <f t="shared" si="67"/>
        <v>2057</v>
      </c>
      <c r="BK392" s="98">
        <f t="shared" si="67"/>
        <v>2058</v>
      </c>
      <c r="BL392" s="98"/>
      <c r="BM392" s="98"/>
      <c r="BN392" s="98"/>
      <c r="BO392" s="98"/>
      <c r="BP392" s="98"/>
      <c r="BQ392" s="98"/>
      <c r="BR392" s="98"/>
      <c r="BS392" s="98"/>
      <c r="BT392" s="98"/>
      <c r="BU392" s="98"/>
    </row>
    <row r="393" spans="1:73" ht="17.25" hidden="1" customHeight="1">
      <c r="A393" s="6"/>
      <c r="B393" s="108"/>
      <c r="C393" s="1"/>
      <c r="D393" s="12"/>
      <c r="E393" s="1"/>
      <c r="F393" s="6"/>
      <c r="G393" s="3"/>
      <c r="H393" s="3"/>
      <c r="I393" s="3"/>
      <c r="J393" s="3"/>
      <c r="K393" s="3"/>
      <c r="L393" s="3"/>
      <c r="M393" s="3"/>
      <c r="N393" s="3"/>
      <c r="O393" s="1"/>
      <c r="P393" s="1"/>
      <c r="Q393" s="1"/>
      <c r="R393" s="162"/>
      <c r="S393" s="1"/>
      <c r="T393" s="103"/>
      <c r="U393" s="103"/>
      <c r="V393" s="103"/>
      <c r="W393" s="134">
        <v>3</v>
      </c>
      <c r="X393" s="134">
        <v>4</v>
      </c>
      <c r="Y393" s="134">
        <v>5</v>
      </c>
      <c r="Z393" s="134">
        <v>6</v>
      </c>
      <c r="AA393" s="134">
        <v>7</v>
      </c>
      <c r="AB393" s="134">
        <v>8</v>
      </c>
      <c r="AC393" s="134">
        <v>9</v>
      </c>
      <c r="AD393" s="134">
        <v>10</v>
      </c>
      <c r="AE393" s="134">
        <v>11</v>
      </c>
      <c r="AF393" s="134">
        <v>12</v>
      </c>
      <c r="AG393" s="134">
        <v>13</v>
      </c>
      <c r="AH393" s="134">
        <v>14</v>
      </c>
      <c r="AI393" s="134">
        <v>15</v>
      </c>
      <c r="AJ393" s="134">
        <v>16</v>
      </c>
      <c r="AK393" s="134">
        <v>17</v>
      </c>
      <c r="AL393" s="134">
        <v>18</v>
      </c>
      <c r="AM393" s="134">
        <v>19</v>
      </c>
      <c r="AN393" s="134">
        <v>20</v>
      </c>
      <c r="AO393" s="134">
        <v>21</v>
      </c>
      <c r="AP393" s="134">
        <v>22</v>
      </c>
      <c r="AQ393" s="134">
        <v>23</v>
      </c>
      <c r="AR393" s="134">
        <v>24</v>
      </c>
      <c r="AS393" s="134">
        <v>25</v>
      </c>
      <c r="AT393" s="134">
        <v>26</v>
      </c>
      <c r="AU393" s="134">
        <v>27</v>
      </c>
      <c r="AV393" s="134">
        <v>28</v>
      </c>
      <c r="AW393" s="134">
        <v>29</v>
      </c>
      <c r="AX393" s="134">
        <v>30</v>
      </c>
      <c r="AY393" s="134">
        <v>31</v>
      </c>
      <c r="AZ393" s="134">
        <v>32</v>
      </c>
      <c r="BA393" s="134">
        <v>33</v>
      </c>
      <c r="BB393" s="134">
        <v>34</v>
      </c>
      <c r="BC393" s="134">
        <v>35</v>
      </c>
      <c r="BD393" s="134">
        <v>36</v>
      </c>
      <c r="BE393" s="134">
        <v>37</v>
      </c>
      <c r="BF393" s="134">
        <v>38</v>
      </c>
      <c r="BG393" s="134">
        <v>39</v>
      </c>
      <c r="BH393" s="134">
        <v>40</v>
      </c>
      <c r="BI393" s="134">
        <v>41</v>
      </c>
      <c r="BJ393" s="134">
        <v>42</v>
      </c>
      <c r="BK393" s="134">
        <v>43</v>
      </c>
      <c r="BL393" s="134"/>
      <c r="BM393" s="134"/>
      <c r="BN393" s="134"/>
      <c r="BO393" s="134"/>
      <c r="BP393" s="134"/>
      <c r="BQ393" s="134"/>
      <c r="BR393" s="134"/>
      <c r="BS393" s="134"/>
      <c r="BT393" s="134"/>
      <c r="BU393" s="134"/>
    </row>
    <row r="394" spans="1:73" ht="17.25" hidden="1" customHeight="1">
      <c r="A394" s="6"/>
      <c r="B394" s="108"/>
      <c r="C394" s="1"/>
      <c r="D394" s="12"/>
      <c r="E394" s="1"/>
      <c r="F394" s="1"/>
      <c r="G394" s="3"/>
      <c r="H394" s="3"/>
      <c r="I394" s="3"/>
      <c r="J394" s="3"/>
      <c r="K394" s="3"/>
      <c r="L394" s="3"/>
      <c r="M394" s="3"/>
      <c r="N394" s="3"/>
      <c r="O394" s="1"/>
      <c r="P394" s="1"/>
      <c r="Q394" s="1"/>
      <c r="R394" s="162"/>
      <c r="S394" s="1"/>
      <c r="T394" s="101" t="s">
        <v>865</v>
      </c>
      <c r="U394" s="101" t="s">
        <v>289</v>
      </c>
      <c r="V394" s="101" t="str">
        <f t="shared" ref="V394:V396" si="68">E386</f>
        <v>No identifier</v>
      </c>
      <c r="W394" s="416">
        <f ca="1">IF($G$386=0%,0%, IF(W$392&gt;='2.2 Input_General_Information'!$H$20,$G$386 * VLOOKUP(W$631,Growth!$B$128:$L$170, 9, FALSE),))</f>
        <v>0.249975</v>
      </c>
      <c r="X394" s="416">
        <f ca="1">IF($G$386=0%,0%, IF(X$392&gt;='2.2 Input_General_Information'!$H$20,$G$386 * VLOOKUP(X$631,Growth!$B$128:$L$170, 9, FALSE),))</f>
        <v>0.2389103922452894</v>
      </c>
      <c r="Y394" s="416">
        <f ca="1">IF($G$386=0%,0%, IF(Y$392&gt;='2.2 Input_General_Information'!$H$20,$G$386 * VLOOKUP(Y$631,Growth!$B$128:$L$170, 9, FALSE),))</f>
        <v>1.1089607754710629E-2</v>
      </c>
      <c r="Z394" s="416">
        <f ca="1">IF($G$386=0%,0%, IF(Z$392&gt;='2.2 Input_General_Information'!$H$20,$G$386 * VLOOKUP(Z$631,Growth!$B$128:$L$170, 9, FALSE),))</f>
        <v>2.4999999999969491E-5</v>
      </c>
      <c r="AA394" s="416">
        <f ca="1">IF($G$386=0%,0%, IF(AA$392&gt;='2.2 Input_General_Information'!$H$20,$G$386 * VLOOKUP(AA$631,Growth!$B$128:$L$170, 9, FALSE),))</f>
        <v>0</v>
      </c>
      <c r="AB394" s="416">
        <f ca="1">IF($G$386=0%,0%, IF(AB$392&gt;='2.2 Input_General_Information'!$H$20,$G$386 * VLOOKUP(AB$631,Growth!$B$128:$L$170, 9, FALSE),))</f>
        <v>0</v>
      </c>
      <c r="AC394" s="416">
        <f ca="1">IF($G$386=0%,0%, IF(AC$392&gt;='2.2 Input_General_Information'!$H$20,$G$386 * VLOOKUP(AC$631,Growth!$B$128:$L$170, 9, FALSE),))</f>
        <v>0</v>
      </c>
      <c r="AD394" s="416">
        <f ca="1">IF($G$386=0%,0%, IF(AD$392&gt;='2.2 Input_General_Information'!$H$20,$G$386 * VLOOKUP(AD$631,Growth!$B$128:$L$170, 9, FALSE),))</f>
        <v>0</v>
      </c>
      <c r="AE394" s="416">
        <f ca="1">IF($G$386=0%,0%, IF(AE$392&gt;='2.2 Input_General_Information'!$H$20,$G$386 * VLOOKUP(AE$631,Growth!$B$128:$L$170, 9, FALSE),))</f>
        <v>0</v>
      </c>
      <c r="AF394" s="416">
        <f ca="1">IF($G$386=0%,0%, IF(AF$392&gt;='2.2 Input_General_Information'!$H$20,$G$386 * VLOOKUP(AF$631,Growth!$B$128:$L$170, 9, FALSE),))</f>
        <v>0</v>
      </c>
      <c r="AG394" s="416">
        <f ca="1">IF($G$386=0%,0%, IF(AG$392&gt;='2.2 Input_General_Information'!$H$20,$G$386 * VLOOKUP(AG$631,Growth!$B$128:$L$170, 9, FALSE),))</f>
        <v>0</v>
      </c>
      <c r="AH394" s="416">
        <f ca="1">IF($G$386=0%,0%, IF(AH$392&gt;='2.2 Input_General_Information'!$H$20,$G$386 * VLOOKUP(AH$631,Growth!$B$128:$L$170, 9, FALSE),))</f>
        <v>0</v>
      </c>
      <c r="AI394" s="416">
        <f ca="1">IF($G$386=0%,0%, IF(AI$392&gt;='2.2 Input_General_Information'!$H$20,$G$386 * VLOOKUP(AI$631,Growth!$B$128:$L$170, 9, FALSE),))</f>
        <v>0</v>
      </c>
      <c r="AJ394" s="416">
        <f ca="1">IF($G$386=0%,0%, IF(AJ$392&gt;='2.2 Input_General_Information'!$H$20,$G$386 * VLOOKUP(AJ$631,Growth!$B$128:$L$170, 9, FALSE),))</f>
        <v>0</v>
      </c>
      <c r="AK394" s="416">
        <f ca="1">IF($G$386=0%,0%, IF(AK$392&gt;='2.2 Input_General_Information'!$H$20,$G$386 * VLOOKUP(AK$631,Growth!$B$128:$L$170, 9, FALSE),))</f>
        <v>0</v>
      </c>
      <c r="AL394" s="416">
        <f ca="1">IF($G$386=0%,0%, IF(AL$392&gt;='2.2 Input_General_Information'!$H$20,$G$386 * VLOOKUP(AL$631,Growth!$B$128:$L$170, 9, FALSE),))</f>
        <v>0</v>
      </c>
      <c r="AM394" s="416">
        <f ca="1">IF($G$386=0%,0%, IF(AM$392&gt;='2.2 Input_General_Information'!$H$20,$G$386 * VLOOKUP(AM$631,Growth!$B$128:$L$170, 9, FALSE),))</f>
        <v>0</v>
      </c>
      <c r="AN394" s="416">
        <f ca="1">IF($G$386=0%,0%, IF(AN$392&gt;='2.2 Input_General_Information'!$H$20,$G$386 * VLOOKUP(AN$631,Growth!$B$128:$L$170, 9, FALSE),))</f>
        <v>0</v>
      </c>
      <c r="AO394" s="416">
        <f ca="1">IF($G$386=0%,0%, IF(AO$392&gt;='2.2 Input_General_Information'!$H$20,$G$386 * VLOOKUP(AO$631,Growth!$B$128:$L$170, 9, FALSE),))</f>
        <v>0</v>
      </c>
      <c r="AP394" s="416">
        <f ca="1">IF($G$386=0%,0%, IF(AP$392&gt;='2.2 Input_General_Information'!$H$20,$G$386 * VLOOKUP(AP$631,Growth!$B$128:$L$170, 9, FALSE),))</f>
        <v>0</v>
      </c>
      <c r="AQ394" s="416">
        <f ca="1">IF($G$386=0%,0%, IF(AQ$392&gt;='2.2 Input_General_Information'!$H$20,$G$386 * VLOOKUP(AQ$631,Growth!$B$128:$L$170, 9, FALSE),))</f>
        <v>0</v>
      </c>
      <c r="AR394" s="416">
        <f ca="1">IF($G$386=0%,0%, IF(AR$392&gt;='2.2 Input_General_Information'!$H$20,$G$386 * VLOOKUP(AR$631,Growth!$B$128:$L$170, 9, FALSE),))</f>
        <v>0</v>
      </c>
      <c r="AS394" s="416">
        <f ca="1">IF($G$386=0%,0%, IF(AS$392&gt;='2.2 Input_General_Information'!$H$20,$G$386 * VLOOKUP(AS$631,Growth!$B$128:$L$170, 9, FALSE),))</f>
        <v>0</v>
      </c>
      <c r="AT394" s="416">
        <f ca="1">IF($G$386=0%,0%, IF(AT$392&gt;='2.2 Input_General_Information'!$H$20,$G$386 * VLOOKUP(AT$631,Growth!$B$128:$L$170, 9, FALSE),))</f>
        <v>0</v>
      </c>
      <c r="AU394" s="416">
        <f ca="1">IF($G$386=0%,0%, IF(AU$392&gt;='2.2 Input_General_Information'!$H$20,$G$386 * VLOOKUP(AU$631,Growth!$B$128:$L$170, 9, FALSE),))</f>
        <v>0</v>
      </c>
      <c r="AV394" s="416">
        <f ca="1">IF($G$386=0%,0%, IF(AV$392&gt;='2.2 Input_General_Information'!$H$20,$G$386 * VLOOKUP(AV$631,Growth!$B$128:$L$170, 9, FALSE),))</f>
        <v>0</v>
      </c>
      <c r="AW394" s="416">
        <f ca="1">IF($G$386=0%,0%, IF(AW$392&gt;='2.2 Input_General_Information'!$H$20,$G$386 * VLOOKUP(AW$631,Growth!$B$128:$L$170, 9, FALSE),))</f>
        <v>0</v>
      </c>
      <c r="AX394" s="416">
        <f ca="1">IF($G$386=0%,0%, IF(AX$392&gt;='2.2 Input_General_Information'!$H$20,$G$386 * VLOOKUP(AX$631,Growth!$B$128:$L$170, 9, FALSE),))</f>
        <v>0</v>
      </c>
      <c r="AY394" s="416">
        <f ca="1">IF($G$386=0%,0%, IF(AY$392&gt;='2.2 Input_General_Information'!$H$20,$G$386 * VLOOKUP(AY$631,Growth!$B$128:$L$170, 9, FALSE),))</f>
        <v>0</v>
      </c>
      <c r="AZ394" s="416">
        <f ca="1">IF($G$386=0%,0%, IF(AZ$392&gt;='2.2 Input_General_Information'!$H$20,$G$386 * VLOOKUP(AZ$631,Growth!$B$128:$L$170, 9, FALSE),))</f>
        <v>0</v>
      </c>
      <c r="BA394" s="416">
        <f ca="1">IF($G$386=0%,0%, IF(BA$392&gt;='2.2 Input_General_Information'!$H$20,$G$386 * VLOOKUP(BA$631,Growth!$B$128:$L$170, 9, FALSE),))</f>
        <v>0</v>
      </c>
      <c r="BB394" s="416">
        <f ca="1">IF($G$386=0%,0%, IF(BB$392&gt;='2.2 Input_General_Information'!$H$20,$G$386 * VLOOKUP(BB$631,Growth!$B$128:$L$170, 9, FALSE),))</f>
        <v>0</v>
      </c>
      <c r="BC394" s="416">
        <f ca="1">IF($G$386=0%,0%, IF(BC$392&gt;='2.2 Input_General_Information'!$H$20,$G$386 * VLOOKUP(BC$631,Growth!$B$128:$L$170, 9, FALSE),))</f>
        <v>0</v>
      </c>
      <c r="BD394" s="416">
        <f ca="1">IF($G$386=0%,0%, IF(BD$392&gt;='2.2 Input_General_Information'!$H$20,$G$386 * VLOOKUP(BD$631,Growth!$B$128:$L$170, 9, FALSE),))</f>
        <v>0</v>
      </c>
      <c r="BE394" s="416">
        <f ca="1">IF($G$386=0%,0%, IF(BE$392&gt;='2.2 Input_General_Information'!$H$20,$G$386 * VLOOKUP(BE$631,Growth!$B$128:$L$170, 9, FALSE),))</f>
        <v>0</v>
      </c>
      <c r="BF394" s="416">
        <f ca="1">IF($G$386=0%,0%, IF(BF$392&gt;='2.2 Input_General_Information'!$H$20,$G$386 * VLOOKUP(BF$631,Growth!$B$128:$L$170, 9, FALSE),))</f>
        <v>0</v>
      </c>
      <c r="BG394" s="416">
        <f ca="1">IF($G$386=0%,0%, IF(BG$392&gt;='2.2 Input_General_Information'!$H$20,$G$386 * VLOOKUP(BG$631,Growth!$B$128:$L$170, 9, FALSE),))</f>
        <v>0</v>
      </c>
      <c r="BH394" s="416">
        <f ca="1">IF($G$386=0%,0%, IF(BH$392&gt;='2.2 Input_General_Information'!$H$20,$G$386 * VLOOKUP(BH$631,Growth!$B$128:$L$170, 9, FALSE),))</f>
        <v>0</v>
      </c>
      <c r="BI394" s="416">
        <f ca="1">IF($G$386=0%,0%, IF(BI$392&gt;='2.2 Input_General_Information'!$H$20,$G$386 * VLOOKUP(BI$631,Growth!$B$128:$L$170, 9, FALSE),))</f>
        <v>0</v>
      </c>
      <c r="BJ394" s="416">
        <f ca="1">IF($G$386=0%,0%, IF(BJ$392&gt;='2.2 Input_General_Information'!$H$20,$G$386 * VLOOKUP(BJ$631,Growth!$B$128:$L$170, 9, FALSE),))</f>
        <v>0</v>
      </c>
      <c r="BK394" s="416">
        <f ca="1">IF($G$386=0%,0%, IF(BK$392&gt;='2.2 Input_General_Information'!$H$20,$G$386 * VLOOKUP(BK$631,Growth!$B$128:$L$170, 9, FALSE),))</f>
        <v>0</v>
      </c>
      <c r="BL394" s="416"/>
      <c r="BM394" s="416"/>
      <c r="BN394" s="416"/>
      <c r="BO394" s="416"/>
      <c r="BP394" s="416"/>
      <c r="BQ394" s="416"/>
      <c r="BR394" s="416"/>
      <c r="BS394" s="416"/>
      <c r="BT394" s="416"/>
      <c r="BU394" s="416"/>
    </row>
    <row r="395" spans="1:73" ht="17.25" hidden="1" customHeight="1">
      <c r="A395" s="6"/>
      <c r="B395" s="108"/>
      <c r="C395" s="1"/>
      <c r="D395" s="12"/>
      <c r="E395" s="1"/>
      <c r="F395" s="1"/>
      <c r="G395" s="3"/>
      <c r="H395" s="3"/>
      <c r="I395" s="3"/>
      <c r="J395" s="3"/>
      <c r="K395" s="3"/>
      <c r="L395" s="3"/>
      <c r="M395" s="3"/>
      <c r="N395" s="3"/>
      <c r="O395" s="1"/>
      <c r="P395" s="1"/>
      <c r="Q395" s="1"/>
      <c r="R395" s="162"/>
      <c r="S395" s="1"/>
      <c r="T395" s="101" t="s">
        <v>865</v>
      </c>
      <c r="U395" s="101" t="s">
        <v>289</v>
      </c>
      <c r="V395" s="101" t="str">
        <f t="shared" si="68"/>
        <v>Local Persistent Identifier (PID)</v>
      </c>
      <c r="W395" s="416">
        <f ca="1">IF($G$387=0%,0%, IF(W$392&gt;='2.2 Input_General_Information'!$H$20,$G$387 * VLOOKUP(W$631,Growth!$B$128:$L$170, 9, FALSE),))</f>
        <v>0.59994000000000003</v>
      </c>
      <c r="X395" s="416">
        <f ca="1">IF($G$387=0%,0%, IF(X$392&gt;='2.2 Input_General_Information'!$H$20,$G$387 * VLOOKUP(X$631,Growth!$B$128:$L$170, 9, FALSE),))</f>
        <v>0.57338494138869456</v>
      </c>
      <c r="Y395" s="416">
        <f ca="1">IF($G$387=0%,0%, IF(Y$392&gt;='2.2 Input_General_Information'!$H$20,$G$387 * VLOOKUP(Y$631,Growth!$B$128:$L$170, 9, FALSE),))</f>
        <v>2.6615058611305507E-2</v>
      </c>
      <c r="Z395" s="416">
        <f ca="1">IF($G$387=0%,0%, IF(Z$392&gt;='2.2 Input_General_Information'!$H$20,$G$387 * VLOOKUP(Z$631,Growth!$B$128:$L$170, 9, FALSE),))</f>
        <v>5.9999999999926777E-5</v>
      </c>
      <c r="AA395" s="416">
        <f ca="1">IF($G$387=0%,0%, IF(AA$392&gt;='2.2 Input_General_Information'!$H$20,$G$387 * VLOOKUP(AA$631,Growth!$B$128:$L$170, 9, FALSE),))</f>
        <v>0</v>
      </c>
      <c r="AB395" s="416">
        <f ca="1">IF($G$387=0%,0%, IF(AB$392&gt;='2.2 Input_General_Information'!$H$20,$G$387 * VLOOKUP(AB$631,Growth!$B$128:$L$170, 9, FALSE),))</f>
        <v>0</v>
      </c>
      <c r="AC395" s="416">
        <f ca="1">IF($G$387=0%,0%, IF(AC$392&gt;='2.2 Input_General_Information'!$H$20,$G$387 * VLOOKUP(AC$631,Growth!$B$128:$L$170, 9, FALSE),))</f>
        <v>0</v>
      </c>
      <c r="AD395" s="416">
        <f ca="1">IF($G$387=0%,0%, IF(AD$392&gt;='2.2 Input_General_Information'!$H$20,$G$387 * VLOOKUP(AD$631,Growth!$B$128:$L$170, 9, FALSE),))</f>
        <v>0</v>
      </c>
      <c r="AE395" s="416">
        <f ca="1">IF($G$387=0%,0%, IF(AE$392&gt;='2.2 Input_General_Information'!$H$20,$G$387 * VLOOKUP(AE$631,Growth!$B$128:$L$170, 9, FALSE),))</f>
        <v>0</v>
      </c>
      <c r="AF395" s="416">
        <f ca="1">IF($G$387=0%,0%, IF(AF$392&gt;='2.2 Input_General_Information'!$H$20,$G$387 * VLOOKUP(AF$631,Growth!$B$128:$L$170, 9, FALSE),))</f>
        <v>0</v>
      </c>
      <c r="AG395" s="416">
        <f ca="1">IF($G$387=0%,0%, IF(AG$392&gt;='2.2 Input_General_Information'!$H$20,$G$387 * VLOOKUP(AG$631,Growth!$B$128:$L$170, 9, FALSE),))</f>
        <v>0</v>
      </c>
      <c r="AH395" s="416">
        <f ca="1">IF($G$387=0%,0%, IF(AH$392&gt;='2.2 Input_General_Information'!$H$20,$G$387 * VLOOKUP(AH$631,Growth!$B$128:$L$170, 9, FALSE),))</f>
        <v>0</v>
      </c>
      <c r="AI395" s="416">
        <f ca="1">IF($G$387=0%,0%, IF(AI$392&gt;='2.2 Input_General_Information'!$H$20,$G$387 * VLOOKUP(AI$631,Growth!$B$128:$L$170, 9, FALSE),))</f>
        <v>0</v>
      </c>
      <c r="AJ395" s="416">
        <f ca="1">IF($G$387=0%,0%, IF(AJ$392&gt;='2.2 Input_General_Information'!$H$20,$G$387 * VLOOKUP(AJ$631,Growth!$B$128:$L$170, 9, FALSE),))</f>
        <v>0</v>
      </c>
      <c r="AK395" s="416">
        <f ca="1">IF($G$387=0%,0%, IF(AK$392&gt;='2.2 Input_General_Information'!$H$20,$G$387 * VLOOKUP(AK$631,Growth!$B$128:$L$170, 9, FALSE),))</f>
        <v>0</v>
      </c>
      <c r="AL395" s="416">
        <f ca="1">IF($G$387=0%,0%, IF(AL$392&gt;='2.2 Input_General_Information'!$H$20,$G$387 * VLOOKUP(AL$631,Growth!$B$128:$L$170, 9, FALSE),))</f>
        <v>0</v>
      </c>
      <c r="AM395" s="416">
        <f ca="1">IF($G$387=0%,0%, IF(AM$392&gt;='2.2 Input_General_Information'!$H$20,$G$387 * VLOOKUP(AM$631,Growth!$B$128:$L$170, 9, FALSE),))</f>
        <v>0</v>
      </c>
      <c r="AN395" s="416">
        <f ca="1">IF($G$387=0%,0%, IF(AN$392&gt;='2.2 Input_General_Information'!$H$20,$G$387 * VLOOKUP(AN$631,Growth!$B$128:$L$170, 9, FALSE),))</f>
        <v>0</v>
      </c>
      <c r="AO395" s="416">
        <f ca="1">IF($G$387=0%,0%, IF(AO$392&gt;='2.2 Input_General_Information'!$H$20,$G$387 * VLOOKUP(AO$631,Growth!$B$128:$L$170, 9, FALSE),))</f>
        <v>0</v>
      </c>
      <c r="AP395" s="416">
        <f ca="1">IF($G$387=0%,0%, IF(AP$392&gt;='2.2 Input_General_Information'!$H$20,$G$387 * VLOOKUP(AP$631,Growth!$B$128:$L$170, 9, FALSE),))</f>
        <v>0</v>
      </c>
      <c r="AQ395" s="416">
        <f ca="1">IF($G$387=0%,0%, IF(AQ$392&gt;='2.2 Input_General_Information'!$H$20,$G$387 * VLOOKUP(AQ$631,Growth!$B$128:$L$170, 9, FALSE),))</f>
        <v>0</v>
      </c>
      <c r="AR395" s="416">
        <f ca="1">IF($G$387=0%,0%, IF(AR$392&gt;='2.2 Input_General_Information'!$H$20,$G$387 * VLOOKUP(AR$631,Growth!$B$128:$L$170, 9, FALSE),))</f>
        <v>0</v>
      </c>
      <c r="AS395" s="416">
        <f ca="1">IF($G$387=0%,0%, IF(AS$392&gt;='2.2 Input_General_Information'!$H$20,$G$387 * VLOOKUP(AS$631,Growth!$B$128:$L$170, 9, FALSE),))</f>
        <v>0</v>
      </c>
      <c r="AT395" s="416">
        <f ca="1">IF($G$387=0%,0%, IF(AT$392&gt;='2.2 Input_General_Information'!$H$20,$G$387 * VLOOKUP(AT$631,Growth!$B$128:$L$170, 9, FALSE),))</f>
        <v>0</v>
      </c>
      <c r="AU395" s="416">
        <f ca="1">IF($G$387=0%,0%, IF(AU$392&gt;='2.2 Input_General_Information'!$H$20,$G$387 * VLOOKUP(AU$631,Growth!$B$128:$L$170, 9, FALSE),))</f>
        <v>0</v>
      </c>
      <c r="AV395" s="416">
        <f ca="1">IF($G$387=0%,0%, IF(AV$392&gt;='2.2 Input_General_Information'!$H$20,$G$387 * VLOOKUP(AV$631,Growth!$B$128:$L$170, 9, FALSE),))</f>
        <v>0</v>
      </c>
      <c r="AW395" s="416">
        <f ca="1">IF($G$387=0%,0%, IF(AW$392&gt;='2.2 Input_General_Information'!$H$20,$G$387 * VLOOKUP(AW$631,Growth!$B$128:$L$170, 9, FALSE),))</f>
        <v>0</v>
      </c>
      <c r="AX395" s="416">
        <f ca="1">IF($G$387=0%,0%, IF(AX$392&gt;='2.2 Input_General_Information'!$H$20,$G$387 * VLOOKUP(AX$631,Growth!$B$128:$L$170, 9, FALSE),))</f>
        <v>0</v>
      </c>
      <c r="AY395" s="416">
        <f ca="1">IF($G$387=0%,0%, IF(AY$392&gt;='2.2 Input_General_Information'!$H$20,$G$387 * VLOOKUP(AY$631,Growth!$B$128:$L$170, 9, FALSE),))</f>
        <v>0</v>
      </c>
      <c r="AZ395" s="416">
        <f ca="1">IF($G$387=0%,0%, IF(AZ$392&gt;='2.2 Input_General_Information'!$H$20,$G$387 * VLOOKUP(AZ$631,Growth!$B$128:$L$170, 9, FALSE),))</f>
        <v>0</v>
      </c>
      <c r="BA395" s="416">
        <f ca="1">IF($G$387=0%,0%, IF(BA$392&gt;='2.2 Input_General_Information'!$H$20,$G$387 * VLOOKUP(BA$631,Growth!$B$128:$L$170, 9, FALSE),))</f>
        <v>0</v>
      </c>
      <c r="BB395" s="416">
        <f ca="1">IF($G$387=0%,0%, IF(BB$392&gt;='2.2 Input_General_Information'!$H$20,$G$387 * VLOOKUP(BB$631,Growth!$B$128:$L$170, 9, FALSE),))</f>
        <v>0</v>
      </c>
      <c r="BC395" s="416">
        <f ca="1">IF($G$387=0%,0%, IF(BC$392&gt;='2.2 Input_General_Information'!$H$20,$G$387 * VLOOKUP(BC$631,Growth!$B$128:$L$170, 9, FALSE),))</f>
        <v>0</v>
      </c>
      <c r="BD395" s="416">
        <f ca="1">IF($G$387=0%,0%, IF(BD$392&gt;='2.2 Input_General_Information'!$H$20,$G$387 * VLOOKUP(BD$631,Growth!$B$128:$L$170, 9, FALSE),))</f>
        <v>0</v>
      </c>
      <c r="BE395" s="416">
        <f ca="1">IF($G$387=0%,0%, IF(BE$392&gt;='2.2 Input_General_Information'!$H$20,$G$387 * VLOOKUP(BE$631,Growth!$B$128:$L$170, 9, FALSE),))</f>
        <v>0</v>
      </c>
      <c r="BF395" s="416">
        <f ca="1">IF($G$387=0%,0%, IF(BF$392&gt;='2.2 Input_General_Information'!$H$20,$G$387 * VLOOKUP(BF$631,Growth!$B$128:$L$170, 9, FALSE),))</f>
        <v>0</v>
      </c>
      <c r="BG395" s="416">
        <f ca="1">IF($G$387=0%,0%, IF(BG$392&gt;='2.2 Input_General_Information'!$H$20,$G$387 * VLOOKUP(BG$631,Growth!$B$128:$L$170, 9, FALSE),))</f>
        <v>0</v>
      </c>
      <c r="BH395" s="416">
        <f ca="1">IF($G$387=0%,0%, IF(BH$392&gt;='2.2 Input_General_Information'!$H$20,$G$387 * VLOOKUP(BH$631,Growth!$B$128:$L$170, 9, FALSE),))</f>
        <v>0</v>
      </c>
      <c r="BI395" s="416">
        <f ca="1">IF($G$387=0%,0%, IF(BI$392&gt;='2.2 Input_General_Information'!$H$20,$G$387 * VLOOKUP(BI$631,Growth!$B$128:$L$170, 9, FALSE),))</f>
        <v>0</v>
      </c>
      <c r="BJ395" s="416">
        <f ca="1">IF($G$387=0%,0%, IF(BJ$392&gt;='2.2 Input_General_Information'!$H$20,$G$387 * VLOOKUP(BJ$631,Growth!$B$128:$L$170, 9, FALSE),))</f>
        <v>0</v>
      </c>
      <c r="BK395" s="416">
        <f ca="1">IF($G$387=0%,0%, IF(BK$392&gt;='2.2 Input_General_Information'!$H$20,$G$387 * VLOOKUP(BK$631,Growth!$B$128:$L$170, 9, FALSE),))</f>
        <v>0</v>
      </c>
      <c r="BL395" s="416"/>
      <c r="BM395" s="416"/>
      <c r="BN395" s="416"/>
      <c r="BO395" s="416"/>
      <c r="BP395" s="416"/>
      <c r="BQ395" s="416"/>
      <c r="BR395" s="416"/>
      <c r="BS395" s="416"/>
      <c r="BT395" s="416"/>
      <c r="BU395" s="416"/>
    </row>
    <row r="396" spans="1:73" ht="17.25" hidden="1" customHeight="1">
      <c r="A396" s="6"/>
      <c r="B396" s="108"/>
      <c r="C396" s="1"/>
      <c r="D396" s="12"/>
      <c r="E396" s="1"/>
      <c r="F396" s="1"/>
      <c r="G396" s="3"/>
      <c r="H396" s="3"/>
      <c r="I396" s="3"/>
      <c r="J396" s="3"/>
      <c r="K396" s="3"/>
      <c r="L396" s="3"/>
      <c r="M396" s="3"/>
      <c r="N396" s="3"/>
      <c r="O396" s="1"/>
      <c r="P396" s="1"/>
      <c r="Q396" s="1"/>
      <c r="R396" s="162"/>
      <c r="S396" s="1"/>
      <c r="T396" s="101" t="s">
        <v>865</v>
      </c>
      <c r="U396" s="372" t="s">
        <v>866</v>
      </c>
      <c r="V396" s="101" t="str">
        <f t="shared" si="68"/>
        <v>Recognized standard PID</v>
      </c>
      <c r="W396" s="416">
        <f ca="1">IF($G$388=100%,100%, IF(W$392&gt;='2.2 Input_General_Information'!$H$20,MIN(HLOOKUP($G$388,Growth!$J$195:$J$237, W393, FALSE),1),))</f>
        <v>0.150000000000031</v>
      </c>
      <c r="X396" s="416">
        <f ca="1">IF($G$388=100%,100%, IF(X$392&gt;='2.2 Input_General_Information'!$H$20,MIN(HLOOKUP($G$388,Growth!$J$195:$J$237, X393, FALSE),1),))</f>
        <v>0.87143194739308483</v>
      </c>
      <c r="Y396" s="416">
        <f ca="1">IF($G$388=100%,100%, IF(Y$392&gt;='2.2 Input_General_Information'!$H$20,MIN(HLOOKUP($G$388,Growth!$J$195:$J$237, Y393, FALSE),1),))</f>
        <v>0.99617345807284852</v>
      </c>
      <c r="Z396" s="416">
        <f ca="1">IF($G$388=100%,100%, IF(Z$392&gt;='2.2 Input_General_Information'!$H$20,MIN(HLOOKUP($G$388,Growth!$J$195:$J$237, Z393, FALSE),1),))</f>
        <v>0.99990000000000012</v>
      </c>
      <c r="AA396" s="416">
        <f ca="1">IF($G$388=100%,100%, IF(AA$392&gt;='2.2 Input_General_Information'!$H$20,MIN(HLOOKUP($G$388,Growth!$J$195:$J$237, AA393, FALSE),1),))</f>
        <v>1</v>
      </c>
      <c r="AB396" s="416">
        <f ca="1">IF($G$388=100%,100%, IF(AB$392&gt;='2.2 Input_General_Information'!$H$20,MIN(HLOOKUP($G$388,Growth!$J$195:$J$237, AB393, FALSE),1),))</f>
        <v>1</v>
      </c>
      <c r="AC396" s="416">
        <f ca="1">IF($G$388=100%,100%, IF(AC$392&gt;='2.2 Input_General_Information'!$H$20,MIN(HLOOKUP($G$388,Growth!$J$195:$J$237, AC393, FALSE),1),))</f>
        <v>1</v>
      </c>
      <c r="AD396" s="416">
        <f ca="1">IF($G$388=100%,100%, IF(AD$392&gt;='2.2 Input_General_Information'!$H$20,MIN(HLOOKUP($G$388,Growth!$J$195:$J$237, AD393, FALSE),1),))</f>
        <v>1</v>
      </c>
      <c r="AE396" s="416">
        <f ca="1">IF($G$388=100%,100%, IF(AE$392&gt;='2.2 Input_General_Information'!$H$20,MIN(HLOOKUP($G$388,Growth!$J$195:$J$237, AE393, FALSE),1),))</f>
        <v>1</v>
      </c>
      <c r="AF396" s="416">
        <f ca="1">IF($G$388=100%,100%, IF(AF$392&gt;='2.2 Input_General_Information'!$H$20,MIN(HLOOKUP($G$388,Growth!$J$195:$J$237, AF393, FALSE),1),))</f>
        <v>1</v>
      </c>
      <c r="AG396" s="416">
        <f ca="1">IF($G$388=100%,100%, IF(AG$392&gt;='2.2 Input_General_Information'!$H$20,MIN(HLOOKUP($G$388,Growth!$J$195:$J$237, AG393, FALSE),1),))</f>
        <v>1</v>
      </c>
      <c r="AH396" s="416">
        <f ca="1">IF($G$388=100%,100%, IF(AH$392&gt;='2.2 Input_General_Information'!$H$20,IF(HLOOKUP($G$388,Growth!$J$195:$J$237, AH393, FALSE)="",1,HLOOKUP($G$388,Growth!$J$195:$J$237, AH393, FALSE)),))</f>
        <v>1</v>
      </c>
      <c r="AI396" s="469">
        <f ca="1">IF($G$388=100%,100%, IF(AI$392&gt;='2.2 Input_General_Information'!$H$20,IF(HLOOKUP($G$388,Growth!$J$195:$J$237, AI393, FALSE)="",1,HLOOKUP($G$388,Growth!$J$195:$J$237, AI393, FALSE)),))</f>
        <v>1</v>
      </c>
      <c r="AJ396" s="469">
        <f ca="1">IF($G$388=100%,100%, IF(AJ$392&gt;='2.2 Input_General_Information'!$H$20,IF(HLOOKUP($G$388,Growth!$J$195:$J$237, AJ393, FALSE)="",1,HLOOKUP($G$388,Growth!$J$195:$J$237, AJ393, FALSE)),))</f>
        <v>1</v>
      </c>
      <c r="AK396" s="469">
        <f ca="1">IF($G$388=100%,100%, IF(AK$392&gt;='2.2 Input_General_Information'!$H$20,IF(HLOOKUP($G$388,Growth!$J$195:$J$237, AK393, FALSE)="",1,HLOOKUP($G$388,Growth!$J$195:$J$237, AK393, FALSE)),))</f>
        <v>1</v>
      </c>
      <c r="AL396" s="469">
        <f ca="1">IF($G$388=100%,100%, IF(AL$392&gt;='2.2 Input_General_Information'!$H$20,IF(HLOOKUP($G$388,Growth!$J$195:$J$237, AL393, FALSE)="",1,HLOOKUP($G$388,Growth!$J$195:$J$237, AL393, FALSE)),))</f>
        <v>1</v>
      </c>
      <c r="AM396" s="469">
        <f ca="1">IF($G$388=100%,100%, IF(AM$392&gt;='2.2 Input_General_Information'!$H$20,IF(HLOOKUP($G$388,Growth!$J$195:$J$237, AM393, FALSE)="",1,HLOOKUP($G$388,Growth!$J$195:$J$237, AM393, FALSE)),))</f>
        <v>1</v>
      </c>
      <c r="AN396" s="469">
        <f ca="1">IF($G$388=100%,100%, IF(AN$392&gt;='2.2 Input_General_Information'!$H$20,IF(HLOOKUP($G$388,Growth!$J$195:$J$237, AN393, FALSE)="",1,HLOOKUP($G$388,Growth!$J$195:$J$237, AN393, FALSE)),))</f>
        <v>1</v>
      </c>
      <c r="AO396" s="469">
        <f ca="1">IF($G$388=100%,100%, IF(AO$392&gt;='2.2 Input_General_Information'!$H$20,IF(HLOOKUP($G$388,Growth!$J$195:$J$237, AO393, FALSE)="",1,HLOOKUP($G$388,Growth!$J$195:$J$237, AO393, FALSE)),))</f>
        <v>1</v>
      </c>
      <c r="AP396" s="469">
        <f ca="1">IF($G$388=100%,100%, IF(AP$392&gt;='2.2 Input_General_Information'!$H$20,IF(HLOOKUP($G$388,Growth!$J$195:$J$237, AP393, FALSE)="",1,HLOOKUP($G$388,Growth!$J$195:$J$237, AP393, FALSE)),))</f>
        <v>1</v>
      </c>
      <c r="AQ396" s="469">
        <f ca="1">IF($G$388=100%,100%, IF(AQ$392&gt;='2.2 Input_General_Information'!$H$20,IF(HLOOKUP($G$388,Growth!$J$195:$J$237, AQ393, FALSE)="",1,HLOOKUP($G$388,Growth!$J$195:$J$237, AQ393, FALSE)),))</f>
        <v>1</v>
      </c>
      <c r="AR396" s="469">
        <f ca="1">IF($G$388=100%,100%, IF(AR$392&gt;='2.2 Input_General_Information'!$H$20,IF(HLOOKUP($G$388,Growth!$J$195:$J$237, AR393, FALSE)="",1,HLOOKUP($G$388,Growth!$J$195:$J$237, AR393, FALSE)),))</f>
        <v>1</v>
      </c>
      <c r="AS396" s="469">
        <f ca="1">IF($G$388=100%,100%, IF(AS$392&gt;='2.2 Input_General_Information'!$H$20,IF(HLOOKUP($G$388,Growth!$J$195:$J$237, AS393, FALSE)="",1,HLOOKUP($G$388,Growth!$J$195:$J$237, AS393, FALSE)),))</f>
        <v>1</v>
      </c>
      <c r="AT396" s="469">
        <f ca="1">IF($G$388=100%,100%, IF(AT$392&gt;='2.2 Input_General_Information'!$H$20,IF(HLOOKUP($G$388,Growth!$J$195:$J$237, AT393, FALSE)="",1,HLOOKUP($G$388,Growth!$J$195:$J$237, AT393, FALSE)),))</f>
        <v>1</v>
      </c>
      <c r="AU396" s="469">
        <f ca="1">IF($G$388=100%,100%, IF(AU$392&gt;='2.2 Input_General_Information'!$H$20,IF(HLOOKUP($G$388,Growth!$J$195:$J$237, AU393, FALSE)="",1,HLOOKUP($G$388,Growth!$J$195:$J$237, AU393, FALSE)),))</f>
        <v>1</v>
      </c>
      <c r="AV396" s="469">
        <f ca="1">IF($G$388=100%,100%, IF(AV$392&gt;='2.2 Input_General_Information'!$H$20,IF(HLOOKUP($G$388,Growth!$J$195:$J$237, AV393, FALSE)="",1,HLOOKUP($G$388,Growth!$J$195:$J$237, AV393, FALSE)),))</f>
        <v>1</v>
      </c>
      <c r="AW396" s="469">
        <f ca="1">IF($G$388=100%,100%, IF(AW$392&gt;='2.2 Input_General_Information'!$H$20,IF(HLOOKUP($G$388,Growth!$J$195:$J$237, AW393, FALSE)="",1,HLOOKUP($G$388,Growth!$J$195:$J$237, AW393, FALSE)),))</f>
        <v>1</v>
      </c>
      <c r="AX396" s="469">
        <f ca="1">IF($G$388=100%,100%, IF(AX$392&gt;='2.2 Input_General_Information'!$H$20,IF(HLOOKUP($G$388,Growth!$J$195:$J$237, AX393, FALSE)="",1,HLOOKUP($G$388,Growth!$J$195:$J$237, AX393, FALSE)),))</f>
        <v>1</v>
      </c>
      <c r="AY396" s="469">
        <f ca="1">IF($G$388=100%,100%, IF(AY$392&gt;='2.2 Input_General_Information'!$H$20,IF(HLOOKUP($G$388,Growth!$J$195:$J$237, AY393, FALSE)="",1,HLOOKUP($G$388,Growth!$J$195:$J$237, AY393, FALSE)),))</f>
        <v>1</v>
      </c>
      <c r="AZ396" s="469">
        <f ca="1">IF($G$388=100%,100%, IF(AZ$392&gt;='2.2 Input_General_Information'!$H$20,IF(HLOOKUP($G$388,Growth!$J$195:$J$237, AZ393, FALSE)="",1,HLOOKUP($G$388,Growth!$J$195:$J$237, AZ393, FALSE)),))</f>
        <v>1</v>
      </c>
      <c r="BA396" s="469">
        <f ca="1">IF($G$388=100%,100%, IF(BA$392&gt;='2.2 Input_General_Information'!$H$20,IF(HLOOKUP($G$388,Growth!$J$195:$J$237, BA393, FALSE)="",1,HLOOKUP($G$388,Growth!$J$195:$J$237, BA393, FALSE)),))</f>
        <v>1</v>
      </c>
      <c r="BB396" s="469">
        <f ca="1">IF($G$388=100%,100%, IF(BB$392&gt;='2.2 Input_General_Information'!$H$20,IF(HLOOKUP($G$388,Growth!$J$195:$J$237, BB393, FALSE)="",1,HLOOKUP($G$388,Growth!$J$195:$J$237, BB393, FALSE)),))</f>
        <v>1</v>
      </c>
      <c r="BC396" s="469">
        <f ca="1">IF($G$388=100%,100%, IF(BC$392&gt;='2.2 Input_General_Information'!$H$20,IF(HLOOKUP($G$388,Growth!$J$195:$J$237, BC393, FALSE)="",1,HLOOKUP($G$388,Growth!$J$195:$J$237, BC393, FALSE)),))</f>
        <v>1</v>
      </c>
      <c r="BD396" s="469">
        <f ca="1">IF($G$388=100%,100%, IF(BD$392&gt;='2.2 Input_General_Information'!$H$20,IF(HLOOKUP($G$388,Growth!$J$195:$J$237, BD393, FALSE)="",1,HLOOKUP($G$388,Growth!$J$195:$J$237, BD393, FALSE)),))</f>
        <v>1</v>
      </c>
      <c r="BE396" s="469">
        <f ca="1">IF($G$388=100%,100%, IF(BE$392&gt;='2.2 Input_General_Information'!$H$20,IF(HLOOKUP($G$388,Growth!$J$195:$J$237, BE393, FALSE)="",1,HLOOKUP($G$388,Growth!$J$195:$J$237, BE393, FALSE)),))</f>
        <v>1</v>
      </c>
      <c r="BF396" s="469">
        <f ca="1">IF($G$388=100%,100%, IF(BF$392&gt;='2.2 Input_General_Information'!$H$20,IF(HLOOKUP($G$388,Growth!$J$195:$J$237, BF393, FALSE)="",1,HLOOKUP($G$388,Growth!$J$195:$J$237, BF393, FALSE)),))</f>
        <v>1</v>
      </c>
      <c r="BG396" s="469">
        <f ca="1">IF($G$388=100%,100%, IF(BG$392&gt;='2.2 Input_General_Information'!$H$20,IF(HLOOKUP($G$388,Growth!$J$195:$J$237, BG393, FALSE)="",1,HLOOKUP($G$388,Growth!$J$195:$J$237, BG393, FALSE)),))</f>
        <v>1</v>
      </c>
      <c r="BH396" s="469">
        <f ca="1">IF($G$388=100%,100%, IF(BH$392&gt;='2.2 Input_General_Information'!$H$20,IF(HLOOKUP($G$388,Growth!$J$195:$J$237, BH393, FALSE)="",1,HLOOKUP($G$388,Growth!$J$195:$J$237, BH393, FALSE)),))</f>
        <v>1</v>
      </c>
      <c r="BI396" s="469">
        <f ca="1">IF($G$388=100%,100%, IF(BI$392&gt;='2.2 Input_General_Information'!$H$20,IF(HLOOKUP($G$388,Growth!$J$195:$J$237, BI393, FALSE)="",1,HLOOKUP($G$388,Growth!$J$195:$J$237, BI393, FALSE)),))</f>
        <v>1</v>
      </c>
      <c r="BJ396" s="469">
        <f ca="1">IF($G$388=100%,100%, IF(BJ$392&gt;='2.2 Input_General_Information'!$H$20,IF(HLOOKUP($G$388,Growth!$J$195:$J$237, BJ393, FALSE)="",1,HLOOKUP($G$388,Growth!$J$195:$J$237, BJ393, FALSE)),))</f>
        <v>1</v>
      </c>
      <c r="BK396" s="469">
        <f ca="1">IF($G$388=100%,100%, IF(BK$392&gt;='2.2 Input_General_Information'!$H$20,IF(HLOOKUP($G$388,Growth!$J$195:$J$237, BK393, FALSE)="",1,HLOOKUP($G$388,Growth!$J$195:$J$237, BK393, FALSE)),))</f>
        <v>1</v>
      </c>
      <c r="BL396" s="416"/>
      <c r="BM396" s="416"/>
      <c r="BN396" s="416"/>
      <c r="BO396" s="416"/>
      <c r="BP396" s="416"/>
      <c r="BQ396" s="416"/>
      <c r="BR396" s="416"/>
      <c r="BS396" s="416"/>
      <c r="BT396" s="416"/>
      <c r="BU396" s="416"/>
    </row>
    <row r="397" spans="1:73" ht="17.25" hidden="1" customHeight="1">
      <c r="A397" s="6"/>
      <c r="B397" s="108"/>
      <c r="C397" s="1"/>
      <c r="D397" s="12"/>
      <c r="E397" s="1"/>
      <c r="F397" s="1"/>
      <c r="G397" s="3"/>
      <c r="H397" s="3"/>
      <c r="I397" s="3"/>
      <c r="J397" s="3"/>
      <c r="K397" s="3"/>
      <c r="L397" s="3"/>
      <c r="M397" s="3"/>
      <c r="N397" s="3"/>
      <c r="O397" s="1"/>
      <c r="P397" s="1"/>
      <c r="Q397" s="1"/>
      <c r="R397" s="162"/>
      <c r="S397" s="1"/>
      <c r="T397" s="103"/>
      <c r="U397" s="103"/>
      <c r="V397" s="103"/>
      <c r="W397" s="416"/>
      <c r="X397" s="416"/>
      <c r="Y397" s="416"/>
      <c r="Z397" s="416"/>
      <c r="AA397" s="416"/>
      <c r="AB397" s="416"/>
      <c r="AC397" s="416"/>
      <c r="AD397" s="416"/>
      <c r="AE397" s="416"/>
      <c r="AF397" s="416"/>
      <c r="AG397" s="416"/>
      <c r="AH397" s="416"/>
      <c r="AI397" s="416"/>
      <c r="AJ397" s="416"/>
      <c r="AK397" s="416"/>
      <c r="AL397" s="416"/>
      <c r="AM397" s="416"/>
      <c r="AN397" s="416"/>
      <c r="AO397" s="416"/>
      <c r="AP397" s="416"/>
      <c r="AQ397" s="416"/>
      <c r="AR397" s="416"/>
      <c r="AS397" s="416"/>
      <c r="AT397" s="416"/>
      <c r="AU397" s="416"/>
      <c r="AV397" s="416"/>
      <c r="AW397" s="416"/>
      <c r="AX397" s="416"/>
      <c r="AY397" s="416"/>
      <c r="AZ397" s="416"/>
      <c r="BA397" s="416"/>
      <c r="BB397" s="416"/>
      <c r="BC397" s="416"/>
      <c r="BD397" s="416"/>
      <c r="BE397" s="416"/>
      <c r="BF397" s="416"/>
      <c r="BG397" s="416"/>
      <c r="BH397" s="416"/>
      <c r="BI397" s="416"/>
      <c r="BJ397" s="416"/>
      <c r="BK397" s="416"/>
      <c r="BL397" s="99"/>
      <c r="BM397" s="99"/>
      <c r="BN397" s="99"/>
      <c r="BO397" s="99"/>
      <c r="BP397" s="99"/>
      <c r="BQ397" s="99"/>
      <c r="BR397" s="99"/>
      <c r="BS397" s="99"/>
      <c r="BT397" s="99"/>
      <c r="BU397" s="99"/>
    </row>
    <row r="398" spans="1:73" ht="17.25" hidden="1" customHeight="1">
      <c r="A398" s="6"/>
      <c r="B398" s="108"/>
      <c r="C398" s="1"/>
      <c r="D398" s="12"/>
      <c r="E398" s="1"/>
      <c r="F398" s="1"/>
      <c r="G398" s="3"/>
      <c r="H398" s="3"/>
      <c r="I398" s="3"/>
      <c r="J398" s="3"/>
      <c r="K398" s="3"/>
      <c r="L398" s="3"/>
      <c r="M398" s="3"/>
      <c r="N398" s="3"/>
      <c r="O398" s="1"/>
      <c r="P398" s="1"/>
      <c r="Q398" s="1"/>
      <c r="R398" s="162"/>
      <c r="S398" s="1"/>
      <c r="T398" s="103"/>
      <c r="U398" s="103"/>
      <c r="V398" s="101" t="s">
        <v>932</v>
      </c>
      <c r="W398" s="416">
        <f ca="1">IF(W$392&gt;='2.2 Input_General_Information'!$H$20,SUM(W394:W396),)</f>
        <v>0.99991500000003097</v>
      </c>
      <c r="X398" s="416">
        <f ca="1">IF(X$392&gt;='2.2 Input_General_Information'!$H$20,SUM(X394:X396),)</f>
        <v>1.6837272810270689</v>
      </c>
      <c r="Y398" s="416">
        <f ca="1">IF(Y$392&gt;='2.2 Input_General_Information'!$H$20,SUM(Y394:Y396),)</f>
        <v>1.0338781244388646</v>
      </c>
      <c r="Z398" s="416">
        <f ca="1">IF(Z$392&gt;='2.2 Input_General_Information'!$H$20,SUM(Z394:Z396),)</f>
        <v>0.99998500000000001</v>
      </c>
      <c r="AA398" s="416">
        <f ca="1">IF(AA$392&gt;='2.2 Input_General_Information'!$H$20,SUM(AA394:AA396),)</f>
        <v>1</v>
      </c>
      <c r="AB398" s="416">
        <f ca="1">IF(AB$392&gt;='2.2 Input_General_Information'!$H$20,SUM(AB394:AB396),)</f>
        <v>1</v>
      </c>
      <c r="AC398" s="416">
        <f ca="1">IF(AC$392&gt;='2.2 Input_General_Information'!$H$20,SUM(AC394:AC396),)</f>
        <v>1</v>
      </c>
      <c r="AD398" s="416">
        <f ca="1">IF(AD$392&gt;='2.2 Input_General_Information'!$H$20,SUM(AD394:AD396),)</f>
        <v>1</v>
      </c>
      <c r="AE398" s="416">
        <f ca="1">IF(AE$392&gt;='2.2 Input_General_Information'!$H$20,SUM(AE394:AE396),)</f>
        <v>1</v>
      </c>
      <c r="AF398" s="416">
        <f ca="1">IF(AF$392&gt;='2.2 Input_General_Information'!$H$20,SUM(AF394:AF396),)</f>
        <v>1</v>
      </c>
      <c r="AG398" s="416">
        <f ca="1">IF(AG$392&gt;='2.2 Input_General_Information'!$H$20,SUM(AG394:AG396),)</f>
        <v>1</v>
      </c>
      <c r="AH398" s="416">
        <f ca="1">IF(AH$392&gt;='2.2 Input_General_Information'!$H$20,SUM(AH394:AH396),)</f>
        <v>1</v>
      </c>
      <c r="AI398" s="416">
        <f ca="1">IF(AI$392&gt;='2.2 Input_General_Information'!$H$20,SUM(AI394:AI396),)</f>
        <v>1</v>
      </c>
      <c r="AJ398" s="416">
        <f ca="1">IF(AJ$392&gt;='2.2 Input_General_Information'!$H$20,SUM(AJ394:AJ396),)</f>
        <v>1</v>
      </c>
      <c r="AK398" s="416">
        <f ca="1">IF(AK$392&gt;='2.2 Input_General_Information'!$H$20,SUM(AK394:AK396),)</f>
        <v>1</v>
      </c>
      <c r="AL398" s="416">
        <f ca="1">IF(AL$392&gt;='2.2 Input_General_Information'!$H$20,SUM(AL394:AL396),)</f>
        <v>1</v>
      </c>
      <c r="AM398" s="416">
        <f ca="1">IF(AM$392&gt;='2.2 Input_General_Information'!$H$20,SUM(AM394:AM396),)</f>
        <v>1</v>
      </c>
      <c r="AN398" s="416">
        <f ca="1">IF(AN$392&gt;='2.2 Input_General_Information'!$H$20,SUM(AN394:AN396),)</f>
        <v>1</v>
      </c>
      <c r="AO398" s="416">
        <f ca="1">IF(AO$392&gt;='2.2 Input_General_Information'!$H$20,SUM(AO394:AO396),)</f>
        <v>1</v>
      </c>
      <c r="AP398" s="416">
        <f ca="1">IF(AP$392&gt;='2.2 Input_General_Information'!$H$20,SUM(AP394:AP396),)</f>
        <v>1</v>
      </c>
      <c r="AQ398" s="416">
        <f ca="1">IF(AQ$392&gt;='2.2 Input_General_Information'!$H$20,SUM(AQ394:AQ396),)</f>
        <v>1</v>
      </c>
      <c r="AR398" s="416">
        <f ca="1">IF(AR$392&gt;='2.2 Input_General_Information'!$H$20,SUM(AR394:AR396),)</f>
        <v>1</v>
      </c>
      <c r="AS398" s="416">
        <f ca="1">IF(AS$392&gt;='2.2 Input_General_Information'!$H$20,SUM(AS394:AS396),)</f>
        <v>1</v>
      </c>
      <c r="AT398" s="416">
        <f ca="1">IF(AT$392&gt;='2.2 Input_General_Information'!$H$20,SUM(AT394:AT396),)</f>
        <v>1</v>
      </c>
      <c r="AU398" s="416">
        <f ca="1">IF(AU$392&gt;='2.2 Input_General_Information'!$H$20,SUM(AU394:AU396),)</f>
        <v>1</v>
      </c>
      <c r="AV398" s="416">
        <f ca="1">IF(AV$392&gt;='2.2 Input_General_Information'!$H$20,SUM(AV394:AV396),)</f>
        <v>1</v>
      </c>
      <c r="AW398" s="416">
        <f ca="1">IF(AW$392&gt;='2.2 Input_General_Information'!$H$20,SUM(AW394:AW396),)</f>
        <v>1</v>
      </c>
      <c r="AX398" s="416">
        <f ca="1">IF(AX$392&gt;='2.2 Input_General_Information'!$H$20,SUM(AX394:AX396),)</f>
        <v>1</v>
      </c>
      <c r="AY398" s="416">
        <f ca="1">IF(AY$392&gt;='2.2 Input_General_Information'!$H$20,SUM(AY394:AY396),)</f>
        <v>1</v>
      </c>
      <c r="AZ398" s="416">
        <f ca="1">IF(AZ$392&gt;='2.2 Input_General_Information'!$H$20,SUM(AZ394:AZ396),)</f>
        <v>1</v>
      </c>
      <c r="BA398" s="416">
        <f ca="1">IF(BA$392&gt;='2.2 Input_General_Information'!$H$20,SUM(BA394:BA396),)</f>
        <v>1</v>
      </c>
      <c r="BB398" s="416">
        <f ca="1">IF(BB$392&gt;='2.2 Input_General_Information'!$H$20,SUM(BB394:BB396),)</f>
        <v>1</v>
      </c>
      <c r="BC398" s="416">
        <f ca="1">IF(BC$392&gt;='2.2 Input_General_Information'!$H$20,SUM(BC394:BC396),)</f>
        <v>1</v>
      </c>
      <c r="BD398" s="416">
        <f ca="1">IF(BD$392&gt;='2.2 Input_General_Information'!$H$20,SUM(BD394:BD396),)</f>
        <v>1</v>
      </c>
      <c r="BE398" s="416">
        <f ca="1">IF(BE$392&gt;='2.2 Input_General_Information'!$H$20,SUM(BE394:BE396),)</f>
        <v>1</v>
      </c>
      <c r="BF398" s="416">
        <f ca="1">IF(BF$392&gt;='2.2 Input_General_Information'!$H$20,SUM(BF394:BF396),)</f>
        <v>1</v>
      </c>
      <c r="BG398" s="416">
        <f ca="1">IF(BG$392&gt;='2.2 Input_General_Information'!$H$20,SUM(BG394:BG396),)</f>
        <v>1</v>
      </c>
      <c r="BH398" s="416">
        <f ca="1">IF(BH$392&gt;='2.2 Input_General_Information'!$H$20,SUM(BH394:BH396),)</f>
        <v>1</v>
      </c>
      <c r="BI398" s="416">
        <f ca="1">IF(BI$392&gt;='2.2 Input_General_Information'!$H$20,SUM(BI394:BI396),)</f>
        <v>1</v>
      </c>
      <c r="BJ398" s="416">
        <f ca="1">IF(BJ$392&gt;='2.2 Input_General_Information'!$H$20,SUM(BJ394:BJ396),)</f>
        <v>1</v>
      </c>
      <c r="BK398" s="416">
        <f ca="1">IF(BK$392&gt;='2.2 Input_General_Information'!$H$20,SUM(BK394:BK396),)</f>
        <v>1</v>
      </c>
      <c r="BL398" s="99"/>
      <c r="BM398" s="99"/>
      <c r="BN398" s="99"/>
      <c r="BO398" s="99"/>
      <c r="BP398" s="99"/>
      <c r="BQ398" s="99"/>
      <c r="BR398" s="99"/>
      <c r="BS398" s="99"/>
      <c r="BT398" s="99"/>
      <c r="BU398" s="99"/>
    </row>
    <row r="399" spans="1:73" ht="17.25" hidden="1" customHeight="1">
      <c r="A399" s="6"/>
      <c r="B399" s="108"/>
      <c r="C399" s="1"/>
      <c r="D399" s="12"/>
      <c r="E399" s="1"/>
      <c r="F399" s="1"/>
      <c r="G399" s="3"/>
      <c r="H399" s="3"/>
      <c r="I399" s="3"/>
      <c r="J399" s="3"/>
      <c r="K399" s="3"/>
      <c r="L399" s="3"/>
      <c r="M399" s="3"/>
      <c r="N399" s="3"/>
      <c r="O399" s="1"/>
      <c r="P399" s="1"/>
      <c r="Q399" s="1"/>
      <c r="R399" s="162"/>
      <c r="S399" s="1"/>
      <c r="T399" s="103"/>
      <c r="U399" s="101" t="s">
        <v>936</v>
      </c>
      <c r="V399" s="579" t="str">
        <f t="shared" ref="V399:V401" si="69">V394</f>
        <v>No identifier</v>
      </c>
      <c r="W399" s="416">
        <f ca="1">IF(W$392&gt;='2.2 Input_General_Information'!$H$20,W394/W$398,)</f>
        <v>0.24999624968121517</v>
      </c>
      <c r="X399" s="416">
        <f ca="1">IF(X$392&gt;='2.2 Input_General_Information'!$H$20,X394/X$398,)</f>
        <v>0.14189375853051139</v>
      </c>
      <c r="Y399" s="416">
        <f ca="1">IF(Y$392&gt;='2.2 Input_General_Information'!$H$20,Y394/Y$398,)</f>
        <v>1.0726223422832833E-2</v>
      </c>
      <c r="Z399" s="416">
        <f ca="1">IF(Z$392&gt;='2.2 Input_General_Information'!$H$20,Z394/Z$398,)</f>
        <v>2.5000375005594575E-5</v>
      </c>
      <c r="AA399" s="416">
        <f ca="1">IF(AA$392&gt;='2.2 Input_General_Information'!$H$20,AA394/AA$398,)</f>
        <v>0</v>
      </c>
      <c r="AB399" s="416">
        <f ca="1">IF(AB$392&gt;='2.2 Input_General_Information'!$H$20,AB394/AB$398,)</f>
        <v>0</v>
      </c>
      <c r="AC399" s="416">
        <f ca="1">IF(AC$392&gt;='2.2 Input_General_Information'!$H$20,AC394/AC$398,)</f>
        <v>0</v>
      </c>
      <c r="AD399" s="416">
        <f ca="1">IF(AD$392&gt;='2.2 Input_General_Information'!$H$20,AD394/AD$398,)</f>
        <v>0</v>
      </c>
      <c r="AE399" s="416">
        <f ca="1">IF(AE$392&gt;='2.2 Input_General_Information'!$H$20,AE394/AE$398,)</f>
        <v>0</v>
      </c>
      <c r="AF399" s="416">
        <f ca="1">IF(AF$392&gt;='2.2 Input_General_Information'!$H$20,AF394/AF$398,)</f>
        <v>0</v>
      </c>
      <c r="AG399" s="416">
        <f ca="1">IF(AG$392&gt;='2.2 Input_General_Information'!$H$20,AG394/AG$398,)</f>
        <v>0</v>
      </c>
      <c r="AH399" s="416">
        <f ca="1">IF(AH$392&gt;='2.2 Input_General_Information'!$H$20,AH394/AH$398,)</f>
        <v>0</v>
      </c>
      <c r="AI399" s="416">
        <f ca="1">IF(AI$392&gt;='2.2 Input_General_Information'!$H$20,AI394/AI$398,)</f>
        <v>0</v>
      </c>
      <c r="AJ399" s="416">
        <f ca="1">IF(AJ$392&gt;='2.2 Input_General_Information'!$H$20,AJ394/AJ$398,)</f>
        <v>0</v>
      </c>
      <c r="AK399" s="416">
        <f ca="1">IF(AK$392&gt;='2.2 Input_General_Information'!$H$20,AK394/AK$398,)</f>
        <v>0</v>
      </c>
      <c r="AL399" s="416">
        <f ca="1">IF(AL$392&gt;='2.2 Input_General_Information'!$H$20,AL394/AL$398,)</f>
        <v>0</v>
      </c>
      <c r="AM399" s="416">
        <f ca="1">IF(AM$392&gt;='2.2 Input_General_Information'!$H$20,AM394/AM$398,)</f>
        <v>0</v>
      </c>
      <c r="AN399" s="416">
        <f ca="1">IF(AN$392&gt;='2.2 Input_General_Information'!$H$20,AN394/AN$398,)</f>
        <v>0</v>
      </c>
      <c r="AO399" s="416">
        <f ca="1">IF(AO$392&gt;='2.2 Input_General_Information'!$H$20,AO394/AO$398,)</f>
        <v>0</v>
      </c>
      <c r="AP399" s="416">
        <f ca="1">IF(AP$392&gt;='2.2 Input_General_Information'!$H$20,AP394/AP$398,)</f>
        <v>0</v>
      </c>
      <c r="AQ399" s="416">
        <f ca="1">IF(AQ$392&gt;='2.2 Input_General_Information'!$H$20,AQ394/AQ$398,)</f>
        <v>0</v>
      </c>
      <c r="AR399" s="416">
        <f ca="1">IF(AR$392&gt;='2.2 Input_General_Information'!$H$20,AR394/AR$398,)</f>
        <v>0</v>
      </c>
      <c r="AS399" s="416">
        <f ca="1">IF(AS$392&gt;='2.2 Input_General_Information'!$H$20,AS394/AS$398,)</f>
        <v>0</v>
      </c>
      <c r="AT399" s="416">
        <f ca="1">IF(AT$392&gt;='2.2 Input_General_Information'!$H$20,AT394/AT$398,)</f>
        <v>0</v>
      </c>
      <c r="AU399" s="416">
        <f ca="1">IF(AU$392&gt;='2.2 Input_General_Information'!$H$20,AU394/AU$398,)</f>
        <v>0</v>
      </c>
      <c r="AV399" s="416">
        <f ca="1">IF(AV$392&gt;='2.2 Input_General_Information'!$H$20,AV394/AV$398,)</f>
        <v>0</v>
      </c>
      <c r="AW399" s="416">
        <f ca="1">IF(AW$392&gt;='2.2 Input_General_Information'!$H$20,AW394/AW$398,)</f>
        <v>0</v>
      </c>
      <c r="AX399" s="416">
        <f ca="1">IF(AX$392&gt;='2.2 Input_General_Information'!$H$20,AX394/AX$398,)</f>
        <v>0</v>
      </c>
      <c r="AY399" s="416">
        <f ca="1">IF(AY$392&gt;='2.2 Input_General_Information'!$H$20,AY394/AY$398,)</f>
        <v>0</v>
      </c>
      <c r="AZ399" s="416">
        <f ca="1">IF(AZ$392&gt;='2.2 Input_General_Information'!$H$20,AZ394/AZ$398,)</f>
        <v>0</v>
      </c>
      <c r="BA399" s="416">
        <f ca="1">IF(BA$392&gt;='2.2 Input_General_Information'!$H$20,BA394/BA$398,)</f>
        <v>0</v>
      </c>
      <c r="BB399" s="416">
        <f ca="1">IF(BB$392&gt;='2.2 Input_General_Information'!$H$20,BB394/BB$398,)</f>
        <v>0</v>
      </c>
      <c r="BC399" s="416">
        <f ca="1">IF(BC$392&gt;='2.2 Input_General_Information'!$H$20,BC394/BC$398,)</f>
        <v>0</v>
      </c>
      <c r="BD399" s="416">
        <f ca="1">IF(BD$392&gt;='2.2 Input_General_Information'!$H$20,BD394/BD$398,)</f>
        <v>0</v>
      </c>
      <c r="BE399" s="416">
        <f ca="1">IF(BE$392&gt;='2.2 Input_General_Information'!$H$20,BE394/BE$398,)</f>
        <v>0</v>
      </c>
      <c r="BF399" s="416">
        <f ca="1">IF(BF$392&gt;='2.2 Input_General_Information'!$H$20,BF394/BF$398,)</f>
        <v>0</v>
      </c>
      <c r="BG399" s="416">
        <f ca="1">IF(BG$392&gt;='2.2 Input_General_Information'!$H$20,BG394/BG$398,)</f>
        <v>0</v>
      </c>
      <c r="BH399" s="416">
        <f ca="1">IF(BH$392&gt;='2.2 Input_General_Information'!$H$20,BH394/BH$398,)</f>
        <v>0</v>
      </c>
      <c r="BI399" s="416">
        <f ca="1">IF(BI$392&gt;='2.2 Input_General_Information'!$H$20,BI394/BI$398,)</f>
        <v>0</v>
      </c>
      <c r="BJ399" s="416">
        <f ca="1">IF(BJ$392&gt;='2.2 Input_General_Information'!$H$20,BJ394/BJ$398,)</f>
        <v>0</v>
      </c>
      <c r="BK399" s="416">
        <f ca="1">IF(BK$392&gt;='2.2 Input_General_Information'!$H$20,BK394/BK$398,)</f>
        <v>0</v>
      </c>
      <c r="BL399" s="99"/>
      <c r="BM399" s="99"/>
      <c r="BN399" s="99"/>
      <c r="BO399" s="99"/>
      <c r="BP399" s="99"/>
      <c r="BQ399" s="99"/>
      <c r="BR399" s="99"/>
      <c r="BS399" s="99"/>
      <c r="BT399" s="99"/>
      <c r="BU399" s="99"/>
    </row>
    <row r="400" spans="1:73" ht="17.25" hidden="1" customHeight="1">
      <c r="A400" s="6"/>
      <c r="B400" s="108"/>
      <c r="C400" s="1"/>
      <c r="D400" s="12"/>
      <c r="E400" s="1"/>
      <c r="F400" s="1"/>
      <c r="G400" s="3"/>
      <c r="H400" s="3"/>
      <c r="I400" s="3"/>
      <c r="J400" s="3"/>
      <c r="K400" s="3"/>
      <c r="L400" s="3"/>
      <c r="M400" s="3"/>
      <c r="N400" s="3"/>
      <c r="O400" s="1"/>
      <c r="P400" s="1"/>
      <c r="Q400" s="1"/>
      <c r="R400" s="162"/>
      <c r="S400" s="1"/>
      <c r="T400" s="103"/>
      <c r="U400" s="101" t="s">
        <v>936</v>
      </c>
      <c r="V400" s="579" t="str">
        <f t="shared" si="69"/>
        <v>Local Persistent Identifier (PID)</v>
      </c>
      <c r="W400" s="416">
        <f ca="1">IF(W$392&gt;='2.2 Input_General_Information'!$H$20,W395/W$398,)</f>
        <v>0.59999099923491639</v>
      </c>
      <c r="X400" s="416">
        <f ca="1">IF(X$392&gt;='2.2 Input_General_Information'!$H$20,X395/X$398,)</f>
        <v>0.34054502047322732</v>
      </c>
      <c r="Y400" s="416">
        <f ca="1">IF(Y$392&gt;='2.2 Input_General_Information'!$H$20,Y395/Y$398,)</f>
        <v>2.5742936214798798E-2</v>
      </c>
      <c r="Z400" s="416">
        <f ca="1">IF(Z$392&gt;='2.2 Input_General_Information'!$H$20,Z395/Z$398,)</f>
        <v>6.000090001342698E-5</v>
      </c>
      <c r="AA400" s="416">
        <f ca="1">IF(AA$392&gt;='2.2 Input_General_Information'!$H$20,AA395/AA$398,)</f>
        <v>0</v>
      </c>
      <c r="AB400" s="416">
        <f ca="1">IF(AB$392&gt;='2.2 Input_General_Information'!$H$20,AB395/AB$398,)</f>
        <v>0</v>
      </c>
      <c r="AC400" s="416">
        <f ca="1">IF(AC$392&gt;='2.2 Input_General_Information'!$H$20,AC395/AC$398,)</f>
        <v>0</v>
      </c>
      <c r="AD400" s="416">
        <f ca="1">IF(AD$392&gt;='2.2 Input_General_Information'!$H$20,AD395/AD$398,)</f>
        <v>0</v>
      </c>
      <c r="AE400" s="416">
        <f ca="1">IF(AE$392&gt;='2.2 Input_General_Information'!$H$20,AE395/AE$398,)</f>
        <v>0</v>
      </c>
      <c r="AF400" s="416">
        <f ca="1">IF(AF$392&gt;='2.2 Input_General_Information'!$H$20,AF395/AF$398,)</f>
        <v>0</v>
      </c>
      <c r="AG400" s="416">
        <f ca="1">IF(AG$392&gt;='2.2 Input_General_Information'!$H$20,AG395/AG$398,)</f>
        <v>0</v>
      </c>
      <c r="AH400" s="416">
        <f ca="1">IF(AH$392&gt;='2.2 Input_General_Information'!$H$20,AH395/AH$398,)</f>
        <v>0</v>
      </c>
      <c r="AI400" s="416">
        <f ca="1">IF(AI$392&gt;='2.2 Input_General_Information'!$H$20,AI395/AI$398,)</f>
        <v>0</v>
      </c>
      <c r="AJ400" s="416">
        <f ca="1">IF(AJ$392&gt;='2.2 Input_General_Information'!$H$20,AJ395/AJ$398,)</f>
        <v>0</v>
      </c>
      <c r="AK400" s="416">
        <f ca="1">IF(AK$392&gt;='2.2 Input_General_Information'!$H$20,AK395/AK$398,)</f>
        <v>0</v>
      </c>
      <c r="AL400" s="416">
        <f ca="1">IF(AL$392&gt;='2.2 Input_General_Information'!$H$20,AL395/AL$398,)</f>
        <v>0</v>
      </c>
      <c r="AM400" s="416">
        <f ca="1">IF(AM$392&gt;='2.2 Input_General_Information'!$H$20,AM395/AM$398,)</f>
        <v>0</v>
      </c>
      <c r="AN400" s="416">
        <f ca="1">IF(AN$392&gt;='2.2 Input_General_Information'!$H$20,AN395/AN$398,)</f>
        <v>0</v>
      </c>
      <c r="AO400" s="416">
        <f ca="1">IF(AO$392&gt;='2.2 Input_General_Information'!$H$20,AO395/AO$398,)</f>
        <v>0</v>
      </c>
      <c r="AP400" s="416">
        <f ca="1">IF(AP$392&gt;='2.2 Input_General_Information'!$H$20,AP395/AP$398,)</f>
        <v>0</v>
      </c>
      <c r="AQ400" s="416">
        <f ca="1">IF(AQ$392&gt;='2.2 Input_General_Information'!$H$20,AQ395/AQ$398,)</f>
        <v>0</v>
      </c>
      <c r="AR400" s="416">
        <f ca="1">IF(AR$392&gt;='2.2 Input_General_Information'!$H$20,AR395/AR$398,)</f>
        <v>0</v>
      </c>
      <c r="AS400" s="416">
        <f ca="1">IF(AS$392&gt;='2.2 Input_General_Information'!$H$20,AS395/AS$398,)</f>
        <v>0</v>
      </c>
      <c r="AT400" s="416">
        <f ca="1">IF(AT$392&gt;='2.2 Input_General_Information'!$H$20,AT395/AT$398,)</f>
        <v>0</v>
      </c>
      <c r="AU400" s="416">
        <f ca="1">IF(AU$392&gt;='2.2 Input_General_Information'!$H$20,AU395/AU$398,)</f>
        <v>0</v>
      </c>
      <c r="AV400" s="416">
        <f ca="1">IF(AV$392&gt;='2.2 Input_General_Information'!$H$20,AV395/AV$398,)</f>
        <v>0</v>
      </c>
      <c r="AW400" s="416">
        <f ca="1">IF(AW$392&gt;='2.2 Input_General_Information'!$H$20,AW395/AW$398,)</f>
        <v>0</v>
      </c>
      <c r="AX400" s="416">
        <f ca="1">IF(AX$392&gt;='2.2 Input_General_Information'!$H$20,AX395/AX$398,)</f>
        <v>0</v>
      </c>
      <c r="AY400" s="416">
        <f ca="1">IF(AY$392&gt;='2.2 Input_General_Information'!$H$20,AY395/AY$398,)</f>
        <v>0</v>
      </c>
      <c r="AZ400" s="416">
        <f ca="1">IF(AZ$392&gt;='2.2 Input_General_Information'!$H$20,AZ395/AZ$398,)</f>
        <v>0</v>
      </c>
      <c r="BA400" s="416">
        <f ca="1">IF(BA$392&gt;='2.2 Input_General_Information'!$H$20,BA395/BA$398,)</f>
        <v>0</v>
      </c>
      <c r="BB400" s="416">
        <f ca="1">IF(BB$392&gt;='2.2 Input_General_Information'!$H$20,BB395/BB$398,)</f>
        <v>0</v>
      </c>
      <c r="BC400" s="416">
        <f ca="1">IF(BC$392&gt;='2.2 Input_General_Information'!$H$20,BC395/BC$398,)</f>
        <v>0</v>
      </c>
      <c r="BD400" s="416">
        <f ca="1">IF(BD$392&gt;='2.2 Input_General_Information'!$H$20,BD395/BD$398,)</f>
        <v>0</v>
      </c>
      <c r="BE400" s="416">
        <f ca="1">IF(BE$392&gt;='2.2 Input_General_Information'!$H$20,BE395/BE$398,)</f>
        <v>0</v>
      </c>
      <c r="BF400" s="416">
        <f ca="1">IF(BF$392&gt;='2.2 Input_General_Information'!$H$20,BF395/BF$398,)</f>
        <v>0</v>
      </c>
      <c r="BG400" s="416">
        <f ca="1">IF(BG$392&gt;='2.2 Input_General_Information'!$H$20,BG395/BG$398,)</f>
        <v>0</v>
      </c>
      <c r="BH400" s="416">
        <f ca="1">IF(BH$392&gt;='2.2 Input_General_Information'!$H$20,BH395/BH$398,)</f>
        <v>0</v>
      </c>
      <c r="BI400" s="416">
        <f ca="1">IF(BI$392&gt;='2.2 Input_General_Information'!$H$20,BI395/BI$398,)</f>
        <v>0</v>
      </c>
      <c r="BJ400" s="416">
        <f ca="1">IF(BJ$392&gt;='2.2 Input_General_Information'!$H$20,BJ395/BJ$398,)</f>
        <v>0</v>
      </c>
      <c r="BK400" s="416">
        <f ca="1">IF(BK$392&gt;='2.2 Input_General_Information'!$H$20,BK395/BK$398,)</f>
        <v>0</v>
      </c>
      <c r="BL400" s="99"/>
      <c r="BM400" s="99"/>
      <c r="BN400" s="99"/>
      <c r="BO400" s="99"/>
      <c r="BP400" s="99"/>
      <c r="BQ400" s="99"/>
      <c r="BR400" s="99"/>
      <c r="BS400" s="99"/>
      <c r="BT400" s="99"/>
      <c r="BU400" s="99"/>
    </row>
    <row r="401" spans="1:73" ht="17.25" hidden="1" customHeight="1">
      <c r="A401" s="6"/>
      <c r="B401" s="108"/>
      <c r="C401" s="1"/>
      <c r="D401" s="12"/>
      <c r="E401" s="1"/>
      <c r="F401" s="1"/>
      <c r="G401" s="3"/>
      <c r="H401" s="3"/>
      <c r="I401" s="3"/>
      <c r="J401" s="3"/>
      <c r="K401" s="3"/>
      <c r="L401" s="3"/>
      <c r="M401" s="3"/>
      <c r="N401" s="3"/>
      <c r="O401" s="1"/>
      <c r="P401" s="1"/>
      <c r="Q401" s="1"/>
      <c r="R401" s="162"/>
      <c r="S401" s="1"/>
      <c r="T401" s="103"/>
      <c r="U401" s="101" t="s">
        <v>936</v>
      </c>
      <c r="V401" s="579" t="str">
        <f t="shared" si="69"/>
        <v>Recognized standard PID</v>
      </c>
      <c r="W401" s="416">
        <f ca="1">IF(W$392&gt;='2.2 Input_General_Information'!$H$20,W396/W$398,)</f>
        <v>0.15001275108386847</v>
      </c>
      <c r="X401" s="416">
        <f ca="1">IF(X$392&gt;='2.2 Input_General_Information'!$H$20,X396/X$398,)</f>
        <v>0.51756122099626123</v>
      </c>
      <c r="Y401" s="416">
        <f ca="1">IF(Y$392&gt;='2.2 Input_General_Information'!$H$20,Y396/Y$398,)</f>
        <v>0.96353084036236836</v>
      </c>
      <c r="Z401" s="416">
        <f ca="1">IF(Z$392&gt;='2.2 Input_General_Information'!$H$20,Z396/Z$398,)</f>
        <v>0.99991499872498102</v>
      </c>
      <c r="AA401" s="416">
        <f ca="1">IF(AA$392&gt;='2.2 Input_General_Information'!$H$20,AA396/AA$398,)</f>
        <v>1</v>
      </c>
      <c r="AB401" s="416">
        <f ca="1">IF(AB$392&gt;='2.2 Input_General_Information'!$H$20,AB396/AB$398,)</f>
        <v>1</v>
      </c>
      <c r="AC401" s="416">
        <f ca="1">IF(AC$392&gt;='2.2 Input_General_Information'!$H$20,AC396/AC$398,)</f>
        <v>1</v>
      </c>
      <c r="AD401" s="416">
        <f ca="1">IF(AD$392&gt;='2.2 Input_General_Information'!$H$20,AD396/AD$398,)</f>
        <v>1</v>
      </c>
      <c r="AE401" s="416">
        <f ca="1">IF(AE$392&gt;='2.2 Input_General_Information'!$H$20,AE396/AE$398,)</f>
        <v>1</v>
      </c>
      <c r="AF401" s="416">
        <f ca="1">IF(AF$392&gt;='2.2 Input_General_Information'!$H$20,AF396/AF$398,)</f>
        <v>1</v>
      </c>
      <c r="AG401" s="416">
        <f ca="1">IF(AG$392&gt;='2.2 Input_General_Information'!$H$20,AG396/AG$398,)</f>
        <v>1</v>
      </c>
      <c r="AH401" s="416">
        <f ca="1">IF(AH$392&gt;='2.2 Input_General_Information'!$H$20,AH396/AH$398,)</f>
        <v>1</v>
      </c>
      <c r="AI401" s="416">
        <f ca="1">IF(AI$392&gt;='2.2 Input_General_Information'!$H$20,AI396/AI$398,)</f>
        <v>1</v>
      </c>
      <c r="AJ401" s="416">
        <f ca="1">IF(AJ$392&gt;='2.2 Input_General_Information'!$H$20,AJ396/AJ$398,)</f>
        <v>1</v>
      </c>
      <c r="AK401" s="416">
        <f ca="1">IF(AK$392&gt;='2.2 Input_General_Information'!$H$20,AK396/AK$398,)</f>
        <v>1</v>
      </c>
      <c r="AL401" s="416">
        <f ca="1">IF(AL$392&gt;='2.2 Input_General_Information'!$H$20,AL396/AL$398,)</f>
        <v>1</v>
      </c>
      <c r="AM401" s="416">
        <f ca="1">IF(AM$392&gt;='2.2 Input_General_Information'!$H$20,AM396/AM$398,)</f>
        <v>1</v>
      </c>
      <c r="AN401" s="416">
        <f ca="1">IF(AN$392&gt;='2.2 Input_General_Information'!$H$20,AN396/AN$398,)</f>
        <v>1</v>
      </c>
      <c r="AO401" s="416">
        <f ca="1">IF(AO$392&gt;='2.2 Input_General_Information'!$H$20,AO396/AO$398,)</f>
        <v>1</v>
      </c>
      <c r="AP401" s="416">
        <f ca="1">IF(AP$392&gt;='2.2 Input_General_Information'!$H$20,AP396/AP$398,)</f>
        <v>1</v>
      </c>
      <c r="AQ401" s="416">
        <f ca="1">IF(AQ$392&gt;='2.2 Input_General_Information'!$H$20,AQ396/AQ$398,)</f>
        <v>1</v>
      </c>
      <c r="AR401" s="416">
        <f ca="1">IF(AR$392&gt;='2.2 Input_General_Information'!$H$20,AR396/AR$398,)</f>
        <v>1</v>
      </c>
      <c r="AS401" s="416">
        <f ca="1">IF(AS$392&gt;='2.2 Input_General_Information'!$H$20,AS396/AS$398,)</f>
        <v>1</v>
      </c>
      <c r="AT401" s="416">
        <f ca="1">IF(AT$392&gt;='2.2 Input_General_Information'!$H$20,AT396/AT$398,)</f>
        <v>1</v>
      </c>
      <c r="AU401" s="416">
        <f ca="1">IF(AU$392&gt;='2.2 Input_General_Information'!$H$20,AU396/AU$398,)</f>
        <v>1</v>
      </c>
      <c r="AV401" s="416">
        <f ca="1">IF(AV$392&gt;='2.2 Input_General_Information'!$H$20,AV396/AV$398,)</f>
        <v>1</v>
      </c>
      <c r="AW401" s="416">
        <f ca="1">IF(AW$392&gt;='2.2 Input_General_Information'!$H$20,AW396/AW$398,)</f>
        <v>1</v>
      </c>
      <c r="AX401" s="416">
        <f ca="1">IF(AX$392&gt;='2.2 Input_General_Information'!$H$20,AX396/AX$398,)</f>
        <v>1</v>
      </c>
      <c r="AY401" s="416">
        <f ca="1">IF(AY$392&gt;='2.2 Input_General_Information'!$H$20,AY396/AY$398,)</f>
        <v>1</v>
      </c>
      <c r="AZ401" s="416">
        <f ca="1">IF(AZ$392&gt;='2.2 Input_General_Information'!$H$20,AZ396/AZ$398,)</f>
        <v>1</v>
      </c>
      <c r="BA401" s="416">
        <f ca="1">IF(BA$392&gt;='2.2 Input_General_Information'!$H$20,BA396/BA$398,)</f>
        <v>1</v>
      </c>
      <c r="BB401" s="416">
        <f ca="1">IF(BB$392&gt;='2.2 Input_General_Information'!$H$20,BB396/BB$398,)</f>
        <v>1</v>
      </c>
      <c r="BC401" s="416">
        <f ca="1">IF(BC$392&gt;='2.2 Input_General_Information'!$H$20,BC396/BC$398,)</f>
        <v>1</v>
      </c>
      <c r="BD401" s="416">
        <f ca="1">IF(BD$392&gt;='2.2 Input_General_Information'!$H$20,BD396/BD$398,)</f>
        <v>1</v>
      </c>
      <c r="BE401" s="416">
        <f ca="1">IF(BE$392&gt;='2.2 Input_General_Information'!$H$20,BE396/BE$398,)</f>
        <v>1</v>
      </c>
      <c r="BF401" s="416">
        <f ca="1">IF(BF$392&gt;='2.2 Input_General_Information'!$H$20,BF396/BF$398,)</f>
        <v>1</v>
      </c>
      <c r="BG401" s="416">
        <f ca="1">IF(BG$392&gt;='2.2 Input_General_Information'!$H$20,BG396/BG$398,)</f>
        <v>1</v>
      </c>
      <c r="BH401" s="416">
        <f ca="1">IF(BH$392&gt;='2.2 Input_General_Information'!$H$20,BH396/BH$398,)</f>
        <v>1</v>
      </c>
      <c r="BI401" s="416">
        <f ca="1">IF(BI$392&gt;='2.2 Input_General_Information'!$H$20,BI396/BI$398,)</f>
        <v>1</v>
      </c>
      <c r="BJ401" s="416">
        <f ca="1">IF(BJ$392&gt;='2.2 Input_General_Information'!$H$20,BJ396/BJ$398,)</f>
        <v>1</v>
      </c>
      <c r="BK401" s="416">
        <f ca="1">IF(BK$392&gt;='2.2 Input_General_Information'!$H$20,BK396/BK$398,)</f>
        <v>1</v>
      </c>
      <c r="BL401" s="99"/>
      <c r="BM401" s="99"/>
      <c r="BN401" s="99"/>
      <c r="BO401" s="99"/>
      <c r="BP401" s="99"/>
      <c r="BQ401" s="99"/>
      <c r="BR401" s="99"/>
      <c r="BS401" s="99"/>
      <c r="BT401" s="99"/>
      <c r="BU401" s="99"/>
    </row>
    <row r="402" spans="1:73" ht="17.25" hidden="1" customHeight="1">
      <c r="A402" s="6"/>
      <c r="B402" s="108"/>
      <c r="C402" s="1"/>
      <c r="D402" s="12"/>
      <c r="E402" s="1"/>
      <c r="F402" s="1"/>
      <c r="G402" s="3"/>
      <c r="H402" s="3"/>
      <c r="I402" s="3"/>
      <c r="J402" s="3"/>
      <c r="K402" s="3"/>
      <c r="L402" s="3"/>
      <c r="M402" s="3"/>
      <c r="N402" s="3"/>
      <c r="O402" s="1"/>
      <c r="P402" s="1"/>
      <c r="Q402" s="1"/>
      <c r="R402" s="162"/>
      <c r="S402" s="1"/>
      <c r="T402" s="103"/>
      <c r="U402" s="103"/>
      <c r="V402" s="103"/>
      <c r="W402" s="416"/>
      <c r="X402" s="416"/>
      <c r="Y402" s="416"/>
      <c r="Z402" s="416"/>
      <c r="AA402" s="416"/>
      <c r="AB402" s="416"/>
      <c r="AC402" s="416"/>
      <c r="AD402" s="416"/>
      <c r="AE402" s="416"/>
      <c r="AF402" s="416"/>
      <c r="AG402" s="416"/>
      <c r="AH402" s="416"/>
      <c r="AI402" s="416"/>
      <c r="AJ402" s="416"/>
      <c r="AK402" s="416"/>
      <c r="AL402" s="416"/>
      <c r="AM402" s="416"/>
      <c r="AN402" s="416"/>
      <c r="AO402" s="416"/>
      <c r="AP402" s="416"/>
      <c r="AQ402" s="416"/>
      <c r="AR402" s="416"/>
      <c r="AS402" s="416"/>
      <c r="AT402" s="416"/>
      <c r="AU402" s="416"/>
      <c r="AV402" s="416"/>
      <c r="AW402" s="416"/>
      <c r="AX402" s="416"/>
      <c r="AY402" s="416"/>
      <c r="AZ402" s="416"/>
      <c r="BA402" s="416"/>
      <c r="BB402" s="416"/>
      <c r="BC402" s="416"/>
      <c r="BD402" s="416"/>
      <c r="BE402" s="416"/>
      <c r="BF402" s="416"/>
      <c r="BG402" s="416"/>
      <c r="BH402" s="416"/>
      <c r="BI402" s="416"/>
      <c r="BJ402" s="416"/>
      <c r="BK402" s="416"/>
      <c r="BL402" s="349"/>
      <c r="BM402" s="349"/>
      <c r="BN402" s="349"/>
      <c r="BO402" s="349"/>
      <c r="BP402" s="349"/>
      <c r="BQ402" s="349"/>
      <c r="BR402" s="349"/>
      <c r="BS402" s="349"/>
      <c r="BT402" s="349"/>
      <c r="BU402" s="349"/>
    </row>
    <row r="403" spans="1:73" ht="17.25" hidden="1" customHeight="1">
      <c r="A403" s="6"/>
      <c r="B403" s="108"/>
      <c r="C403" s="1"/>
      <c r="D403" s="12"/>
      <c r="E403" s="1"/>
      <c r="F403" s="1"/>
      <c r="G403" s="3"/>
      <c r="H403" s="3"/>
      <c r="I403" s="3"/>
      <c r="J403" s="3"/>
      <c r="K403" s="3"/>
      <c r="L403" s="3"/>
      <c r="M403" s="3"/>
      <c r="N403" s="3"/>
      <c r="O403" s="1"/>
      <c r="P403" s="1"/>
      <c r="Q403" s="1"/>
      <c r="R403" s="162"/>
      <c r="S403" s="1"/>
      <c r="T403" s="103"/>
      <c r="U403" s="101" t="s">
        <v>449</v>
      </c>
      <c r="V403" s="103" t="str">
        <f t="shared" ref="V403:V405" si="70">E386</f>
        <v>No identifier</v>
      </c>
      <c r="W403" s="416">
        <f ca="1">IF(W$392&lt;'2.2 Input_General_Information'!$H$20, ,IF(W$392='2.2 Input_General_Information'!$H$20,$H$386,IFERROR(V403/V399*W399,0)))</f>
        <v>0</v>
      </c>
      <c r="X403" s="416">
        <f ca="1">IF(X$392&lt;'2.2 Input_General_Information'!$H$20, ,IF(X$392='2.2 Input_General_Information'!$H$20,$H$386,IFERROR(W403/W399*X399,0)))</f>
        <v>0</v>
      </c>
      <c r="Y403" s="416">
        <f ca="1">IF(Y$392&lt;'2.2 Input_General_Information'!$H$20, ,IF(Y$392='2.2 Input_General_Information'!$H$20,$H$386,IFERROR(X403/X399*Y399,0)))</f>
        <v>0</v>
      </c>
      <c r="Z403" s="416">
        <f ca="1">IF(Z$392&lt;'2.2 Input_General_Information'!$H$20, ,IF(Z$392='2.2 Input_General_Information'!$H$20,$H$386,IFERROR(Y403/Y399*Z399,0)))</f>
        <v>0</v>
      </c>
      <c r="AA403" s="416">
        <f ca="1">IF(AA$392&lt;'2.2 Input_General_Information'!$H$20, ,IF(AA$392='2.2 Input_General_Information'!$H$20,$H$386,IFERROR(Z403/Z399*AA399,0)))</f>
        <v>0</v>
      </c>
      <c r="AB403" s="416">
        <f ca="1">IF(AB$392&lt;'2.2 Input_General_Information'!$H$20, ,IF(AB$392='2.2 Input_General_Information'!$H$20,$H$386,IFERROR(AA403/AA399*AB399,0)))</f>
        <v>0</v>
      </c>
      <c r="AC403" s="416">
        <f ca="1">IF(AC$392&lt;'2.2 Input_General_Information'!$H$20, ,IF(AC$392='2.2 Input_General_Information'!$H$20,$H$386,IFERROR(AB403/AB399*AC399,0)))</f>
        <v>0</v>
      </c>
      <c r="AD403" s="416">
        <f ca="1">IF(AD$392&lt;'2.2 Input_General_Information'!$H$20, ,IF(AD$392='2.2 Input_General_Information'!$H$20,$H$386,IFERROR(AC403/AC399*AD399,0)))</f>
        <v>0</v>
      </c>
      <c r="AE403" s="416">
        <f ca="1">IF(AE$392&lt;'2.2 Input_General_Information'!$H$20, ,IF(AE$392='2.2 Input_General_Information'!$H$20,$H$386,IFERROR(AD403/AD399*AE399,0)))</f>
        <v>0</v>
      </c>
      <c r="AF403" s="416">
        <f ca="1">IF(AF$392&lt;'2.2 Input_General_Information'!$H$20, ,IF(AF$392='2.2 Input_General_Information'!$H$20,$H$386,IFERROR(AE403/AE399*AF399,0)))</f>
        <v>0</v>
      </c>
      <c r="AG403" s="416">
        <f ca="1">IF(AG$392&lt;'2.2 Input_General_Information'!$H$20, ,IF(AG$392='2.2 Input_General_Information'!$H$20,$H$386,IFERROR(AF403/AF399*AG399,0)))</f>
        <v>0</v>
      </c>
      <c r="AH403" s="416">
        <f ca="1">IF(AH$392&lt;'2.2 Input_General_Information'!$H$20, ,IF(AH$392='2.2 Input_General_Information'!$H$20,$H$386,IFERROR(AG403/AG399*AH399,0)))</f>
        <v>0</v>
      </c>
      <c r="AI403" s="416">
        <f ca="1">IF(AI$392&lt;'2.2 Input_General_Information'!$H$20, ,IF(AI$392='2.2 Input_General_Information'!$H$20,$H$386,IFERROR(AH403/AH399*AI399,0)))</f>
        <v>0</v>
      </c>
      <c r="AJ403" s="416">
        <f ca="1">IF(AJ$392&lt;'2.2 Input_General_Information'!$H$20, ,IF(AJ$392='2.2 Input_General_Information'!$H$20,$H$386,IFERROR(AI403/AI399*AJ399,0)))</f>
        <v>0</v>
      </c>
      <c r="AK403" s="416">
        <f ca="1">IF(AK$392&lt;'2.2 Input_General_Information'!$H$20, ,IF(AK$392='2.2 Input_General_Information'!$H$20,$H$386,IFERROR(AJ403/AJ399*AK399,0)))</f>
        <v>0</v>
      </c>
      <c r="AL403" s="416">
        <f ca="1">IF(AL$392&lt;'2.2 Input_General_Information'!$H$20, ,IF(AL$392='2.2 Input_General_Information'!$H$20,$H$386,IFERROR(AK403/AK399*AL399,0)))</f>
        <v>0</v>
      </c>
      <c r="AM403" s="416">
        <f ca="1">IF(AM$392&lt;'2.2 Input_General_Information'!$H$20, ,IF(AM$392='2.2 Input_General_Information'!$H$20,$H$386,IFERROR(AL403/AL399*AM399,0)))</f>
        <v>0</v>
      </c>
      <c r="AN403" s="416">
        <f ca="1">IF(AN$392&lt;'2.2 Input_General_Information'!$H$20, ,IF(AN$392='2.2 Input_General_Information'!$H$20,$H$386,IFERROR(AM403/AM399*AN399,0)))</f>
        <v>0</v>
      </c>
      <c r="AO403" s="416">
        <f ca="1">IF(AO$392&lt;'2.2 Input_General_Information'!$H$20, ,IF(AO$392='2.2 Input_General_Information'!$H$20,$H$386,IFERROR(AN403/AN399*AO399,0)))</f>
        <v>0</v>
      </c>
      <c r="AP403" s="416">
        <f ca="1">IF(AP$392&lt;'2.2 Input_General_Information'!$H$20, ,IF(AP$392='2.2 Input_General_Information'!$H$20,$H$386,IFERROR(AO403/AO399*AP399,0)))</f>
        <v>0</v>
      </c>
      <c r="AQ403" s="416">
        <f ca="1">IF(AQ$392&lt;'2.2 Input_General_Information'!$H$20, ,IF(AQ$392='2.2 Input_General_Information'!$H$20,$H$386,IFERROR(AP403/AP399*AQ399,0)))</f>
        <v>0</v>
      </c>
      <c r="AR403" s="416">
        <f ca="1">IF(AR$392&lt;'2.2 Input_General_Information'!$H$20, ,IF(AR$392='2.2 Input_General_Information'!$H$20,$H$386,IFERROR(AQ403/AQ399*AR399,0)))</f>
        <v>0</v>
      </c>
      <c r="AS403" s="416">
        <f ca="1">IF(AS$392&lt;'2.2 Input_General_Information'!$H$20, ,IF(AS$392='2.2 Input_General_Information'!$H$20,$H$386,IFERROR(AR403/AR399*AS399,0)))</f>
        <v>0</v>
      </c>
      <c r="AT403" s="416">
        <f ca="1">IF(AT$392&lt;'2.2 Input_General_Information'!$H$20, ,IF(AT$392='2.2 Input_General_Information'!$H$20,$H$386,IFERROR(AS403/AS399*AT399,0)))</f>
        <v>0</v>
      </c>
      <c r="AU403" s="416">
        <f ca="1">IF(AU$392&lt;'2.2 Input_General_Information'!$H$20, ,IF(AU$392='2.2 Input_General_Information'!$H$20,$H$386,IFERROR(AT403/AT399*AU399,0)))</f>
        <v>0</v>
      </c>
      <c r="AV403" s="416">
        <f ca="1">IF(AV$392&lt;'2.2 Input_General_Information'!$H$20, ,IF(AV$392='2.2 Input_General_Information'!$H$20,$H$386,IFERROR(AU403/AU399*AV399,0)))</f>
        <v>0</v>
      </c>
      <c r="AW403" s="416">
        <f ca="1">IF(AW$392&lt;'2.2 Input_General_Information'!$H$20, ,IF(AW$392='2.2 Input_General_Information'!$H$20,$H$386,IFERROR(AV403/AV399*AW399,0)))</f>
        <v>0</v>
      </c>
      <c r="AX403" s="416">
        <f ca="1">IF(AX$392&lt;'2.2 Input_General_Information'!$H$20, ,IF(AX$392='2.2 Input_General_Information'!$H$20,$H$386,IFERROR(AW403/AW399*AX399,0)))</f>
        <v>0</v>
      </c>
      <c r="AY403" s="416">
        <f ca="1">IF(AY$392&lt;'2.2 Input_General_Information'!$H$20, ,IF(AY$392='2.2 Input_General_Information'!$H$20,$H$386,IFERROR(AX403/AX399*AY399,0)))</f>
        <v>0</v>
      </c>
      <c r="AZ403" s="416">
        <f ca="1">IF(AZ$392&lt;'2.2 Input_General_Information'!$H$20, ,IF(AZ$392='2.2 Input_General_Information'!$H$20,$H$386,IFERROR(AY403/AY399*AZ399,0)))</f>
        <v>0</v>
      </c>
      <c r="BA403" s="416">
        <f ca="1">IF(BA$392&lt;'2.2 Input_General_Information'!$H$20, ,IF(BA$392='2.2 Input_General_Information'!$H$20,$H$386,IFERROR(AZ403/AZ399*BA399,0)))</f>
        <v>0</v>
      </c>
      <c r="BB403" s="416">
        <f ca="1">IF(BB$392&lt;'2.2 Input_General_Information'!$H$20, ,IF(BB$392='2.2 Input_General_Information'!$H$20,$H$386,IFERROR(BA403/BA399*BB399,0)))</f>
        <v>0</v>
      </c>
      <c r="BC403" s="416">
        <f ca="1">IF(BC$392&lt;'2.2 Input_General_Information'!$H$20, ,IF(BC$392='2.2 Input_General_Information'!$H$20,$H$386,IFERROR(BB403/BB399*BC399,0)))</f>
        <v>0</v>
      </c>
      <c r="BD403" s="416">
        <f ca="1">IF(BD$392&lt;'2.2 Input_General_Information'!$H$20, ,IF(BD$392='2.2 Input_General_Information'!$H$20,$H$386,IFERROR(BC403/BC399*BD399,0)))</f>
        <v>0</v>
      </c>
      <c r="BE403" s="416">
        <f ca="1">IF(BE$392&lt;'2.2 Input_General_Information'!$H$20, ,IF(BE$392='2.2 Input_General_Information'!$H$20,$H$386,IFERROR(BD403/BD399*BE399,0)))</f>
        <v>0</v>
      </c>
      <c r="BF403" s="416">
        <f ca="1">IF(BF$392&lt;'2.2 Input_General_Information'!$H$20, ,IF(BF$392='2.2 Input_General_Information'!$H$20,$H$386,IFERROR(BE403/BE399*BF399,0)))</f>
        <v>0</v>
      </c>
      <c r="BG403" s="416">
        <f ca="1">IF(BG$392&lt;'2.2 Input_General_Information'!$H$20, ,IF(BG$392='2.2 Input_General_Information'!$H$20,$H$386,IFERROR(BF403/BF399*BG399,0)))</f>
        <v>0</v>
      </c>
      <c r="BH403" s="416">
        <f ca="1">IF(BH$392&lt;'2.2 Input_General_Information'!$H$20, ,IF(BH$392='2.2 Input_General_Information'!$H$20,$H$386,IFERROR(BG403/BG399*BH399,0)))</f>
        <v>0</v>
      </c>
      <c r="BI403" s="416">
        <f ca="1">IF(BI$392&lt;'2.2 Input_General_Information'!$H$20, ,IF(BI$392='2.2 Input_General_Information'!$H$20,$H$386,IFERROR(BH403/BH399*BI399,0)))</f>
        <v>0</v>
      </c>
      <c r="BJ403" s="416">
        <f ca="1">IF(BJ$392&lt;'2.2 Input_General_Information'!$H$20, ,IF(BJ$392='2.2 Input_General_Information'!$H$20,$H$386,IFERROR(BI403/BI399*BJ399,0)))</f>
        <v>0</v>
      </c>
      <c r="BK403" s="416">
        <f ca="1">IF(BK$392&lt;'2.2 Input_General_Information'!$H$20, ,IF(BK$392='2.2 Input_General_Information'!$H$20,$H$386,IFERROR(BJ403/BJ399*BK399,0)))</f>
        <v>0</v>
      </c>
      <c r="BL403" s="349"/>
      <c r="BM403" s="349"/>
      <c r="BN403" s="349"/>
      <c r="BO403" s="349"/>
      <c r="BP403" s="349"/>
      <c r="BQ403" s="349"/>
      <c r="BR403" s="349"/>
      <c r="BS403" s="349"/>
      <c r="BT403" s="349"/>
      <c r="BU403" s="349"/>
    </row>
    <row r="404" spans="1:73" ht="17.25" hidden="1" customHeight="1">
      <c r="A404" s="6"/>
      <c r="B404" s="108"/>
      <c r="C404" s="1"/>
      <c r="D404" s="12"/>
      <c r="E404" s="1"/>
      <c r="F404" s="1"/>
      <c r="G404" s="3"/>
      <c r="H404" s="3"/>
      <c r="I404" s="3"/>
      <c r="J404" s="3"/>
      <c r="K404" s="3"/>
      <c r="L404" s="3"/>
      <c r="M404" s="3"/>
      <c r="N404" s="3"/>
      <c r="O404" s="1"/>
      <c r="P404" s="1"/>
      <c r="Q404" s="1"/>
      <c r="R404" s="162"/>
      <c r="S404" s="1"/>
      <c r="T404" s="103"/>
      <c r="U404" s="101" t="s">
        <v>449</v>
      </c>
      <c r="V404" s="103" t="str">
        <f t="shared" si="70"/>
        <v>Local Persistent Identifier (PID)</v>
      </c>
      <c r="W404" s="416">
        <f ca="1">IF(W$392&lt;'2.2 Input_General_Information'!$H$20, ,IF(W$392='2.2 Input_General_Information'!$H$20,$H$387,IFERROR(V404/V400*W400,0)))</f>
        <v>0.15</v>
      </c>
      <c r="X404" s="416">
        <f ca="1">IF(X$392&lt;'2.2 Input_General_Information'!$H$20, ,IF(X$392='2.2 Input_General_Information'!$H$20,$H$387,IFERROR(W404/W400*X400,0)))</f>
        <v>8.5137532289853393E-2</v>
      </c>
      <c r="Y404" s="416">
        <f ca="1">IF(Y$392&lt;'2.2 Input_General_Information'!$H$20, ,IF(Y$392='2.2 Input_General_Information'!$H$20,$H$387,IFERROR(X404/X400*Y400,0)))</f>
        <v>6.435830599365271E-3</v>
      </c>
      <c r="Z404" s="416">
        <f ca="1">IF(Z$392&lt;'2.2 Input_General_Information'!$H$20, ,IF(Z$392='2.2 Input_General_Information'!$H$20,$H$387,IFERROR(Y404/Y400*Z400,0)))</f>
        <v>1.5000450029234847E-5</v>
      </c>
      <c r="AA404" s="416">
        <f ca="1">IF(AA$392&lt;'2.2 Input_General_Information'!$H$20, ,IF(AA$392='2.2 Input_General_Information'!$H$20,$H$387,IFERROR(Z404/Z400*AA400,0)))</f>
        <v>0</v>
      </c>
      <c r="AB404" s="416">
        <f ca="1">IF(AB$392&lt;'2.2 Input_General_Information'!$H$20, ,IF(AB$392='2.2 Input_General_Information'!$H$20,$H$387,IFERROR(AA404/AA400*AB400,0)))</f>
        <v>0</v>
      </c>
      <c r="AC404" s="416">
        <f ca="1">IF(AC$392&lt;'2.2 Input_General_Information'!$H$20, ,IF(AC$392='2.2 Input_General_Information'!$H$20,$H$387,IFERROR(AB404/AB400*AC400,0)))</f>
        <v>0</v>
      </c>
      <c r="AD404" s="416">
        <f ca="1">IF(AD$392&lt;'2.2 Input_General_Information'!$H$20, ,IF(AD$392='2.2 Input_General_Information'!$H$20,$H$387,IFERROR(AC404/AC400*AD400,0)))</f>
        <v>0</v>
      </c>
      <c r="AE404" s="416">
        <f ca="1">IF(AE$392&lt;'2.2 Input_General_Information'!$H$20, ,IF(AE$392='2.2 Input_General_Information'!$H$20,$H$387,IFERROR(AD404/AD400*AE400,0)))</f>
        <v>0</v>
      </c>
      <c r="AF404" s="416">
        <f ca="1">IF(AF$392&lt;'2.2 Input_General_Information'!$H$20, ,IF(AF$392='2.2 Input_General_Information'!$H$20,$H$387,IFERROR(AE404/AE400*AF400,0)))</f>
        <v>0</v>
      </c>
      <c r="AG404" s="416">
        <f ca="1">IF(AG$392&lt;'2.2 Input_General_Information'!$H$20, ,IF(AG$392='2.2 Input_General_Information'!$H$20,$H$387,IFERROR(AF404/AF400*AG400,0)))</f>
        <v>0</v>
      </c>
      <c r="AH404" s="416">
        <f ca="1">IF(AH$392&lt;'2.2 Input_General_Information'!$H$20, ,IF(AH$392='2.2 Input_General_Information'!$H$20,$H$387,IFERROR(AG404/AG400*AH400,0)))</f>
        <v>0</v>
      </c>
      <c r="AI404" s="416">
        <f ca="1">IF(AI$392&lt;'2.2 Input_General_Information'!$H$20, ,IF(AI$392='2.2 Input_General_Information'!$H$20,$H$387,IFERROR(AH404/AH400*AI400,0)))</f>
        <v>0</v>
      </c>
      <c r="AJ404" s="416">
        <f ca="1">IF(AJ$392&lt;'2.2 Input_General_Information'!$H$20, ,IF(AJ$392='2.2 Input_General_Information'!$H$20,$H$387,IFERROR(AI404/AI400*AJ400,0)))</f>
        <v>0</v>
      </c>
      <c r="AK404" s="416">
        <f ca="1">IF(AK$392&lt;'2.2 Input_General_Information'!$H$20, ,IF(AK$392='2.2 Input_General_Information'!$H$20,$H$387,IFERROR(AJ404/AJ400*AK400,0)))</f>
        <v>0</v>
      </c>
      <c r="AL404" s="416">
        <f ca="1">IF(AL$392&lt;'2.2 Input_General_Information'!$H$20, ,IF(AL$392='2.2 Input_General_Information'!$H$20,$H$387,IFERROR(AK404/AK400*AL400,0)))</f>
        <v>0</v>
      </c>
      <c r="AM404" s="416">
        <f ca="1">IF(AM$392&lt;'2.2 Input_General_Information'!$H$20, ,IF(AM$392='2.2 Input_General_Information'!$H$20,$H$387,IFERROR(AL404/AL400*AM400,0)))</f>
        <v>0</v>
      </c>
      <c r="AN404" s="416">
        <f ca="1">IF(AN$392&lt;'2.2 Input_General_Information'!$H$20, ,IF(AN$392='2.2 Input_General_Information'!$H$20,$H$387,IFERROR(AM404/AM400*AN400,0)))</f>
        <v>0</v>
      </c>
      <c r="AO404" s="416">
        <f ca="1">IF(AO$392&lt;'2.2 Input_General_Information'!$H$20, ,IF(AO$392='2.2 Input_General_Information'!$H$20,$H$387,IFERROR(AN404/AN400*AO400,0)))</f>
        <v>0</v>
      </c>
      <c r="AP404" s="416">
        <f ca="1">IF(AP$392&lt;'2.2 Input_General_Information'!$H$20, ,IF(AP$392='2.2 Input_General_Information'!$H$20,$H$387,IFERROR(AO404/AO400*AP400,0)))</f>
        <v>0</v>
      </c>
      <c r="AQ404" s="416">
        <f ca="1">IF(AQ$392&lt;'2.2 Input_General_Information'!$H$20, ,IF(AQ$392='2.2 Input_General_Information'!$H$20,$H$387,IFERROR(AP404/AP400*AQ400,0)))</f>
        <v>0</v>
      </c>
      <c r="AR404" s="416">
        <f ca="1">IF(AR$392&lt;'2.2 Input_General_Information'!$H$20, ,IF(AR$392='2.2 Input_General_Information'!$H$20,$H$387,IFERROR(AQ404/AQ400*AR400,0)))</f>
        <v>0</v>
      </c>
      <c r="AS404" s="416">
        <f ca="1">IF(AS$392&lt;'2.2 Input_General_Information'!$H$20, ,IF(AS$392='2.2 Input_General_Information'!$H$20,$H$387,IFERROR(AR404/AR400*AS400,0)))</f>
        <v>0</v>
      </c>
      <c r="AT404" s="416">
        <f ca="1">IF(AT$392&lt;'2.2 Input_General_Information'!$H$20, ,IF(AT$392='2.2 Input_General_Information'!$H$20,$H$387,IFERROR(AS404/AS400*AT400,0)))</f>
        <v>0</v>
      </c>
      <c r="AU404" s="416">
        <f ca="1">IF(AU$392&lt;'2.2 Input_General_Information'!$H$20, ,IF(AU$392='2.2 Input_General_Information'!$H$20,$H$387,IFERROR(AT404/AT400*AU400,0)))</f>
        <v>0</v>
      </c>
      <c r="AV404" s="416">
        <f ca="1">IF(AV$392&lt;'2.2 Input_General_Information'!$H$20, ,IF(AV$392='2.2 Input_General_Information'!$H$20,$H$387,IFERROR(AU404/AU400*AV400,0)))</f>
        <v>0</v>
      </c>
      <c r="AW404" s="416">
        <f ca="1">IF(AW$392&lt;'2.2 Input_General_Information'!$H$20, ,IF(AW$392='2.2 Input_General_Information'!$H$20,$H$387,IFERROR(AV404/AV400*AW400,0)))</f>
        <v>0</v>
      </c>
      <c r="AX404" s="416">
        <f ca="1">IF(AX$392&lt;'2.2 Input_General_Information'!$H$20, ,IF(AX$392='2.2 Input_General_Information'!$H$20,$H$387,IFERROR(AW404/AW400*AX400,0)))</f>
        <v>0</v>
      </c>
      <c r="AY404" s="416">
        <f ca="1">IF(AY$392&lt;'2.2 Input_General_Information'!$H$20, ,IF(AY$392='2.2 Input_General_Information'!$H$20,$H$387,IFERROR(AX404/AX400*AY400,0)))</f>
        <v>0</v>
      </c>
      <c r="AZ404" s="416">
        <f ca="1">IF(AZ$392&lt;'2.2 Input_General_Information'!$H$20, ,IF(AZ$392='2.2 Input_General_Information'!$H$20,$H$387,IFERROR(AY404/AY400*AZ400,0)))</f>
        <v>0</v>
      </c>
      <c r="BA404" s="416">
        <f ca="1">IF(BA$392&lt;'2.2 Input_General_Information'!$H$20, ,IF(BA$392='2.2 Input_General_Information'!$H$20,$H$387,IFERROR(AZ404/AZ400*BA400,0)))</f>
        <v>0</v>
      </c>
      <c r="BB404" s="416">
        <f ca="1">IF(BB$392&lt;'2.2 Input_General_Information'!$H$20, ,IF(BB$392='2.2 Input_General_Information'!$H$20,$H$387,IFERROR(BA404/BA400*BB400,0)))</f>
        <v>0</v>
      </c>
      <c r="BC404" s="416">
        <f ca="1">IF(BC$392&lt;'2.2 Input_General_Information'!$H$20, ,IF(BC$392='2.2 Input_General_Information'!$H$20,$H$387,IFERROR(BB404/BB400*BC400,0)))</f>
        <v>0</v>
      </c>
      <c r="BD404" s="416">
        <f ca="1">IF(BD$392&lt;'2.2 Input_General_Information'!$H$20, ,IF(BD$392='2.2 Input_General_Information'!$H$20,$H$387,IFERROR(BC404/BC400*BD400,0)))</f>
        <v>0</v>
      </c>
      <c r="BE404" s="416">
        <f ca="1">IF(BE$392&lt;'2.2 Input_General_Information'!$H$20, ,IF(BE$392='2.2 Input_General_Information'!$H$20,$H$387,IFERROR(BD404/BD400*BE400,0)))</f>
        <v>0</v>
      </c>
      <c r="BF404" s="416">
        <f ca="1">IF(BF$392&lt;'2.2 Input_General_Information'!$H$20, ,IF(BF$392='2.2 Input_General_Information'!$H$20,$H$387,IFERROR(BE404/BE400*BF400,0)))</f>
        <v>0</v>
      </c>
      <c r="BG404" s="416">
        <f ca="1">IF(BG$392&lt;'2.2 Input_General_Information'!$H$20, ,IF(BG$392='2.2 Input_General_Information'!$H$20,$H$387,IFERROR(BF404/BF400*BG400,0)))</f>
        <v>0</v>
      </c>
      <c r="BH404" s="416">
        <f ca="1">IF(BH$392&lt;'2.2 Input_General_Information'!$H$20, ,IF(BH$392='2.2 Input_General_Information'!$H$20,$H$387,IFERROR(BG404/BG400*BH400,0)))</f>
        <v>0</v>
      </c>
      <c r="BI404" s="416">
        <f ca="1">IF(BI$392&lt;'2.2 Input_General_Information'!$H$20, ,IF(BI$392='2.2 Input_General_Information'!$H$20,$H$387,IFERROR(BH404/BH400*BI400,0)))</f>
        <v>0</v>
      </c>
      <c r="BJ404" s="416">
        <f ca="1">IF(BJ$392&lt;'2.2 Input_General_Information'!$H$20, ,IF(BJ$392='2.2 Input_General_Information'!$H$20,$H$387,IFERROR(BI404/BI400*BJ400,0)))</f>
        <v>0</v>
      </c>
      <c r="BK404" s="416">
        <f ca="1">IF(BK$392&lt;'2.2 Input_General_Information'!$H$20, ,IF(BK$392='2.2 Input_General_Information'!$H$20,$H$387,IFERROR(BJ404/BJ400*BK400,0)))</f>
        <v>0</v>
      </c>
      <c r="BL404" s="349"/>
      <c r="BM404" s="349"/>
      <c r="BN404" s="349"/>
      <c r="BO404" s="349"/>
      <c r="BP404" s="349"/>
      <c r="BQ404" s="349"/>
      <c r="BR404" s="349"/>
      <c r="BS404" s="349"/>
      <c r="BT404" s="349"/>
      <c r="BU404" s="349"/>
    </row>
    <row r="405" spans="1:73" ht="17.25" hidden="1" customHeight="1">
      <c r="A405" s="6"/>
      <c r="B405" s="108"/>
      <c r="C405" s="1"/>
      <c r="D405" s="12"/>
      <c r="E405" s="1"/>
      <c r="F405" s="1"/>
      <c r="G405" s="3"/>
      <c r="H405" s="3"/>
      <c r="I405" s="3"/>
      <c r="J405" s="3"/>
      <c r="K405" s="3"/>
      <c r="L405" s="3"/>
      <c r="M405" s="3"/>
      <c r="N405" s="3"/>
      <c r="O405" s="1"/>
      <c r="P405" s="1"/>
      <c r="Q405" s="1"/>
      <c r="R405" s="162"/>
      <c r="S405" s="1"/>
      <c r="T405" s="103"/>
      <c r="U405" s="101" t="s">
        <v>449</v>
      </c>
      <c r="V405" s="103" t="str">
        <f t="shared" si="70"/>
        <v>Recognized standard PID</v>
      </c>
      <c r="W405" s="416">
        <f ca="1">IF(W$392&lt;'2.2 Input_General_Information'!$H$20, ,IF(W$392='2.2 Input_General_Information'!$H$20,$H$388,IFERROR(V405/V401*W401,0)))</f>
        <v>0.2</v>
      </c>
      <c r="X405" s="416">
        <f ca="1">IF(X$392&lt;'2.2 Input_General_Information'!$H$20, ,IF(X$392='2.2 Input_General_Information'!$H$20,$H$388,IFERROR(W405/W401*X401,0)))</f>
        <v>0.69002297105651433</v>
      </c>
      <c r="Y405" s="416">
        <f ca="1">IF(Y$392&lt;'2.2 Input_General_Information'!$H$20, ,IF(Y$392='2.2 Input_General_Information'!$H$20,$H$388,IFERROR(X405/X401*Y401,0)))</f>
        <v>1.2845985869876912</v>
      </c>
      <c r="Z405" s="416">
        <f ca="1">IF(Z$392&lt;'2.2 Input_General_Information'!$H$20, ,IF(Z$392='2.2 Input_General_Information'!$H$20,$H$388,IFERROR(Y405/Y401*Z401,0)))</f>
        <v>1.3331066745998852</v>
      </c>
      <c r="AA405" s="416">
        <f ca="1">IF(AA$392&lt;'2.2 Input_General_Information'!$H$20, ,IF(AA$392='2.2 Input_General_Information'!$H$20,$H$388,IFERROR(Z405/Z401*AA401,0)))</f>
        <v>1.333219999999766</v>
      </c>
      <c r="AB405" s="416">
        <f ca="1">IF(AB$392&lt;'2.2 Input_General_Information'!$H$20, ,IF(AB$392='2.2 Input_General_Information'!$H$20,$H$388,IFERROR(AA405/AA401*AB401,0)))</f>
        <v>1.333219999999766</v>
      </c>
      <c r="AC405" s="416">
        <f ca="1">IF(AC$392&lt;'2.2 Input_General_Information'!$H$20, ,IF(AC$392='2.2 Input_General_Information'!$H$20,$H$388,IFERROR(AB405/AB401*AC401,0)))</f>
        <v>1.333219999999766</v>
      </c>
      <c r="AD405" s="416">
        <f ca="1">IF(AD$392&lt;'2.2 Input_General_Information'!$H$20, ,IF(AD$392='2.2 Input_General_Information'!$H$20,$H$388,IFERROR(AC405/AC401*AD401,0)))</f>
        <v>1.333219999999766</v>
      </c>
      <c r="AE405" s="416">
        <f ca="1">IF(AE$392&lt;'2.2 Input_General_Information'!$H$20, ,IF(AE$392='2.2 Input_General_Information'!$H$20,$H$388,IFERROR(AD405/AD401*AE401,0)))</f>
        <v>1.333219999999766</v>
      </c>
      <c r="AF405" s="416">
        <f ca="1">IF(AF$392&lt;'2.2 Input_General_Information'!$H$20, ,IF(AF$392='2.2 Input_General_Information'!$H$20,$H$388,IFERROR(AE405/AE401*AF401,0)))</f>
        <v>1.333219999999766</v>
      </c>
      <c r="AG405" s="416">
        <f ca="1">IF(AG$392&lt;'2.2 Input_General_Information'!$H$20, ,IF(AG$392='2.2 Input_General_Information'!$H$20,$H$388,IFERROR(AF405/AF401*AG401,0)))</f>
        <v>1.333219999999766</v>
      </c>
      <c r="AH405" s="416">
        <f ca="1">IF(AH$392&lt;'2.2 Input_General_Information'!$H$20, ,IF(AH$392='2.2 Input_General_Information'!$H$20,$H$388,IFERROR(AG405/AG401*AH401,0)))</f>
        <v>1.333219999999766</v>
      </c>
      <c r="AI405" s="416">
        <f ca="1">IF(AI$392&lt;'2.2 Input_General_Information'!$H$20, ,IF(AI$392='2.2 Input_General_Information'!$H$20,$H$388,IFERROR(AH405/AH401*AI401,0)))</f>
        <v>1.333219999999766</v>
      </c>
      <c r="AJ405" s="416">
        <f ca="1">IF(AJ$392&lt;'2.2 Input_General_Information'!$H$20, ,IF(AJ$392='2.2 Input_General_Information'!$H$20,$H$388,IFERROR(AI405/AI401*AJ401,0)))</f>
        <v>1.333219999999766</v>
      </c>
      <c r="AK405" s="416">
        <f ca="1">IF(AK$392&lt;'2.2 Input_General_Information'!$H$20, ,IF(AK$392='2.2 Input_General_Information'!$H$20,$H$388,IFERROR(AJ405/AJ401*AK401,0)))</f>
        <v>1.333219999999766</v>
      </c>
      <c r="AL405" s="416">
        <f ca="1">IF(AL$392&lt;'2.2 Input_General_Information'!$H$20, ,IF(AL$392='2.2 Input_General_Information'!$H$20,$H$388,IFERROR(AK405/AK401*AL401,0)))</f>
        <v>1.333219999999766</v>
      </c>
      <c r="AM405" s="416">
        <f ca="1">IF(AM$392&lt;'2.2 Input_General_Information'!$H$20, ,IF(AM$392='2.2 Input_General_Information'!$H$20,$H$388,IFERROR(AL405/AL401*AM401,0)))</f>
        <v>1.333219999999766</v>
      </c>
      <c r="AN405" s="416">
        <f ca="1">IF(AN$392&lt;'2.2 Input_General_Information'!$H$20, ,IF(AN$392='2.2 Input_General_Information'!$H$20,$H$388,IFERROR(AM405/AM401*AN401,0)))</f>
        <v>1.333219999999766</v>
      </c>
      <c r="AO405" s="416">
        <f ca="1">IF(AO$392&lt;'2.2 Input_General_Information'!$H$20, ,IF(AO$392='2.2 Input_General_Information'!$H$20,$H$388,IFERROR(AN405/AN401*AO401,0)))</f>
        <v>1.333219999999766</v>
      </c>
      <c r="AP405" s="416">
        <f ca="1">IF(AP$392&lt;'2.2 Input_General_Information'!$H$20, ,IF(AP$392='2.2 Input_General_Information'!$H$20,$H$388,IFERROR(AO405/AO401*AP401,0)))</f>
        <v>1.333219999999766</v>
      </c>
      <c r="AQ405" s="416">
        <f ca="1">IF(AQ$392&lt;'2.2 Input_General_Information'!$H$20, ,IF(AQ$392='2.2 Input_General_Information'!$H$20,$H$388,IFERROR(AP405/AP401*AQ401,0)))</f>
        <v>1.333219999999766</v>
      </c>
      <c r="AR405" s="416">
        <f ca="1">IF(AR$392&lt;'2.2 Input_General_Information'!$H$20, ,IF(AR$392='2.2 Input_General_Information'!$H$20,$H$388,IFERROR(AQ405/AQ401*AR401,0)))</f>
        <v>1.333219999999766</v>
      </c>
      <c r="AS405" s="416">
        <f ca="1">IF(AS$392&lt;'2.2 Input_General_Information'!$H$20, ,IF(AS$392='2.2 Input_General_Information'!$H$20,$H$388,IFERROR(AR405/AR401*AS401,0)))</f>
        <v>1.333219999999766</v>
      </c>
      <c r="AT405" s="416">
        <f ca="1">IF(AT$392&lt;'2.2 Input_General_Information'!$H$20, ,IF(AT$392='2.2 Input_General_Information'!$H$20,$H$388,IFERROR(AS405/AS401*AT401,0)))</f>
        <v>1.333219999999766</v>
      </c>
      <c r="AU405" s="416">
        <f ca="1">IF(AU$392&lt;'2.2 Input_General_Information'!$H$20, ,IF(AU$392='2.2 Input_General_Information'!$H$20,$H$388,IFERROR(AT405/AT401*AU401,0)))</f>
        <v>1.333219999999766</v>
      </c>
      <c r="AV405" s="416">
        <f ca="1">IF(AV$392&lt;'2.2 Input_General_Information'!$H$20, ,IF(AV$392='2.2 Input_General_Information'!$H$20,$H$388,IFERROR(AU405/AU401*AV401,0)))</f>
        <v>1.333219999999766</v>
      </c>
      <c r="AW405" s="416">
        <f ca="1">IF(AW$392&lt;'2.2 Input_General_Information'!$H$20, ,IF(AW$392='2.2 Input_General_Information'!$H$20,$H$388,IFERROR(AV405/AV401*AW401,0)))</f>
        <v>1.333219999999766</v>
      </c>
      <c r="AX405" s="416">
        <f ca="1">IF(AX$392&lt;'2.2 Input_General_Information'!$H$20, ,IF(AX$392='2.2 Input_General_Information'!$H$20,$H$388,IFERROR(AW405/AW401*AX401,0)))</f>
        <v>1.333219999999766</v>
      </c>
      <c r="AY405" s="416">
        <f ca="1">IF(AY$392&lt;'2.2 Input_General_Information'!$H$20, ,IF(AY$392='2.2 Input_General_Information'!$H$20,$H$388,IFERROR(AX405/AX401*AY401,0)))</f>
        <v>1.333219999999766</v>
      </c>
      <c r="AZ405" s="416">
        <f ca="1">IF(AZ$392&lt;'2.2 Input_General_Information'!$H$20, ,IF(AZ$392='2.2 Input_General_Information'!$H$20,$H$388,IFERROR(AY405/AY401*AZ401,0)))</f>
        <v>1.333219999999766</v>
      </c>
      <c r="BA405" s="416">
        <f ca="1">IF(BA$392&lt;'2.2 Input_General_Information'!$H$20, ,IF(BA$392='2.2 Input_General_Information'!$H$20,$H$388,IFERROR(AZ405/AZ401*BA401,0)))</f>
        <v>1.333219999999766</v>
      </c>
      <c r="BB405" s="416">
        <f ca="1">IF(BB$392&lt;'2.2 Input_General_Information'!$H$20, ,IF(BB$392='2.2 Input_General_Information'!$H$20,$H$388,IFERROR(BA405/BA401*BB401,0)))</f>
        <v>1.333219999999766</v>
      </c>
      <c r="BC405" s="416">
        <f ca="1">IF(BC$392&lt;'2.2 Input_General_Information'!$H$20, ,IF(BC$392='2.2 Input_General_Information'!$H$20,$H$388,IFERROR(BB405/BB401*BC401,0)))</f>
        <v>1.333219999999766</v>
      </c>
      <c r="BD405" s="416">
        <f ca="1">IF(BD$392&lt;'2.2 Input_General_Information'!$H$20, ,IF(BD$392='2.2 Input_General_Information'!$H$20,$H$388,IFERROR(BC405/BC401*BD401,0)))</f>
        <v>1.333219999999766</v>
      </c>
      <c r="BE405" s="416">
        <f ca="1">IF(BE$392&lt;'2.2 Input_General_Information'!$H$20, ,IF(BE$392='2.2 Input_General_Information'!$H$20,$H$388,IFERROR(BD405/BD401*BE401,0)))</f>
        <v>1.333219999999766</v>
      </c>
      <c r="BF405" s="416">
        <f ca="1">IF(BF$392&lt;'2.2 Input_General_Information'!$H$20, ,IF(BF$392='2.2 Input_General_Information'!$H$20,$H$388,IFERROR(BE405/BE401*BF401,0)))</f>
        <v>1.333219999999766</v>
      </c>
      <c r="BG405" s="416">
        <f ca="1">IF(BG$392&lt;'2.2 Input_General_Information'!$H$20, ,IF(BG$392='2.2 Input_General_Information'!$H$20,$H$388,IFERROR(BF405/BF401*BG401,0)))</f>
        <v>1.333219999999766</v>
      </c>
      <c r="BH405" s="416">
        <f ca="1">IF(BH$392&lt;'2.2 Input_General_Information'!$H$20, ,IF(BH$392='2.2 Input_General_Information'!$H$20,$H$388,IFERROR(BG405/BG401*BH401,0)))</f>
        <v>1.333219999999766</v>
      </c>
      <c r="BI405" s="416">
        <f ca="1">IF(BI$392&lt;'2.2 Input_General_Information'!$H$20, ,IF(BI$392='2.2 Input_General_Information'!$H$20,$H$388,IFERROR(BH405/BH401*BI401,0)))</f>
        <v>1.333219999999766</v>
      </c>
      <c r="BJ405" s="416">
        <f ca="1">IF(BJ$392&lt;'2.2 Input_General_Information'!$H$20, ,IF(BJ$392='2.2 Input_General_Information'!$H$20,$H$388,IFERROR(BI405/BI401*BJ401,0)))</f>
        <v>1.333219999999766</v>
      </c>
      <c r="BK405" s="416">
        <f ca="1">IF(BK$392&lt;'2.2 Input_General_Information'!$H$20, ,IF(BK$392='2.2 Input_General_Information'!$H$20,$H$388,IFERROR(BJ405/BJ401*BK401,0)))</f>
        <v>1.333219999999766</v>
      </c>
      <c r="BL405" s="349"/>
      <c r="BM405" s="349"/>
      <c r="BN405" s="349"/>
      <c r="BO405" s="349"/>
      <c r="BP405" s="349"/>
      <c r="BQ405" s="349"/>
      <c r="BR405" s="349"/>
      <c r="BS405" s="349"/>
      <c r="BT405" s="349"/>
      <c r="BU405" s="349"/>
    </row>
    <row r="406" spans="1:73" ht="17.25" hidden="1" customHeight="1">
      <c r="A406" s="6"/>
      <c r="B406" s="108"/>
      <c r="C406" s="1"/>
      <c r="D406" s="12"/>
      <c r="E406" s="1"/>
      <c r="F406" s="1"/>
      <c r="G406" s="3"/>
      <c r="H406" s="3"/>
      <c r="I406" s="3"/>
      <c r="J406" s="3"/>
      <c r="K406" s="3"/>
      <c r="L406" s="3"/>
      <c r="M406" s="3"/>
      <c r="N406" s="3"/>
      <c r="O406" s="1"/>
      <c r="P406" s="1"/>
      <c r="Q406" s="1"/>
      <c r="R406" s="162"/>
      <c r="S406" s="1"/>
      <c r="T406" s="103"/>
      <c r="U406" s="103"/>
      <c r="V406" s="103"/>
      <c r="W406" s="416"/>
      <c r="X406" s="416"/>
      <c r="Y406" s="416"/>
      <c r="Z406" s="416"/>
      <c r="AA406" s="416"/>
      <c r="AB406" s="416"/>
      <c r="AC406" s="416"/>
      <c r="AD406" s="416"/>
      <c r="AE406" s="416"/>
      <c r="AF406" s="416"/>
      <c r="AG406" s="416"/>
      <c r="AH406" s="416"/>
      <c r="AI406" s="416"/>
      <c r="AJ406" s="416"/>
      <c r="AK406" s="416"/>
      <c r="AL406" s="416"/>
      <c r="AM406" s="416"/>
      <c r="AN406" s="416"/>
      <c r="AO406" s="416"/>
      <c r="AP406" s="416"/>
      <c r="AQ406" s="416"/>
      <c r="AR406" s="416"/>
      <c r="AS406" s="416"/>
      <c r="AT406" s="416"/>
      <c r="AU406" s="416"/>
      <c r="AV406" s="416"/>
      <c r="AW406" s="416"/>
      <c r="AX406" s="416"/>
      <c r="AY406" s="416"/>
      <c r="AZ406" s="416"/>
      <c r="BA406" s="416"/>
      <c r="BB406" s="416"/>
      <c r="BC406" s="416"/>
      <c r="BD406" s="416"/>
      <c r="BE406" s="416"/>
      <c r="BF406" s="416"/>
      <c r="BG406" s="416"/>
      <c r="BH406" s="416"/>
      <c r="BI406" s="416"/>
      <c r="BJ406" s="416"/>
      <c r="BK406" s="416"/>
      <c r="BL406" s="99"/>
      <c r="BM406" s="99"/>
      <c r="BN406" s="99"/>
      <c r="BO406" s="99"/>
      <c r="BP406" s="99"/>
      <c r="BQ406" s="99"/>
      <c r="BR406" s="99"/>
      <c r="BS406" s="99"/>
      <c r="BT406" s="99"/>
      <c r="BU406" s="99"/>
    </row>
    <row r="407" spans="1:73" ht="17.25" hidden="1" customHeight="1">
      <c r="A407" s="6"/>
      <c r="B407" s="108"/>
      <c r="C407" s="1"/>
      <c r="D407" s="6"/>
      <c r="E407" s="6"/>
      <c r="F407" s="6"/>
      <c r="G407" s="6"/>
      <c r="H407" s="3"/>
      <c r="I407" s="24"/>
      <c r="J407" s="3"/>
      <c r="K407" s="3"/>
      <c r="L407" s="3"/>
      <c r="M407" s="3"/>
      <c r="N407" s="3"/>
      <c r="O407" s="1"/>
      <c r="P407" s="1"/>
      <c r="Q407" s="1"/>
      <c r="R407" s="162"/>
      <c r="S407" s="1"/>
      <c r="T407" s="103"/>
      <c r="U407" s="103"/>
      <c r="V407" s="103" t="str">
        <f>D409</f>
        <v>Time change</v>
      </c>
      <c r="W407" s="469">
        <f ca="1">IF(W$392&lt;'2.2 Input_General_Information'!$H$20, ,IF(W$392='2.2 Input_General_Information'!$H$20,0,SUM(V403:V405)-SUM(W403:W405)))</f>
        <v>0</v>
      </c>
      <c r="X407" s="469">
        <f ca="1">IF(X$392&lt;'2.2 Input_General_Information'!$H$20, ,IF(X$392='2.2 Input_General_Information'!$H$20,0,SUM(W403:W405)-SUM(X403:X405)))</f>
        <v>-0.42516050334636779</v>
      </c>
      <c r="Y407" s="469">
        <f ca="1">IF(Y$392&lt;'2.2 Input_General_Information'!$H$20, ,IF(Y$392='2.2 Input_General_Information'!$H$20,0,SUM(X403:X405)-SUM(Y403:Y405)))</f>
        <v>-0.51587391424068874</v>
      </c>
      <c r="Z407" s="469">
        <f ca="1">IF(Z$392&lt;'2.2 Input_General_Information'!$H$20, ,IF(Z$392='2.2 Input_General_Information'!$H$20,0,SUM(Y403:Y405)-SUM(Z403:Z405)))</f>
        <v>-4.2087257462857908E-2</v>
      </c>
      <c r="AA407" s="469">
        <f ca="1">IF(AA$392&lt;'2.2 Input_General_Information'!$H$20, ,IF(AA$392='2.2 Input_General_Information'!$H$20,0,SUM(Z403:Z405)-SUM(AA403:AA405)))</f>
        <v>-9.8324949851624766E-5</v>
      </c>
      <c r="AB407" s="469">
        <f ca="1">IF(AB$392&lt;'2.2 Input_General_Information'!$H$20, ,IF(AB$392='2.2 Input_General_Information'!$H$20,0,SUM(AA403:AA405)-SUM(AB403:AB405)))</f>
        <v>0</v>
      </c>
      <c r="AC407" s="469">
        <f ca="1">IF(AC$392&lt;'2.2 Input_General_Information'!$H$20, ,IF(AC$392='2.2 Input_General_Information'!$H$20,0,SUM(AB403:AB405)-SUM(AC403:AC405)))</f>
        <v>0</v>
      </c>
      <c r="AD407" s="469">
        <f ca="1">IF(AD$392&lt;'2.2 Input_General_Information'!$H$20, ,IF(AD$392='2.2 Input_General_Information'!$H$20,0,SUM(AC403:AC405)-SUM(AD403:AD405)))</f>
        <v>0</v>
      </c>
      <c r="AE407" s="469">
        <f ca="1">IF(AE$392&lt;'2.2 Input_General_Information'!$H$20, ,IF(AE$392='2.2 Input_General_Information'!$H$20,0,SUM(AD403:AD405)-SUM(AE403:AE405)))</f>
        <v>0</v>
      </c>
      <c r="AF407" s="469">
        <f ca="1">IF(AF$392&lt;'2.2 Input_General_Information'!$H$20, ,IF(AF$392='2.2 Input_General_Information'!$H$20,0,SUM(AE403:AE405)-SUM(AF403:AF405)))</f>
        <v>0</v>
      </c>
      <c r="AG407" s="469">
        <f ca="1">IF(AG$392&lt;'2.2 Input_General_Information'!$H$20, ,IF(AG$392='2.2 Input_General_Information'!$H$20,0,SUM(AF403:AF405)-SUM(AG403:AG405)))</f>
        <v>0</v>
      </c>
      <c r="AH407" s="469">
        <f ca="1">IF(AH$392&lt;'2.2 Input_General_Information'!$H$20, ,IF(AH$392='2.2 Input_General_Information'!$H$20,0,SUM(AG403:AG405)-SUM(AH403:AH405)))</f>
        <v>0</v>
      </c>
      <c r="AI407" s="469">
        <f ca="1">IF(AI$392&lt;'2.2 Input_General_Information'!$H$20, ,IF(AI$392='2.2 Input_General_Information'!$H$20,0,SUM(AH403:AH405)-SUM(AI403:AI405)))</f>
        <v>0</v>
      </c>
      <c r="AJ407" s="469">
        <f ca="1">IF(AJ$392&lt;'2.2 Input_General_Information'!$H$20, ,IF(AJ$392='2.2 Input_General_Information'!$H$20,0,SUM(AI403:AI405)-SUM(AJ403:AJ405)))</f>
        <v>0</v>
      </c>
      <c r="AK407" s="469">
        <f ca="1">IF(AK$392&lt;'2.2 Input_General_Information'!$H$20, ,IF(AK$392='2.2 Input_General_Information'!$H$20,0,SUM(AJ403:AJ405)-SUM(AK403:AK405)))</f>
        <v>0</v>
      </c>
      <c r="AL407" s="469">
        <f ca="1">IF(AL$392&lt;'2.2 Input_General_Information'!$H$20, ,IF(AL$392='2.2 Input_General_Information'!$H$20,0,SUM(AK403:AK405)-SUM(AL403:AL405)))</f>
        <v>0</v>
      </c>
      <c r="AM407" s="469">
        <f ca="1">IF(AM$392&lt;'2.2 Input_General_Information'!$H$20, ,IF(AM$392='2.2 Input_General_Information'!$H$20,0,SUM(AL403:AL405)-SUM(AM403:AM405)))</f>
        <v>0</v>
      </c>
      <c r="AN407" s="469">
        <f ca="1">IF(AN$392&lt;'2.2 Input_General_Information'!$H$20, ,IF(AN$392='2.2 Input_General_Information'!$H$20,0,SUM(AM403:AM405)-SUM(AN403:AN405)))</f>
        <v>0</v>
      </c>
      <c r="AO407" s="469">
        <f ca="1">IF(AO$392&lt;'2.2 Input_General_Information'!$H$20, ,IF(AO$392='2.2 Input_General_Information'!$H$20,0,SUM(AN403:AN405)-SUM(AO403:AO405)))</f>
        <v>0</v>
      </c>
      <c r="AP407" s="469">
        <f ca="1">IF(AP$392&lt;'2.2 Input_General_Information'!$H$20, ,IF(AP$392='2.2 Input_General_Information'!$H$20,0,SUM(AO403:AO405)-SUM(AP403:AP405)))</f>
        <v>0</v>
      </c>
      <c r="AQ407" s="469">
        <f ca="1">IF(AQ$392&lt;'2.2 Input_General_Information'!$H$20, ,IF(AQ$392='2.2 Input_General_Information'!$H$20,0,SUM(AP403:AP405)-SUM(AQ403:AQ405)))</f>
        <v>0</v>
      </c>
      <c r="AR407" s="469">
        <f ca="1">IF(AR$392&lt;'2.2 Input_General_Information'!$H$20, ,IF(AR$392='2.2 Input_General_Information'!$H$20,0,SUM(AQ403:AQ405)-SUM(AR403:AR405)))</f>
        <v>0</v>
      </c>
      <c r="AS407" s="469">
        <f ca="1">IF(AS$392&lt;'2.2 Input_General_Information'!$H$20, ,IF(AS$392='2.2 Input_General_Information'!$H$20,0,SUM(AR403:AR405)-SUM(AS403:AS405)))</f>
        <v>0</v>
      </c>
      <c r="AT407" s="469">
        <f ca="1">IF(AT$392&lt;'2.2 Input_General_Information'!$H$20, ,IF(AT$392='2.2 Input_General_Information'!$H$20,0,SUM(AS403:AS405)-SUM(AT403:AT405)))</f>
        <v>0</v>
      </c>
      <c r="AU407" s="469">
        <f ca="1">IF(AU$392&lt;'2.2 Input_General_Information'!$H$20, ,IF(AU$392='2.2 Input_General_Information'!$H$20,0,SUM(AT403:AT405)-SUM(AU403:AU405)))</f>
        <v>0</v>
      </c>
      <c r="AV407" s="469">
        <f ca="1">IF(AV$392&lt;'2.2 Input_General_Information'!$H$20, ,IF(AV$392='2.2 Input_General_Information'!$H$20,0,SUM(AU403:AU405)-SUM(AV403:AV405)))</f>
        <v>0</v>
      </c>
      <c r="AW407" s="469">
        <f ca="1">IF(AW$392&lt;'2.2 Input_General_Information'!$H$20, ,IF(AW$392='2.2 Input_General_Information'!$H$20,0,SUM(AV403:AV405)-SUM(AW403:AW405)))</f>
        <v>0</v>
      </c>
      <c r="AX407" s="469">
        <f ca="1">IF(AX$392&lt;'2.2 Input_General_Information'!$H$20, ,IF(AX$392='2.2 Input_General_Information'!$H$20,0,SUM(AW403:AW405)-SUM(AX403:AX405)))</f>
        <v>0</v>
      </c>
      <c r="AY407" s="469">
        <f ca="1">IF(AY$392&lt;'2.2 Input_General_Information'!$H$20, ,IF(AY$392='2.2 Input_General_Information'!$H$20,0,SUM(AX403:AX405)-SUM(AY403:AY405)))</f>
        <v>0</v>
      </c>
      <c r="AZ407" s="469">
        <f ca="1">IF(AZ$392&lt;'2.2 Input_General_Information'!$H$20, ,IF(AZ$392='2.2 Input_General_Information'!$H$20,0,SUM(AY403:AY405)-SUM(AZ403:AZ405)))</f>
        <v>0</v>
      </c>
      <c r="BA407" s="469">
        <f ca="1">IF(BA$392&lt;'2.2 Input_General_Information'!$H$20, ,IF(BA$392='2.2 Input_General_Information'!$H$20,0,SUM(AZ403:AZ405)-SUM(BA403:BA405)))</f>
        <v>0</v>
      </c>
      <c r="BB407" s="469">
        <f ca="1">IF(BB$392&lt;'2.2 Input_General_Information'!$H$20, ,IF(BB$392='2.2 Input_General_Information'!$H$20,0,SUM(BA403:BA405)-SUM(BB403:BB405)))</f>
        <v>0</v>
      </c>
      <c r="BC407" s="469">
        <f ca="1">IF(BC$392&lt;'2.2 Input_General_Information'!$H$20, ,IF(BC$392='2.2 Input_General_Information'!$H$20,0,SUM(BB403:BB405)-SUM(BC403:BC405)))</f>
        <v>0</v>
      </c>
      <c r="BD407" s="469">
        <f ca="1">IF(BD$392&lt;'2.2 Input_General_Information'!$H$20, ,IF(BD$392='2.2 Input_General_Information'!$H$20,0,SUM(BC403:BC405)-SUM(BD403:BD405)))</f>
        <v>0</v>
      </c>
      <c r="BE407" s="469">
        <f ca="1">IF(BE$392&lt;'2.2 Input_General_Information'!$H$20, ,IF(BE$392='2.2 Input_General_Information'!$H$20,0,SUM(BD403:BD405)-SUM(BE403:BE405)))</f>
        <v>0</v>
      </c>
      <c r="BF407" s="469">
        <f ca="1">IF(BF$392&lt;'2.2 Input_General_Information'!$H$20, ,IF(BF$392='2.2 Input_General_Information'!$H$20,0,SUM(BE403:BE405)-SUM(BF403:BF405)))</f>
        <v>0</v>
      </c>
      <c r="BG407" s="469">
        <f ca="1">IF(BG$392&lt;'2.2 Input_General_Information'!$H$20, ,IF(BG$392='2.2 Input_General_Information'!$H$20,0,SUM(BF403:BF405)-SUM(BG403:BG405)))</f>
        <v>0</v>
      </c>
      <c r="BH407" s="469">
        <f ca="1">IF(BH$392&lt;'2.2 Input_General_Information'!$H$20, ,IF(BH$392='2.2 Input_General_Information'!$H$20,0,SUM(BG403:BG405)-SUM(BH403:BH405)))</f>
        <v>0</v>
      </c>
      <c r="BI407" s="469">
        <f ca="1">IF(BI$392&lt;'2.2 Input_General_Information'!$H$20, ,IF(BI$392='2.2 Input_General_Information'!$H$20,0,SUM(BH403:BH405)-SUM(BI403:BI405)))</f>
        <v>0</v>
      </c>
      <c r="BJ407" s="469">
        <f ca="1">IF(BJ$392&lt;'2.2 Input_General_Information'!$H$20, ,IF(BJ$392='2.2 Input_General_Information'!$H$20,0,SUM(BI403:BI405)-SUM(BJ403:BJ405)))</f>
        <v>0</v>
      </c>
      <c r="BK407" s="469">
        <f ca="1">IF(BK$392&lt;'2.2 Input_General_Information'!$H$20, ,IF(BK$392='2.2 Input_General_Information'!$H$20,0,SUM(BJ403:BJ405)-SUM(BK403:BK405)))</f>
        <v>0</v>
      </c>
      <c r="BL407" s="349"/>
      <c r="BM407" s="349"/>
      <c r="BN407" s="349"/>
      <c r="BO407" s="349"/>
      <c r="BP407" s="349"/>
      <c r="BQ407" s="349"/>
      <c r="BR407" s="349"/>
      <c r="BS407" s="349"/>
      <c r="BT407" s="349"/>
      <c r="BU407" s="349"/>
    </row>
    <row r="408" spans="1:73" ht="17.25" hidden="1" customHeight="1">
      <c r="A408" s="6"/>
      <c r="B408" s="577"/>
      <c r="C408" s="578"/>
      <c r="D408" s="12"/>
      <c r="E408" s="1"/>
      <c r="F408" s="1"/>
      <c r="G408" s="3"/>
      <c r="H408" s="3"/>
      <c r="I408" s="3"/>
      <c r="J408" s="3"/>
      <c r="K408" s="3"/>
      <c r="L408" s="3"/>
      <c r="M408" s="3"/>
      <c r="N408" s="3"/>
      <c r="O408" s="1"/>
      <c r="P408" s="1"/>
      <c r="Q408" s="1"/>
      <c r="R408" s="162"/>
      <c r="S408" s="1"/>
      <c r="T408" s="103"/>
      <c r="U408" s="9" t="s">
        <v>29</v>
      </c>
      <c r="V408" s="103"/>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98"/>
      <c r="BI408" s="98"/>
      <c r="BJ408" s="98"/>
      <c r="BK408" s="98"/>
      <c r="BL408" s="99"/>
      <c r="BM408" s="99"/>
      <c r="BN408" s="99"/>
      <c r="BO408" s="99"/>
      <c r="BP408" s="99"/>
      <c r="BQ408" s="99"/>
      <c r="BR408" s="99"/>
      <c r="BS408" s="99"/>
      <c r="BT408" s="99"/>
      <c r="BU408" s="99"/>
    </row>
    <row r="409" spans="1:73" ht="17.25" customHeight="1">
      <c r="A409" s="6"/>
      <c r="B409" s="577"/>
      <c r="C409" s="578"/>
      <c r="D409" s="12" t="s">
        <v>1019</v>
      </c>
      <c r="E409" s="1"/>
      <c r="F409" s="6"/>
      <c r="G409" s="538">
        <f>SUM(H386:H388)-SUM(J386:J388)</f>
        <v>-0.9833333333333335</v>
      </c>
      <c r="H409" s="3"/>
      <c r="I409" s="3"/>
      <c r="J409" s="3"/>
      <c r="K409" s="3"/>
      <c r="L409" s="3"/>
      <c r="M409" s="3"/>
      <c r="N409" s="3"/>
      <c r="O409" s="1"/>
      <c r="P409" s="1"/>
      <c r="Q409" s="1"/>
      <c r="R409" s="162"/>
      <c r="S409" s="1"/>
      <c r="T409" s="103"/>
      <c r="U409" s="103"/>
      <c r="V409" s="103"/>
      <c r="W409" s="98"/>
      <c r="X409" s="98"/>
      <c r="Y409" s="98"/>
      <c r="Z409" s="98"/>
      <c r="AA409" s="98"/>
      <c r="AB409" s="98"/>
      <c r="AC409" s="98"/>
      <c r="AD409" s="98"/>
      <c r="AE409" s="98"/>
      <c r="AF409" s="98"/>
      <c r="AG409" s="98"/>
      <c r="AH409" s="98"/>
      <c r="AI409" s="98"/>
      <c r="AJ409" s="98"/>
      <c r="AK409" s="98"/>
      <c r="AL409" s="98"/>
      <c r="AM409" s="98"/>
      <c r="AN409" s="98"/>
      <c r="AO409" s="98"/>
      <c r="AP409" s="98"/>
      <c r="AQ409" s="98"/>
      <c r="AR409" s="98"/>
      <c r="AS409" s="98"/>
      <c r="AT409" s="98"/>
      <c r="AU409" s="98"/>
      <c r="AV409" s="98"/>
      <c r="AW409" s="98"/>
      <c r="AX409" s="98"/>
      <c r="AY409" s="98"/>
      <c r="AZ409" s="98"/>
      <c r="BA409" s="98"/>
      <c r="BB409" s="98"/>
      <c r="BC409" s="98"/>
      <c r="BD409" s="98"/>
      <c r="BE409" s="98"/>
      <c r="BF409" s="98"/>
      <c r="BG409" s="98"/>
      <c r="BH409" s="98"/>
      <c r="BI409" s="98"/>
      <c r="BJ409" s="98"/>
      <c r="BK409" s="98"/>
      <c r="BL409" s="99"/>
      <c r="BM409" s="99"/>
      <c r="BN409" s="99"/>
      <c r="BO409" s="99"/>
      <c r="BP409" s="99"/>
      <c r="BQ409" s="99"/>
      <c r="BR409" s="99"/>
      <c r="BS409" s="99"/>
      <c r="BT409" s="99"/>
      <c r="BU409" s="99"/>
    </row>
    <row r="410" spans="1:73" ht="5.25" customHeight="1">
      <c r="A410" s="6"/>
      <c r="B410" s="577"/>
      <c r="C410" s="578"/>
      <c r="D410" s="12"/>
      <c r="E410" s="1"/>
      <c r="F410" s="1"/>
      <c r="G410" s="3"/>
      <c r="H410" s="3"/>
      <c r="I410" s="3"/>
      <c r="J410" s="3"/>
      <c r="K410" s="3"/>
      <c r="L410" s="3"/>
      <c r="M410" s="3"/>
      <c r="N410" s="3"/>
      <c r="O410" s="1"/>
      <c r="P410" s="1"/>
      <c r="Q410" s="1"/>
      <c r="R410" s="162"/>
      <c r="S410" s="1"/>
      <c r="T410" s="103"/>
      <c r="U410" s="103"/>
      <c r="V410" s="103"/>
      <c r="W410" s="98"/>
      <c r="X410" s="98"/>
      <c r="Y410" s="98"/>
      <c r="Z410" s="98"/>
      <c r="AA410" s="98"/>
      <c r="AB410" s="98"/>
      <c r="AC410" s="98"/>
      <c r="AD410" s="98"/>
      <c r="AE410" s="98"/>
      <c r="AF410" s="98"/>
      <c r="AG410" s="98"/>
      <c r="AH410" s="98"/>
      <c r="AI410" s="98"/>
      <c r="AJ410" s="98"/>
      <c r="AK410" s="98"/>
      <c r="AL410" s="98"/>
      <c r="AM410" s="98"/>
      <c r="AN410" s="98"/>
      <c r="AO410" s="98"/>
      <c r="AP410" s="98"/>
      <c r="AQ410" s="98"/>
      <c r="AR410" s="98"/>
      <c r="AS410" s="98"/>
      <c r="AT410" s="98"/>
      <c r="AU410" s="98"/>
      <c r="AV410" s="98"/>
      <c r="AW410" s="98"/>
      <c r="AX410" s="98"/>
      <c r="AY410" s="98"/>
      <c r="AZ410" s="98"/>
      <c r="BA410" s="98"/>
      <c r="BB410" s="98"/>
      <c r="BC410" s="98"/>
      <c r="BD410" s="98"/>
      <c r="BE410" s="98"/>
      <c r="BF410" s="98"/>
      <c r="BG410" s="98"/>
      <c r="BH410" s="98"/>
      <c r="BI410" s="98"/>
      <c r="BJ410" s="98"/>
      <c r="BK410" s="98"/>
      <c r="BL410" s="99"/>
      <c r="BM410" s="99"/>
      <c r="BN410" s="99"/>
      <c r="BO410" s="99"/>
      <c r="BP410" s="99"/>
      <c r="BQ410" s="99"/>
      <c r="BR410" s="99"/>
      <c r="BS410" s="99"/>
      <c r="BT410" s="99"/>
      <c r="BU410" s="99"/>
    </row>
    <row r="411" spans="1:73" ht="17.25" customHeight="1">
      <c r="A411" s="6"/>
      <c r="B411" s="554" t="s">
        <v>648</v>
      </c>
      <c r="C411" s="578"/>
      <c r="D411" s="12" t="s">
        <v>1023</v>
      </c>
      <c r="E411" s="1"/>
      <c r="F411" s="1"/>
      <c r="G411" s="580">
        <f>-'2.3 Input_Main_Questionnaire'!H199</f>
        <v>-500</v>
      </c>
      <c r="H411" s="3"/>
      <c r="I411" s="3"/>
      <c r="J411" s="3"/>
      <c r="K411" s="3"/>
      <c r="L411" s="3"/>
      <c r="M411" s="3"/>
      <c r="N411" s="3"/>
      <c r="O411" s="1"/>
      <c r="P411" s="1"/>
      <c r="Q411" s="1"/>
      <c r="R411" s="162"/>
      <c r="S411" s="1"/>
      <c r="T411" s="103"/>
      <c r="U411" s="103"/>
      <c r="V411" s="103"/>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98"/>
      <c r="BI411" s="98"/>
      <c r="BJ411" s="98"/>
      <c r="BK411" s="98"/>
      <c r="BL411" s="99"/>
      <c r="BM411" s="99"/>
      <c r="BN411" s="99"/>
      <c r="BO411" s="99"/>
      <c r="BP411" s="99"/>
      <c r="BQ411" s="99"/>
      <c r="BR411" s="99"/>
      <c r="BS411" s="99"/>
      <c r="BT411" s="99"/>
      <c r="BU411" s="99"/>
    </row>
    <row r="412" spans="1:73" ht="17.25" hidden="1" customHeight="1">
      <c r="A412" s="6"/>
      <c r="B412" s="577"/>
      <c r="C412" s="578"/>
      <c r="D412" s="12"/>
      <c r="E412" s="1"/>
      <c r="F412" s="1"/>
      <c r="G412" s="3"/>
      <c r="H412" s="3"/>
      <c r="I412" s="3"/>
      <c r="J412" s="3"/>
      <c r="K412" s="3"/>
      <c r="L412" s="3"/>
      <c r="M412" s="3"/>
      <c r="N412" s="3"/>
      <c r="O412" s="1"/>
      <c r="P412" s="1"/>
      <c r="Q412" s="1"/>
      <c r="R412" s="162"/>
      <c r="S412" s="1"/>
      <c r="T412" s="103"/>
      <c r="U412" s="9" t="s">
        <v>5</v>
      </c>
      <c r="V412" s="103"/>
      <c r="W412" s="98"/>
      <c r="X412" s="98"/>
      <c r="Y412" s="98"/>
      <c r="Z412" s="98"/>
      <c r="AA412" s="98"/>
      <c r="AB412" s="98"/>
      <c r="AC412" s="98"/>
      <c r="AD412" s="98"/>
      <c r="AE412" s="98"/>
      <c r="AF412" s="98"/>
      <c r="AG412" s="98"/>
      <c r="AH412" s="98"/>
      <c r="AI412" s="98"/>
      <c r="AJ412" s="98"/>
      <c r="AK412" s="98"/>
      <c r="AL412" s="98"/>
      <c r="AM412" s="98"/>
      <c r="AN412" s="98"/>
      <c r="AO412" s="98"/>
      <c r="AP412" s="98"/>
      <c r="AQ412" s="98"/>
      <c r="AR412" s="98"/>
      <c r="AS412" s="98"/>
      <c r="AT412" s="98"/>
      <c r="AU412" s="98"/>
      <c r="AV412" s="98"/>
      <c r="AW412" s="98"/>
      <c r="AX412" s="98"/>
      <c r="AY412" s="98"/>
      <c r="AZ412" s="98"/>
      <c r="BA412" s="98"/>
      <c r="BB412" s="98"/>
      <c r="BC412" s="98"/>
      <c r="BD412" s="98"/>
      <c r="BE412" s="98"/>
      <c r="BF412" s="98"/>
      <c r="BG412" s="98"/>
      <c r="BH412" s="98"/>
      <c r="BI412" s="98"/>
      <c r="BJ412" s="98"/>
      <c r="BK412" s="98"/>
      <c r="BL412" s="99"/>
      <c r="BM412" s="99"/>
      <c r="BN412" s="99"/>
      <c r="BO412" s="99"/>
      <c r="BP412" s="99"/>
      <c r="BQ412" s="99"/>
      <c r="BR412" s="99"/>
      <c r="BS412" s="99"/>
      <c r="BT412" s="99"/>
      <c r="BU412" s="99"/>
    </row>
    <row r="413" spans="1:73" ht="17.25" hidden="1" customHeight="1">
      <c r="A413" s="6"/>
      <c r="B413" s="577"/>
      <c r="C413" s="578"/>
      <c r="D413" s="12"/>
      <c r="E413" s="1"/>
      <c r="F413" s="1"/>
      <c r="G413" s="3"/>
      <c r="H413" s="3"/>
      <c r="I413" s="3"/>
      <c r="J413" s="3"/>
      <c r="K413" s="3"/>
      <c r="L413" s="3"/>
      <c r="M413" s="3"/>
      <c r="N413" s="3"/>
      <c r="O413" s="1"/>
      <c r="P413" s="1"/>
      <c r="Q413" s="1"/>
      <c r="R413" s="162"/>
      <c r="S413" s="1"/>
      <c r="T413" s="103"/>
      <c r="U413" s="103"/>
      <c r="V413" s="103"/>
      <c r="W413" s="98">
        <f>Growth!B20</f>
        <v>2018</v>
      </c>
      <c r="X413" s="98">
        <f t="shared" ref="X413:BK413" si="71">W413+1</f>
        <v>2019</v>
      </c>
      <c r="Y413" s="98">
        <f t="shared" si="71"/>
        <v>2020</v>
      </c>
      <c r="Z413" s="98">
        <f t="shared" si="71"/>
        <v>2021</v>
      </c>
      <c r="AA413" s="98">
        <f t="shared" si="71"/>
        <v>2022</v>
      </c>
      <c r="AB413" s="98">
        <f t="shared" si="71"/>
        <v>2023</v>
      </c>
      <c r="AC413" s="98">
        <f t="shared" si="71"/>
        <v>2024</v>
      </c>
      <c r="AD413" s="98">
        <f t="shared" si="71"/>
        <v>2025</v>
      </c>
      <c r="AE413" s="98">
        <f t="shared" si="71"/>
        <v>2026</v>
      </c>
      <c r="AF413" s="98">
        <f t="shared" si="71"/>
        <v>2027</v>
      </c>
      <c r="AG413" s="98">
        <f t="shared" si="71"/>
        <v>2028</v>
      </c>
      <c r="AH413" s="98">
        <f t="shared" si="71"/>
        <v>2029</v>
      </c>
      <c r="AI413" s="98">
        <f t="shared" si="71"/>
        <v>2030</v>
      </c>
      <c r="AJ413" s="98">
        <f t="shared" si="71"/>
        <v>2031</v>
      </c>
      <c r="AK413" s="98">
        <f t="shared" si="71"/>
        <v>2032</v>
      </c>
      <c r="AL413" s="98">
        <f t="shared" si="71"/>
        <v>2033</v>
      </c>
      <c r="AM413" s="98">
        <f t="shared" si="71"/>
        <v>2034</v>
      </c>
      <c r="AN413" s="98">
        <f t="shared" si="71"/>
        <v>2035</v>
      </c>
      <c r="AO413" s="98">
        <f t="shared" si="71"/>
        <v>2036</v>
      </c>
      <c r="AP413" s="98">
        <f t="shared" si="71"/>
        <v>2037</v>
      </c>
      <c r="AQ413" s="98">
        <f t="shared" si="71"/>
        <v>2038</v>
      </c>
      <c r="AR413" s="98">
        <f t="shared" si="71"/>
        <v>2039</v>
      </c>
      <c r="AS413" s="98">
        <f t="shared" si="71"/>
        <v>2040</v>
      </c>
      <c r="AT413" s="98">
        <f t="shared" si="71"/>
        <v>2041</v>
      </c>
      <c r="AU413" s="98">
        <f t="shared" si="71"/>
        <v>2042</v>
      </c>
      <c r="AV413" s="98">
        <f t="shared" si="71"/>
        <v>2043</v>
      </c>
      <c r="AW413" s="98">
        <f t="shared" si="71"/>
        <v>2044</v>
      </c>
      <c r="AX413" s="98">
        <f t="shared" si="71"/>
        <v>2045</v>
      </c>
      <c r="AY413" s="98">
        <f t="shared" si="71"/>
        <v>2046</v>
      </c>
      <c r="AZ413" s="98">
        <f t="shared" si="71"/>
        <v>2047</v>
      </c>
      <c r="BA413" s="98">
        <f t="shared" si="71"/>
        <v>2048</v>
      </c>
      <c r="BB413" s="98">
        <f t="shared" si="71"/>
        <v>2049</v>
      </c>
      <c r="BC413" s="98">
        <f t="shared" si="71"/>
        <v>2050</v>
      </c>
      <c r="BD413" s="98">
        <f t="shared" si="71"/>
        <v>2051</v>
      </c>
      <c r="BE413" s="98">
        <f t="shared" si="71"/>
        <v>2052</v>
      </c>
      <c r="BF413" s="98">
        <f t="shared" si="71"/>
        <v>2053</v>
      </c>
      <c r="BG413" s="98">
        <f t="shared" si="71"/>
        <v>2054</v>
      </c>
      <c r="BH413" s="98">
        <f t="shared" si="71"/>
        <v>2055</v>
      </c>
      <c r="BI413" s="98">
        <f t="shared" si="71"/>
        <v>2056</v>
      </c>
      <c r="BJ413" s="98">
        <f t="shared" si="71"/>
        <v>2057</v>
      </c>
      <c r="BK413" s="98">
        <f t="shared" si="71"/>
        <v>2058</v>
      </c>
      <c r="BL413" s="99"/>
      <c r="BM413" s="99"/>
      <c r="BN413" s="99"/>
      <c r="BO413" s="99"/>
      <c r="BP413" s="99"/>
      <c r="BQ413" s="99"/>
      <c r="BR413" s="99"/>
      <c r="BS413" s="99"/>
      <c r="BT413" s="99"/>
      <c r="BU413" s="99"/>
    </row>
    <row r="414" spans="1:73" ht="17.25" hidden="1" customHeight="1">
      <c r="A414" s="6"/>
      <c r="B414" s="577"/>
      <c r="C414" s="578"/>
      <c r="D414" s="12"/>
      <c r="E414" s="1"/>
      <c r="F414" s="1"/>
      <c r="G414" s="3"/>
      <c r="H414" s="3"/>
      <c r="I414" s="3"/>
      <c r="J414" s="3"/>
      <c r="K414" s="3"/>
      <c r="L414" s="3"/>
      <c r="M414" s="3"/>
      <c r="N414" s="3"/>
      <c r="O414" s="1"/>
      <c r="P414" s="1"/>
      <c r="Q414" s="1"/>
      <c r="R414" s="162"/>
      <c r="S414" s="1"/>
      <c r="T414" s="103"/>
      <c r="U414" s="103"/>
      <c r="V414" s="103" t="str">
        <f>D411</f>
        <v>Cost to comply with global standardised PIDs</v>
      </c>
      <c r="W414" s="581">
        <f ca="1">IF(AND(W$413 &gt;= '2.2 Input_General_Information'!$H$20, W$413&lt;= '2.2 Input_General_Information'!$H$20+'2.2 Input_General_Information'!$H$40),$G$411*VLOOKUP(W$413,Growth!$B$128:$H$170,7,FALSE),$G$411)</f>
        <v>-4.9999999999979221E-2</v>
      </c>
      <c r="X414" s="581">
        <f ca="1">IF(AND(X$413 &gt;= '2.2 Input_General_Information'!$H$20, X$413&lt;= '2.2 Input_General_Information'!$H$20+'2.2 Input_General_Information'!$H$40),$G$411*VLOOKUP(X$413,Growth!$B$128:$H$170,7,FALSE),$G$411)</f>
        <v>-22.179215509421205</v>
      </c>
      <c r="Y414" s="581">
        <f ca="1">IF(AND(Y$413 &gt;= '2.2 Input_General_Information'!$H$20, Y$413&lt;= '2.2 Input_General_Information'!$H$20+'2.2 Input_General_Information'!$H$40),$G$411*VLOOKUP(Y$413,Growth!$B$128:$H$170,7,FALSE),$G$411)</f>
        <v>-477.82078449057872</v>
      </c>
      <c r="Z414" s="581">
        <f ca="1">IF(AND(Z$413 &gt;= '2.2 Input_General_Information'!$H$20, Z$413&lt;= '2.2 Input_General_Information'!$H$20+'2.2 Input_General_Information'!$H$40),$G$411*VLOOKUP(Z$413,Growth!$B$128:$H$170,7,FALSE),$G$411)</f>
        <v>-499.95000000000005</v>
      </c>
      <c r="AA414" s="581">
        <f ca="1">IF(AND(AA$413 &gt;= '2.2 Input_General_Information'!$H$20, AA$413&lt;= '2.2 Input_General_Information'!$H$20+'2.2 Input_General_Information'!$H$40),$G$411*VLOOKUP(AA$413,Growth!$B$128:$H$170,7,FALSE),$G$411)</f>
        <v>-500</v>
      </c>
      <c r="AB414" s="581">
        <f ca="1">IF(AND(AB$413 &gt;= '2.2 Input_General_Information'!$H$20, AB$413&lt;= '2.2 Input_General_Information'!$H$20+'2.2 Input_General_Information'!$H$40),$G$411*VLOOKUP(AB$413,Growth!$B$128:$H$170,7,FALSE),$G$411)</f>
        <v>-500</v>
      </c>
      <c r="AC414" s="581">
        <f ca="1">IF(AND(AC$413 &gt;= '2.2 Input_General_Information'!$H$20, AC$413&lt;= '2.2 Input_General_Information'!$H$20+'2.2 Input_General_Information'!$H$40),$G$411*VLOOKUP(AC$413,Growth!$B$128:$H$170,7,FALSE),$G$411)</f>
        <v>-500</v>
      </c>
      <c r="AD414" s="581">
        <f ca="1">IF(AND(AD$413 &gt;= '2.2 Input_General_Information'!$H$20, AD$413&lt;= '2.2 Input_General_Information'!$H$20+'2.2 Input_General_Information'!$H$40),$G$411*VLOOKUP(AD$413,Growth!$B$128:$H$170,7,FALSE),$G$411)</f>
        <v>-500</v>
      </c>
      <c r="AE414" s="581">
        <f ca="1">IF(AND(AE$413 &gt;= '2.2 Input_General_Information'!$H$20, AE$413&lt;= '2.2 Input_General_Information'!$H$20+'2.2 Input_General_Information'!$H$40),$G$411*VLOOKUP(AE$413,Growth!$B$128:$H$170,7,FALSE),$G$411)</f>
        <v>-500</v>
      </c>
      <c r="AF414" s="581">
        <f ca="1">IF(AND(AF$413 &gt;= '2.2 Input_General_Information'!$H$20, AF$413&lt;= '2.2 Input_General_Information'!$H$20+'2.2 Input_General_Information'!$H$40),$G$411*VLOOKUP(AF$413,Growth!$B$128:$H$170,7,FALSE),$G$411)</f>
        <v>-500</v>
      </c>
      <c r="AG414" s="581">
        <f ca="1">IF(AND(AG$413 &gt;= '2.2 Input_General_Information'!$H$20, AG$413&lt;= '2.2 Input_General_Information'!$H$20+'2.2 Input_General_Information'!$H$40),$G$411*VLOOKUP(AG$413,Growth!$B$128:$H$170,7,FALSE),$G$411)</f>
        <v>-500</v>
      </c>
      <c r="AH414" s="581">
        <f ca="1">IF(AND(AH$413 &gt;= '2.2 Input_General_Information'!$H$20, AH$413&lt;= '2.2 Input_General_Information'!$H$20+'2.2 Input_General_Information'!$H$40),$G$411*VLOOKUP(AH$413,Growth!$B$128:$H$170,7,FALSE),$G$411)</f>
        <v>-500</v>
      </c>
      <c r="AI414" s="581">
        <f ca="1">IF(AND(AI$413 &gt;= '2.2 Input_General_Information'!$H$20, AI$413&lt;= '2.2 Input_General_Information'!$H$20+'2.2 Input_General_Information'!$H$40),$G$411*VLOOKUP(AI$413,Growth!$B$128:$H$170,7,FALSE),$G$411)</f>
        <v>-500</v>
      </c>
      <c r="AJ414" s="581">
        <f ca="1">IF(AND(AJ$413 &gt;= '2.2 Input_General_Information'!$H$20, AJ$413&lt;= '2.2 Input_General_Information'!$H$20+'2.2 Input_General_Information'!$H$40),$G$411*VLOOKUP(AJ$413,Growth!$B$128:$H$170,7,FALSE),$G$411)</f>
        <v>-500</v>
      </c>
      <c r="AK414" s="581">
        <f ca="1">IF(AND(AK$413 &gt;= '2.2 Input_General_Information'!$H$20, AK$413&lt;= '2.2 Input_General_Information'!$H$20+'2.2 Input_General_Information'!$H$40),$G$411*VLOOKUP(AK$413,Growth!$B$128:$H$170,7,FALSE),$G$411)</f>
        <v>-500</v>
      </c>
      <c r="AL414" s="581">
        <f ca="1">IF(AND(AL$413 &gt;= '2.2 Input_General_Information'!$H$20, AL$413&lt;= '2.2 Input_General_Information'!$H$20+'2.2 Input_General_Information'!$H$40),$G$411*VLOOKUP(AL$413,Growth!$B$128:$H$170,7,FALSE),$G$411)</f>
        <v>-500</v>
      </c>
      <c r="AM414" s="581">
        <f ca="1">IF(AND(AM$413 &gt;= '2.2 Input_General_Information'!$H$20, AM$413&lt;= '2.2 Input_General_Information'!$H$20+'2.2 Input_General_Information'!$H$40),$G$411*VLOOKUP(AM$413,Growth!$B$128:$H$170,7,FALSE),$G$411)</f>
        <v>-500</v>
      </c>
      <c r="AN414" s="581">
        <f ca="1">IF(AND(AN$413 &gt;= '2.2 Input_General_Information'!$H$20, AN$413&lt;= '2.2 Input_General_Information'!$H$20+'2.2 Input_General_Information'!$H$40),$G$411*VLOOKUP(AN$413,Growth!$B$128:$H$170,7,FALSE),$G$411)</f>
        <v>-500</v>
      </c>
      <c r="AO414" s="581">
        <f ca="1">IF(AND(AO$413 &gt;= '2.2 Input_General_Information'!$H$20, AO$413&lt;= '2.2 Input_General_Information'!$H$20+'2.2 Input_General_Information'!$H$40),$G$411*VLOOKUP(AO$413,Growth!$B$128:$H$170,7,FALSE),$G$411)</f>
        <v>-500</v>
      </c>
      <c r="AP414" s="581">
        <f ca="1">IF(AND(AP$413 &gt;= '2.2 Input_General_Information'!$H$20, AP$413&lt;= '2.2 Input_General_Information'!$H$20+'2.2 Input_General_Information'!$H$40),$G$411*VLOOKUP(AP$413,Growth!$B$128:$H$170,7,FALSE),$G$411)</f>
        <v>-500</v>
      </c>
      <c r="AQ414" s="581">
        <f ca="1">IF(AND(AQ$413 &gt;= '2.2 Input_General_Information'!$H$20, AQ$413&lt;= '2.2 Input_General_Information'!$H$20+'2.2 Input_General_Information'!$H$40),$G$411*VLOOKUP(AQ$413,Growth!$B$128:$H$170,7,FALSE),$G$411)</f>
        <v>-500</v>
      </c>
      <c r="AR414" s="581">
        <f ca="1">IF(AND(AR$413 &gt;= '2.2 Input_General_Information'!$H$20, AR$413&lt;= '2.2 Input_General_Information'!$H$20+'2.2 Input_General_Information'!$H$40),$G$411*VLOOKUP(AR$413,Growth!$B$128:$H$170,7,FALSE),$G$411)</f>
        <v>-500</v>
      </c>
      <c r="AS414" s="581">
        <f ca="1">IF(AND(AS$413 &gt;= '2.2 Input_General_Information'!$H$20, AS$413&lt;= '2.2 Input_General_Information'!$H$20+'2.2 Input_General_Information'!$H$40),$G$411*VLOOKUP(AS$413,Growth!$B$128:$H$170,7,FALSE),$G$411)</f>
        <v>-500</v>
      </c>
      <c r="AT414" s="581">
        <f ca="1">IF(AND(AT$413 &gt;= '2.2 Input_General_Information'!$H$20, AT$413&lt;= '2.2 Input_General_Information'!$H$20+'2.2 Input_General_Information'!$H$40),$G$411*VLOOKUP(AT$413,Growth!$B$128:$H$170,7,FALSE),$G$411)</f>
        <v>-500</v>
      </c>
      <c r="AU414" s="581">
        <f ca="1">IF(AND(AU$413 &gt;= '2.2 Input_General_Information'!$H$20, AU$413&lt;= '2.2 Input_General_Information'!$H$20+'2.2 Input_General_Information'!$H$40),$G$411*VLOOKUP(AU$413,Growth!$B$128:$H$170,7,FALSE),$G$411)</f>
        <v>-500</v>
      </c>
      <c r="AV414" s="581">
        <f ca="1">IF(AND(AV$413 &gt;= '2.2 Input_General_Information'!$H$20, AV$413&lt;= '2.2 Input_General_Information'!$H$20+'2.2 Input_General_Information'!$H$40),$G$411*VLOOKUP(AV$413,Growth!$B$128:$H$170,7,FALSE),$G$411)</f>
        <v>-500</v>
      </c>
      <c r="AW414" s="581">
        <f ca="1">IF(AND(AW$413 &gt;= '2.2 Input_General_Information'!$H$20, AW$413&lt;= '2.2 Input_General_Information'!$H$20+'2.2 Input_General_Information'!$H$40),$G$411*VLOOKUP(AW$413,Growth!$B$128:$H$170,7,FALSE),$G$411)</f>
        <v>-500</v>
      </c>
      <c r="AX414" s="581">
        <f ca="1">IF(AND(AX$413 &gt;= '2.2 Input_General_Information'!$H$20, AX$413&lt;= '2.2 Input_General_Information'!$H$20+'2.2 Input_General_Information'!$H$40),$G$411*VLOOKUP(AX$413,Growth!$B$128:$H$170,7,FALSE),$G$411)</f>
        <v>-500</v>
      </c>
      <c r="AY414" s="581">
        <f ca="1">IF(AND(AY$413 &gt;= '2.2 Input_General_Information'!$H$20, AY$413&lt;= '2.2 Input_General_Information'!$H$20+'2.2 Input_General_Information'!$H$40),$G$411*VLOOKUP(AY$413,Growth!$B$128:$H$170,7,FALSE),$G$411)</f>
        <v>-500</v>
      </c>
      <c r="AZ414" s="581">
        <f ca="1">IF(AND(AZ$413 &gt;= '2.2 Input_General_Information'!$H$20, AZ$413&lt;= '2.2 Input_General_Information'!$H$20+'2.2 Input_General_Information'!$H$40),$G$411*VLOOKUP(AZ$413,Growth!$B$128:$H$170,7,FALSE),$G$411)</f>
        <v>-500</v>
      </c>
      <c r="BA414" s="581">
        <f ca="1">IF(AND(BA$413 &gt;= '2.2 Input_General_Information'!$H$20, BA$413&lt;= '2.2 Input_General_Information'!$H$20+'2.2 Input_General_Information'!$H$40),$G$411*VLOOKUP(BA$413,Growth!$B$128:$H$170,7,FALSE),$G$411)</f>
        <v>-500</v>
      </c>
      <c r="BB414" s="581">
        <f ca="1">IF(AND(BB$413 &gt;= '2.2 Input_General_Information'!$H$20, BB$413&lt;= '2.2 Input_General_Information'!$H$20+'2.2 Input_General_Information'!$H$40),$G$411*VLOOKUP(BB$413,Growth!$B$128:$H$170,7,FALSE),$G$411)</f>
        <v>-500</v>
      </c>
      <c r="BC414" s="581">
        <f ca="1">IF(AND(BC$413 &gt;= '2.2 Input_General_Information'!$H$20, BC$413&lt;= '2.2 Input_General_Information'!$H$20+'2.2 Input_General_Information'!$H$40),$G$411*VLOOKUP(BC$413,Growth!$B$128:$H$170,7,FALSE),$G$411)</f>
        <v>-500</v>
      </c>
      <c r="BD414" s="581">
        <f ca="1">IF(AND(BD$413 &gt;= '2.2 Input_General_Information'!$H$20, BD$413&lt;= '2.2 Input_General_Information'!$H$20+'2.2 Input_General_Information'!$H$40),$G$411*VLOOKUP(BD$413,Growth!$B$128:$H$170,7,FALSE),$G$411)</f>
        <v>-500</v>
      </c>
      <c r="BE414" s="581">
        <f ca="1">IF(AND(BE$413 &gt;= '2.2 Input_General_Information'!$H$20, BE$413&lt;= '2.2 Input_General_Information'!$H$20+'2.2 Input_General_Information'!$H$40),$G$411*VLOOKUP(BE$413,Growth!$B$128:$H$170,7,FALSE),$G$411)</f>
        <v>-500</v>
      </c>
      <c r="BF414" s="581">
        <f ca="1">IF(AND(BF$413 &gt;= '2.2 Input_General_Information'!$H$20, BF$413&lt;= '2.2 Input_General_Information'!$H$20+'2.2 Input_General_Information'!$H$40),$G$411*VLOOKUP(BF$413,Growth!$B$128:$H$170,7,FALSE),$G$411)</f>
        <v>-500</v>
      </c>
      <c r="BG414" s="581">
        <f ca="1">IF(AND(BG$413 &gt;= '2.2 Input_General_Information'!$H$20, BG$413&lt;= '2.2 Input_General_Information'!$H$20+'2.2 Input_General_Information'!$H$40),$G$411*VLOOKUP(BG$413,Growth!$B$128:$H$170,7,FALSE),$G$411)</f>
        <v>-500</v>
      </c>
      <c r="BH414" s="581">
        <f ca="1">IF(AND(BH$413 &gt;= '2.2 Input_General_Information'!$H$20, BH$413&lt;= '2.2 Input_General_Information'!$H$20+'2.2 Input_General_Information'!$H$40),$G$411*VLOOKUP(BH$413,Growth!$B$128:$H$170,7,FALSE),$G$411)</f>
        <v>-500</v>
      </c>
      <c r="BI414" s="581">
        <f ca="1">IF(AND(BI$413 &gt;= '2.2 Input_General_Information'!$H$20, BI$413&lt;= '2.2 Input_General_Information'!$H$20+'2.2 Input_General_Information'!$H$40),$G$411*VLOOKUP(BI$413,Growth!$B$128:$H$170,7,FALSE),$G$411)</f>
        <v>-500</v>
      </c>
      <c r="BJ414" s="581">
        <f ca="1">IF(AND(BJ$413 &gt;= '2.2 Input_General_Information'!$H$20, BJ$413&lt;= '2.2 Input_General_Information'!$H$20+'2.2 Input_General_Information'!$H$40),$G$411*VLOOKUP(BJ$413,Growth!$B$128:$H$170,7,FALSE),$G$411)</f>
        <v>-500</v>
      </c>
      <c r="BK414" s="581">
        <f ca="1">IF(AND(BK$413 &gt;= '2.2 Input_General_Information'!$H$20, BK$413&lt;= '2.2 Input_General_Information'!$H$20+'2.2 Input_General_Information'!$H$40),$G$411*VLOOKUP(BK$413,Growth!$B$128:$H$170,7,FALSE),$G$411)</f>
        <v>-500</v>
      </c>
      <c r="BL414" s="99"/>
      <c r="BM414" s="99"/>
      <c r="BN414" s="99"/>
      <c r="BO414" s="99"/>
      <c r="BP414" s="99"/>
      <c r="BQ414" s="99"/>
      <c r="BR414" s="99"/>
      <c r="BS414" s="99"/>
      <c r="BT414" s="99"/>
      <c r="BU414" s="99"/>
    </row>
    <row r="415" spans="1:73" ht="17.25" hidden="1" customHeight="1">
      <c r="A415" s="6"/>
      <c r="B415" s="577"/>
      <c r="C415" s="578"/>
      <c r="D415" s="12"/>
      <c r="E415" s="1"/>
      <c r="F415" s="1"/>
      <c r="G415" s="3"/>
      <c r="H415" s="3"/>
      <c r="I415" s="3"/>
      <c r="J415" s="3"/>
      <c r="K415" s="3"/>
      <c r="L415" s="3"/>
      <c r="M415" s="3"/>
      <c r="N415" s="3"/>
      <c r="O415" s="1"/>
      <c r="P415" s="1"/>
      <c r="Q415" s="1"/>
      <c r="R415" s="162"/>
      <c r="S415" s="1"/>
      <c r="T415" s="103"/>
      <c r="U415" s="9" t="s">
        <v>29</v>
      </c>
      <c r="V415" s="103"/>
      <c r="W415" s="98"/>
      <c r="X415" s="98"/>
      <c r="Y415" s="98"/>
      <c r="Z415" s="98"/>
      <c r="AA415" s="98"/>
      <c r="AB415" s="98"/>
      <c r="AC415" s="98"/>
      <c r="AD415" s="98"/>
      <c r="AE415" s="98"/>
      <c r="AF415" s="98"/>
      <c r="AG415" s="98"/>
      <c r="AH415" s="98"/>
      <c r="AI415" s="98"/>
      <c r="AJ415" s="98"/>
      <c r="AK415" s="98"/>
      <c r="AL415" s="98"/>
      <c r="AM415" s="98"/>
      <c r="AN415" s="98"/>
      <c r="AO415" s="98"/>
      <c r="AP415" s="98"/>
      <c r="AQ415" s="98"/>
      <c r="AR415" s="98"/>
      <c r="AS415" s="98"/>
      <c r="AT415" s="98"/>
      <c r="AU415" s="98"/>
      <c r="AV415" s="98"/>
      <c r="AW415" s="98"/>
      <c r="AX415" s="98"/>
      <c r="AY415" s="98"/>
      <c r="AZ415" s="98"/>
      <c r="BA415" s="98"/>
      <c r="BB415" s="98"/>
      <c r="BC415" s="98"/>
      <c r="BD415" s="98"/>
      <c r="BE415" s="98"/>
      <c r="BF415" s="98"/>
      <c r="BG415" s="98"/>
      <c r="BH415" s="98"/>
      <c r="BI415" s="98"/>
      <c r="BJ415" s="98"/>
      <c r="BK415" s="98"/>
      <c r="BL415" s="99"/>
      <c r="BM415" s="99"/>
      <c r="BN415" s="99"/>
      <c r="BO415" s="99"/>
      <c r="BP415" s="99"/>
      <c r="BQ415" s="99"/>
      <c r="BR415" s="99"/>
      <c r="BS415" s="99"/>
      <c r="BT415" s="99"/>
      <c r="BU415" s="99"/>
    </row>
    <row r="416" spans="1:73" ht="17.25" customHeight="1">
      <c r="A416" s="6"/>
      <c r="B416" s="577"/>
      <c r="C416" s="578"/>
      <c r="D416" s="12"/>
      <c r="E416" s="1"/>
      <c r="F416" s="1"/>
      <c r="G416" s="3"/>
      <c r="H416" s="3"/>
      <c r="I416" s="3"/>
      <c r="J416" s="3"/>
      <c r="K416" s="3"/>
      <c r="L416" s="3"/>
      <c r="M416" s="3"/>
      <c r="N416" s="3"/>
      <c r="O416" s="1"/>
      <c r="P416" s="1"/>
      <c r="Q416" s="1"/>
      <c r="R416" s="162"/>
      <c r="S416" s="1"/>
      <c r="T416" s="103"/>
      <c r="U416" s="103"/>
      <c r="V416" s="103"/>
      <c r="W416" s="98"/>
      <c r="X416" s="98"/>
      <c r="Y416" s="98"/>
      <c r="Z416" s="98"/>
      <c r="AA416" s="98"/>
      <c r="AB416" s="98"/>
      <c r="AC416" s="98"/>
      <c r="AD416" s="98"/>
      <c r="AE416" s="98"/>
      <c r="AF416" s="98"/>
      <c r="AG416" s="98"/>
      <c r="AH416" s="98"/>
      <c r="AI416" s="98"/>
      <c r="AJ416" s="98"/>
      <c r="AK416" s="98"/>
      <c r="AL416" s="98"/>
      <c r="AM416" s="98"/>
      <c r="AN416" s="98"/>
      <c r="AO416" s="98"/>
      <c r="AP416" s="98"/>
      <c r="AQ416" s="98"/>
      <c r="AR416" s="98"/>
      <c r="AS416" s="98"/>
      <c r="AT416" s="98"/>
      <c r="AU416" s="98"/>
      <c r="AV416" s="98"/>
      <c r="AW416" s="98"/>
      <c r="AX416" s="98"/>
      <c r="AY416" s="98"/>
      <c r="AZ416" s="98"/>
      <c r="BA416" s="98"/>
      <c r="BB416" s="98"/>
      <c r="BC416" s="98"/>
      <c r="BD416" s="98"/>
      <c r="BE416" s="98"/>
      <c r="BF416" s="98"/>
      <c r="BG416" s="98"/>
      <c r="BH416" s="98"/>
      <c r="BI416" s="98"/>
      <c r="BJ416" s="98"/>
      <c r="BK416" s="98"/>
      <c r="BL416" s="99"/>
      <c r="BM416" s="99"/>
      <c r="BN416" s="99"/>
      <c r="BO416" s="99"/>
      <c r="BP416" s="99"/>
      <c r="BQ416" s="99"/>
      <c r="BR416" s="99"/>
      <c r="BS416" s="99"/>
      <c r="BT416" s="99"/>
      <c r="BU416" s="99"/>
    </row>
    <row r="417" spans="1:73" ht="17.25" customHeight="1" thickBot="1">
      <c r="A417" s="6"/>
      <c r="B417" s="577"/>
      <c r="C417" s="578"/>
      <c r="D417" s="41" t="str">
        <f>'2.3 Input_Main_Questionnaire'!E201</f>
        <v>c) Describing datasets to enable methods and results reproducibility</v>
      </c>
      <c r="E417" s="46"/>
      <c r="F417" s="46"/>
      <c r="G417" s="72" t="str">
        <f>'2.3 Input_Main_Questionnaire'!H$24</f>
        <v>PhD researcher</v>
      </c>
      <c r="H417" s="72" t="str">
        <f>'2.3 Input_Main_Questionnaire'!I$24</f>
        <v>Lecturer assistant/Research assistant (Academic)</v>
      </c>
      <c r="I417" s="72" t="str">
        <f>'2.3 Input_Main_Questionnaire'!J$24</f>
        <v>Lecturer/Researcher (Academic)</v>
      </c>
      <c r="J417" s="72" t="str">
        <f>'2.3 Input_Main_Questionnaire'!K$24</f>
        <v>Other</v>
      </c>
      <c r="K417" s="72" t="str">
        <f>'2.3 Input_Main_Questionnaire'!L$24</f>
        <v>Profile 5</v>
      </c>
      <c r="L417" s="72" t="str">
        <f>'2.3 Input_Main_Questionnaire'!M$24</f>
        <v>Profile 6</v>
      </c>
      <c r="M417" s="72" t="str">
        <f>'2.3 Input_Main_Questionnaire'!N$24</f>
        <v>Profile 7</v>
      </c>
      <c r="N417" s="72" t="str">
        <f>'2.3 Input_Main_Questionnaire'!O$24</f>
        <v>Profile 8</v>
      </c>
      <c r="O417" s="1"/>
      <c r="P417" s="1"/>
      <c r="Q417" s="1"/>
      <c r="R417" s="162"/>
      <c r="S417" s="1"/>
      <c r="T417" s="103"/>
      <c r="U417" s="103"/>
      <c r="V417" s="103"/>
      <c r="W417" s="98"/>
      <c r="X417" s="98"/>
      <c r="Y417" s="98"/>
      <c r="Z417" s="98"/>
      <c r="AA417" s="98"/>
      <c r="AB417" s="98"/>
      <c r="AC417" s="98"/>
      <c r="AD417" s="98"/>
      <c r="AE417" s="98"/>
      <c r="AF417" s="98"/>
      <c r="AG417" s="98"/>
      <c r="AH417" s="98"/>
      <c r="AI417" s="98"/>
      <c r="AJ417" s="98"/>
      <c r="AK417" s="98"/>
      <c r="AL417" s="98"/>
      <c r="AM417" s="98"/>
      <c r="AN417" s="98"/>
      <c r="AO417" s="98"/>
      <c r="AP417" s="98"/>
      <c r="AQ417" s="98"/>
      <c r="AR417" s="98"/>
      <c r="AS417" s="98"/>
      <c r="AT417" s="98"/>
      <c r="AU417" s="98"/>
      <c r="AV417" s="98"/>
      <c r="AW417" s="98"/>
      <c r="AX417" s="98"/>
      <c r="AY417" s="98"/>
      <c r="AZ417" s="98"/>
      <c r="BA417" s="98"/>
      <c r="BB417" s="98"/>
      <c r="BC417" s="98"/>
      <c r="BD417" s="98"/>
      <c r="BE417" s="98"/>
      <c r="BF417" s="98"/>
      <c r="BG417" s="98"/>
      <c r="BH417" s="98"/>
      <c r="BI417" s="98"/>
      <c r="BJ417" s="98"/>
      <c r="BK417" s="98"/>
      <c r="BL417" s="99"/>
      <c r="BM417" s="99"/>
      <c r="BN417" s="99"/>
      <c r="BO417" s="99"/>
      <c r="BP417" s="99"/>
      <c r="BQ417" s="99"/>
      <c r="BR417" s="99"/>
      <c r="BS417" s="99"/>
      <c r="BT417" s="99"/>
      <c r="BU417" s="99"/>
    </row>
    <row r="418" spans="1:73" ht="5.25" customHeight="1">
      <c r="A418" s="6"/>
      <c r="B418" s="554"/>
      <c r="C418" s="566"/>
      <c r="D418" s="1"/>
      <c r="E418" s="12"/>
      <c r="F418" s="40"/>
      <c r="G418" s="183"/>
      <c r="H418" s="183"/>
      <c r="I418" s="183"/>
      <c r="J418" s="183"/>
      <c r="K418" s="183"/>
      <c r="L418" s="183"/>
      <c r="M418" s="183"/>
      <c r="N418" s="183"/>
      <c r="O418" s="582"/>
      <c r="P418" s="1"/>
      <c r="Q418" s="1"/>
      <c r="R418" s="162"/>
      <c r="S418" s="1"/>
      <c r="T418" s="103"/>
      <c r="U418" s="103"/>
      <c r="V418" s="103"/>
      <c r="W418" s="98"/>
      <c r="X418" s="98"/>
      <c r="Y418" s="98"/>
      <c r="Z418" s="98"/>
      <c r="AA418" s="98"/>
      <c r="AB418" s="98"/>
      <c r="AC418" s="98"/>
      <c r="AD418" s="98"/>
      <c r="AE418" s="98"/>
      <c r="AF418" s="98"/>
      <c r="AG418" s="98"/>
      <c r="AH418" s="98"/>
      <c r="AI418" s="98"/>
      <c r="AJ418" s="98"/>
      <c r="AK418" s="98"/>
      <c r="AL418" s="98"/>
      <c r="AM418" s="98"/>
      <c r="AN418" s="98"/>
      <c r="AO418" s="98"/>
      <c r="AP418" s="98"/>
      <c r="AQ418" s="98"/>
      <c r="AR418" s="98"/>
      <c r="AS418" s="98"/>
      <c r="AT418" s="98"/>
      <c r="AU418" s="98"/>
      <c r="AV418" s="98"/>
      <c r="AW418" s="98"/>
      <c r="AX418" s="98"/>
      <c r="AY418" s="98"/>
      <c r="AZ418" s="98"/>
      <c r="BA418" s="98"/>
      <c r="BB418" s="98"/>
      <c r="BC418" s="98"/>
      <c r="BD418" s="98"/>
      <c r="BE418" s="98"/>
      <c r="BF418" s="98"/>
      <c r="BG418" s="98"/>
      <c r="BH418" s="98"/>
      <c r="BI418" s="98"/>
      <c r="BJ418" s="98"/>
      <c r="BK418" s="98"/>
      <c r="BL418" s="99"/>
      <c r="BM418" s="99"/>
      <c r="BN418" s="99"/>
      <c r="BO418" s="99"/>
      <c r="BP418" s="99"/>
      <c r="BQ418" s="99"/>
      <c r="BR418" s="99"/>
      <c r="BS418" s="99"/>
      <c r="BT418" s="99"/>
      <c r="BU418" s="99"/>
    </row>
    <row r="419" spans="1:73">
      <c r="A419" s="6"/>
      <c r="B419" s="97" t="str">
        <f>IF(G382&gt;=0,"B","OC")</f>
        <v>OC</v>
      </c>
      <c r="C419" s="1"/>
      <c r="D419" s="560" t="str">
        <f>IF(G382&gt;=0,"Time gained for complying with recognized metadata standards","Additional time required for complying with recognized metadata standards")</f>
        <v>Additional time required for complying with recognized metadata standards</v>
      </c>
      <c r="E419" s="561"/>
      <c r="F419" s="561"/>
      <c r="G419" s="562">
        <f>$G$382*'2.3 Input_Main_Questionnaire'!$H$156*'2.3 Input_Main_Questionnaire'!H$30</f>
        <v>-4.0499789473684208E-3</v>
      </c>
      <c r="H419" s="562">
        <f>$G$382*'2.3 Input_Main_Questionnaire'!$H$156*'2.3 Input_Main_Questionnaire'!I$30</f>
        <v>-5.9810947368421049E-3</v>
      </c>
      <c r="I419" s="562">
        <f>$G$382*'2.3 Input_Main_Questionnaire'!$H$156*'2.3 Input_Main_Questionnaire'!J$30</f>
        <v>-4.8143789473684209E-3</v>
      </c>
      <c r="J419" s="562">
        <f>$G$382*'2.3 Input_Main_Questionnaire'!$H$156*'2.3 Input_Main_Questionnaire'!K$30</f>
        <v>-6.4102315789473681E-3</v>
      </c>
      <c r="K419" s="562">
        <f>$G$382*'2.3 Input_Main_Questionnaire'!$H$156*'2.3 Input_Main_Questionnaire'!L$30</f>
        <v>-5.3139210526315789E-3</v>
      </c>
      <c r="L419" s="562">
        <f>$G$382*'2.3 Input_Main_Questionnaire'!$H$156*'2.3 Input_Main_Questionnaire'!M$30</f>
        <v>-5.3139210526315789E-3</v>
      </c>
      <c r="M419" s="562">
        <f>$G$382*'2.3 Input_Main_Questionnaire'!$H$156*'2.3 Input_Main_Questionnaire'!N$30</f>
        <v>-5.3139210526315789E-3</v>
      </c>
      <c r="N419" s="563">
        <f>$G$382*'2.3 Input_Main_Questionnaire'!$H$156*'2.3 Input_Main_Questionnaire'!O$30</f>
        <v>-5.3139210526315789E-3</v>
      </c>
      <c r="O419" s="10"/>
      <c r="P419" s="10"/>
      <c r="Q419" s="10"/>
      <c r="R419" s="193"/>
      <c r="S419" s="10"/>
      <c r="T419" s="81"/>
      <c r="U419" s="81"/>
      <c r="V419" s="81"/>
      <c r="W419" s="81"/>
      <c r="X419" s="366"/>
      <c r="Y419" s="366"/>
      <c r="Z419" s="366"/>
      <c r="AA419" s="366"/>
      <c r="AB419" s="366"/>
      <c r="AC419" s="366"/>
      <c r="AD419" s="366"/>
      <c r="AE419" s="366"/>
      <c r="AF419" s="366"/>
      <c r="AG419" s="366"/>
      <c r="AH419" s="366"/>
      <c r="AI419" s="366"/>
      <c r="AJ419" s="366"/>
      <c r="AK419" s="366"/>
      <c r="AL419" s="366"/>
      <c r="AM419" s="366"/>
      <c r="AN419" s="366"/>
      <c r="AO419" s="366"/>
      <c r="AP419" s="366"/>
      <c r="AQ419" s="366"/>
      <c r="AR419" s="366"/>
      <c r="AS419" s="366"/>
      <c r="AT419" s="366"/>
      <c r="AU419" s="366"/>
      <c r="AV419" s="366"/>
      <c r="AW419" s="366"/>
      <c r="AX419" s="366"/>
      <c r="AY419" s="366"/>
      <c r="AZ419" s="366"/>
      <c r="BA419" s="366"/>
      <c r="BB419" s="366"/>
      <c r="BC419" s="366"/>
      <c r="BD419" s="366"/>
      <c r="BE419" s="366"/>
      <c r="BF419" s="366"/>
      <c r="BG419" s="366"/>
      <c r="BH419" s="366"/>
      <c r="BI419" s="366"/>
      <c r="BJ419" s="366"/>
      <c r="BK419" s="366"/>
      <c r="BL419" s="367"/>
      <c r="BM419" s="367"/>
      <c r="BN419" s="367"/>
      <c r="BO419" s="367"/>
      <c r="BP419" s="367"/>
      <c r="BQ419" s="367"/>
      <c r="BR419" s="367"/>
      <c r="BS419" s="367"/>
      <c r="BT419" s="367"/>
      <c r="BU419" s="367"/>
    </row>
    <row r="420" spans="1:73" ht="6.75" customHeight="1">
      <c r="A420" s="11"/>
      <c r="B420" s="583"/>
      <c r="C420" s="584"/>
      <c r="D420" s="585"/>
      <c r="E420" s="584"/>
      <c r="F420" s="11"/>
      <c r="G420" s="204"/>
      <c r="H420" s="204"/>
      <c r="I420" s="204"/>
      <c r="J420" s="204"/>
      <c r="K420" s="204"/>
      <c r="L420" s="204"/>
      <c r="M420" s="204"/>
      <c r="N420" s="204"/>
      <c r="O420" s="586"/>
      <c r="P420" s="11"/>
      <c r="Q420" s="11"/>
      <c r="R420" s="587"/>
      <c r="S420" s="11"/>
      <c r="T420" s="11"/>
      <c r="U420" s="11"/>
      <c r="V420" s="11"/>
      <c r="W420" s="588"/>
      <c r="X420" s="588"/>
      <c r="Y420" s="588"/>
      <c r="Z420" s="588"/>
      <c r="AA420" s="588"/>
      <c r="AB420" s="588"/>
      <c r="AC420" s="588"/>
      <c r="AD420" s="588"/>
      <c r="AE420" s="588"/>
      <c r="AF420" s="588"/>
      <c r="AG420" s="588"/>
      <c r="AH420" s="588"/>
      <c r="AI420" s="588"/>
      <c r="AJ420" s="588"/>
      <c r="AK420" s="588"/>
      <c r="AL420" s="588"/>
      <c r="AM420" s="588"/>
      <c r="AN420" s="588"/>
      <c r="AO420" s="588"/>
      <c r="AP420" s="588"/>
      <c r="AQ420" s="588"/>
      <c r="AR420" s="588"/>
      <c r="AS420" s="588"/>
      <c r="AT420" s="588"/>
      <c r="AU420" s="588"/>
      <c r="AV420" s="588"/>
      <c r="AW420" s="588"/>
      <c r="AX420" s="588"/>
      <c r="AY420" s="588"/>
      <c r="AZ420" s="588"/>
      <c r="BA420" s="588"/>
      <c r="BB420" s="588"/>
      <c r="BC420" s="588"/>
      <c r="BD420" s="588"/>
      <c r="BE420" s="588"/>
      <c r="BF420" s="588"/>
      <c r="BG420" s="588"/>
      <c r="BH420" s="588"/>
      <c r="BI420" s="588"/>
      <c r="BJ420" s="588"/>
      <c r="BK420" s="588"/>
      <c r="BL420" s="11"/>
      <c r="BM420" s="11"/>
      <c r="BN420" s="11"/>
      <c r="BO420" s="11"/>
      <c r="BP420" s="11"/>
      <c r="BQ420" s="11"/>
      <c r="BR420" s="11"/>
      <c r="BS420" s="11"/>
      <c r="BT420" s="11"/>
      <c r="BU420" s="11"/>
    </row>
    <row r="421" spans="1:73">
      <c r="A421" s="6"/>
      <c r="B421" s="97" t="s">
        <v>648</v>
      </c>
      <c r="C421" s="1"/>
      <c r="D421" s="560" t="str">
        <f>IF(G409&gt;=0,"Time gained for assigning global standardised PIDs","Additional time required for assigning global standardised PIDs")</f>
        <v>Additional time required for assigning global standardised PIDs</v>
      </c>
      <c r="E421" s="561"/>
      <c r="F421" s="561"/>
      <c r="G421" s="562">
        <f>$G$409*'2.3 Input_Main_Questionnaire'!$H$156*'2.3 Input_Main_Questionnaire'!H$30</f>
        <v>-5.9393333333333347E-3</v>
      </c>
      <c r="H421" s="562">
        <f>$G$409*'2.3 Input_Main_Questionnaire'!$H$156*'2.3 Input_Main_Questionnaire'!I$30</f>
        <v>-8.7713333333333358E-3</v>
      </c>
      <c r="I421" s="562">
        <f>$G$409*'2.3 Input_Main_Questionnaire'!$H$156*'2.3 Input_Main_Questionnaire'!J$30</f>
        <v>-7.0603333333333351E-3</v>
      </c>
      <c r="J421" s="562">
        <f>$G$409*'2.3 Input_Main_Questionnaire'!$H$156*'2.3 Input_Main_Questionnaire'!K$30</f>
        <v>-9.40066666666667E-3</v>
      </c>
      <c r="K421" s="562">
        <f>$G$409*'2.3 Input_Main_Questionnaire'!$H$156*'2.3 Input_Main_Questionnaire'!L$30</f>
        <v>-7.7929166666666685E-3</v>
      </c>
      <c r="L421" s="562">
        <f>$G$409*'2.3 Input_Main_Questionnaire'!$H$156*'2.3 Input_Main_Questionnaire'!M$30</f>
        <v>-7.7929166666666685E-3</v>
      </c>
      <c r="M421" s="562">
        <f>$G$409*'2.3 Input_Main_Questionnaire'!$H$156*'2.3 Input_Main_Questionnaire'!N$30</f>
        <v>-7.7929166666666685E-3</v>
      </c>
      <c r="N421" s="563">
        <f>$G$409*'2.3 Input_Main_Questionnaire'!$H$156*'2.3 Input_Main_Questionnaire'!O$30</f>
        <v>-7.7929166666666685E-3</v>
      </c>
      <c r="O421" s="10"/>
      <c r="P421" s="10"/>
      <c r="Q421" s="10"/>
      <c r="R421" s="193"/>
      <c r="S421" s="10"/>
      <c r="T421" s="81"/>
      <c r="U421" s="81"/>
      <c r="V421" s="81"/>
      <c r="W421" s="81"/>
      <c r="X421" s="366"/>
      <c r="Y421" s="366"/>
      <c r="Z421" s="366"/>
      <c r="AA421" s="366"/>
      <c r="AB421" s="366"/>
      <c r="AC421" s="366"/>
      <c r="AD421" s="366"/>
      <c r="AE421" s="366"/>
      <c r="AF421" s="366"/>
      <c r="AG421" s="366"/>
      <c r="AH421" s="366"/>
      <c r="AI421" s="366"/>
      <c r="AJ421" s="366"/>
      <c r="AK421" s="366"/>
      <c r="AL421" s="366"/>
      <c r="AM421" s="366"/>
      <c r="AN421" s="366"/>
      <c r="AO421" s="366"/>
      <c r="AP421" s="366"/>
      <c r="AQ421" s="366"/>
      <c r="AR421" s="366"/>
      <c r="AS421" s="366"/>
      <c r="AT421" s="366"/>
      <c r="AU421" s="366"/>
      <c r="AV421" s="366"/>
      <c r="AW421" s="366"/>
      <c r="AX421" s="366"/>
      <c r="AY421" s="366"/>
      <c r="AZ421" s="366"/>
      <c r="BA421" s="366"/>
      <c r="BB421" s="366"/>
      <c r="BC421" s="366"/>
      <c r="BD421" s="366"/>
      <c r="BE421" s="366"/>
      <c r="BF421" s="366"/>
      <c r="BG421" s="366"/>
      <c r="BH421" s="366"/>
      <c r="BI421" s="366"/>
      <c r="BJ421" s="366"/>
      <c r="BK421" s="366"/>
      <c r="BL421" s="367"/>
      <c r="BM421" s="367"/>
      <c r="BN421" s="367"/>
      <c r="BO421" s="367"/>
      <c r="BP421" s="367"/>
      <c r="BQ421" s="367"/>
      <c r="BR421" s="367"/>
      <c r="BS421" s="367"/>
      <c r="BT421" s="367"/>
      <c r="BU421" s="367"/>
    </row>
    <row r="422" spans="1:73" ht="5.25" customHeight="1">
      <c r="A422" s="11"/>
      <c r="B422" s="108"/>
      <c r="C422" s="584"/>
      <c r="D422" s="584"/>
      <c r="E422" s="584"/>
      <c r="F422" s="584"/>
      <c r="G422" s="584"/>
      <c r="H422" s="584"/>
      <c r="I422" s="584"/>
      <c r="J422" s="584"/>
      <c r="K422" s="584"/>
      <c r="L422" s="584"/>
      <c r="M422" s="584"/>
      <c r="N422" s="584"/>
      <c r="O422" s="586"/>
      <c r="P422" s="11"/>
      <c r="Q422" s="11"/>
      <c r="R422" s="587"/>
      <c r="S422" s="11"/>
      <c r="T422" s="11"/>
      <c r="U422" s="11"/>
      <c r="V422" s="11"/>
      <c r="W422" s="588"/>
      <c r="X422" s="588"/>
      <c r="Y422" s="588"/>
      <c r="Z422" s="588"/>
      <c r="AA422" s="588"/>
      <c r="AB422" s="588"/>
      <c r="AC422" s="588"/>
      <c r="AD422" s="588"/>
      <c r="AE422" s="588"/>
      <c r="AF422" s="588"/>
      <c r="AG422" s="588"/>
      <c r="AH422" s="588"/>
      <c r="AI422" s="588"/>
      <c r="AJ422" s="588"/>
      <c r="AK422" s="588"/>
      <c r="AL422" s="588"/>
      <c r="AM422" s="588"/>
      <c r="AN422" s="588"/>
      <c r="AO422" s="588"/>
      <c r="AP422" s="588"/>
      <c r="AQ422" s="588"/>
      <c r="AR422" s="588"/>
      <c r="AS422" s="588"/>
      <c r="AT422" s="588"/>
      <c r="AU422" s="588"/>
      <c r="AV422" s="588"/>
      <c r="AW422" s="588"/>
      <c r="AX422" s="588"/>
      <c r="AY422" s="588"/>
      <c r="AZ422" s="588"/>
      <c r="BA422" s="588"/>
      <c r="BB422" s="588"/>
      <c r="BC422" s="588"/>
      <c r="BD422" s="588"/>
      <c r="BE422" s="588"/>
      <c r="BF422" s="588"/>
      <c r="BG422" s="588"/>
      <c r="BH422" s="588"/>
      <c r="BI422" s="588"/>
      <c r="BJ422" s="588"/>
      <c r="BK422" s="588"/>
      <c r="BL422" s="11"/>
      <c r="BM422" s="11"/>
      <c r="BN422" s="11"/>
      <c r="BO422" s="11"/>
      <c r="BP422" s="11"/>
      <c r="BQ422" s="11"/>
      <c r="BR422" s="11"/>
      <c r="BS422" s="11"/>
      <c r="BT422" s="11"/>
      <c r="BU422" s="11"/>
    </row>
    <row r="423" spans="1:73" ht="17.25" customHeight="1">
      <c r="A423" s="11"/>
      <c r="B423" s="97" t="s">
        <v>654</v>
      </c>
      <c r="C423" s="584"/>
      <c r="D423" s="560" t="s">
        <v>1024</v>
      </c>
      <c r="E423" s="561"/>
      <c r="F423" s="561"/>
      <c r="G423" s="562">
        <f>-'2.3 Input_Main_Questionnaire'!$H$197*'2.3 Input_Main_Questionnaire'!$H$156*'2.3 Input_Main_Questionnaire'!$H$136*'2.3 Input_Main_Questionnaire'!H30</f>
        <v>-3.0200000000000002E-4</v>
      </c>
      <c r="H423" s="562">
        <f>-'2.3 Input_Main_Questionnaire'!$H$197*'2.3 Input_Main_Questionnaire'!$H$156*'2.3 Input_Main_Questionnaire'!$H$136*'2.3 Input_Main_Questionnaire'!I30</f>
        <v>-4.46E-4</v>
      </c>
      <c r="I423" s="562">
        <f>-'2.3 Input_Main_Questionnaire'!$H$197*'2.3 Input_Main_Questionnaire'!$H$156*'2.3 Input_Main_Questionnaire'!$H$136*'2.3 Input_Main_Questionnaire'!J30</f>
        <v>-3.59E-4</v>
      </c>
      <c r="J423" s="562">
        <f>-'2.3 Input_Main_Questionnaire'!$H$197*'2.3 Input_Main_Questionnaire'!$H$156*'2.3 Input_Main_Questionnaire'!$H$136*'2.3 Input_Main_Questionnaire'!K30</f>
        <v>-4.7800000000000002E-4</v>
      </c>
      <c r="K423" s="562">
        <f>-'2.3 Input_Main_Questionnaire'!$H$197*'2.3 Input_Main_Questionnaire'!$H$156*'2.3 Input_Main_Questionnaire'!$H$136*'2.3 Input_Main_Questionnaire'!L30</f>
        <v>-3.9625000000000001E-4</v>
      </c>
      <c r="L423" s="562">
        <f>-'2.3 Input_Main_Questionnaire'!$H$197*'2.3 Input_Main_Questionnaire'!$H$156*'2.3 Input_Main_Questionnaire'!$H$136*'2.3 Input_Main_Questionnaire'!M30</f>
        <v>-3.9625000000000001E-4</v>
      </c>
      <c r="M423" s="562">
        <f>-'2.3 Input_Main_Questionnaire'!$H$197*'2.3 Input_Main_Questionnaire'!$H$156*'2.3 Input_Main_Questionnaire'!$H$136*'2.3 Input_Main_Questionnaire'!N30</f>
        <v>-3.9625000000000001E-4</v>
      </c>
      <c r="N423" s="563">
        <f>-'2.3 Input_Main_Questionnaire'!$H$197*'2.3 Input_Main_Questionnaire'!$H$156*'2.3 Input_Main_Questionnaire'!$H$136*'2.3 Input_Main_Questionnaire'!O30</f>
        <v>-3.9625000000000001E-4</v>
      </c>
      <c r="O423" s="586"/>
      <c r="P423" s="11"/>
      <c r="Q423" s="11"/>
      <c r="R423" s="587"/>
      <c r="S423" s="11"/>
      <c r="T423" s="11"/>
      <c r="U423" s="11"/>
      <c r="V423" s="11"/>
      <c r="W423" s="588"/>
      <c r="X423" s="588"/>
      <c r="Y423" s="588"/>
      <c r="Z423" s="588"/>
      <c r="AA423" s="588"/>
      <c r="AB423" s="588"/>
      <c r="AC423" s="588"/>
      <c r="AD423" s="588"/>
      <c r="AE423" s="588"/>
      <c r="AF423" s="588"/>
      <c r="AG423" s="588"/>
      <c r="AH423" s="588"/>
      <c r="AI423" s="588"/>
      <c r="AJ423" s="588"/>
      <c r="AK423" s="588"/>
      <c r="AL423" s="588"/>
      <c r="AM423" s="588"/>
      <c r="AN423" s="588"/>
      <c r="AO423" s="588"/>
      <c r="AP423" s="588"/>
      <c r="AQ423" s="588"/>
      <c r="AR423" s="588"/>
      <c r="AS423" s="588"/>
      <c r="AT423" s="588"/>
      <c r="AU423" s="588"/>
      <c r="AV423" s="588"/>
      <c r="AW423" s="588"/>
      <c r="AX423" s="588"/>
      <c r="AY423" s="588"/>
      <c r="AZ423" s="588"/>
      <c r="BA423" s="588"/>
      <c r="BB423" s="588"/>
      <c r="BC423" s="588"/>
      <c r="BD423" s="588"/>
      <c r="BE423" s="588"/>
      <c r="BF423" s="588"/>
      <c r="BG423" s="588"/>
      <c r="BH423" s="588"/>
      <c r="BI423" s="588"/>
      <c r="BJ423" s="588"/>
      <c r="BK423" s="588"/>
      <c r="BL423" s="11"/>
      <c r="BM423" s="11"/>
      <c r="BN423" s="11"/>
      <c r="BO423" s="11"/>
      <c r="BP423" s="11"/>
      <c r="BQ423" s="11"/>
      <c r="BR423" s="11"/>
      <c r="BS423" s="11"/>
      <c r="BT423" s="11"/>
      <c r="BU423" s="11"/>
    </row>
    <row r="424" spans="1:73" hidden="1">
      <c r="A424" s="6"/>
      <c r="B424" s="108"/>
      <c r="C424" s="1"/>
      <c r="D424" s="37"/>
      <c r="E424" s="1"/>
      <c r="F424" s="1"/>
      <c r="G424" s="3"/>
      <c r="H424" s="3"/>
      <c r="I424" s="3"/>
      <c r="J424" s="3"/>
      <c r="K424" s="3"/>
      <c r="L424" s="3"/>
      <c r="M424" s="3"/>
      <c r="N424" s="3"/>
      <c r="O424" s="1"/>
      <c r="P424" s="1"/>
      <c r="Q424" s="1"/>
      <c r="R424" s="587"/>
      <c r="S424" s="1"/>
      <c r="T424" s="103"/>
      <c r="U424" s="9" t="s">
        <v>5</v>
      </c>
      <c r="V424" s="589"/>
      <c r="W424" s="81"/>
      <c r="X424" s="98"/>
      <c r="Y424" s="98"/>
      <c r="Z424" s="98"/>
      <c r="AA424" s="98"/>
      <c r="AB424" s="98"/>
      <c r="AC424" s="98"/>
      <c r="AD424" s="98"/>
      <c r="AE424" s="98"/>
      <c r="AF424" s="98"/>
      <c r="AG424" s="98"/>
      <c r="AH424" s="98"/>
      <c r="AI424" s="98"/>
      <c r="AJ424" s="98"/>
      <c r="AK424" s="98"/>
      <c r="AL424" s="98"/>
      <c r="AM424" s="98"/>
      <c r="AN424" s="98"/>
      <c r="AO424" s="98"/>
      <c r="AP424" s="98"/>
      <c r="AQ424" s="98"/>
      <c r="AR424" s="98"/>
      <c r="AS424" s="98"/>
      <c r="AT424" s="98"/>
      <c r="AU424" s="98"/>
      <c r="AV424" s="98"/>
      <c r="AW424" s="98"/>
      <c r="AX424" s="98"/>
      <c r="AY424" s="98"/>
      <c r="AZ424" s="98"/>
      <c r="BA424" s="98"/>
      <c r="BB424" s="98"/>
      <c r="BC424" s="98"/>
      <c r="BD424" s="98"/>
      <c r="BE424" s="98"/>
      <c r="BF424" s="98"/>
      <c r="BG424" s="98"/>
      <c r="BH424" s="98"/>
      <c r="BI424" s="98"/>
      <c r="BJ424" s="98"/>
      <c r="BK424" s="98"/>
      <c r="BL424" s="99"/>
      <c r="BM424" s="99"/>
      <c r="BN424" s="99"/>
      <c r="BO424" s="99"/>
      <c r="BP424" s="99"/>
      <c r="BQ424" s="99"/>
      <c r="BR424" s="99"/>
      <c r="BS424" s="99"/>
      <c r="BT424" s="99"/>
      <c r="BU424" s="99"/>
    </row>
    <row r="425" spans="1:73" hidden="1">
      <c r="A425" s="6"/>
      <c r="B425" s="108"/>
      <c r="C425" s="1"/>
      <c r="D425" s="37"/>
      <c r="E425" s="1"/>
      <c r="F425" s="1"/>
      <c r="G425" s="3"/>
      <c r="H425" s="3"/>
      <c r="I425" s="3"/>
      <c r="J425" s="3"/>
      <c r="K425" s="3"/>
      <c r="L425" s="3"/>
      <c r="M425" s="3"/>
      <c r="N425" s="3"/>
      <c r="O425" s="1"/>
      <c r="P425" s="1"/>
      <c r="Q425" s="1"/>
      <c r="R425" s="162"/>
      <c r="S425" s="1"/>
      <c r="T425" s="103"/>
      <c r="U425" s="103"/>
      <c r="V425" s="564" t="str">
        <f>D419</f>
        <v>Additional time required for complying with recognized metadata standards</v>
      </c>
      <c r="W425" s="375"/>
      <c r="X425" s="376"/>
      <c r="Y425" s="376"/>
      <c r="Z425" s="376"/>
      <c r="AA425" s="376"/>
      <c r="AB425" s="376"/>
      <c r="AC425" s="376"/>
      <c r="AD425" s="376"/>
      <c r="AE425" s="376"/>
      <c r="AF425" s="376"/>
      <c r="AG425" s="376"/>
      <c r="AH425" s="376"/>
      <c r="AI425" s="376"/>
      <c r="AJ425" s="376"/>
      <c r="AK425" s="376"/>
      <c r="AL425" s="376"/>
      <c r="AM425" s="376"/>
      <c r="AN425" s="376"/>
      <c r="AO425" s="376"/>
      <c r="AP425" s="376"/>
      <c r="AQ425" s="376"/>
      <c r="AR425" s="376"/>
      <c r="AS425" s="376"/>
      <c r="AT425" s="376"/>
      <c r="AU425" s="376"/>
      <c r="AV425" s="376"/>
      <c r="AW425" s="376"/>
      <c r="AX425" s="376"/>
      <c r="AY425" s="376"/>
      <c r="AZ425" s="376"/>
      <c r="BA425" s="376"/>
      <c r="BB425" s="376"/>
      <c r="BC425" s="376"/>
      <c r="BD425" s="376"/>
      <c r="BE425" s="376"/>
      <c r="BF425" s="376"/>
      <c r="BG425" s="376"/>
      <c r="BH425" s="376"/>
      <c r="BI425" s="376"/>
      <c r="BJ425" s="376"/>
      <c r="BK425" s="376"/>
      <c r="BL425" s="590"/>
      <c r="BM425" s="590"/>
      <c r="BN425" s="590"/>
      <c r="BO425" s="590"/>
      <c r="BP425" s="590"/>
      <c r="BQ425" s="590"/>
      <c r="BR425" s="590"/>
      <c r="BS425" s="590"/>
      <c r="BT425" s="590"/>
      <c r="BU425" s="590"/>
    </row>
    <row r="426" spans="1:73" hidden="1">
      <c r="A426" s="6"/>
      <c r="B426" s="108"/>
      <c r="C426" s="1"/>
      <c r="D426" s="6"/>
      <c r="E426" s="6"/>
      <c r="F426" s="1"/>
      <c r="G426" s="43"/>
      <c r="H426" s="43"/>
      <c r="I426" s="43"/>
      <c r="J426" s="3"/>
      <c r="K426" s="3"/>
      <c r="L426" s="3"/>
      <c r="M426" s="3"/>
      <c r="N426" s="3"/>
      <c r="O426" s="1"/>
      <c r="P426" s="1"/>
      <c r="Q426" s="1"/>
      <c r="R426" s="162"/>
      <c r="S426" s="1"/>
      <c r="T426" s="103"/>
      <c r="U426" s="103"/>
      <c r="V426" s="101" t="s">
        <v>208</v>
      </c>
      <c r="W426" s="98">
        <f>Growth!B20</f>
        <v>2018</v>
      </c>
      <c r="X426" s="98">
        <f t="shared" ref="X426:BK426" si="72">W426+1</f>
        <v>2019</v>
      </c>
      <c r="Y426" s="98">
        <f t="shared" si="72"/>
        <v>2020</v>
      </c>
      <c r="Z426" s="98">
        <f t="shared" si="72"/>
        <v>2021</v>
      </c>
      <c r="AA426" s="98">
        <f t="shared" si="72"/>
        <v>2022</v>
      </c>
      <c r="AB426" s="98">
        <f t="shared" si="72"/>
        <v>2023</v>
      </c>
      <c r="AC426" s="98">
        <f t="shared" si="72"/>
        <v>2024</v>
      </c>
      <c r="AD426" s="98">
        <f t="shared" si="72"/>
        <v>2025</v>
      </c>
      <c r="AE426" s="98">
        <f t="shared" si="72"/>
        <v>2026</v>
      </c>
      <c r="AF426" s="98">
        <f t="shared" si="72"/>
        <v>2027</v>
      </c>
      <c r="AG426" s="98">
        <f t="shared" si="72"/>
        <v>2028</v>
      </c>
      <c r="AH426" s="98">
        <f t="shared" si="72"/>
        <v>2029</v>
      </c>
      <c r="AI426" s="98">
        <f t="shared" si="72"/>
        <v>2030</v>
      </c>
      <c r="AJ426" s="98">
        <f t="shared" si="72"/>
        <v>2031</v>
      </c>
      <c r="AK426" s="98">
        <f t="shared" si="72"/>
        <v>2032</v>
      </c>
      <c r="AL426" s="98">
        <f t="shared" si="72"/>
        <v>2033</v>
      </c>
      <c r="AM426" s="98">
        <f t="shared" si="72"/>
        <v>2034</v>
      </c>
      <c r="AN426" s="98">
        <f t="shared" si="72"/>
        <v>2035</v>
      </c>
      <c r="AO426" s="98">
        <f t="shared" si="72"/>
        <v>2036</v>
      </c>
      <c r="AP426" s="98">
        <f t="shared" si="72"/>
        <v>2037</v>
      </c>
      <c r="AQ426" s="98">
        <f t="shared" si="72"/>
        <v>2038</v>
      </c>
      <c r="AR426" s="98">
        <f t="shared" si="72"/>
        <v>2039</v>
      </c>
      <c r="AS426" s="98">
        <f t="shared" si="72"/>
        <v>2040</v>
      </c>
      <c r="AT426" s="98">
        <f t="shared" si="72"/>
        <v>2041</v>
      </c>
      <c r="AU426" s="98">
        <f t="shared" si="72"/>
        <v>2042</v>
      </c>
      <c r="AV426" s="98">
        <f t="shared" si="72"/>
        <v>2043</v>
      </c>
      <c r="AW426" s="98">
        <f t="shared" si="72"/>
        <v>2044</v>
      </c>
      <c r="AX426" s="98">
        <f t="shared" si="72"/>
        <v>2045</v>
      </c>
      <c r="AY426" s="98">
        <f t="shared" si="72"/>
        <v>2046</v>
      </c>
      <c r="AZ426" s="98">
        <f t="shared" si="72"/>
        <v>2047</v>
      </c>
      <c r="BA426" s="98">
        <f t="shared" si="72"/>
        <v>2048</v>
      </c>
      <c r="BB426" s="98">
        <f t="shared" si="72"/>
        <v>2049</v>
      </c>
      <c r="BC426" s="98">
        <f t="shared" si="72"/>
        <v>2050</v>
      </c>
      <c r="BD426" s="98">
        <f t="shared" si="72"/>
        <v>2051</v>
      </c>
      <c r="BE426" s="98">
        <f t="shared" si="72"/>
        <v>2052</v>
      </c>
      <c r="BF426" s="98">
        <f t="shared" si="72"/>
        <v>2053</v>
      </c>
      <c r="BG426" s="98">
        <f t="shared" si="72"/>
        <v>2054</v>
      </c>
      <c r="BH426" s="98">
        <f t="shared" si="72"/>
        <v>2055</v>
      </c>
      <c r="BI426" s="98">
        <f t="shared" si="72"/>
        <v>2056</v>
      </c>
      <c r="BJ426" s="98">
        <f t="shared" si="72"/>
        <v>2057</v>
      </c>
      <c r="BK426" s="98">
        <f t="shared" si="72"/>
        <v>2058</v>
      </c>
      <c r="BL426" s="98"/>
      <c r="BM426" s="98"/>
      <c r="BN426" s="98"/>
      <c r="BO426" s="98"/>
      <c r="BP426" s="98"/>
      <c r="BQ426" s="98"/>
      <c r="BR426" s="98"/>
      <c r="BS426" s="98"/>
      <c r="BT426" s="98"/>
      <c r="BU426" s="98"/>
    </row>
    <row r="427" spans="1:73" hidden="1">
      <c r="A427" s="6"/>
      <c r="B427" s="108"/>
      <c r="C427" s="1"/>
      <c r="D427" s="6"/>
      <c r="E427" s="6"/>
      <c r="F427" s="1"/>
      <c r="G427" s="43"/>
      <c r="H427" s="43"/>
      <c r="I427" s="43"/>
      <c r="J427" s="3"/>
      <c r="K427" s="3"/>
      <c r="L427" s="3"/>
      <c r="M427" s="3"/>
      <c r="N427" s="3"/>
      <c r="O427" s="1"/>
      <c r="P427" s="1"/>
      <c r="Q427" s="1"/>
      <c r="R427" s="162"/>
      <c r="S427" s="1"/>
      <c r="T427" s="103"/>
      <c r="U427" s="103"/>
      <c r="V427" s="103" t="str">
        <f>G$10</f>
        <v>PhD researcher</v>
      </c>
      <c r="W427" s="373">
        <f ca="1">IF(W$426 &lt;= '2.2 Input_General_Information'!$H$40 + '2.2 Input_General_Information'!$H$20, W$379*'2.3 Input_Main_Questionnaire'!$H$156*'2.3 Input_Main_Questionnaire'!$H$30,V427)</f>
        <v>0</v>
      </c>
      <c r="X427" s="373">
        <f ca="1">IF(X$426 &lt;= '2.2 Input_General_Information'!$H$40 + '2.2 Input_General_Information'!$H$20, X$379*'2.3 Input_Main_Questionnaire'!$H$156*'2.3 Input_Main_Questionnaire'!$H$30,W427)</f>
        <v>-1.568501245104989E-3</v>
      </c>
      <c r="Y427" s="373">
        <f ca="1">IF(Y$426 &lt;= '2.2 Input_General_Information'!$H$40 + '2.2 Input_General_Information'!$H$20, Y$379*'2.3 Input_Main_Questionnaire'!$H$156*'2.3 Input_Main_Questionnaire'!$H$30,X427)</f>
        <v>-1.9115049789476242E-3</v>
      </c>
      <c r="Z427" s="373">
        <f ca="1">IF(Z$426 &lt;= '2.2 Input_General_Information'!$H$40 + '2.2 Input_General_Information'!$H$20, Z$379*'2.3 Input_Main_Questionnaire'!$H$156*'2.3 Input_Main_Questionnaire'!$H$30,Y427)</f>
        <v>-1.5568472742954613E-4</v>
      </c>
      <c r="AA427" s="373">
        <f ca="1">IF(AA$426 &lt;= '2.2 Input_General_Information'!$H$40 + '2.2 Input_General_Information'!$H$20, AA$379*'2.3 Input_Main_Questionnaire'!$H$156*'2.3 Input_Main_Questionnaire'!$H$30,Z427)</f>
        <v>-1.5568472742954613E-4</v>
      </c>
      <c r="AB427" s="373">
        <f ca="1">IF(AB$426 &lt;= '2.2 Input_General_Information'!$H$40 + '2.2 Input_General_Information'!$H$20, AB$379*'2.3 Input_Main_Questionnaire'!$H$156*'2.3 Input_Main_Questionnaire'!$H$30,AA427)</f>
        <v>-1.5568472742954613E-4</v>
      </c>
      <c r="AC427" s="373">
        <f ca="1">IF(AC$426 &lt;= '2.2 Input_General_Information'!$H$40 + '2.2 Input_General_Information'!$H$20, AC$379*'2.3 Input_Main_Questionnaire'!$H$156*'2.3 Input_Main_Questionnaire'!$H$30,AB427)</f>
        <v>-1.5568472742954613E-4</v>
      </c>
      <c r="AD427" s="373">
        <f ca="1">IF(AD$426 &lt;= '2.2 Input_General_Information'!$H$40 + '2.2 Input_General_Information'!$H$20, AD$379*'2.3 Input_Main_Questionnaire'!$H$156*'2.3 Input_Main_Questionnaire'!$H$30,AC427)</f>
        <v>-1.5568472742954613E-4</v>
      </c>
      <c r="AE427" s="373">
        <f ca="1">IF(AE$426 &lt;= '2.2 Input_General_Information'!$H$40 + '2.2 Input_General_Information'!$H$20, AE$379*'2.3 Input_Main_Questionnaire'!$H$156*'2.3 Input_Main_Questionnaire'!$H$30,AD427)</f>
        <v>-1.5568472742954613E-4</v>
      </c>
      <c r="AF427" s="373">
        <f ca="1">IF(AF$426 &lt;= '2.2 Input_General_Information'!$H$40 + '2.2 Input_General_Information'!$H$20, AF$379*'2.3 Input_Main_Questionnaire'!$H$156*'2.3 Input_Main_Questionnaire'!$H$30,AE427)</f>
        <v>-1.5568472742954613E-4</v>
      </c>
      <c r="AG427" s="373">
        <f ca="1">IF(AG$426 &lt;= '2.2 Input_General_Information'!$H$40 + '2.2 Input_General_Information'!$H$20, AG$379*'2.3 Input_Main_Questionnaire'!$H$156*'2.3 Input_Main_Questionnaire'!$H$30,AF427)</f>
        <v>-1.5568472742954613E-4</v>
      </c>
      <c r="AH427" s="373">
        <f ca="1">IF(AH$426 &lt;= '2.2 Input_General_Information'!$H$40 + '2.2 Input_General_Information'!$H$20, AH$379*'2.3 Input_Main_Questionnaire'!$H$156*'2.3 Input_Main_Questionnaire'!$H$30,AG427)</f>
        <v>-1.5568472742954613E-4</v>
      </c>
      <c r="AI427" s="373">
        <f ca="1">IF(AI$426 &lt;= '2.2 Input_General_Information'!$H$40 + '2.2 Input_General_Information'!$H$20, AI$379*'2.3 Input_Main_Questionnaire'!$H$156*'2.3 Input_Main_Questionnaire'!$H$30,AH427)</f>
        <v>-1.5568472742954613E-4</v>
      </c>
      <c r="AJ427" s="373">
        <f ca="1">IF(AJ$426 &lt;= '2.2 Input_General_Information'!$H$40 + '2.2 Input_General_Information'!$H$20, AJ$379*'2.3 Input_Main_Questionnaire'!$H$156*'2.3 Input_Main_Questionnaire'!$H$30,AI427)</f>
        <v>-1.5568472742954613E-4</v>
      </c>
      <c r="AK427" s="373">
        <f ca="1">IF(AK$426 &lt;= '2.2 Input_General_Information'!$H$40 + '2.2 Input_General_Information'!$H$20, AK$379*'2.3 Input_Main_Questionnaire'!$H$156*'2.3 Input_Main_Questionnaire'!$H$30,AJ427)</f>
        <v>-1.5568472742954613E-4</v>
      </c>
      <c r="AL427" s="373">
        <f ca="1">IF(AL$426 &lt;= '2.2 Input_General_Information'!$H$40 + '2.2 Input_General_Information'!$H$20, AL$379*'2.3 Input_Main_Questionnaire'!$H$156*'2.3 Input_Main_Questionnaire'!$H$30,AK427)</f>
        <v>-1.5568472742954613E-4</v>
      </c>
      <c r="AM427" s="373">
        <f ca="1">IF(AM$426 &lt;= '2.2 Input_General_Information'!$H$40 + '2.2 Input_General_Information'!$H$20, AM$379*'2.3 Input_Main_Questionnaire'!$H$156*'2.3 Input_Main_Questionnaire'!$H$30,AL427)</f>
        <v>-1.5568472742954613E-4</v>
      </c>
      <c r="AN427" s="373">
        <f ca="1">IF(AN$426 &lt;= '2.2 Input_General_Information'!$H$40 + '2.2 Input_General_Information'!$H$20, AN$379*'2.3 Input_Main_Questionnaire'!$H$156*'2.3 Input_Main_Questionnaire'!$H$30,AM427)</f>
        <v>-1.5568472742954613E-4</v>
      </c>
      <c r="AO427" s="373">
        <f ca="1">IF(AO$426 &lt;= '2.2 Input_General_Information'!$H$40 + '2.2 Input_General_Information'!$H$20, AO$379*'2.3 Input_Main_Questionnaire'!$H$156*'2.3 Input_Main_Questionnaire'!$H$30,AN427)</f>
        <v>-1.5568472742954613E-4</v>
      </c>
      <c r="AP427" s="373">
        <f ca="1">IF(AP$426 &lt;= '2.2 Input_General_Information'!$H$40 + '2.2 Input_General_Information'!$H$20, AP$379*'2.3 Input_Main_Questionnaire'!$H$156*'2.3 Input_Main_Questionnaire'!$H$30,AO427)</f>
        <v>-1.5568472742954613E-4</v>
      </c>
      <c r="AQ427" s="373">
        <f ca="1">IF(AQ$426 &lt;= '2.2 Input_General_Information'!$H$40 + '2.2 Input_General_Information'!$H$20, AQ$379*'2.3 Input_Main_Questionnaire'!$H$156*'2.3 Input_Main_Questionnaire'!$H$30,AP427)</f>
        <v>-1.5568472742954613E-4</v>
      </c>
      <c r="AR427" s="373">
        <f ca="1">IF(AR$426 &lt;= '2.2 Input_General_Information'!$H$40 + '2.2 Input_General_Information'!$H$20, AR$379*'2.3 Input_Main_Questionnaire'!$H$156*'2.3 Input_Main_Questionnaire'!$H$30,AQ427)</f>
        <v>-1.5568472742954613E-4</v>
      </c>
      <c r="AS427" s="373">
        <f ca="1">IF(AS$426 &lt;= '2.2 Input_General_Information'!$H$40 + '2.2 Input_General_Information'!$H$20, AS$379*'2.3 Input_Main_Questionnaire'!$H$156*'2.3 Input_Main_Questionnaire'!$H$30,AR427)</f>
        <v>-1.5568472742954613E-4</v>
      </c>
      <c r="AT427" s="373">
        <f ca="1">IF(AT$426 &lt;= '2.2 Input_General_Information'!$H$40 + '2.2 Input_General_Information'!$H$20, AT$379*'2.3 Input_Main_Questionnaire'!$H$156*'2.3 Input_Main_Questionnaire'!$H$30,AS427)</f>
        <v>-1.5568472742954613E-4</v>
      </c>
      <c r="AU427" s="373">
        <f ca="1">IF(AU$426 &lt;= '2.2 Input_General_Information'!$H$40 + '2.2 Input_General_Information'!$H$20, AU$379*'2.3 Input_Main_Questionnaire'!$H$156*'2.3 Input_Main_Questionnaire'!$H$30,AT427)</f>
        <v>-1.5568472742954613E-4</v>
      </c>
      <c r="AV427" s="373">
        <f ca="1">IF(AV$426 &lt;= '2.2 Input_General_Information'!$H$40 + '2.2 Input_General_Information'!$H$20, AV$379*'2.3 Input_Main_Questionnaire'!$H$156*'2.3 Input_Main_Questionnaire'!$H$30,AU427)</f>
        <v>-1.5568472742954613E-4</v>
      </c>
      <c r="AW427" s="373">
        <f ca="1">IF(AW$426 &lt;= '2.2 Input_General_Information'!$H$40 + '2.2 Input_General_Information'!$H$20, AW$379*'2.3 Input_Main_Questionnaire'!$H$156*'2.3 Input_Main_Questionnaire'!$H$30,AV427)</f>
        <v>-1.5568472742954613E-4</v>
      </c>
      <c r="AX427" s="373">
        <f ca="1">IF(AX$426 &lt;= '2.2 Input_General_Information'!$H$40 + '2.2 Input_General_Information'!$H$20, AX$379*'2.3 Input_Main_Questionnaire'!$H$156*'2.3 Input_Main_Questionnaire'!$H$30,AW427)</f>
        <v>-1.5568472742954613E-4</v>
      </c>
      <c r="AY427" s="373">
        <f ca="1">IF(AY$426 &lt;= '2.2 Input_General_Information'!$H$40 + '2.2 Input_General_Information'!$H$20, AY$379*'2.3 Input_Main_Questionnaire'!$H$156*'2.3 Input_Main_Questionnaire'!$H$30,AX427)</f>
        <v>-1.5568472742954613E-4</v>
      </c>
      <c r="AZ427" s="373">
        <f ca="1">IF(AZ$426 &lt;= '2.2 Input_General_Information'!$H$40 + '2.2 Input_General_Information'!$H$20, AZ$379*'2.3 Input_Main_Questionnaire'!$H$156*'2.3 Input_Main_Questionnaire'!$H$30,AY427)</f>
        <v>-1.5568472742954613E-4</v>
      </c>
      <c r="BA427" s="373">
        <f ca="1">IF(BA$426 &lt;= '2.2 Input_General_Information'!$H$40 + '2.2 Input_General_Information'!$H$20, BA$379*'2.3 Input_Main_Questionnaire'!$H$156*'2.3 Input_Main_Questionnaire'!$H$30,AZ427)</f>
        <v>-1.5568472742954613E-4</v>
      </c>
      <c r="BB427" s="373">
        <f ca="1">IF(BB$426 &lt;= '2.2 Input_General_Information'!$H$40 + '2.2 Input_General_Information'!$H$20, BB$379*'2.3 Input_Main_Questionnaire'!$H$156*'2.3 Input_Main_Questionnaire'!$H$30,BA427)</f>
        <v>-1.5568472742954613E-4</v>
      </c>
      <c r="BC427" s="373">
        <f ca="1">IF(BC$426 &lt;= '2.2 Input_General_Information'!$H$40 + '2.2 Input_General_Information'!$H$20, BC$379*'2.3 Input_Main_Questionnaire'!$H$156*'2.3 Input_Main_Questionnaire'!$H$30,BB427)</f>
        <v>-1.5568472742954613E-4</v>
      </c>
      <c r="BD427" s="373">
        <f ca="1">IF(BD$426 &lt;= '2.2 Input_General_Information'!$H$40 + '2.2 Input_General_Information'!$H$20, BD$379*'2.3 Input_Main_Questionnaire'!$H$156*'2.3 Input_Main_Questionnaire'!$H$30,BC427)</f>
        <v>-1.5568472742954613E-4</v>
      </c>
      <c r="BE427" s="373">
        <f ca="1">IF(BE$426 &lt;= '2.2 Input_General_Information'!$H$40 + '2.2 Input_General_Information'!$H$20, BE$379*'2.3 Input_Main_Questionnaire'!$H$156*'2.3 Input_Main_Questionnaire'!$H$30,BD427)</f>
        <v>-1.5568472742954613E-4</v>
      </c>
      <c r="BF427" s="373">
        <f ca="1">IF(BF$426 &lt;= '2.2 Input_General_Information'!$H$40 + '2.2 Input_General_Information'!$H$20, BF$379*'2.3 Input_Main_Questionnaire'!$H$156*'2.3 Input_Main_Questionnaire'!$H$30,BE427)</f>
        <v>-1.5568472742954613E-4</v>
      </c>
      <c r="BG427" s="373">
        <f ca="1">IF(BG$426 &lt;= '2.2 Input_General_Information'!$H$40 + '2.2 Input_General_Information'!$H$20, BG$379*'2.3 Input_Main_Questionnaire'!$H$156*'2.3 Input_Main_Questionnaire'!$H$30,BF427)</f>
        <v>-1.5568472742954613E-4</v>
      </c>
      <c r="BH427" s="373">
        <f ca="1">IF(BH$426 &lt;= '2.2 Input_General_Information'!$H$40 + '2.2 Input_General_Information'!$H$20, BH$379*'2.3 Input_Main_Questionnaire'!$H$156*'2.3 Input_Main_Questionnaire'!$H$30,BG427)</f>
        <v>-1.5568472742954613E-4</v>
      </c>
      <c r="BI427" s="373">
        <f ca="1">IF(BI$426 &lt;= '2.2 Input_General_Information'!$H$40 + '2.2 Input_General_Information'!$H$20, BI$379*'2.3 Input_Main_Questionnaire'!$H$156*'2.3 Input_Main_Questionnaire'!$H$30,BH427)</f>
        <v>-1.5568472742954613E-4</v>
      </c>
      <c r="BJ427" s="373">
        <f ca="1">IF(BJ$426 &lt;= '2.2 Input_General_Information'!$H$40 + '2.2 Input_General_Information'!$H$20, BJ$379*'2.3 Input_Main_Questionnaire'!$H$156*'2.3 Input_Main_Questionnaire'!$H$30,BI427)</f>
        <v>-1.5568472742954613E-4</v>
      </c>
      <c r="BK427" s="373">
        <f ca="1">IF(BK$426 &lt;= '2.2 Input_General_Information'!$H$40 + '2.2 Input_General_Information'!$H$20, BK$379*'2.3 Input_Main_Questionnaire'!$H$156*'2.3 Input_Main_Questionnaire'!$H$30,BJ427)</f>
        <v>-1.5568472742954613E-4</v>
      </c>
      <c r="BL427" s="373"/>
      <c r="BM427" s="373"/>
      <c r="BN427" s="373"/>
      <c r="BO427" s="373"/>
      <c r="BP427" s="373"/>
      <c r="BQ427" s="373"/>
      <c r="BR427" s="373"/>
      <c r="BS427" s="373"/>
      <c r="BT427" s="373"/>
      <c r="BU427" s="373"/>
    </row>
    <row r="428" spans="1:73" hidden="1">
      <c r="A428" s="6"/>
      <c r="B428" s="108"/>
      <c r="C428" s="1"/>
      <c r="D428" s="6"/>
      <c r="E428" s="6"/>
      <c r="F428" s="1"/>
      <c r="G428" s="43"/>
      <c r="H428" s="43"/>
      <c r="I428" s="43"/>
      <c r="J428" s="3"/>
      <c r="K428" s="3"/>
      <c r="L428" s="3"/>
      <c r="M428" s="3"/>
      <c r="N428" s="3"/>
      <c r="O428" s="1"/>
      <c r="P428" s="1"/>
      <c r="Q428" s="1"/>
      <c r="R428" s="162"/>
      <c r="S428" s="1"/>
      <c r="T428" s="103"/>
      <c r="U428" s="103"/>
      <c r="V428" s="103" t="str">
        <f>$H$10</f>
        <v>Lecturer assistant/Research assistant (Academic)</v>
      </c>
      <c r="W428" s="373">
        <f ca="1">IF(W$426 &lt;= '2.2 Input_General_Information'!$H$40 + '2.2 Input_General_Information'!$H$20, W$379*'2.3 Input_Main_Questionnaire'!$H$156*'2.3 Input_Main_Questionnaire'!$I$30,V428)</f>
        <v>0</v>
      </c>
      <c r="X428" s="373">
        <f ca="1">IF(X$426 &lt;= '2.2 Input_General_Information'!$H$40 + '2.2 Input_General_Information'!$H$20, X$379*'2.3 Input_Main_Questionnaire'!$H$156*'2.3 Input_Main_Questionnaire'!$I$30,W428)</f>
        <v>-2.3163958785325334E-3</v>
      </c>
      <c r="Y428" s="373">
        <f ca="1">IF(Y$426 &lt;= '2.2 Input_General_Information'!$H$40 + '2.2 Input_General_Information'!$H$20, Y$379*'2.3 Input_Main_Questionnaire'!$H$156*'2.3 Input_Main_Questionnaire'!$I$30,X428)</f>
        <v>-2.822951061624637E-3</v>
      </c>
      <c r="Z428" s="373">
        <f ca="1">IF(Z$426 &lt;= '2.2 Input_General_Information'!$H$40 + '2.2 Input_General_Information'!$H$20, Z$379*'2.3 Input_Main_Questionnaire'!$H$156*'2.3 Input_Main_Questionnaire'!$I$30,Y428)</f>
        <v>-2.2991850474694562E-4</v>
      </c>
      <c r="AA428" s="373">
        <f ca="1">IF(AA$426 &lt;= '2.2 Input_General_Information'!$H$40 + '2.2 Input_General_Information'!$H$20, AA$379*'2.3 Input_Main_Questionnaire'!$H$156*'2.3 Input_Main_Questionnaire'!$I$30,Z428)</f>
        <v>-2.2991850474694562E-4</v>
      </c>
      <c r="AB428" s="373">
        <f ca="1">IF(AB$426 &lt;= '2.2 Input_General_Information'!$H$40 + '2.2 Input_General_Information'!$H$20, AB$379*'2.3 Input_Main_Questionnaire'!$H$156*'2.3 Input_Main_Questionnaire'!$I$30,AA428)</f>
        <v>-2.2991850474694562E-4</v>
      </c>
      <c r="AC428" s="373">
        <f ca="1">IF(AC$426 &lt;= '2.2 Input_General_Information'!$H$40 + '2.2 Input_General_Information'!$H$20, AC$379*'2.3 Input_Main_Questionnaire'!$H$156*'2.3 Input_Main_Questionnaire'!$I$30,AB428)</f>
        <v>-2.2991850474694562E-4</v>
      </c>
      <c r="AD428" s="373">
        <f ca="1">IF(AD$426 &lt;= '2.2 Input_General_Information'!$H$40 + '2.2 Input_General_Information'!$H$20, AD$379*'2.3 Input_Main_Questionnaire'!$H$156*'2.3 Input_Main_Questionnaire'!$I$30,AC428)</f>
        <v>-2.2991850474694562E-4</v>
      </c>
      <c r="AE428" s="373">
        <f ca="1">IF(AE$426 &lt;= '2.2 Input_General_Information'!$H$40 + '2.2 Input_General_Information'!$H$20, AE$379*'2.3 Input_Main_Questionnaire'!$H$156*'2.3 Input_Main_Questionnaire'!$I$30,AD428)</f>
        <v>-2.2991850474694562E-4</v>
      </c>
      <c r="AF428" s="373">
        <f ca="1">IF(AF$426 &lt;= '2.2 Input_General_Information'!$H$40 + '2.2 Input_General_Information'!$H$20, AF$379*'2.3 Input_Main_Questionnaire'!$H$156*'2.3 Input_Main_Questionnaire'!$I$30,AE428)</f>
        <v>-2.2991850474694562E-4</v>
      </c>
      <c r="AG428" s="373">
        <f ca="1">IF(AG$426 &lt;= '2.2 Input_General_Information'!$H$40 + '2.2 Input_General_Information'!$H$20, AG$379*'2.3 Input_Main_Questionnaire'!$H$156*'2.3 Input_Main_Questionnaire'!$I$30,AF428)</f>
        <v>-2.2991850474694562E-4</v>
      </c>
      <c r="AH428" s="373">
        <f ca="1">IF(AH$426 &lt;= '2.2 Input_General_Information'!$H$40 + '2.2 Input_General_Information'!$H$20, AH$379*'2.3 Input_Main_Questionnaire'!$H$156*'2.3 Input_Main_Questionnaire'!$I$30,AG428)</f>
        <v>-2.2991850474694562E-4</v>
      </c>
      <c r="AI428" s="373">
        <f ca="1">IF(AI$426 &lt;= '2.2 Input_General_Information'!$H$40 + '2.2 Input_General_Information'!$H$20, AI$379*'2.3 Input_Main_Questionnaire'!$H$156*'2.3 Input_Main_Questionnaire'!$I$30,AH428)</f>
        <v>-2.2991850474694562E-4</v>
      </c>
      <c r="AJ428" s="373">
        <f ca="1">IF(AJ$426 &lt;= '2.2 Input_General_Information'!$H$40 + '2.2 Input_General_Information'!$H$20, AJ$379*'2.3 Input_Main_Questionnaire'!$H$156*'2.3 Input_Main_Questionnaire'!$I$30,AI428)</f>
        <v>-2.2991850474694562E-4</v>
      </c>
      <c r="AK428" s="373">
        <f ca="1">IF(AK$426 &lt;= '2.2 Input_General_Information'!$H$40 + '2.2 Input_General_Information'!$H$20, AK$379*'2.3 Input_Main_Questionnaire'!$H$156*'2.3 Input_Main_Questionnaire'!$I$30,AJ428)</f>
        <v>-2.2991850474694562E-4</v>
      </c>
      <c r="AL428" s="373">
        <f ca="1">IF(AL$426 &lt;= '2.2 Input_General_Information'!$H$40 + '2.2 Input_General_Information'!$H$20, AL$379*'2.3 Input_Main_Questionnaire'!$H$156*'2.3 Input_Main_Questionnaire'!$I$30,AK428)</f>
        <v>-2.2991850474694562E-4</v>
      </c>
      <c r="AM428" s="373">
        <f ca="1">IF(AM$426 &lt;= '2.2 Input_General_Information'!$H$40 + '2.2 Input_General_Information'!$H$20, AM$379*'2.3 Input_Main_Questionnaire'!$H$156*'2.3 Input_Main_Questionnaire'!$I$30,AL428)</f>
        <v>-2.2991850474694562E-4</v>
      </c>
      <c r="AN428" s="373">
        <f ca="1">IF(AN$426 &lt;= '2.2 Input_General_Information'!$H$40 + '2.2 Input_General_Information'!$H$20, AN$379*'2.3 Input_Main_Questionnaire'!$H$156*'2.3 Input_Main_Questionnaire'!$I$30,AM428)</f>
        <v>-2.2991850474694562E-4</v>
      </c>
      <c r="AO428" s="373">
        <f ca="1">IF(AO$426 &lt;= '2.2 Input_General_Information'!$H$40 + '2.2 Input_General_Information'!$H$20, AO$379*'2.3 Input_Main_Questionnaire'!$H$156*'2.3 Input_Main_Questionnaire'!$I$30,AN428)</f>
        <v>-2.2991850474694562E-4</v>
      </c>
      <c r="AP428" s="373">
        <f ca="1">IF(AP$426 &lt;= '2.2 Input_General_Information'!$H$40 + '2.2 Input_General_Information'!$H$20, AP$379*'2.3 Input_Main_Questionnaire'!$H$156*'2.3 Input_Main_Questionnaire'!$I$30,AO428)</f>
        <v>-2.2991850474694562E-4</v>
      </c>
      <c r="AQ428" s="373">
        <f ca="1">IF(AQ$426 &lt;= '2.2 Input_General_Information'!$H$40 + '2.2 Input_General_Information'!$H$20, AQ$379*'2.3 Input_Main_Questionnaire'!$H$156*'2.3 Input_Main_Questionnaire'!$I$30,AP428)</f>
        <v>-2.2991850474694562E-4</v>
      </c>
      <c r="AR428" s="373">
        <f ca="1">IF(AR$426 &lt;= '2.2 Input_General_Information'!$H$40 + '2.2 Input_General_Information'!$H$20, AR$379*'2.3 Input_Main_Questionnaire'!$H$156*'2.3 Input_Main_Questionnaire'!$I$30,AQ428)</f>
        <v>-2.2991850474694562E-4</v>
      </c>
      <c r="AS428" s="373">
        <f ca="1">IF(AS$426 &lt;= '2.2 Input_General_Information'!$H$40 + '2.2 Input_General_Information'!$H$20, AS$379*'2.3 Input_Main_Questionnaire'!$H$156*'2.3 Input_Main_Questionnaire'!$I$30,AR428)</f>
        <v>-2.2991850474694562E-4</v>
      </c>
      <c r="AT428" s="373">
        <f ca="1">IF(AT$426 &lt;= '2.2 Input_General_Information'!$H$40 + '2.2 Input_General_Information'!$H$20, AT$379*'2.3 Input_Main_Questionnaire'!$H$156*'2.3 Input_Main_Questionnaire'!$I$30,AS428)</f>
        <v>-2.2991850474694562E-4</v>
      </c>
      <c r="AU428" s="373">
        <f ca="1">IF(AU$426 &lt;= '2.2 Input_General_Information'!$H$40 + '2.2 Input_General_Information'!$H$20, AU$379*'2.3 Input_Main_Questionnaire'!$H$156*'2.3 Input_Main_Questionnaire'!$I$30,AT428)</f>
        <v>-2.2991850474694562E-4</v>
      </c>
      <c r="AV428" s="373">
        <f ca="1">IF(AV$426 &lt;= '2.2 Input_General_Information'!$H$40 + '2.2 Input_General_Information'!$H$20, AV$379*'2.3 Input_Main_Questionnaire'!$H$156*'2.3 Input_Main_Questionnaire'!$I$30,AU428)</f>
        <v>-2.2991850474694562E-4</v>
      </c>
      <c r="AW428" s="373">
        <f ca="1">IF(AW$426 &lt;= '2.2 Input_General_Information'!$H$40 + '2.2 Input_General_Information'!$H$20, AW$379*'2.3 Input_Main_Questionnaire'!$H$156*'2.3 Input_Main_Questionnaire'!$I$30,AV428)</f>
        <v>-2.2991850474694562E-4</v>
      </c>
      <c r="AX428" s="373">
        <f ca="1">IF(AX$426 &lt;= '2.2 Input_General_Information'!$H$40 + '2.2 Input_General_Information'!$H$20, AX$379*'2.3 Input_Main_Questionnaire'!$H$156*'2.3 Input_Main_Questionnaire'!$I$30,AW428)</f>
        <v>-2.2991850474694562E-4</v>
      </c>
      <c r="AY428" s="373">
        <f ca="1">IF(AY$426 &lt;= '2.2 Input_General_Information'!$H$40 + '2.2 Input_General_Information'!$H$20, AY$379*'2.3 Input_Main_Questionnaire'!$H$156*'2.3 Input_Main_Questionnaire'!$I$30,AX428)</f>
        <v>-2.2991850474694562E-4</v>
      </c>
      <c r="AZ428" s="373">
        <f ca="1">IF(AZ$426 &lt;= '2.2 Input_General_Information'!$H$40 + '2.2 Input_General_Information'!$H$20, AZ$379*'2.3 Input_Main_Questionnaire'!$H$156*'2.3 Input_Main_Questionnaire'!$I$30,AY428)</f>
        <v>-2.2991850474694562E-4</v>
      </c>
      <c r="BA428" s="373">
        <f ca="1">IF(BA$426 &lt;= '2.2 Input_General_Information'!$H$40 + '2.2 Input_General_Information'!$H$20, BA$379*'2.3 Input_Main_Questionnaire'!$H$156*'2.3 Input_Main_Questionnaire'!$I$30,AZ428)</f>
        <v>-2.2991850474694562E-4</v>
      </c>
      <c r="BB428" s="373">
        <f ca="1">IF(BB$426 &lt;= '2.2 Input_General_Information'!$H$40 + '2.2 Input_General_Information'!$H$20, BB$379*'2.3 Input_Main_Questionnaire'!$H$156*'2.3 Input_Main_Questionnaire'!$I$30,BA428)</f>
        <v>-2.2991850474694562E-4</v>
      </c>
      <c r="BC428" s="373">
        <f ca="1">IF(BC$426 &lt;= '2.2 Input_General_Information'!$H$40 + '2.2 Input_General_Information'!$H$20, BC$379*'2.3 Input_Main_Questionnaire'!$H$156*'2.3 Input_Main_Questionnaire'!$I$30,BB428)</f>
        <v>-2.2991850474694562E-4</v>
      </c>
      <c r="BD428" s="373">
        <f ca="1">IF(BD$426 &lt;= '2.2 Input_General_Information'!$H$40 + '2.2 Input_General_Information'!$H$20, BD$379*'2.3 Input_Main_Questionnaire'!$H$156*'2.3 Input_Main_Questionnaire'!$I$30,BC428)</f>
        <v>-2.2991850474694562E-4</v>
      </c>
      <c r="BE428" s="373">
        <f ca="1">IF(BE$426 &lt;= '2.2 Input_General_Information'!$H$40 + '2.2 Input_General_Information'!$H$20, BE$379*'2.3 Input_Main_Questionnaire'!$H$156*'2.3 Input_Main_Questionnaire'!$I$30,BD428)</f>
        <v>-2.2991850474694562E-4</v>
      </c>
      <c r="BF428" s="373">
        <f ca="1">IF(BF$426 &lt;= '2.2 Input_General_Information'!$H$40 + '2.2 Input_General_Information'!$H$20, BF$379*'2.3 Input_Main_Questionnaire'!$H$156*'2.3 Input_Main_Questionnaire'!$I$30,BE428)</f>
        <v>-2.2991850474694562E-4</v>
      </c>
      <c r="BG428" s="373">
        <f ca="1">IF(BG$426 &lt;= '2.2 Input_General_Information'!$H$40 + '2.2 Input_General_Information'!$H$20, BG$379*'2.3 Input_Main_Questionnaire'!$H$156*'2.3 Input_Main_Questionnaire'!$I$30,BF428)</f>
        <v>-2.2991850474694562E-4</v>
      </c>
      <c r="BH428" s="373">
        <f ca="1">IF(BH$426 &lt;= '2.2 Input_General_Information'!$H$40 + '2.2 Input_General_Information'!$H$20, BH$379*'2.3 Input_Main_Questionnaire'!$H$156*'2.3 Input_Main_Questionnaire'!$I$30,BG428)</f>
        <v>-2.2991850474694562E-4</v>
      </c>
      <c r="BI428" s="373">
        <f ca="1">IF(BI$426 &lt;= '2.2 Input_General_Information'!$H$40 + '2.2 Input_General_Information'!$H$20, BI$379*'2.3 Input_Main_Questionnaire'!$H$156*'2.3 Input_Main_Questionnaire'!$I$30,BH428)</f>
        <v>-2.2991850474694562E-4</v>
      </c>
      <c r="BJ428" s="373">
        <f ca="1">IF(BJ$426 &lt;= '2.2 Input_General_Information'!$H$40 + '2.2 Input_General_Information'!$H$20, BJ$379*'2.3 Input_Main_Questionnaire'!$H$156*'2.3 Input_Main_Questionnaire'!$I$30,BI428)</f>
        <v>-2.2991850474694562E-4</v>
      </c>
      <c r="BK428" s="373">
        <f ca="1">IF(BK$426 &lt;= '2.2 Input_General_Information'!$H$40 + '2.2 Input_General_Information'!$H$20, BK$379*'2.3 Input_Main_Questionnaire'!$H$156*'2.3 Input_Main_Questionnaire'!$I$30,BJ428)</f>
        <v>-2.2991850474694562E-4</v>
      </c>
      <c r="BL428" s="373"/>
      <c r="BM428" s="373"/>
      <c r="BN428" s="373"/>
      <c r="BO428" s="373"/>
      <c r="BP428" s="373"/>
      <c r="BQ428" s="373"/>
      <c r="BR428" s="373"/>
      <c r="BS428" s="373"/>
      <c r="BT428" s="373"/>
      <c r="BU428" s="373"/>
    </row>
    <row r="429" spans="1:73" hidden="1">
      <c r="A429" s="6"/>
      <c r="B429" s="108"/>
      <c r="C429" s="1"/>
      <c r="D429" s="6"/>
      <c r="E429" s="6"/>
      <c r="F429" s="1"/>
      <c r="G429" s="43"/>
      <c r="H429" s="43"/>
      <c r="I429" s="43"/>
      <c r="J429" s="3"/>
      <c r="K429" s="3"/>
      <c r="L429" s="3"/>
      <c r="M429" s="3"/>
      <c r="N429" s="3"/>
      <c r="O429" s="1"/>
      <c r="P429" s="1"/>
      <c r="Q429" s="1"/>
      <c r="R429" s="162"/>
      <c r="S429" s="1"/>
      <c r="T429" s="103"/>
      <c r="U429" s="103"/>
      <c r="V429" s="103" t="str">
        <f>$I$10</f>
        <v>Lecturer/Researcher (Academic)</v>
      </c>
      <c r="W429" s="373">
        <f ca="1">IF(W$426 &lt;= '2.2 Input_General_Information'!$H$40 + '2.2 Input_General_Information'!$H$20, W$379*'2.3 Input_Main_Questionnaire'!$H$156*'2.3 Input_Main_Questionnaire'!$J$30,V429)</f>
        <v>0</v>
      </c>
      <c r="X429" s="373">
        <f ca="1">IF(X$426 &lt;= '2.2 Input_General_Information'!$H$40 + '2.2 Input_General_Information'!$H$20, X$379*'2.3 Input_Main_Questionnaire'!$H$156*'2.3 Input_Main_Questionnaire'!$J$30,W429)</f>
        <v>-1.8645428708367253E-3</v>
      </c>
      <c r="Y429" s="373">
        <f ca="1">IF(Y$426 &lt;= '2.2 Input_General_Information'!$H$40 + '2.2 Input_General_Information'!$H$20, Y$379*'2.3 Input_Main_Questionnaire'!$H$156*'2.3 Input_Main_Questionnaire'!$J$30,X429)</f>
        <v>-2.2722857200072753E-3</v>
      </c>
      <c r="Z429" s="373">
        <f ca="1">IF(Z$426 &lt;= '2.2 Input_General_Information'!$H$40 + '2.2 Input_General_Information'!$H$20, Z$379*'2.3 Input_Main_Questionnaire'!$H$156*'2.3 Input_Main_Questionnaire'!$J$30,Y429)</f>
        <v>-1.8506893095101675E-4</v>
      </c>
      <c r="AA429" s="373">
        <f ca="1">IF(AA$426 &lt;= '2.2 Input_General_Information'!$H$40 + '2.2 Input_General_Information'!$H$20, AA$379*'2.3 Input_Main_Questionnaire'!$H$156*'2.3 Input_Main_Questionnaire'!$J$30,Z429)</f>
        <v>-1.8506893095101675E-4</v>
      </c>
      <c r="AB429" s="373">
        <f ca="1">IF(AB$426 &lt;= '2.2 Input_General_Information'!$H$40 + '2.2 Input_General_Information'!$H$20, AB$379*'2.3 Input_Main_Questionnaire'!$H$156*'2.3 Input_Main_Questionnaire'!$J$30,AA429)</f>
        <v>-1.8506893095101675E-4</v>
      </c>
      <c r="AC429" s="373">
        <f ca="1">IF(AC$426 &lt;= '2.2 Input_General_Information'!$H$40 + '2.2 Input_General_Information'!$H$20, AC$379*'2.3 Input_Main_Questionnaire'!$H$156*'2.3 Input_Main_Questionnaire'!$J$30,AB429)</f>
        <v>-1.8506893095101675E-4</v>
      </c>
      <c r="AD429" s="373">
        <f ca="1">IF(AD$426 &lt;= '2.2 Input_General_Information'!$H$40 + '2.2 Input_General_Information'!$H$20, AD$379*'2.3 Input_Main_Questionnaire'!$H$156*'2.3 Input_Main_Questionnaire'!$J$30,AC429)</f>
        <v>-1.8506893095101675E-4</v>
      </c>
      <c r="AE429" s="373">
        <f ca="1">IF(AE$426 &lt;= '2.2 Input_General_Information'!$H$40 + '2.2 Input_General_Information'!$H$20, AE$379*'2.3 Input_Main_Questionnaire'!$H$156*'2.3 Input_Main_Questionnaire'!$J$30,AD429)</f>
        <v>-1.8506893095101675E-4</v>
      </c>
      <c r="AF429" s="373">
        <f ca="1">IF(AF$426 &lt;= '2.2 Input_General_Information'!$H$40 + '2.2 Input_General_Information'!$H$20, AF$379*'2.3 Input_Main_Questionnaire'!$H$156*'2.3 Input_Main_Questionnaire'!$J$30,AE429)</f>
        <v>-1.8506893095101675E-4</v>
      </c>
      <c r="AG429" s="373">
        <f ca="1">IF(AG$426 &lt;= '2.2 Input_General_Information'!$H$40 + '2.2 Input_General_Information'!$H$20, AG$379*'2.3 Input_Main_Questionnaire'!$H$156*'2.3 Input_Main_Questionnaire'!$J$30,AF429)</f>
        <v>-1.8506893095101675E-4</v>
      </c>
      <c r="AH429" s="373">
        <f ca="1">IF(AH$426 &lt;= '2.2 Input_General_Information'!$H$40 + '2.2 Input_General_Information'!$H$20, AH$379*'2.3 Input_Main_Questionnaire'!$H$156*'2.3 Input_Main_Questionnaire'!$J$30,AG429)</f>
        <v>-1.8506893095101675E-4</v>
      </c>
      <c r="AI429" s="373">
        <f ca="1">IF(AI$426 &lt;= '2.2 Input_General_Information'!$H$40 + '2.2 Input_General_Information'!$H$20, AI$379*'2.3 Input_Main_Questionnaire'!$H$156*'2.3 Input_Main_Questionnaire'!$J$30,AH429)</f>
        <v>-1.8506893095101675E-4</v>
      </c>
      <c r="AJ429" s="373">
        <f ca="1">IF(AJ$426 &lt;= '2.2 Input_General_Information'!$H$40 + '2.2 Input_General_Information'!$H$20, AJ$379*'2.3 Input_Main_Questionnaire'!$H$156*'2.3 Input_Main_Questionnaire'!$J$30,AI429)</f>
        <v>-1.8506893095101675E-4</v>
      </c>
      <c r="AK429" s="373">
        <f ca="1">IF(AK$426 &lt;= '2.2 Input_General_Information'!$H$40 + '2.2 Input_General_Information'!$H$20, AK$379*'2.3 Input_Main_Questionnaire'!$H$156*'2.3 Input_Main_Questionnaire'!$J$30,AJ429)</f>
        <v>-1.8506893095101675E-4</v>
      </c>
      <c r="AL429" s="373">
        <f ca="1">IF(AL$426 &lt;= '2.2 Input_General_Information'!$H$40 + '2.2 Input_General_Information'!$H$20, AL$379*'2.3 Input_Main_Questionnaire'!$H$156*'2.3 Input_Main_Questionnaire'!$J$30,AK429)</f>
        <v>-1.8506893095101675E-4</v>
      </c>
      <c r="AM429" s="373">
        <f ca="1">IF(AM$426 &lt;= '2.2 Input_General_Information'!$H$40 + '2.2 Input_General_Information'!$H$20, AM$379*'2.3 Input_Main_Questionnaire'!$H$156*'2.3 Input_Main_Questionnaire'!$J$30,AL429)</f>
        <v>-1.8506893095101675E-4</v>
      </c>
      <c r="AN429" s="373">
        <f ca="1">IF(AN$426 &lt;= '2.2 Input_General_Information'!$H$40 + '2.2 Input_General_Information'!$H$20, AN$379*'2.3 Input_Main_Questionnaire'!$H$156*'2.3 Input_Main_Questionnaire'!$J$30,AM429)</f>
        <v>-1.8506893095101675E-4</v>
      </c>
      <c r="AO429" s="373">
        <f ca="1">IF(AO$426 &lt;= '2.2 Input_General_Information'!$H$40 + '2.2 Input_General_Information'!$H$20, AO$379*'2.3 Input_Main_Questionnaire'!$H$156*'2.3 Input_Main_Questionnaire'!$J$30,AN429)</f>
        <v>-1.8506893095101675E-4</v>
      </c>
      <c r="AP429" s="373">
        <f ca="1">IF(AP$426 &lt;= '2.2 Input_General_Information'!$H$40 + '2.2 Input_General_Information'!$H$20, AP$379*'2.3 Input_Main_Questionnaire'!$H$156*'2.3 Input_Main_Questionnaire'!$J$30,AO429)</f>
        <v>-1.8506893095101675E-4</v>
      </c>
      <c r="AQ429" s="373">
        <f ca="1">IF(AQ$426 &lt;= '2.2 Input_General_Information'!$H$40 + '2.2 Input_General_Information'!$H$20, AQ$379*'2.3 Input_Main_Questionnaire'!$H$156*'2.3 Input_Main_Questionnaire'!$J$30,AP429)</f>
        <v>-1.8506893095101675E-4</v>
      </c>
      <c r="AR429" s="373">
        <f ca="1">IF(AR$426 &lt;= '2.2 Input_General_Information'!$H$40 + '2.2 Input_General_Information'!$H$20, AR$379*'2.3 Input_Main_Questionnaire'!$H$156*'2.3 Input_Main_Questionnaire'!$J$30,AQ429)</f>
        <v>-1.8506893095101675E-4</v>
      </c>
      <c r="AS429" s="373">
        <f ca="1">IF(AS$426 &lt;= '2.2 Input_General_Information'!$H$40 + '2.2 Input_General_Information'!$H$20, AS$379*'2.3 Input_Main_Questionnaire'!$H$156*'2.3 Input_Main_Questionnaire'!$J$30,AR429)</f>
        <v>-1.8506893095101675E-4</v>
      </c>
      <c r="AT429" s="373">
        <f ca="1">IF(AT$426 &lt;= '2.2 Input_General_Information'!$H$40 + '2.2 Input_General_Information'!$H$20, AT$379*'2.3 Input_Main_Questionnaire'!$H$156*'2.3 Input_Main_Questionnaire'!$J$30,AS429)</f>
        <v>-1.8506893095101675E-4</v>
      </c>
      <c r="AU429" s="373">
        <f ca="1">IF(AU$426 &lt;= '2.2 Input_General_Information'!$H$40 + '2.2 Input_General_Information'!$H$20, AU$379*'2.3 Input_Main_Questionnaire'!$H$156*'2.3 Input_Main_Questionnaire'!$J$30,AT429)</f>
        <v>-1.8506893095101675E-4</v>
      </c>
      <c r="AV429" s="373">
        <f ca="1">IF(AV$426 &lt;= '2.2 Input_General_Information'!$H$40 + '2.2 Input_General_Information'!$H$20, AV$379*'2.3 Input_Main_Questionnaire'!$H$156*'2.3 Input_Main_Questionnaire'!$J$30,AU429)</f>
        <v>-1.8506893095101675E-4</v>
      </c>
      <c r="AW429" s="373">
        <f ca="1">IF(AW$426 &lt;= '2.2 Input_General_Information'!$H$40 + '2.2 Input_General_Information'!$H$20, AW$379*'2.3 Input_Main_Questionnaire'!$H$156*'2.3 Input_Main_Questionnaire'!$J$30,AV429)</f>
        <v>-1.8506893095101675E-4</v>
      </c>
      <c r="AX429" s="373">
        <f ca="1">IF(AX$426 &lt;= '2.2 Input_General_Information'!$H$40 + '2.2 Input_General_Information'!$H$20, AX$379*'2.3 Input_Main_Questionnaire'!$H$156*'2.3 Input_Main_Questionnaire'!$J$30,AW429)</f>
        <v>-1.8506893095101675E-4</v>
      </c>
      <c r="AY429" s="373">
        <f ca="1">IF(AY$426 &lt;= '2.2 Input_General_Information'!$H$40 + '2.2 Input_General_Information'!$H$20, AY$379*'2.3 Input_Main_Questionnaire'!$H$156*'2.3 Input_Main_Questionnaire'!$J$30,AX429)</f>
        <v>-1.8506893095101675E-4</v>
      </c>
      <c r="AZ429" s="373">
        <f ca="1">IF(AZ$426 &lt;= '2.2 Input_General_Information'!$H$40 + '2.2 Input_General_Information'!$H$20, AZ$379*'2.3 Input_Main_Questionnaire'!$H$156*'2.3 Input_Main_Questionnaire'!$J$30,AY429)</f>
        <v>-1.8506893095101675E-4</v>
      </c>
      <c r="BA429" s="373">
        <f ca="1">IF(BA$426 &lt;= '2.2 Input_General_Information'!$H$40 + '2.2 Input_General_Information'!$H$20, BA$379*'2.3 Input_Main_Questionnaire'!$H$156*'2.3 Input_Main_Questionnaire'!$J$30,AZ429)</f>
        <v>-1.8506893095101675E-4</v>
      </c>
      <c r="BB429" s="373">
        <f ca="1">IF(BB$426 &lt;= '2.2 Input_General_Information'!$H$40 + '2.2 Input_General_Information'!$H$20, BB$379*'2.3 Input_Main_Questionnaire'!$H$156*'2.3 Input_Main_Questionnaire'!$J$30,BA429)</f>
        <v>-1.8506893095101675E-4</v>
      </c>
      <c r="BC429" s="373">
        <f ca="1">IF(BC$426 &lt;= '2.2 Input_General_Information'!$H$40 + '2.2 Input_General_Information'!$H$20, BC$379*'2.3 Input_Main_Questionnaire'!$H$156*'2.3 Input_Main_Questionnaire'!$J$30,BB429)</f>
        <v>-1.8506893095101675E-4</v>
      </c>
      <c r="BD429" s="373">
        <f ca="1">IF(BD$426 &lt;= '2.2 Input_General_Information'!$H$40 + '2.2 Input_General_Information'!$H$20, BD$379*'2.3 Input_Main_Questionnaire'!$H$156*'2.3 Input_Main_Questionnaire'!$J$30,BC429)</f>
        <v>-1.8506893095101675E-4</v>
      </c>
      <c r="BE429" s="373">
        <f ca="1">IF(BE$426 &lt;= '2.2 Input_General_Information'!$H$40 + '2.2 Input_General_Information'!$H$20, BE$379*'2.3 Input_Main_Questionnaire'!$H$156*'2.3 Input_Main_Questionnaire'!$J$30,BD429)</f>
        <v>-1.8506893095101675E-4</v>
      </c>
      <c r="BF429" s="373">
        <f ca="1">IF(BF$426 &lt;= '2.2 Input_General_Information'!$H$40 + '2.2 Input_General_Information'!$H$20, BF$379*'2.3 Input_Main_Questionnaire'!$H$156*'2.3 Input_Main_Questionnaire'!$J$30,BE429)</f>
        <v>-1.8506893095101675E-4</v>
      </c>
      <c r="BG429" s="373">
        <f ca="1">IF(BG$426 &lt;= '2.2 Input_General_Information'!$H$40 + '2.2 Input_General_Information'!$H$20, BG$379*'2.3 Input_Main_Questionnaire'!$H$156*'2.3 Input_Main_Questionnaire'!$J$30,BF429)</f>
        <v>-1.8506893095101675E-4</v>
      </c>
      <c r="BH429" s="373">
        <f ca="1">IF(BH$426 &lt;= '2.2 Input_General_Information'!$H$40 + '2.2 Input_General_Information'!$H$20, BH$379*'2.3 Input_Main_Questionnaire'!$H$156*'2.3 Input_Main_Questionnaire'!$J$30,BG429)</f>
        <v>-1.8506893095101675E-4</v>
      </c>
      <c r="BI429" s="373">
        <f ca="1">IF(BI$426 &lt;= '2.2 Input_General_Information'!$H$40 + '2.2 Input_General_Information'!$H$20, BI$379*'2.3 Input_Main_Questionnaire'!$H$156*'2.3 Input_Main_Questionnaire'!$J$30,BH429)</f>
        <v>-1.8506893095101675E-4</v>
      </c>
      <c r="BJ429" s="373">
        <f ca="1">IF(BJ$426 &lt;= '2.2 Input_General_Information'!$H$40 + '2.2 Input_General_Information'!$H$20, BJ$379*'2.3 Input_Main_Questionnaire'!$H$156*'2.3 Input_Main_Questionnaire'!$J$30,BI429)</f>
        <v>-1.8506893095101675E-4</v>
      </c>
      <c r="BK429" s="373">
        <f ca="1">IF(BK$426 &lt;= '2.2 Input_General_Information'!$H$40 + '2.2 Input_General_Information'!$H$20, BK$379*'2.3 Input_Main_Questionnaire'!$H$156*'2.3 Input_Main_Questionnaire'!$J$30,BJ429)</f>
        <v>-1.8506893095101675E-4</v>
      </c>
      <c r="BL429" s="373"/>
      <c r="BM429" s="373"/>
      <c r="BN429" s="373"/>
      <c r="BO429" s="373"/>
      <c r="BP429" s="373"/>
      <c r="BQ429" s="373"/>
      <c r="BR429" s="373"/>
      <c r="BS429" s="373"/>
      <c r="BT429" s="373"/>
      <c r="BU429" s="373"/>
    </row>
    <row r="430" spans="1:73" hidden="1">
      <c r="A430" s="6"/>
      <c r="B430" s="108"/>
      <c r="C430" s="1"/>
      <c r="D430" s="6"/>
      <c r="E430" s="6"/>
      <c r="F430" s="1"/>
      <c r="G430" s="43"/>
      <c r="H430" s="43"/>
      <c r="I430" s="43"/>
      <c r="J430" s="3"/>
      <c r="K430" s="3"/>
      <c r="L430" s="3"/>
      <c r="M430" s="3"/>
      <c r="N430" s="3"/>
      <c r="O430" s="1"/>
      <c r="P430" s="1"/>
      <c r="Q430" s="1"/>
      <c r="R430" s="162"/>
      <c r="S430" s="1"/>
      <c r="T430" s="103"/>
      <c r="U430" s="103"/>
      <c r="V430" s="103" t="str">
        <f>$J$10</f>
        <v>Other</v>
      </c>
      <c r="W430" s="373">
        <f ca="1">IF(W$426 &lt;= '2.2 Input_General_Information'!$H$40 + '2.2 Input_General_Information'!$H$20, W$379*'2.3 Input_Main_Questionnaire'!$H$156*'2.3 Input_Main_Questionnaire'!$K$30,V430)</f>
        <v>0</v>
      </c>
      <c r="X430" s="373">
        <f ca="1">IF(X$426 &lt;= '2.2 Input_General_Information'!$H$40 + '2.2 Input_General_Information'!$H$20, X$379*'2.3 Input_Main_Questionnaire'!$H$156*'2.3 Input_Main_Questionnaire'!$K$30,W430)</f>
        <v>-2.4825946859608765E-3</v>
      </c>
      <c r="Y430" s="373">
        <f ca="1">IF(Y$426 &lt;= '2.2 Input_General_Information'!$H$40 + '2.2 Input_General_Information'!$H$20, Y$379*'2.3 Input_Main_Questionnaire'!$H$156*'2.3 Input_Main_Questionnaire'!$K$30,X430)</f>
        <v>-3.0254946355528622E-3</v>
      </c>
      <c r="Z430" s="373">
        <f ca="1">IF(Z$426 &lt;= '2.2 Input_General_Information'!$H$40 + '2.2 Input_General_Information'!$H$20, Z$379*'2.3 Input_Main_Questionnaire'!$H$156*'2.3 Input_Main_Questionnaire'!$K$30,Y430)</f>
        <v>-2.4641489970636771E-4</v>
      </c>
      <c r="AA430" s="373">
        <f ca="1">IF(AA$426 &lt;= '2.2 Input_General_Information'!$H$40 + '2.2 Input_General_Information'!$H$20, AA$379*'2.3 Input_Main_Questionnaire'!$H$156*'2.3 Input_Main_Questionnaire'!$K$30,Z430)</f>
        <v>-2.4641489970636771E-4</v>
      </c>
      <c r="AB430" s="373">
        <f ca="1">IF(AB$426 &lt;= '2.2 Input_General_Information'!$H$40 + '2.2 Input_General_Information'!$H$20, AB$379*'2.3 Input_Main_Questionnaire'!$H$156*'2.3 Input_Main_Questionnaire'!$K$30,AA430)</f>
        <v>-2.4641489970636771E-4</v>
      </c>
      <c r="AC430" s="373">
        <f ca="1">IF(AC$426 &lt;= '2.2 Input_General_Information'!$H$40 + '2.2 Input_General_Information'!$H$20, AC$379*'2.3 Input_Main_Questionnaire'!$H$156*'2.3 Input_Main_Questionnaire'!$K$30,AB430)</f>
        <v>-2.4641489970636771E-4</v>
      </c>
      <c r="AD430" s="373">
        <f ca="1">IF(AD$426 &lt;= '2.2 Input_General_Information'!$H$40 + '2.2 Input_General_Information'!$H$20, AD$379*'2.3 Input_Main_Questionnaire'!$H$156*'2.3 Input_Main_Questionnaire'!$K$30,AC430)</f>
        <v>-2.4641489970636771E-4</v>
      </c>
      <c r="AE430" s="373">
        <f ca="1">IF(AE$426 &lt;= '2.2 Input_General_Information'!$H$40 + '2.2 Input_General_Information'!$H$20, AE$379*'2.3 Input_Main_Questionnaire'!$H$156*'2.3 Input_Main_Questionnaire'!$K$30,AD430)</f>
        <v>-2.4641489970636771E-4</v>
      </c>
      <c r="AF430" s="373">
        <f ca="1">IF(AF$426 &lt;= '2.2 Input_General_Information'!$H$40 + '2.2 Input_General_Information'!$H$20, AF$379*'2.3 Input_Main_Questionnaire'!$H$156*'2.3 Input_Main_Questionnaire'!$K$30,AE430)</f>
        <v>-2.4641489970636771E-4</v>
      </c>
      <c r="AG430" s="373">
        <f ca="1">IF(AG$426 &lt;= '2.2 Input_General_Information'!$H$40 + '2.2 Input_General_Information'!$H$20, AG$379*'2.3 Input_Main_Questionnaire'!$H$156*'2.3 Input_Main_Questionnaire'!$K$30,AF430)</f>
        <v>-2.4641489970636771E-4</v>
      </c>
      <c r="AH430" s="373">
        <f ca="1">IF(AH$426 &lt;= '2.2 Input_General_Information'!$H$40 + '2.2 Input_General_Information'!$H$20, AH$379*'2.3 Input_Main_Questionnaire'!$H$156*'2.3 Input_Main_Questionnaire'!$K$30,AG430)</f>
        <v>-2.4641489970636771E-4</v>
      </c>
      <c r="AI430" s="373">
        <f ca="1">IF(AI$426 &lt;= '2.2 Input_General_Information'!$H$40 + '2.2 Input_General_Information'!$H$20, AI$379*'2.3 Input_Main_Questionnaire'!$H$156*'2.3 Input_Main_Questionnaire'!$K$30,AH430)</f>
        <v>-2.4641489970636771E-4</v>
      </c>
      <c r="AJ430" s="373">
        <f ca="1">IF(AJ$426 &lt;= '2.2 Input_General_Information'!$H$40 + '2.2 Input_General_Information'!$H$20, AJ$379*'2.3 Input_Main_Questionnaire'!$H$156*'2.3 Input_Main_Questionnaire'!$K$30,AI430)</f>
        <v>-2.4641489970636771E-4</v>
      </c>
      <c r="AK430" s="373">
        <f ca="1">IF(AK$426 &lt;= '2.2 Input_General_Information'!$H$40 + '2.2 Input_General_Information'!$H$20, AK$379*'2.3 Input_Main_Questionnaire'!$H$156*'2.3 Input_Main_Questionnaire'!$K$30,AJ430)</f>
        <v>-2.4641489970636771E-4</v>
      </c>
      <c r="AL430" s="373">
        <f ca="1">IF(AL$426 &lt;= '2.2 Input_General_Information'!$H$40 + '2.2 Input_General_Information'!$H$20, AL$379*'2.3 Input_Main_Questionnaire'!$H$156*'2.3 Input_Main_Questionnaire'!$K$30,AK430)</f>
        <v>-2.4641489970636771E-4</v>
      </c>
      <c r="AM430" s="373">
        <f ca="1">IF(AM$426 &lt;= '2.2 Input_General_Information'!$H$40 + '2.2 Input_General_Information'!$H$20, AM$379*'2.3 Input_Main_Questionnaire'!$H$156*'2.3 Input_Main_Questionnaire'!$K$30,AL430)</f>
        <v>-2.4641489970636771E-4</v>
      </c>
      <c r="AN430" s="373">
        <f ca="1">IF(AN$426 &lt;= '2.2 Input_General_Information'!$H$40 + '2.2 Input_General_Information'!$H$20, AN$379*'2.3 Input_Main_Questionnaire'!$H$156*'2.3 Input_Main_Questionnaire'!$K$30,AM430)</f>
        <v>-2.4641489970636771E-4</v>
      </c>
      <c r="AO430" s="373">
        <f ca="1">IF(AO$426 &lt;= '2.2 Input_General_Information'!$H$40 + '2.2 Input_General_Information'!$H$20, AO$379*'2.3 Input_Main_Questionnaire'!$H$156*'2.3 Input_Main_Questionnaire'!$K$30,AN430)</f>
        <v>-2.4641489970636771E-4</v>
      </c>
      <c r="AP430" s="373">
        <f ca="1">IF(AP$426 &lt;= '2.2 Input_General_Information'!$H$40 + '2.2 Input_General_Information'!$H$20, AP$379*'2.3 Input_Main_Questionnaire'!$H$156*'2.3 Input_Main_Questionnaire'!$K$30,AO430)</f>
        <v>-2.4641489970636771E-4</v>
      </c>
      <c r="AQ430" s="373">
        <f ca="1">IF(AQ$426 &lt;= '2.2 Input_General_Information'!$H$40 + '2.2 Input_General_Information'!$H$20, AQ$379*'2.3 Input_Main_Questionnaire'!$H$156*'2.3 Input_Main_Questionnaire'!$K$30,AP430)</f>
        <v>-2.4641489970636771E-4</v>
      </c>
      <c r="AR430" s="373">
        <f ca="1">IF(AR$426 &lt;= '2.2 Input_General_Information'!$H$40 + '2.2 Input_General_Information'!$H$20, AR$379*'2.3 Input_Main_Questionnaire'!$H$156*'2.3 Input_Main_Questionnaire'!$K$30,AQ430)</f>
        <v>-2.4641489970636771E-4</v>
      </c>
      <c r="AS430" s="373">
        <f ca="1">IF(AS$426 &lt;= '2.2 Input_General_Information'!$H$40 + '2.2 Input_General_Information'!$H$20, AS$379*'2.3 Input_Main_Questionnaire'!$H$156*'2.3 Input_Main_Questionnaire'!$K$30,AR430)</f>
        <v>-2.4641489970636771E-4</v>
      </c>
      <c r="AT430" s="373">
        <f ca="1">IF(AT$426 &lt;= '2.2 Input_General_Information'!$H$40 + '2.2 Input_General_Information'!$H$20, AT$379*'2.3 Input_Main_Questionnaire'!$H$156*'2.3 Input_Main_Questionnaire'!$K$30,AS430)</f>
        <v>-2.4641489970636771E-4</v>
      </c>
      <c r="AU430" s="373">
        <f ca="1">IF(AU$426 &lt;= '2.2 Input_General_Information'!$H$40 + '2.2 Input_General_Information'!$H$20, AU$379*'2.3 Input_Main_Questionnaire'!$H$156*'2.3 Input_Main_Questionnaire'!$K$30,AT430)</f>
        <v>-2.4641489970636771E-4</v>
      </c>
      <c r="AV430" s="373">
        <f ca="1">IF(AV$426 &lt;= '2.2 Input_General_Information'!$H$40 + '2.2 Input_General_Information'!$H$20, AV$379*'2.3 Input_Main_Questionnaire'!$H$156*'2.3 Input_Main_Questionnaire'!$K$30,AU430)</f>
        <v>-2.4641489970636771E-4</v>
      </c>
      <c r="AW430" s="373">
        <f ca="1">IF(AW$426 &lt;= '2.2 Input_General_Information'!$H$40 + '2.2 Input_General_Information'!$H$20, AW$379*'2.3 Input_Main_Questionnaire'!$H$156*'2.3 Input_Main_Questionnaire'!$K$30,AV430)</f>
        <v>-2.4641489970636771E-4</v>
      </c>
      <c r="AX430" s="373">
        <f ca="1">IF(AX$426 &lt;= '2.2 Input_General_Information'!$H$40 + '2.2 Input_General_Information'!$H$20, AX$379*'2.3 Input_Main_Questionnaire'!$H$156*'2.3 Input_Main_Questionnaire'!$K$30,AW430)</f>
        <v>-2.4641489970636771E-4</v>
      </c>
      <c r="AY430" s="373">
        <f ca="1">IF(AY$426 &lt;= '2.2 Input_General_Information'!$H$40 + '2.2 Input_General_Information'!$H$20, AY$379*'2.3 Input_Main_Questionnaire'!$H$156*'2.3 Input_Main_Questionnaire'!$K$30,AX430)</f>
        <v>-2.4641489970636771E-4</v>
      </c>
      <c r="AZ430" s="373">
        <f ca="1">IF(AZ$426 &lt;= '2.2 Input_General_Information'!$H$40 + '2.2 Input_General_Information'!$H$20, AZ$379*'2.3 Input_Main_Questionnaire'!$H$156*'2.3 Input_Main_Questionnaire'!$K$30,AY430)</f>
        <v>-2.4641489970636771E-4</v>
      </c>
      <c r="BA430" s="373">
        <f ca="1">IF(BA$426 &lt;= '2.2 Input_General_Information'!$H$40 + '2.2 Input_General_Information'!$H$20, BA$379*'2.3 Input_Main_Questionnaire'!$H$156*'2.3 Input_Main_Questionnaire'!$K$30,AZ430)</f>
        <v>-2.4641489970636771E-4</v>
      </c>
      <c r="BB430" s="373">
        <f ca="1">IF(BB$426 &lt;= '2.2 Input_General_Information'!$H$40 + '2.2 Input_General_Information'!$H$20, BB$379*'2.3 Input_Main_Questionnaire'!$H$156*'2.3 Input_Main_Questionnaire'!$K$30,BA430)</f>
        <v>-2.4641489970636771E-4</v>
      </c>
      <c r="BC430" s="373">
        <f ca="1">IF(BC$426 &lt;= '2.2 Input_General_Information'!$H$40 + '2.2 Input_General_Information'!$H$20, BC$379*'2.3 Input_Main_Questionnaire'!$H$156*'2.3 Input_Main_Questionnaire'!$K$30,BB430)</f>
        <v>-2.4641489970636771E-4</v>
      </c>
      <c r="BD430" s="373">
        <f ca="1">IF(BD$426 &lt;= '2.2 Input_General_Information'!$H$40 + '2.2 Input_General_Information'!$H$20, BD$379*'2.3 Input_Main_Questionnaire'!$H$156*'2.3 Input_Main_Questionnaire'!$K$30,BC430)</f>
        <v>-2.4641489970636771E-4</v>
      </c>
      <c r="BE430" s="373">
        <f ca="1">IF(BE$426 &lt;= '2.2 Input_General_Information'!$H$40 + '2.2 Input_General_Information'!$H$20, BE$379*'2.3 Input_Main_Questionnaire'!$H$156*'2.3 Input_Main_Questionnaire'!$K$30,BD430)</f>
        <v>-2.4641489970636771E-4</v>
      </c>
      <c r="BF430" s="373">
        <f ca="1">IF(BF$426 &lt;= '2.2 Input_General_Information'!$H$40 + '2.2 Input_General_Information'!$H$20, BF$379*'2.3 Input_Main_Questionnaire'!$H$156*'2.3 Input_Main_Questionnaire'!$K$30,BE430)</f>
        <v>-2.4641489970636771E-4</v>
      </c>
      <c r="BG430" s="373">
        <f ca="1">IF(BG$426 &lt;= '2.2 Input_General_Information'!$H$40 + '2.2 Input_General_Information'!$H$20, BG$379*'2.3 Input_Main_Questionnaire'!$H$156*'2.3 Input_Main_Questionnaire'!$K$30,BF430)</f>
        <v>-2.4641489970636771E-4</v>
      </c>
      <c r="BH430" s="373">
        <f ca="1">IF(BH$426 &lt;= '2.2 Input_General_Information'!$H$40 + '2.2 Input_General_Information'!$H$20, BH$379*'2.3 Input_Main_Questionnaire'!$H$156*'2.3 Input_Main_Questionnaire'!$K$30,BG430)</f>
        <v>-2.4641489970636771E-4</v>
      </c>
      <c r="BI430" s="373">
        <f ca="1">IF(BI$426 &lt;= '2.2 Input_General_Information'!$H$40 + '2.2 Input_General_Information'!$H$20, BI$379*'2.3 Input_Main_Questionnaire'!$H$156*'2.3 Input_Main_Questionnaire'!$K$30,BH430)</f>
        <v>-2.4641489970636771E-4</v>
      </c>
      <c r="BJ430" s="373">
        <f ca="1">IF(BJ$426 &lt;= '2.2 Input_General_Information'!$H$40 + '2.2 Input_General_Information'!$H$20, BJ$379*'2.3 Input_Main_Questionnaire'!$H$156*'2.3 Input_Main_Questionnaire'!$K$30,BI430)</f>
        <v>-2.4641489970636771E-4</v>
      </c>
      <c r="BK430" s="373">
        <f ca="1">IF(BK$426 &lt;= '2.2 Input_General_Information'!$H$40 + '2.2 Input_General_Information'!$H$20, BK$379*'2.3 Input_Main_Questionnaire'!$H$156*'2.3 Input_Main_Questionnaire'!$K$30,BJ430)</f>
        <v>-2.4641489970636771E-4</v>
      </c>
      <c r="BL430" s="373"/>
      <c r="BM430" s="373"/>
      <c r="BN430" s="373"/>
      <c r="BO430" s="373"/>
      <c r="BP430" s="373"/>
      <c r="BQ430" s="373"/>
      <c r="BR430" s="373"/>
      <c r="BS430" s="373"/>
      <c r="BT430" s="373"/>
      <c r="BU430" s="373"/>
    </row>
    <row r="431" spans="1:73" hidden="1">
      <c r="A431" s="6"/>
      <c r="B431" s="108"/>
      <c r="C431" s="1"/>
      <c r="D431" s="6"/>
      <c r="E431" s="6"/>
      <c r="F431" s="1"/>
      <c r="G431" s="43"/>
      <c r="H431" s="43"/>
      <c r="I431" s="43"/>
      <c r="J431" s="3"/>
      <c r="K431" s="3"/>
      <c r="L431" s="3"/>
      <c r="M431" s="3"/>
      <c r="N431" s="3"/>
      <c r="O431" s="1"/>
      <c r="P431" s="1"/>
      <c r="Q431" s="1"/>
      <c r="R431" s="162"/>
      <c r="S431" s="1"/>
      <c r="T431" s="103"/>
      <c r="U431" s="103"/>
      <c r="V431" s="103" t="str">
        <f>$K$10</f>
        <v>Profile 5</v>
      </c>
      <c r="W431" s="373">
        <f ca="1">IF(W$426 &lt;= '2.2 Input_General_Information'!$H$40 + '2.2 Input_General_Information'!$H$20, W$379*'2.3 Input_Main_Questionnaire'!$H$156*'2.3 Input_Main_Questionnaire'!$L$30,V431)</f>
        <v>0</v>
      </c>
      <c r="X431" s="373">
        <f ca="1">IF(X$426 &lt;= '2.2 Input_General_Information'!$H$40 + '2.2 Input_General_Information'!$H$20, X$379*'2.3 Input_Main_Questionnaire'!$H$156*'2.3 Input_Main_Questionnaire'!$L$30,W431)</f>
        <v>-2.058008670108781E-3</v>
      </c>
      <c r="Y431" s="373">
        <f ca="1">IF(Y$426 &lt;= '2.2 Input_General_Information'!$H$40 + '2.2 Input_General_Information'!$H$20, Y$379*'2.3 Input_Main_Questionnaire'!$H$156*'2.3 Input_Main_Questionnaire'!$L$30,X431)</f>
        <v>-2.5080590990330998E-3</v>
      </c>
      <c r="Z431" s="373">
        <f ca="1">IF(Z$426 &lt;= '2.2 Input_General_Information'!$H$40 + '2.2 Input_General_Information'!$H$20, Z$379*'2.3 Input_Main_Questionnaire'!$H$156*'2.3 Input_Main_Questionnaire'!$L$30,Y431)</f>
        <v>-2.0427176570846905E-4</v>
      </c>
      <c r="AA431" s="373">
        <f ca="1">IF(AA$426 &lt;= '2.2 Input_General_Information'!$H$40 + '2.2 Input_General_Information'!$H$20, AA$379*'2.3 Input_Main_Questionnaire'!$H$156*'2.3 Input_Main_Questionnaire'!$L$30,Z431)</f>
        <v>-2.0427176570846905E-4</v>
      </c>
      <c r="AB431" s="373">
        <f ca="1">IF(AB$426 &lt;= '2.2 Input_General_Information'!$H$40 + '2.2 Input_General_Information'!$H$20, AB$379*'2.3 Input_Main_Questionnaire'!$H$156*'2.3 Input_Main_Questionnaire'!$L$30,AA431)</f>
        <v>-2.0427176570846905E-4</v>
      </c>
      <c r="AC431" s="373">
        <f ca="1">IF(AC$426 &lt;= '2.2 Input_General_Information'!$H$40 + '2.2 Input_General_Information'!$H$20, AC$379*'2.3 Input_Main_Questionnaire'!$H$156*'2.3 Input_Main_Questionnaire'!$L$30,AB431)</f>
        <v>-2.0427176570846905E-4</v>
      </c>
      <c r="AD431" s="373">
        <f ca="1">IF(AD$426 &lt;= '2.2 Input_General_Information'!$H$40 + '2.2 Input_General_Information'!$H$20, AD$379*'2.3 Input_Main_Questionnaire'!$H$156*'2.3 Input_Main_Questionnaire'!$L$30,AC431)</f>
        <v>-2.0427176570846905E-4</v>
      </c>
      <c r="AE431" s="373">
        <f ca="1">IF(AE$426 &lt;= '2.2 Input_General_Information'!$H$40 + '2.2 Input_General_Information'!$H$20, AE$379*'2.3 Input_Main_Questionnaire'!$H$156*'2.3 Input_Main_Questionnaire'!$L$30,AD431)</f>
        <v>-2.0427176570846905E-4</v>
      </c>
      <c r="AF431" s="373">
        <f ca="1">IF(AF$426 &lt;= '2.2 Input_General_Information'!$H$40 + '2.2 Input_General_Information'!$H$20, AF$379*'2.3 Input_Main_Questionnaire'!$H$156*'2.3 Input_Main_Questionnaire'!$L$30,AE431)</f>
        <v>-2.0427176570846905E-4</v>
      </c>
      <c r="AG431" s="373">
        <f ca="1">IF(AG$426 &lt;= '2.2 Input_General_Information'!$H$40 + '2.2 Input_General_Information'!$H$20, AG$379*'2.3 Input_Main_Questionnaire'!$H$156*'2.3 Input_Main_Questionnaire'!$L$30,AF431)</f>
        <v>-2.0427176570846905E-4</v>
      </c>
      <c r="AH431" s="373">
        <f ca="1">IF(AH$426 &lt;= '2.2 Input_General_Information'!$H$40 + '2.2 Input_General_Information'!$H$20, AH$379*'2.3 Input_Main_Questionnaire'!$H$156*'2.3 Input_Main_Questionnaire'!$L$30,AG431)</f>
        <v>-2.0427176570846905E-4</v>
      </c>
      <c r="AI431" s="373">
        <f ca="1">IF(AI$426 &lt;= '2.2 Input_General_Information'!$H$40 + '2.2 Input_General_Information'!$H$20, AI$379*'2.3 Input_Main_Questionnaire'!$H$156*'2.3 Input_Main_Questionnaire'!$L$30,AH431)</f>
        <v>-2.0427176570846905E-4</v>
      </c>
      <c r="AJ431" s="373">
        <f ca="1">IF(AJ$426 &lt;= '2.2 Input_General_Information'!$H$40 + '2.2 Input_General_Information'!$H$20, AJ$379*'2.3 Input_Main_Questionnaire'!$H$156*'2.3 Input_Main_Questionnaire'!$L$30,AI431)</f>
        <v>-2.0427176570846905E-4</v>
      </c>
      <c r="AK431" s="373">
        <f ca="1">IF(AK$426 &lt;= '2.2 Input_General_Information'!$H$40 + '2.2 Input_General_Information'!$H$20, AK$379*'2.3 Input_Main_Questionnaire'!$H$156*'2.3 Input_Main_Questionnaire'!$L$30,AJ431)</f>
        <v>-2.0427176570846905E-4</v>
      </c>
      <c r="AL431" s="373">
        <f ca="1">IF(AL$426 &lt;= '2.2 Input_General_Information'!$H$40 + '2.2 Input_General_Information'!$H$20, AL$379*'2.3 Input_Main_Questionnaire'!$H$156*'2.3 Input_Main_Questionnaire'!$L$30,AK431)</f>
        <v>-2.0427176570846905E-4</v>
      </c>
      <c r="AM431" s="373">
        <f ca="1">IF(AM$426 &lt;= '2.2 Input_General_Information'!$H$40 + '2.2 Input_General_Information'!$H$20, AM$379*'2.3 Input_Main_Questionnaire'!$H$156*'2.3 Input_Main_Questionnaire'!$L$30,AL431)</f>
        <v>-2.0427176570846905E-4</v>
      </c>
      <c r="AN431" s="373">
        <f ca="1">IF(AN$426 &lt;= '2.2 Input_General_Information'!$H$40 + '2.2 Input_General_Information'!$H$20, AN$379*'2.3 Input_Main_Questionnaire'!$H$156*'2.3 Input_Main_Questionnaire'!$L$30,AM431)</f>
        <v>-2.0427176570846905E-4</v>
      </c>
      <c r="AO431" s="373">
        <f ca="1">IF(AO$426 &lt;= '2.2 Input_General_Information'!$H$40 + '2.2 Input_General_Information'!$H$20, AO$379*'2.3 Input_Main_Questionnaire'!$H$156*'2.3 Input_Main_Questionnaire'!$L$30,AN431)</f>
        <v>-2.0427176570846905E-4</v>
      </c>
      <c r="AP431" s="373">
        <f ca="1">IF(AP$426 &lt;= '2.2 Input_General_Information'!$H$40 + '2.2 Input_General_Information'!$H$20, AP$379*'2.3 Input_Main_Questionnaire'!$H$156*'2.3 Input_Main_Questionnaire'!$L$30,AO431)</f>
        <v>-2.0427176570846905E-4</v>
      </c>
      <c r="AQ431" s="373">
        <f ca="1">IF(AQ$426 &lt;= '2.2 Input_General_Information'!$H$40 + '2.2 Input_General_Information'!$H$20, AQ$379*'2.3 Input_Main_Questionnaire'!$H$156*'2.3 Input_Main_Questionnaire'!$L$30,AP431)</f>
        <v>-2.0427176570846905E-4</v>
      </c>
      <c r="AR431" s="373">
        <f ca="1">IF(AR$426 &lt;= '2.2 Input_General_Information'!$H$40 + '2.2 Input_General_Information'!$H$20, AR$379*'2.3 Input_Main_Questionnaire'!$H$156*'2.3 Input_Main_Questionnaire'!$L$30,AQ431)</f>
        <v>-2.0427176570846905E-4</v>
      </c>
      <c r="AS431" s="373">
        <f ca="1">IF(AS$426 &lt;= '2.2 Input_General_Information'!$H$40 + '2.2 Input_General_Information'!$H$20, AS$379*'2.3 Input_Main_Questionnaire'!$H$156*'2.3 Input_Main_Questionnaire'!$L$30,AR431)</f>
        <v>-2.0427176570846905E-4</v>
      </c>
      <c r="AT431" s="373">
        <f ca="1">IF(AT$426 &lt;= '2.2 Input_General_Information'!$H$40 + '2.2 Input_General_Information'!$H$20, AT$379*'2.3 Input_Main_Questionnaire'!$H$156*'2.3 Input_Main_Questionnaire'!$L$30,AS431)</f>
        <v>-2.0427176570846905E-4</v>
      </c>
      <c r="AU431" s="373">
        <f ca="1">IF(AU$426 &lt;= '2.2 Input_General_Information'!$H$40 + '2.2 Input_General_Information'!$H$20, AU$379*'2.3 Input_Main_Questionnaire'!$H$156*'2.3 Input_Main_Questionnaire'!$L$30,AT431)</f>
        <v>-2.0427176570846905E-4</v>
      </c>
      <c r="AV431" s="373">
        <f ca="1">IF(AV$426 &lt;= '2.2 Input_General_Information'!$H$40 + '2.2 Input_General_Information'!$H$20, AV$379*'2.3 Input_Main_Questionnaire'!$H$156*'2.3 Input_Main_Questionnaire'!$L$30,AU431)</f>
        <v>-2.0427176570846905E-4</v>
      </c>
      <c r="AW431" s="373">
        <f ca="1">IF(AW$426 &lt;= '2.2 Input_General_Information'!$H$40 + '2.2 Input_General_Information'!$H$20, AW$379*'2.3 Input_Main_Questionnaire'!$H$156*'2.3 Input_Main_Questionnaire'!$L$30,AV431)</f>
        <v>-2.0427176570846905E-4</v>
      </c>
      <c r="AX431" s="373">
        <f ca="1">IF(AX$426 &lt;= '2.2 Input_General_Information'!$H$40 + '2.2 Input_General_Information'!$H$20, AX$379*'2.3 Input_Main_Questionnaire'!$H$156*'2.3 Input_Main_Questionnaire'!$L$30,AW431)</f>
        <v>-2.0427176570846905E-4</v>
      </c>
      <c r="AY431" s="373">
        <f ca="1">IF(AY$426 &lt;= '2.2 Input_General_Information'!$H$40 + '2.2 Input_General_Information'!$H$20, AY$379*'2.3 Input_Main_Questionnaire'!$H$156*'2.3 Input_Main_Questionnaire'!$L$30,AX431)</f>
        <v>-2.0427176570846905E-4</v>
      </c>
      <c r="AZ431" s="373">
        <f ca="1">IF(AZ$426 &lt;= '2.2 Input_General_Information'!$H$40 + '2.2 Input_General_Information'!$H$20, AZ$379*'2.3 Input_Main_Questionnaire'!$H$156*'2.3 Input_Main_Questionnaire'!$L$30,AY431)</f>
        <v>-2.0427176570846905E-4</v>
      </c>
      <c r="BA431" s="373">
        <f ca="1">IF(BA$426 &lt;= '2.2 Input_General_Information'!$H$40 + '2.2 Input_General_Information'!$H$20, BA$379*'2.3 Input_Main_Questionnaire'!$H$156*'2.3 Input_Main_Questionnaire'!$L$30,AZ431)</f>
        <v>-2.0427176570846905E-4</v>
      </c>
      <c r="BB431" s="373">
        <f ca="1">IF(BB$426 &lt;= '2.2 Input_General_Information'!$H$40 + '2.2 Input_General_Information'!$H$20, BB$379*'2.3 Input_Main_Questionnaire'!$H$156*'2.3 Input_Main_Questionnaire'!$L$30,BA431)</f>
        <v>-2.0427176570846905E-4</v>
      </c>
      <c r="BC431" s="373">
        <f ca="1">IF(BC$426 &lt;= '2.2 Input_General_Information'!$H$40 + '2.2 Input_General_Information'!$H$20, BC$379*'2.3 Input_Main_Questionnaire'!$H$156*'2.3 Input_Main_Questionnaire'!$L$30,BB431)</f>
        <v>-2.0427176570846905E-4</v>
      </c>
      <c r="BD431" s="373">
        <f ca="1">IF(BD$426 &lt;= '2.2 Input_General_Information'!$H$40 + '2.2 Input_General_Information'!$H$20, BD$379*'2.3 Input_Main_Questionnaire'!$H$156*'2.3 Input_Main_Questionnaire'!$L$30,BC431)</f>
        <v>-2.0427176570846905E-4</v>
      </c>
      <c r="BE431" s="373">
        <f ca="1">IF(BE$426 &lt;= '2.2 Input_General_Information'!$H$40 + '2.2 Input_General_Information'!$H$20, BE$379*'2.3 Input_Main_Questionnaire'!$H$156*'2.3 Input_Main_Questionnaire'!$L$30,BD431)</f>
        <v>-2.0427176570846905E-4</v>
      </c>
      <c r="BF431" s="373">
        <f ca="1">IF(BF$426 &lt;= '2.2 Input_General_Information'!$H$40 + '2.2 Input_General_Information'!$H$20, BF$379*'2.3 Input_Main_Questionnaire'!$H$156*'2.3 Input_Main_Questionnaire'!$L$30,BE431)</f>
        <v>-2.0427176570846905E-4</v>
      </c>
      <c r="BG431" s="373">
        <f ca="1">IF(BG$426 &lt;= '2.2 Input_General_Information'!$H$40 + '2.2 Input_General_Information'!$H$20, BG$379*'2.3 Input_Main_Questionnaire'!$H$156*'2.3 Input_Main_Questionnaire'!$L$30,BF431)</f>
        <v>-2.0427176570846905E-4</v>
      </c>
      <c r="BH431" s="373">
        <f ca="1">IF(BH$426 &lt;= '2.2 Input_General_Information'!$H$40 + '2.2 Input_General_Information'!$H$20, BH$379*'2.3 Input_Main_Questionnaire'!$H$156*'2.3 Input_Main_Questionnaire'!$L$30,BG431)</f>
        <v>-2.0427176570846905E-4</v>
      </c>
      <c r="BI431" s="373">
        <f ca="1">IF(BI$426 &lt;= '2.2 Input_General_Information'!$H$40 + '2.2 Input_General_Information'!$H$20, BI$379*'2.3 Input_Main_Questionnaire'!$H$156*'2.3 Input_Main_Questionnaire'!$L$30,BH431)</f>
        <v>-2.0427176570846905E-4</v>
      </c>
      <c r="BJ431" s="373">
        <f ca="1">IF(BJ$426 &lt;= '2.2 Input_General_Information'!$H$40 + '2.2 Input_General_Information'!$H$20, BJ$379*'2.3 Input_Main_Questionnaire'!$H$156*'2.3 Input_Main_Questionnaire'!$L$30,BI431)</f>
        <v>-2.0427176570846905E-4</v>
      </c>
      <c r="BK431" s="373">
        <f ca="1">IF(BK$426 &lt;= '2.2 Input_General_Information'!$H$40 + '2.2 Input_General_Information'!$H$20, BK$379*'2.3 Input_Main_Questionnaire'!$H$156*'2.3 Input_Main_Questionnaire'!$L$30,BJ431)</f>
        <v>-2.0427176570846905E-4</v>
      </c>
      <c r="BL431" s="373"/>
      <c r="BM431" s="373"/>
      <c r="BN431" s="373"/>
      <c r="BO431" s="373"/>
      <c r="BP431" s="373"/>
      <c r="BQ431" s="373"/>
      <c r="BR431" s="373"/>
      <c r="BS431" s="373"/>
      <c r="BT431" s="373"/>
      <c r="BU431" s="373"/>
    </row>
    <row r="432" spans="1:73" hidden="1">
      <c r="A432" s="6"/>
      <c r="B432" s="108"/>
      <c r="C432" s="1"/>
      <c r="D432" s="6"/>
      <c r="E432" s="6"/>
      <c r="F432" s="1"/>
      <c r="G432" s="43"/>
      <c r="H432" s="43"/>
      <c r="I432" s="43"/>
      <c r="J432" s="3"/>
      <c r="K432" s="3"/>
      <c r="L432" s="3"/>
      <c r="M432" s="3"/>
      <c r="N432" s="3"/>
      <c r="O432" s="1"/>
      <c r="P432" s="1"/>
      <c r="Q432" s="1"/>
      <c r="R432" s="162"/>
      <c r="S432" s="1"/>
      <c r="T432" s="103"/>
      <c r="U432" s="103"/>
      <c r="V432" s="103" t="str">
        <f>$L$10</f>
        <v>Profile 6</v>
      </c>
      <c r="W432" s="373">
        <f ca="1">IF(W$426 &lt;= '2.2 Input_General_Information'!$H$40 + '2.2 Input_General_Information'!$H$20, W$379*'2.3 Input_Main_Questionnaire'!$H$156*'2.3 Input_Main_Questionnaire'!$M$30,V432)</f>
        <v>0</v>
      </c>
      <c r="X432" s="373">
        <f ca="1">IF(X$426 &lt;= '2.2 Input_General_Information'!$H$40 + '2.2 Input_General_Information'!$H$20, X$379*'2.3 Input_Main_Questionnaire'!$H$156*'2.3 Input_Main_Questionnaire'!$M$30,W432)</f>
        <v>-2.058008670108781E-3</v>
      </c>
      <c r="Y432" s="373">
        <f ca="1">IF(Y$426 &lt;= '2.2 Input_General_Information'!$H$40 + '2.2 Input_General_Information'!$H$20, Y$379*'2.3 Input_Main_Questionnaire'!$H$156*'2.3 Input_Main_Questionnaire'!$M$30,X432)</f>
        <v>-2.5080590990330998E-3</v>
      </c>
      <c r="Z432" s="373">
        <f ca="1">IF(Z$426 &lt;= '2.2 Input_General_Information'!$H$40 + '2.2 Input_General_Information'!$H$20, Z$379*'2.3 Input_Main_Questionnaire'!$H$156*'2.3 Input_Main_Questionnaire'!$M$30,Y432)</f>
        <v>-2.0427176570846905E-4</v>
      </c>
      <c r="AA432" s="373">
        <f ca="1">IF(AA$426 &lt;= '2.2 Input_General_Information'!$H$40 + '2.2 Input_General_Information'!$H$20, AA$379*'2.3 Input_Main_Questionnaire'!$H$156*'2.3 Input_Main_Questionnaire'!$M$30,Z432)</f>
        <v>-2.0427176570846905E-4</v>
      </c>
      <c r="AB432" s="373">
        <f ca="1">IF(AB$426 &lt;= '2.2 Input_General_Information'!$H$40 + '2.2 Input_General_Information'!$H$20, AB$379*'2.3 Input_Main_Questionnaire'!$H$156*'2.3 Input_Main_Questionnaire'!$M$30,AA432)</f>
        <v>-2.0427176570846905E-4</v>
      </c>
      <c r="AC432" s="373">
        <f ca="1">IF(AC$426 &lt;= '2.2 Input_General_Information'!$H$40 + '2.2 Input_General_Information'!$H$20, AC$379*'2.3 Input_Main_Questionnaire'!$H$156*'2.3 Input_Main_Questionnaire'!$M$30,AB432)</f>
        <v>-2.0427176570846905E-4</v>
      </c>
      <c r="AD432" s="373">
        <f ca="1">IF(AD$426 &lt;= '2.2 Input_General_Information'!$H$40 + '2.2 Input_General_Information'!$H$20, AD$379*'2.3 Input_Main_Questionnaire'!$H$156*'2.3 Input_Main_Questionnaire'!$M$30,AC432)</f>
        <v>-2.0427176570846905E-4</v>
      </c>
      <c r="AE432" s="373">
        <f ca="1">IF(AE$426 &lt;= '2.2 Input_General_Information'!$H$40 + '2.2 Input_General_Information'!$H$20, AE$379*'2.3 Input_Main_Questionnaire'!$H$156*'2.3 Input_Main_Questionnaire'!$M$30,AD432)</f>
        <v>-2.0427176570846905E-4</v>
      </c>
      <c r="AF432" s="373">
        <f ca="1">IF(AF$426 &lt;= '2.2 Input_General_Information'!$H$40 + '2.2 Input_General_Information'!$H$20, AF$379*'2.3 Input_Main_Questionnaire'!$H$156*'2.3 Input_Main_Questionnaire'!$M$30,AE432)</f>
        <v>-2.0427176570846905E-4</v>
      </c>
      <c r="AG432" s="373">
        <f ca="1">IF(AG$426 &lt;= '2.2 Input_General_Information'!$H$40 + '2.2 Input_General_Information'!$H$20, AG$379*'2.3 Input_Main_Questionnaire'!$H$156*'2.3 Input_Main_Questionnaire'!$M$30,AF432)</f>
        <v>-2.0427176570846905E-4</v>
      </c>
      <c r="AH432" s="373">
        <f ca="1">IF(AH$426 &lt;= '2.2 Input_General_Information'!$H$40 + '2.2 Input_General_Information'!$H$20, AH$379*'2.3 Input_Main_Questionnaire'!$H$156*'2.3 Input_Main_Questionnaire'!$M$30,AG432)</f>
        <v>-2.0427176570846905E-4</v>
      </c>
      <c r="AI432" s="373">
        <f ca="1">IF(AI$426 &lt;= '2.2 Input_General_Information'!$H$40 + '2.2 Input_General_Information'!$H$20, AI$379*'2.3 Input_Main_Questionnaire'!$H$156*'2.3 Input_Main_Questionnaire'!$M$30,AH432)</f>
        <v>-2.0427176570846905E-4</v>
      </c>
      <c r="AJ432" s="373">
        <f ca="1">IF(AJ$426 &lt;= '2.2 Input_General_Information'!$H$40 + '2.2 Input_General_Information'!$H$20, AJ$379*'2.3 Input_Main_Questionnaire'!$H$156*'2.3 Input_Main_Questionnaire'!$M$30,AI432)</f>
        <v>-2.0427176570846905E-4</v>
      </c>
      <c r="AK432" s="373">
        <f ca="1">IF(AK$426 &lt;= '2.2 Input_General_Information'!$H$40 + '2.2 Input_General_Information'!$H$20, AK$379*'2.3 Input_Main_Questionnaire'!$H$156*'2.3 Input_Main_Questionnaire'!$M$30,AJ432)</f>
        <v>-2.0427176570846905E-4</v>
      </c>
      <c r="AL432" s="373">
        <f ca="1">IF(AL$426 &lt;= '2.2 Input_General_Information'!$H$40 + '2.2 Input_General_Information'!$H$20, AL$379*'2.3 Input_Main_Questionnaire'!$H$156*'2.3 Input_Main_Questionnaire'!$M$30,AK432)</f>
        <v>-2.0427176570846905E-4</v>
      </c>
      <c r="AM432" s="373">
        <f ca="1">IF(AM$426 &lt;= '2.2 Input_General_Information'!$H$40 + '2.2 Input_General_Information'!$H$20, AM$379*'2.3 Input_Main_Questionnaire'!$H$156*'2.3 Input_Main_Questionnaire'!$M$30,AL432)</f>
        <v>-2.0427176570846905E-4</v>
      </c>
      <c r="AN432" s="373">
        <f ca="1">IF(AN$426 &lt;= '2.2 Input_General_Information'!$H$40 + '2.2 Input_General_Information'!$H$20, AN$379*'2.3 Input_Main_Questionnaire'!$H$156*'2.3 Input_Main_Questionnaire'!$M$30,AM432)</f>
        <v>-2.0427176570846905E-4</v>
      </c>
      <c r="AO432" s="373">
        <f ca="1">IF(AO$426 &lt;= '2.2 Input_General_Information'!$H$40 + '2.2 Input_General_Information'!$H$20, AO$379*'2.3 Input_Main_Questionnaire'!$H$156*'2.3 Input_Main_Questionnaire'!$M$30,AN432)</f>
        <v>-2.0427176570846905E-4</v>
      </c>
      <c r="AP432" s="373">
        <f ca="1">IF(AP$426 &lt;= '2.2 Input_General_Information'!$H$40 + '2.2 Input_General_Information'!$H$20, AP$379*'2.3 Input_Main_Questionnaire'!$H$156*'2.3 Input_Main_Questionnaire'!$M$30,AO432)</f>
        <v>-2.0427176570846905E-4</v>
      </c>
      <c r="AQ432" s="373">
        <f ca="1">IF(AQ$426 &lt;= '2.2 Input_General_Information'!$H$40 + '2.2 Input_General_Information'!$H$20, AQ$379*'2.3 Input_Main_Questionnaire'!$H$156*'2.3 Input_Main_Questionnaire'!$M$30,AP432)</f>
        <v>-2.0427176570846905E-4</v>
      </c>
      <c r="AR432" s="373">
        <f ca="1">IF(AR$426 &lt;= '2.2 Input_General_Information'!$H$40 + '2.2 Input_General_Information'!$H$20, AR$379*'2.3 Input_Main_Questionnaire'!$H$156*'2.3 Input_Main_Questionnaire'!$M$30,AQ432)</f>
        <v>-2.0427176570846905E-4</v>
      </c>
      <c r="AS432" s="373">
        <f ca="1">IF(AS$426 &lt;= '2.2 Input_General_Information'!$H$40 + '2.2 Input_General_Information'!$H$20, AS$379*'2.3 Input_Main_Questionnaire'!$H$156*'2.3 Input_Main_Questionnaire'!$M$30,AR432)</f>
        <v>-2.0427176570846905E-4</v>
      </c>
      <c r="AT432" s="373">
        <f ca="1">IF(AT$426 &lt;= '2.2 Input_General_Information'!$H$40 + '2.2 Input_General_Information'!$H$20, AT$379*'2.3 Input_Main_Questionnaire'!$H$156*'2.3 Input_Main_Questionnaire'!$M$30,AS432)</f>
        <v>-2.0427176570846905E-4</v>
      </c>
      <c r="AU432" s="373">
        <f ca="1">IF(AU$426 &lt;= '2.2 Input_General_Information'!$H$40 + '2.2 Input_General_Information'!$H$20, AU$379*'2.3 Input_Main_Questionnaire'!$H$156*'2.3 Input_Main_Questionnaire'!$M$30,AT432)</f>
        <v>-2.0427176570846905E-4</v>
      </c>
      <c r="AV432" s="373">
        <f ca="1">IF(AV$426 &lt;= '2.2 Input_General_Information'!$H$40 + '2.2 Input_General_Information'!$H$20, AV$379*'2.3 Input_Main_Questionnaire'!$H$156*'2.3 Input_Main_Questionnaire'!$M$30,AU432)</f>
        <v>-2.0427176570846905E-4</v>
      </c>
      <c r="AW432" s="373">
        <f ca="1">IF(AW$426 &lt;= '2.2 Input_General_Information'!$H$40 + '2.2 Input_General_Information'!$H$20, AW$379*'2.3 Input_Main_Questionnaire'!$H$156*'2.3 Input_Main_Questionnaire'!$M$30,AV432)</f>
        <v>-2.0427176570846905E-4</v>
      </c>
      <c r="AX432" s="373">
        <f ca="1">IF(AX$426 &lt;= '2.2 Input_General_Information'!$H$40 + '2.2 Input_General_Information'!$H$20, AX$379*'2.3 Input_Main_Questionnaire'!$H$156*'2.3 Input_Main_Questionnaire'!$M$30,AW432)</f>
        <v>-2.0427176570846905E-4</v>
      </c>
      <c r="AY432" s="373">
        <f ca="1">IF(AY$426 &lt;= '2.2 Input_General_Information'!$H$40 + '2.2 Input_General_Information'!$H$20, AY$379*'2.3 Input_Main_Questionnaire'!$H$156*'2.3 Input_Main_Questionnaire'!$M$30,AX432)</f>
        <v>-2.0427176570846905E-4</v>
      </c>
      <c r="AZ432" s="373">
        <f ca="1">IF(AZ$426 &lt;= '2.2 Input_General_Information'!$H$40 + '2.2 Input_General_Information'!$H$20, AZ$379*'2.3 Input_Main_Questionnaire'!$H$156*'2.3 Input_Main_Questionnaire'!$M$30,AY432)</f>
        <v>-2.0427176570846905E-4</v>
      </c>
      <c r="BA432" s="373">
        <f ca="1">IF(BA$426 &lt;= '2.2 Input_General_Information'!$H$40 + '2.2 Input_General_Information'!$H$20, BA$379*'2.3 Input_Main_Questionnaire'!$H$156*'2.3 Input_Main_Questionnaire'!$M$30,AZ432)</f>
        <v>-2.0427176570846905E-4</v>
      </c>
      <c r="BB432" s="373">
        <f ca="1">IF(BB$426 &lt;= '2.2 Input_General_Information'!$H$40 + '2.2 Input_General_Information'!$H$20, BB$379*'2.3 Input_Main_Questionnaire'!$H$156*'2.3 Input_Main_Questionnaire'!$M$30,BA432)</f>
        <v>-2.0427176570846905E-4</v>
      </c>
      <c r="BC432" s="373">
        <f ca="1">IF(BC$426 &lt;= '2.2 Input_General_Information'!$H$40 + '2.2 Input_General_Information'!$H$20, BC$379*'2.3 Input_Main_Questionnaire'!$H$156*'2.3 Input_Main_Questionnaire'!$M$30,BB432)</f>
        <v>-2.0427176570846905E-4</v>
      </c>
      <c r="BD432" s="373">
        <f ca="1">IF(BD$426 &lt;= '2.2 Input_General_Information'!$H$40 + '2.2 Input_General_Information'!$H$20, BD$379*'2.3 Input_Main_Questionnaire'!$H$156*'2.3 Input_Main_Questionnaire'!$M$30,BC432)</f>
        <v>-2.0427176570846905E-4</v>
      </c>
      <c r="BE432" s="373">
        <f ca="1">IF(BE$426 &lt;= '2.2 Input_General_Information'!$H$40 + '2.2 Input_General_Information'!$H$20, BE$379*'2.3 Input_Main_Questionnaire'!$H$156*'2.3 Input_Main_Questionnaire'!$M$30,BD432)</f>
        <v>-2.0427176570846905E-4</v>
      </c>
      <c r="BF432" s="373">
        <f ca="1">IF(BF$426 &lt;= '2.2 Input_General_Information'!$H$40 + '2.2 Input_General_Information'!$H$20, BF$379*'2.3 Input_Main_Questionnaire'!$H$156*'2.3 Input_Main_Questionnaire'!$M$30,BE432)</f>
        <v>-2.0427176570846905E-4</v>
      </c>
      <c r="BG432" s="373">
        <f ca="1">IF(BG$426 &lt;= '2.2 Input_General_Information'!$H$40 + '2.2 Input_General_Information'!$H$20, BG$379*'2.3 Input_Main_Questionnaire'!$H$156*'2.3 Input_Main_Questionnaire'!$M$30,BF432)</f>
        <v>-2.0427176570846905E-4</v>
      </c>
      <c r="BH432" s="373">
        <f ca="1">IF(BH$426 &lt;= '2.2 Input_General_Information'!$H$40 + '2.2 Input_General_Information'!$H$20, BH$379*'2.3 Input_Main_Questionnaire'!$H$156*'2.3 Input_Main_Questionnaire'!$M$30,BG432)</f>
        <v>-2.0427176570846905E-4</v>
      </c>
      <c r="BI432" s="373">
        <f ca="1">IF(BI$426 &lt;= '2.2 Input_General_Information'!$H$40 + '2.2 Input_General_Information'!$H$20, BI$379*'2.3 Input_Main_Questionnaire'!$H$156*'2.3 Input_Main_Questionnaire'!$M$30,BH432)</f>
        <v>-2.0427176570846905E-4</v>
      </c>
      <c r="BJ432" s="373">
        <f ca="1">IF(BJ$426 &lt;= '2.2 Input_General_Information'!$H$40 + '2.2 Input_General_Information'!$H$20, BJ$379*'2.3 Input_Main_Questionnaire'!$H$156*'2.3 Input_Main_Questionnaire'!$M$30,BI432)</f>
        <v>-2.0427176570846905E-4</v>
      </c>
      <c r="BK432" s="373">
        <f ca="1">IF(BK$426 &lt;= '2.2 Input_General_Information'!$H$40 + '2.2 Input_General_Information'!$H$20, BK$379*'2.3 Input_Main_Questionnaire'!$H$156*'2.3 Input_Main_Questionnaire'!$M$30,BJ432)</f>
        <v>-2.0427176570846905E-4</v>
      </c>
      <c r="BL432" s="373"/>
      <c r="BM432" s="373"/>
      <c r="BN432" s="373"/>
      <c r="BO432" s="373"/>
      <c r="BP432" s="373"/>
      <c r="BQ432" s="373"/>
      <c r="BR432" s="373"/>
      <c r="BS432" s="373"/>
      <c r="BT432" s="373"/>
      <c r="BU432" s="373"/>
    </row>
    <row r="433" spans="1:73" hidden="1">
      <c r="A433" s="6"/>
      <c r="B433" s="108"/>
      <c r="C433" s="1"/>
      <c r="D433" s="6"/>
      <c r="E433" s="6"/>
      <c r="F433" s="1"/>
      <c r="G433" s="43"/>
      <c r="H433" s="43"/>
      <c r="I433" s="43"/>
      <c r="J433" s="3"/>
      <c r="K433" s="3"/>
      <c r="L433" s="3"/>
      <c r="M433" s="3"/>
      <c r="N433" s="3"/>
      <c r="O433" s="1"/>
      <c r="P433" s="1"/>
      <c r="Q433" s="1"/>
      <c r="R433" s="162"/>
      <c r="S433" s="1"/>
      <c r="T433" s="103"/>
      <c r="U433" s="103"/>
      <c r="V433" s="103" t="str">
        <f>$M$10</f>
        <v>Profile 7</v>
      </c>
      <c r="W433" s="373">
        <f ca="1">IF(W$426 &lt;= '2.2 Input_General_Information'!$H$40 + '2.2 Input_General_Information'!$H$20, W$379*'2.3 Input_Main_Questionnaire'!$H$156*'2.3 Input_Main_Questionnaire'!$N$30,V433)</f>
        <v>0</v>
      </c>
      <c r="X433" s="373">
        <f ca="1">IF(X$426 &lt;= '2.2 Input_General_Information'!$H$40 + '2.2 Input_General_Information'!$H$20, X$379*'2.3 Input_Main_Questionnaire'!$H$156*'2.3 Input_Main_Questionnaire'!$N$30,W433)</f>
        <v>-2.058008670108781E-3</v>
      </c>
      <c r="Y433" s="373">
        <f ca="1">IF(Y$426 &lt;= '2.2 Input_General_Information'!$H$40 + '2.2 Input_General_Information'!$H$20, Y$379*'2.3 Input_Main_Questionnaire'!$H$156*'2.3 Input_Main_Questionnaire'!$N$30,X433)</f>
        <v>-2.5080590990330998E-3</v>
      </c>
      <c r="Z433" s="373">
        <f ca="1">IF(Z$426 &lt;= '2.2 Input_General_Information'!$H$40 + '2.2 Input_General_Information'!$H$20, Z$379*'2.3 Input_Main_Questionnaire'!$H$156*'2.3 Input_Main_Questionnaire'!$N$30,Y433)</f>
        <v>-2.0427176570846905E-4</v>
      </c>
      <c r="AA433" s="373">
        <f ca="1">IF(AA$426 &lt;= '2.2 Input_General_Information'!$H$40 + '2.2 Input_General_Information'!$H$20, AA$379*'2.3 Input_Main_Questionnaire'!$H$156*'2.3 Input_Main_Questionnaire'!$N$30,Z433)</f>
        <v>-2.0427176570846905E-4</v>
      </c>
      <c r="AB433" s="373">
        <f ca="1">IF(AB$426 &lt;= '2.2 Input_General_Information'!$H$40 + '2.2 Input_General_Information'!$H$20, AB$379*'2.3 Input_Main_Questionnaire'!$H$156*'2.3 Input_Main_Questionnaire'!$N$30,AA433)</f>
        <v>-2.0427176570846905E-4</v>
      </c>
      <c r="AC433" s="373">
        <f ca="1">IF(AC$426 &lt;= '2.2 Input_General_Information'!$H$40 + '2.2 Input_General_Information'!$H$20, AC$379*'2.3 Input_Main_Questionnaire'!$H$156*'2.3 Input_Main_Questionnaire'!$N$30,AB433)</f>
        <v>-2.0427176570846905E-4</v>
      </c>
      <c r="AD433" s="373">
        <f ca="1">IF(AD$426 &lt;= '2.2 Input_General_Information'!$H$40 + '2.2 Input_General_Information'!$H$20, AD$379*'2.3 Input_Main_Questionnaire'!$H$156*'2.3 Input_Main_Questionnaire'!$N$30,AC433)</f>
        <v>-2.0427176570846905E-4</v>
      </c>
      <c r="AE433" s="373">
        <f ca="1">IF(AE$426 &lt;= '2.2 Input_General_Information'!$H$40 + '2.2 Input_General_Information'!$H$20, AE$379*'2.3 Input_Main_Questionnaire'!$H$156*'2.3 Input_Main_Questionnaire'!$N$30,AD433)</f>
        <v>-2.0427176570846905E-4</v>
      </c>
      <c r="AF433" s="373">
        <f ca="1">IF(AF$426 &lt;= '2.2 Input_General_Information'!$H$40 + '2.2 Input_General_Information'!$H$20, AF$379*'2.3 Input_Main_Questionnaire'!$H$156*'2.3 Input_Main_Questionnaire'!$N$30,AE433)</f>
        <v>-2.0427176570846905E-4</v>
      </c>
      <c r="AG433" s="373">
        <f ca="1">IF(AG$426 &lt;= '2.2 Input_General_Information'!$H$40 + '2.2 Input_General_Information'!$H$20, AG$379*'2.3 Input_Main_Questionnaire'!$H$156*'2.3 Input_Main_Questionnaire'!$N$30,AF433)</f>
        <v>-2.0427176570846905E-4</v>
      </c>
      <c r="AH433" s="373">
        <f ca="1">IF(AH$426 &lt;= '2.2 Input_General_Information'!$H$40 + '2.2 Input_General_Information'!$H$20, AH$379*'2.3 Input_Main_Questionnaire'!$H$156*'2.3 Input_Main_Questionnaire'!$N$30,AG433)</f>
        <v>-2.0427176570846905E-4</v>
      </c>
      <c r="AI433" s="373">
        <f ca="1">IF(AI$426 &lt;= '2.2 Input_General_Information'!$H$40 + '2.2 Input_General_Information'!$H$20, AI$379*'2.3 Input_Main_Questionnaire'!$H$156*'2.3 Input_Main_Questionnaire'!$N$30,AH433)</f>
        <v>-2.0427176570846905E-4</v>
      </c>
      <c r="AJ433" s="373">
        <f ca="1">IF(AJ$426 &lt;= '2.2 Input_General_Information'!$H$40 + '2.2 Input_General_Information'!$H$20, AJ$379*'2.3 Input_Main_Questionnaire'!$H$156*'2.3 Input_Main_Questionnaire'!$N$30,AI433)</f>
        <v>-2.0427176570846905E-4</v>
      </c>
      <c r="AK433" s="373">
        <f ca="1">IF(AK$426 &lt;= '2.2 Input_General_Information'!$H$40 + '2.2 Input_General_Information'!$H$20, AK$379*'2.3 Input_Main_Questionnaire'!$H$156*'2.3 Input_Main_Questionnaire'!$N$30,AJ433)</f>
        <v>-2.0427176570846905E-4</v>
      </c>
      <c r="AL433" s="373">
        <f ca="1">IF(AL$426 &lt;= '2.2 Input_General_Information'!$H$40 + '2.2 Input_General_Information'!$H$20, AL$379*'2.3 Input_Main_Questionnaire'!$H$156*'2.3 Input_Main_Questionnaire'!$N$30,AK433)</f>
        <v>-2.0427176570846905E-4</v>
      </c>
      <c r="AM433" s="373">
        <f ca="1">IF(AM$426 &lt;= '2.2 Input_General_Information'!$H$40 + '2.2 Input_General_Information'!$H$20, AM$379*'2.3 Input_Main_Questionnaire'!$H$156*'2.3 Input_Main_Questionnaire'!$N$30,AL433)</f>
        <v>-2.0427176570846905E-4</v>
      </c>
      <c r="AN433" s="373">
        <f ca="1">IF(AN$426 &lt;= '2.2 Input_General_Information'!$H$40 + '2.2 Input_General_Information'!$H$20, AN$379*'2.3 Input_Main_Questionnaire'!$H$156*'2.3 Input_Main_Questionnaire'!$N$30,AM433)</f>
        <v>-2.0427176570846905E-4</v>
      </c>
      <c r="AO433" s="373">
        <f ca="1">IF(AO$426 &lt;= '2.2 Input_General_Information'!$H$40 + '2.2 Input_General_Information'!$H$20, AO$379*'2.3 Input_Main_Questionnaire'!$H$156*'2.3 Input_Main_Questionnaire'!$N$30,AN433)</f>
        <v>-2.0427176570846905E-4</v>
      </c>
      <c r="AP433" s="373">
        <f ca="1">IF(AP$426 &lt;= '2.2 Input_General_Information'!$H$40 + '2.2 Input_General_Information'!$H$20, AP$379*'2.3 Input_Main_Questionnaire'!$H$156*'2.3 Input_Main_Questionnaire'!$N$30,AO433)</f>
        <v>-2.0427176570846905E-4</v>
      </c>
      <c r="AQ433" s="373">
        <f ca="1">IF(AQ$426 &lt;= '2.2 Input_General_Information'!$H$40 + '2.2 Input_General_Information'!$H$20, AQ$379*'2.3 Input_Main_Questionnaire'!$H$156*'2.3 Input_Main_Questionnaire'!$N$30,AP433)</f>
        <v>-2.0427176570846905E-4</v>
      </c>
      <c r="AR433" s="373">
        <f ca="1">IF(AR$426 &lt;= '2.2 Input_General_Information'!$H$40 + '2.2 Input_General_Information'!$H$20, AR$379*'2.3 Input_Main_Questionnaire'!$H$156*'2.3 Input_Main_Questionnaire'!$N$30,AQ433)</f>
        <v>-2.0427176570846905E-4</v>
      </c>
      <c r="AS433" s="373">
        <f ca="1">IF(AS$426 &lt;= '2.2 Input_General_Information'!$H$40 + '2.2 Input_General_Information'!$H$20, AS$379*'2.3 Input_Main_Questionnaire'!$H$156*'2.3 Input_Main_Questionnaire'!$N$30,AR433)</f>
        <v>-2.0427176570846905E-4</v>
      </c>
      <c r="AT433" s="373">
        <f ca="1">IF(AT$426 &lt;= '2.2 Input_General_Information'!$H$40 + '2.2 Input_General_Information'!$H$20, AT$379*'2.3 Input_Main_Questionnaire'!$H$156*'2.3 Input_Main_Questionnaire'!$N$30,AS433)</f>
        <v>-2.0427176570846905E-4</v>
      </c>
      <c r="AU433" s="373">
        <f ca="1">IF(AU$426 &lt;= '2.2 Input_General_Information'!$H$40 + '2.2 Input_General_Information'!$H$20, AU$379*'2.3 Input_Main_Questionnaire'!$H$156*'2.3 Input_Main_Questionnaire'!$N$30,AT433)</f>
        <v>-2.0427176570846905E-4</v>
      </c>
      <c r="AV433" s="373">
        <f ca="1">IF(AV$426 &lt;= '2.2 Input_General_Information'!$H$40 + '2.2 Input_General_Information'!$H$20, AV$379*'2.3 Input_Main_Questionnaire'!$H$156*'2.3 Input_Main_Questionnaire'!$N$30,AU433)</f>
        <v>-2.0427176570846905E-4</v>
      </c>
      <c r="AW433" s="373">
        <f ca="1">IF(AW$426 &lt;= '2.2 Input_General_Information'!$H$40 + '2.2 Input_General_Information'!$H$20, AW$379*'2.3 Input_Main_Questionnaire'!$H$156*'2.3 Input_Main_Questionnaire'!$N$30,AV433)</f>
        <v>-2.0427176570846905E-4</v>
      </c>
      <c r="AX433" s="373">
        <f ca="1">IF(AX$426 &lt;= '2.2 Input_General_Information'!$H$40 + '2.2 Input_General_Information'!$H$20, AX$379*'2.3 Input_Main_Questionnaire'!$H$156*'2.3 Input_Main_Questionnaire'!$N$30,AW433)</f>
        <v>-2.0427176570846905E-4</v>
      </c>
      <c r="AY433" s="373">
        <f ca="1">IF(AY$426 &lt;= '2.2 Input_General_Information'!$H$40 + '2.2 Input_General_Information'!$H$20, AY$379*'2.3 Input_Main_Questionnaire'!$H$156*'2.3 Input_Main_Questionnaire'!$N$30,AX433)</f>
        <v>-2.0427176570846905E-4</v>
      </c>
      <c r="AZ433" s="373">
        <f ca="1">IF(AZ$426 &lt;= '2.2 Input_General_Information'!$H$40 + '2.2 Input_General_Information'!$H$20, AZ$379*'2.3 Input_Main_Questionnaire'!$H$156*'2.3 Input_Main_Questionnaire'!$N$30,AY433)</f>
        <v>-2.0427176570846905E-4</v>
      </c>
      <c r="BA433" s="373">
        <f ca="1">IF(BA$426 &lt;= '2.2 Input_General_Information'!$H$40 + '2.2 Input_General_Information'!$H$20, BA$379*'2.3 Input_Main_Questionnaire'!$H$156*'2.3 Input_Main_Questionnaire'!$N$30,AZ433)</f>
        <v>-2.0427176570846905E-4</v>
      </c>
      <c r="BB433" s="373">
        <f ca="1">IF(BB$426 &lt;= '2.2 Input_General_Information'!$H$40 + '2.2 Input_General_Information'!$H$20, BB$379*'2.3 Input_Main_Questionnaire'!$H$156*'2.3 Input_Main_Questionnaire'!$N$30,BA433)</f>
        <v>-2.0427176570846905E-4</v>
      </c>
      <c r="BC433" s="373">
        <f ca="1">IF(BC$426 &lt;= '2.2 Input_General_Information'!$H$40 + '2.2 Input_General_Information'!$H$20, BC$379*'2.3 Input_Main_Questionnaire'!$H$156*'2.3 Input_Main_Questionnaire'!$N$30,BB433)</f>
        <v>-2.0427176570846905E-4</v>
      </c>
      <c r="BD433" s="373">
        <f ca="1">IF(BD$426 &lt;= '2.2 Input_General_Information'!$H$40 + '2.2 Input_General_Information'!$H$20, BD$379*'2.3 Input_Main_Questionnaire'!$H$156*'2.3 Input_Main_Questionnaire'!$N$30,BC433)</f>
        <v>-2.0427176570846905E-4</v>
      </c>
      <c r="BE433" s="373">
        <f ca="1">IF(BE$426 &lt;= '2.2 Input_General_Information'!$H$40 + '2.2 Input_General_Information'!$H$20, BE$379*'2.3 Input_Main_Questionnaire'!$H$156*'2.3 Input_Main_Questionnaire'!$N$30,BD433)</f>
        <v>-2.0427176570846905E-4</v>
      </c>
      <c r="BF433" s="373">
        <f ca="1">IF(BF$426 &lt;= '2.2 Input_General_Information'!$H$40 + '2.2 Input_General_Information'!$H$20, BF$379*'2.3 Input_Main_Questionnaire'!$H$156*'2.3 Input_Main_Questionnaire'!$N$30,BE433)</f>
        <v>-2.0427176570846905E-4</v>
      </c>
      <c r="BG433" s="373">
        <f ca="1">IF(BG$426 &lt;= '2.2 Input_General_Information'!$H$40 + '2.2 Input_General_Information'!$H$20, BG$379*'2.3 Input_Main_Questionnaire'!$H$156*'2.3 Input_Main_Questionnaire'!$N$30,BF433)</f>
        <v>-2.0427176570846905E-4</v>
      </c>
      <c r="BH433" s="373">
        <f ca="1">IF(BH$426 &lt;= '2.2 Input_General_Information'!$H$40 + '2.2 Input_General_Information'!$H$20, BH$379*'2.3 Input_Main_Questionnaire'!$H$156*'2.3 Input_Main_Questionnaire'!$N$30,BG433)</f>
        <v>-2.0427176570846905E-4</v>
      </c>
      <c r="BI433" s="373">
        <f ca="1">IF(BI$426 &lt;= '2.2 Input_General_Information'!$H$40 + '2.2 Input_General_Information'!$H$20, BI$379*'2.3 Input_Main_Questionnaire'!$H$156*'2.3 Input_Main_Questionnaire'!$N$30,BH433)</f>
        <v>-2.0427176570846905E-4</v>
      </c>
      <c r="BJ433" s="373">
        <f ca="1">IF(BJ$426 &lt;= '2.2 Input_General_Information'!$H$40 + '2.2 Input_General_Information'!$H$20, BJ$379*'2.3 Input_Main_Questionnaire'!$H$156*'2.3 Input_Main_Questionnaire'!$N$30,BI433)</f>
        <v>-2.0427176570846905E-4</v>
      </c>
      <c r="BK433" s="373">
        <f ca="1">IF(BK$426 &lt;= '2.2 Input_General_Information'!$H$40 + '2.2 Input_General_Information'!$H$20, BK$379*'2.3 Input_Main_Questionnaire'!$H$156*'2.3 Input_Main_Questionnaire'!$N$30,BJ433)</f>
        <v>-2.0427176570846905E-4</v>
      </c>
      <c r="BL433" s="373"/>
      <c r="BM433" s="373"/>
      <c r="BN433" s="373"/>
      <c r="BO433" s="373"/>
      <c r="BP433" s="373"/>
      <c r="BQ433" s="373"/>
      <c r="BR433" s="373"/>
      <c r="BS433" s="373"/>
      <c r="BT433" s="373"/>
      <c r="BU433" s="373"/>
    </row>
    <row r="434" spans="1:73" hidden="1">
      <c r="A434" s="6"/>
      <c r="B434" s="108"/>
      <c r="C434" s="1"/>
      <c r="D434" s="6"/>
      <c r="E434" s="6"/>
      <c r="F434" s="1"/>
      <c r="G434" s="43"/>
      <c r="H434" s="43"/>
      <c r="I434" s="43"/>
      <c r="J434" s="3"/>
      <c r="K434" s="3"/>
      <c r="L434" s="3"/>
      <c r="M434" s="3"/>
      <c r="N434" s="3"/>
      <c r="O434" s="1"/>
      <c r="P434" s="1"/>
      <c r="Q434" s="1"/>
      <c r="R434" s="162"/>
      <c r="S434" s="1"/>
      <c r="T434" s="103"/>
      <c r="U434" s="103"/>
      <c r="V434" s="103" t="str">
        <f>$N$10</f>
        <v>Profile 8</v>
      </c>
      <c r="W434" s="373">
        <f ca="1">IF(W$426 &lt;= '2.2 Input_General_Information'!$H$40 + '2.2 Input_General_Information'!$H$20, W$379*'2.3 Input_Main_Questionnaire'!$H$156*'2.3 Input_Main_Questionnaire'!$O$30,V434)</f>
        <v>0</v>
      </c>
      <c r="X434" s="373">
        <f ca="1">IF(X$426 &lt;= '2.2 Input_General_Information'!$H$40 + '2.2 Input_General_Information'!$H$20, X$379*'2.3 Input_Main_Questionnaire'!$H$156*'2.3 Input_Main_Questionnaire'!$O$30,W434)</f>
        <v>-2.058008670108781E-3</v>
      </c>
      <c r="Y434" s="373">
        <f ca="1">IF(Y$426 &lt;= '2.2 Input_General_Information'!$H$40 + '2.2 Input_General_Information'!$H$20, Y$379*'2.3 Input_Main_Questionnaire'!$H$156*'2.3 Input_Main_Questionnaire'!$O$30,X434)</f>
        <v>-2.5080590990330998E-3</v>
      </c>
      <c r="Z434" s="373">
        <f ca="1">IF(Z$426 &lt;= '2.2 Input_General_Information'!$H$40 + '2.2 Input_General_Information'!$H$20, Z$379*'2.3 Input_Main_Questionnaire'!$H$156*'2.3 Input_Main_Questionnaire'!$O$30,Y434)</f>
        <v>-2.0427176570846905E-4</v>
      </c>
      <c r="AA434" s="373">
        <f ca="1">IF(AA$426 &lt;= '2.2 Input_General_Information'!$H$40 + '2.2 Input_General_Information'!$H$20, AA$379*'2.3 Input_Main_Questionnaire'!$H$156*'2.3 Input_Main_Questionnaire'!$O$30,Z434)</f>
        <v>-2.0427176570846905E-4</v>
      </c>
      <c r="AB434" s="373">
        <f ca="1">IF(AB$426 &lt;= '2.2 Input_General_Information'!$H$40 + '2.2 Input_General_Information'!$H$20, AB$379*'2.3 Input_Main_Questionnaire'!$H$156*'2.3 Input_Main_Questionnaire'!$O$30,AA434)</f>
        <v>-2.0427176570846905E-4</v>
      </c>
      <c r="AC434" s="373">
        <f ca="1">IF(AC$426 &lt;= '2.2 Input_General_Information'!$H$40 + '2.2 Input_General_Information'!$H$20, AC$379*'2.3 Input_Main_Questionnaire'!$H$156*'2.3 Input_Main_Questionnaire'!$O$30,AB434)</f>
        <v>-2.0427176570846905E-4</v>
      </c>
      <c r="AD434" s="373">
        <f ca="1">IF(AD$426 &lt;= '2.2 Input_General_Information'!$H$40 + '2.2 Input_General_Information'!$H$20, AD$379*'2.3 Input_Main_Questionnaire'!$H$156*'2.3 Input_Main_Questionnaire'!$O$30,AC434)</f>
        <v>-2.0427176570846905E-4</v>
      </c>
      <c r="AE434" s="373">
        <f ca="1">IF(AE$426 &lt;= '2.2 Input_General_Information'!$H$40 + '2.2 Input_General_Information'!$H$20, AE$379*'2.3 Input_Main_Questionnaire'!$H$156*'2.3 Input_Main_Questionnaire'!$O$30,AD434)</f>
        <v>-2.0427176570846905E-4</v>
      </c>
      <c r="AF434" s="373">
        <f ca="1">IF(AF$426 &lt;= '2.2 Input_General_Information'!$H$40 + '2.2 Input_General_Information'!$H$20, AF$379*'2.3 Input_Main_Questionnaire'!$H$156*'2.3 Input_Main_Questionnaire'!$O$30,AE434)</f>
        <v>-2.0427176570846905E-4</v>
      </c>
      <c r="AG434" s="373">
        <f ca="1">IF(AG$426 &lt;= '2.2 Input_General_Information'!$H$40 + '2.2 Input_General_Information'!$H$20, AG$379*'2.3 Input_Main_Questionnaire'!$H$156*'2.3 Input_Main_Questionnaire'!$O$30,AF434)</f>
        <v>-2.0427176570846905E-4</v>
      </c>
      <c r="AH434" s="373">
        <f ca="1">IF(AH$426 &lt;= '2.2 Input_General_Information'!$H$40 + '2.2 Input_General_Information'!$H$20, AH$379*'2.3 Input_Main_Questionnaire'!$H$156*'2.3 Input_Main_Questionnaire'!$O$30,AG434)</f>
        <v>-2.0427176570846905E-4</v>
      </c>
      <c r="AI434" s="373">
        <f ca="1">IF(AI$426 &lt;= '2.2 Input_General_Information'!$H$40 + '2.2 Input_General_Information'!$H$20, AI$379*'2.3 Input_Main_Questionnaire'!$H$156*'2.3 Input_Main_Questionnaire'!$O$30,AH434)</f>
        <v>-2.0427176570846905E-4</v>
      </c>
      <c r="AJ434" s="373">
        <f ca="1">IF(AJ$426 &lt;= '2.2 Input_General_Information'!$H$40 + '2.2 Input_General_Information'!$H$20, AJ$379*'2.3 Input_Main_Questionnaire'!$H$156*'2.3 Input_Main_Questionnaire'!$O$30,AI434)</f>
        <v>-2.0427176570846905E-4</v>
      </c>
      <c r="AK434" s="373">
        <f ca="1">IF(AK$426 &lt;= '2.2 Input_General_Information'!$H$40 + '2.2 Input_General_Information'!$H$20, AK$379*'2.3 Input_Main_Questionnaire'!$H$156*'2.3 Input_Main_Questionnaire'!$O$30,AJ434)</f>
        <v>-2.0427176570846905E-4</v>
      </c>
      <c r="AL434" s="373">
        <f ca="1">IF(AL$426 &lt;= '2.2 Input_General_Information'!$H$40 + '2.2 Input_General_Information'!$H$20, AL$379*'2.3 Input_Main_Questionnaire'!$H$156*'2.3 Input_Main_Questionnaire'!$O$30,AK434)</f>
        <v>-2.0427176570846905E-4</v>
      </c>
      <c r="AM434" s="373">
        <f ca="1">IF(AM$426 &lt;= '2.2 Input_General_Information'!$H$40 + '2.2 Input_General_Information'!$H$20, AM$379*'2.3 Input_Main_Questionnaire'!$H$156*'2.3 Input_Main_Questionnaire'!$O$30,AL434)</f>
        <v>-2.0427176570846905E-4</v>
      </c>
      <c r="AN434" s="373">
        <f ca="1">IF(AN$426 &lt;= '2.2 Input_General_Information'!$H$40 + '2.2 Input_General_Information'!$H$20, AN$379*'2.3 Input_Main_Questionnaire'!$H$156*'2.3 Input_Main_Questionnaire'!$O$30,AM434)</f>
        <v>-2.0427176570846905E-4</v>
      </c>
      <c r="AO434" s="373">
        <f ca="1">IF(AO$426 &lt;= '2.2 Input_General_Information'!$H$40 + '2.2 Input_General_Information'!$H$20, AO$379*'2.3 Input_Main_Questionnaire'!$H$156*'2.3 Input_Main_Questionnaire'!$O$30,AN434)</f>
        <v>-2.0427176570846905E-4</v>
      </c>
      <c r="AP434" s="373">
        <f ca="1">IF(AP$426 &lt;= '2.2 Input_General_Information'!$H$40 + '2.2 Input_General_Information'!$H$20, AP$379*'2.3 Input_Main_Questionnaire'!$H$156*'2.3 Input_Main_Questionnaire'!$O$30,AO434)</f>
        <v>-2.0427176570846905E-4</v>
      </c>
      <c r="AQ434" s="373">
        <f ca="1">IF(AQ$426 &lt;= '2.2 Input_General_Information'!$H$40 + '2.2 Input_General_Information'!$H$20, AQ$379*'2.3 Input_Main_Questionnaire'!$H$156*'2.3 Input_Main_Questionnaire'!$O$30,AP434)</f>
        <v>-2.0427176570846905E-4</v>
      </c>
      <c r="AR434" s="373">
        <f ca="1">IF(AR$426 &lt;= '2.2 Input_General_Information'!$H$40 + '2.2 Input_General_Information'!$H$20, AR$379*'2.3 Input_Main_Questionnaire'!$H$156*'2.3 Input_Main_Questionnaire'!$O$30,AQ434)</f>
        <v>-2.0427176570846905E-4</v>
      </c>
      <c r="AS434" s="373">
        <f ca="1">IF(AS$426 &lt;= '2.2 Input_General_Information'!$H$40 + '2.2 Input_General_Information'!$H$20, AS$379*'2.3 Input_Main_Questionnaire'!$H$156*'2.3 Input_Main_Questionnaire'!$O$30,AR434)</f>
        <v>-2.0427176570846905E-4</v>
      </c>
      <c r="AT434" s="373">
        <f ca="1">IF(AT$426 &lt;= '2.2 Input_General_Information'!$H$40 + '2.2 Input_General_Information'!$H$20, AT$379*'2.3 Input_Main_Questionnaire'!$H$156*'2.3 Input_Main_Questionnaire'!$O$30,AS434)</f>
        <v>-2.0427176570846905E-4</v>
      </c>
      <c r="AU434" s="373">
        <f ca="1">IF(AU$426 &lt;= '2.2 Input_General_Information'!$H$40 + '2.2 Input_General_Information'!$H$20, AU$379*'2.3 Input_Main_Questionnaire'!$H$156*'2.3 Input_Main_Questionnaire'!$O$30,AT434)</f>
        <v>-2.0427176570846905E-4</v>
      </c>
      <c r="AV434" s="373">
        <f ca="1">IF(AV$426 &lt;= '2.2 Input_General_Information'!$H$40 + '2.2 Input_General_Information'!$H$20, AV$379*'2.3 Input_Main_Questionnaire'!$H$156*'2.3 Input_Main_Questionnaire'!$O$30,AU434)</f>
        <v>-2.0427176570846905E-4</v>
      </c>
      <c r="AW434" s="373">
        <f ca="1">IF(AW$426 &lt;= '2.2 Input_General_Information'!$H$40 + '2.2 Input_General_Information'!$H$20, AW$379*'2.3 Input_Main_Questionnaire'!$H$156*'2.3 Input_Main_Questionnaire'!$O$30,AV434)</f>
        <v>-2.0427176570846905E-4</v>
      </c>
      <c r="AX434" s="373">
        <f ca="1">IF(AX$426 &lt;= '2.2 Input_General_Information'!$H$40 + '2.2 Input_General_Information'!$H$20, AX$379*'2.3 Input_Main_Questionnaire'!$H$156*'2.3 Input_Main_Questionnaire'!$O$30,AW434)</f>
        <v>-2.0427176570846905E-4</v>
      </c>
      <c r="AY434" s="373">
        <f ca="1">IF(AY$426 &lt;= '2.2 Input_General_Information'!$H$40 + '2.2 Input_General_Information'!$H$20, AY$379*'2.3 Input_Main_Questionnaire'!$H$156*'2.3 Input_Main_Questionnaire'!$O$30,AX434)</f>
        <v>-2.0427176570846905E-4</v>
      </c>
      <c r="AZ434" s="373">
        <f ca="1">IF(AZ$426 &lt;= '2.2 Input_General_Information'!$H$40 + '2.2 Input_General_Information'!$H$20, AZ$379*'2.3 Input_Main_Questionnaire'!$H$156*'2.3 Input_Main_Questionnaire'!$O$30,AY434)</f>
        <v>-2.0427176570846905E-4</v>
      </c>
      <c r="BA434" s="373">
        <f ca="1">IF(BA$426 &lt;= '2.2 Input_General_Information'!$H$40 + '2.2 Input_General_Information'!$H$20, BA$379*'2.3 Input_Main_Questionnaire'!$H$156*'2.3 Input_Main_Questionnaire'!$O$30,AZ434)</f>
        <v>-2.0427176570846905E-4</v>
      </c>
      <c r="BB434" s="373">
        <f ca="1">IF(BB$426 &lt;= '2.2 Input_General_Information'!$H$40 + '2.2 Input_General_Information'!$H$20, BB$379*'2.3 Input_Main_Questionnaire'!$H$156*'2.3 Input_Main_Questionnaire'!$O$30,BA434)</f>
        <v>-2.0427176570846905E-4</v>
      </c>
      <c r="BC434" s="373">
        <f ca="1">IF(BC$426 &lt;= '2.2 Input_General_Information'!$H$40 + '2.2 Input_General_Information'!$H$20, BC$379*'2.3 Input_Main_Questionnaire'!$H$156*'2.3 Input_Main_Questionnaire'!$O$30,BB434)</f>
        <v>-2.0427176570846905E-4</v>
      </c>
      <c r="BD434" s="373">
        <f ca="1">IF(BD$426 &lt;= '2.2 Input_General_Information'!$H$40 + '2.2 Input_General_Information'!$H$20, BD$379*'2.3 Input_Main_Questionnaire'!$H$156*'2.3 Input_Main_Questionnaire'!$O$30,BC434)</f>
        <v>-2.0427176570846905E-4</v>
      </c>
      <c r="BE434" s="373">
        <f ca="1">IF(BE$426 &lt;= '2.2 Input_General_Information'!$H$40 + '2.2 Input_General_Information'!$H$20, BE$379*'2.3 Input_Main_Questionnaire'!$H$156*'2.3 Input_Main_Questionnaire'!$O$30,BD434)</f>
        <v>-2.0427176570846905E-4</v>
      </c>
      <c r="BF434" s="373">
        <f ca="1">IF(BF$426 &lt;= '2.2 Input_General_Information'!$H$40 + '2.2 Input_General_Information'!$H$20, BF$379*'2.3 Input_Main_Questionnaire'!$H$156*'2.3 Input_Main_Questionnaire'!$O$30,BE434)</f>
        <v>-2.0427176570846905E-4</v>
      </c>
      <c r="BG434" s="373">
        <f ca="1">IF(BG$426 &lt;= '2.2 Input_General_Information'!$H$40 + '2.2 Input_General_Information'!$H$20, BG$379*'2.3 Input_Main_Questionnaire'!$H$156*'2.3 Input_Main_Questionnaire'!$O$30,BF434)</f>
        <v>-2.0427176570846905E-4</v>
      </c>
      <c r="BH434" s="373">
        <f ca="1">IF(BH$426 &lt;= '2.2 Input_General_Information'!$H$40 + '2.2 Input_General_Information'!$H$20, BH$379*'2.3 Input_Main_Questionnaire'!$H$156*'2.3 Input_Main_Questionnaire'!$O$30,BG434)</f>
        <v>-2.0427176570846905E-4</v>
      </c>
      <c r="BI434" s="373">
        <f ca="1">IF(BI$426 &lt;= '2.2 Input_General_Information'!$H$40 + '2.2 Input_General_Information'!$H$20, BI$379*'2.3 Input_Main_Questionnaire'!$H$156*'2.3 Input_Main_Questionnaire'!$O$30,BH434)</f>
        <v>-2.0427176570846905E-4</v>
      </c>
      <c r="BJ434" s="373">
        <f ca="1">IF(BJ$426 &lt;= '2.2 Input_General_Information'!$H$40 + '2.2 Input_General_Information'!$H$20, BJ$379*'2.3 Input_Main_Questionnaire'!$H$156*'2.3 Input_Main_Questionnaire'!$O$30,BI434)</f>
        <v>-2.0427176570846905E-4</v>
      </c>
      <c r="BK434" s="373">
        <f ca="1">IF(BK$426 &lt;= '2.2 Input_General_Information'!$H$40 + '2.2 Input_General_Information'!$H$20, BK$379*'2.3 Input_Main_Questionnaire'!$H$156*'2.3 Input_Main_Questionnaire'!$O$30,BJ434)</f>
        <v>-2.0427176570846905E-4</v>
      </c>
      <c r="BL434" s="373"/>
      <c r="BM434" s="373"/>
      <c r="BN434" s="373"/>
      <c r="BO434" s="373"/>
      <c r="BP434" s="373"/>
      <c r="BQ434" s="373"/>
      <c r="BR434" s="373"/>
      <c r="BS434" s="373"/>
      <c r="BT434" s="373"/>
      <c r="BU434" s="373"/>
    </row>
    <row r="435" spans="1:73" hidden="1">
      <c r="A435" s="6"/>
      <c r="B435" s="108"/>
      <c r="C435" s="1"/>
      <c r="D435" s="6"/>
      <c r="E435" s="6"/>
      <c r="F435" s="1"/>
      <c r="G435" s="43"/>
      <c r="H435" s="43"/>
      <c r="I435" s="43"/>
      <c r="J435" s="3"/>
      <c r="K435" s="3"/>
      <c r="L435" s="3"/>
      <c r="M435" s="3"/>
      <c r="N435" s="3"/>
      <c r="O435" s="1"/>
      <c r="P435" s="1"/>
      <c r="Q435" s="1"/>
      <c r="R435" s="162"/>
      <c r="S435" s="1"/>
      <c r="T435" s="103"/>
      <c r="U435" s="103"/>
      <c r="V435" s="103"/>
      <c r="W435" s="98"/>
      <c r="X435" s="98"/>
      <c r="Y435" s="98"/>
      <c r="Z435" s="98"/>
      <c r="AA435" s="98"/>
      <c r="AB435" s="98"/>
      <c r="AC435" s="98"/>
      <c r="AD435" s="98"/>
      <c r="AE435" s="98"/>
      <c r="AF435" s="98"/>
      <c r="AG435" s="98"/>
      <c r="AH435" s="98"/>
      <c r="AI435" s="98"/>
      <c r="AJ435" s="98"/>
      <c r="AK435" s="98"/>
      <c r="AL435" s="98"/>
      <c r="AM435" s="98"/>
      <c r="AN435" s="98"/>
      <c r="AO435" s="98"/>
      <c r="AP435" s="98"/>
      <c r="AQ435" s="98"/>
      <c r="AR435" s="98"/>
      <c r="AS435" s="98"/>
      <c r="AT435" s="98"/>
      <c r="AU435" s="98"/>
      <c r="AV435" s="98"/>
      <c r="AW435" s="98"/>
      <c r="AX435" s="98"/>
      <c r="AY435" s="98"/>
      <c r="AZ435" s="98"/>
      <c r="BA435" s="98"/>
      <c r="BB435" s="98"/>
      <c r="BC435" s="98"/>
      <c r="BD435" s="98"/>
      <c r="BE435" s="98"/>
      <c r="BF435" s="98"/>
      <c r="BG435" s="98"/>
      <c r="BH435" s="98"/>
      <c r="BI435" s="98"/>
      <c r="BJ435" s="98"/>
      <c r="BK435" s="98"/>
      <c r="BL435" s="98"/>
      <c r="BM435" s="98"/>
      <c r="BN435" s="98"/>
      <c r="BO435" s="98"/>
      <c r="BP435" s="98"/>
      <c r="BQ435" s="98"/>
      <c r="BR435" s="98"/>
      <c r="BS435" s="98"/>
      <c r="BT435" s="98"/>
      <c r="BU435" s="98"/>
    </row>
    <row r="436" spans="1:73" hidden="1">
      <c r="A436" s="6"/>
      <c r="B436" s="108"/>
      <c r="C436" s="1"/>
      <c r="D436" s="37"/>
      <c r="E436" s="1"/>
      <c r="F436" s="1"/>
      <c r="G436" s="3"/>
      <c r="H436" s="3"/>
      <c r="I436" s="3"/>
      <c r="J436" s="3"/>
      <c r="K436" s="3"/>
      <c r="L436" s="3"/>
      <c r="M436" s="3"/>
      <c r="N436" s="3"/>
      <c r="O436" s="1"/>
      <c r="P436" s="1"/>
      <c r="Q436" s="1"/>
      <c r="R436" s="162"/>
      <c r="S436" s="1"/>
      <c r="T436" s="103"/>
      <c r="U436" s="103"/>
      <c r="V436" s="564" t="str">
        <f>D421</f>
        <v>Additional time required for assigning global standardised PIDs</v>
      </c>
      <c r="W436" s="375"/>
      <c r="X436" s="376"/>
      <c r="Y436" s="376"/>
      <c r="Z436" s="376"/>
      <c r="AA436" s="376"/>
      <c r="AB436" s="376"/>
      <c r="AC436" s="376"/>
      <c r="AD436" s="376"/>
      <c r="AE436" s="376"/>
      <c r="AF436" s="376"/>
      <c r="AG436" s="376"/>
      <c r="AH436" s="376"/>
      <c r="AI436" s="376"/>
      <c r="AJ436" s="376"/>
      <c r="AK436" s="376"/>
      <c r="AL436" s="376"/>
      <c r="AM436" s="376"/>
      <c r="AN436" s="376"/>
      <c r="AO436" s="376"/>
      <c r="AP436" s="376"/>
      <c r="AQ436" s="376"/>
      <c r="AR436" s="376"/>
      <c r="AS436" s="376"/>
      <c r="AT436" s="376"/>
      <c r="AU436" s="376"/>
      <c r="AV436" s="376"/>
      <c r="AW436" s="376"/>
      <c r="AX436" s="376"/>
      <c r="AY436" s="376"/>
      <c r="AZ436" s="376"/>
      <c r="BA436" s="376"/>
      <c r="BB436" s="376"/>
      <c r="BC436" s="376"/>
      <c r="BD436" s="376"/>
      <c r="BE436" s="376"/>
      <c r="BF436" s="376"/>
      <c r="BG436" s="376"/>
      <c r="BH436" s="376"/>
      <c r="BI436" s="376"/>
      <c r="BJ436" s="376"/>
      <c r="BK436" s="376"/>
      <c r="BL436" s="590"/>
      <c r="BM436" s="590"/>
      <c r="BN436" s="590"/>
      <c r="BO436" s="590"/>
      <c r="BP436" s="590"/>
      <c r="BQ436" s="590"/>
      <c r="BR436" s="590"/>
      <c r="BS436" s="590"/>
      <c r="BT436" s="590"/>
      <c r="BU436" s="590"/>
    </row>
    <row r="437" spans="1:73" hidden="1">
      <c r="A437" s="6"/>
      <c r="B437" s="108"/>
      <c r="C437" s="1"/>
      <c r="D437" s="6"/>
      <c r="E437" s="6"/>
      <c r="F437" s="1"/>
      <c r="G437" s="43"/>
      <c r="H437" s="43"/>
      <c r="I437" s="43"/>
      <c r="J437" s="3"/>
      <c r="K437" s="3"/>
      <c r="L437" s="3"/>
      <c r="M437" s="3"/>
      <c r="N437" s="3"/>
      <c r="O437" s="1"/>
      <c r="P437" s="1"/>
      <c r="Q437" s="1"/>
      <c r="R437" s="162"/>
      <c r="S437" s="1"/>
      <c r="T437" s="103"/>
      <c r="U437" s="103"/>
      <c r="V437" s="101" t="s">
        <v>208</v>
      </c>
      <c r="W437" s="98">
        <f>Growth!B20</f>
        <v>2018</v>
      </c>
      <c r="X437" s="98">
        <f t="shared" ref="X437:BK437" si="73">W437+1</f>
        <v>2019</v>
      </c>
      <c r="Y437" s="98">
        <f t="shared" si="73"/>
        <v>2020</v>
      </c>
      <c r="Z437" s="98">
        <f t="shared" si="73"/>
        <v>2021</v>
      </c>
      <c r="AA437" s="98">
        <f t="shared" si="73"/>
        <v>2022</v>
      </c>
      <c r="AB437" s="98">
        <f t="shared" si="73"/>
        <v>2023</v>
      </c>
      <c r="AC437" s="98">
        <f t="shared" si="73"/>
        <v>2024</v>
      </c>
      <c r="AD437" s="98">
        <f t="shared" si="73"/>
        <v>2025</v>
      </c>
      <c r="AE437" s="98">
        <f t="shared" si="73"/>
        <v>2026</v>
      </c>
      <c r="AF437" s="98">
        <f t="shared" si="73"/>
        <v>2027</v>
      </c>
      <c r="AG437" s="98">
        <f t="shared" si="73"/>
        <v>2028</v>
      </c>
      <c r="AH437" s="98">
        <f t="shared" si="73"/>
        <v>2029</v>
      </c>
      <c r="AI437" s="98">
        <f t="shared" si="73"/>
        <v>2030</v>
      </c>
      <c r="AJ437" s="98">
        <f t="shared" si="73"/>
        <v>2031</v>
      </c>
      <c r="AK437" s="98">
        <f t="shared" si="73"/>
        <v>2032</v>
      </c>
      <c r="AL437" s="98">
        <f t="shared" si="73"/>
        <v>2033</v>
      </c>
      <c r="AM437" s="98">
        <f t="shared" si="73"/>
        <v>2034</v>
      </c>
      <c r="AN437" s="98">
        <f t="shared" si="73"/>
        <v>2035</v>
      </c>
      <c r="AO437" s="98">
        <f t="shared" si="73"/>
        <v>2036</v>
      </c>
      <c r="AP437" s="98">
        <f t="shared" si="73"/>
        <v>2037</v>
      </c>
      <c r="AQ437" s="98">
        <f t="shared" si="73"/>
        <v>2038</v>
      </c>
      <c r="AR437" s="98">
        <f t="shared" si="73"/>
        <v>2039</v>
      </c>
      <c r="AS437" s="98">
        <f t="shared" si="73"/>
        <v>2040</v>
      </c>
      <c r="AT437" s="98">
        <f t="shared" si="73"/>
        <v>2041</v>
      </c>
      <c r="AU437" s="98">
        <f t="shared" si="73"/>
        <v>2042</v>
      </c>
      <c r="AV437" s="98">
        <f t="shared" si="73"/>
        <v>2043</v>
      </c>
      <c r="AW437" s="98">
        <f t="shared" si="73"/>
        <v>2044</v>
      </c>
      <c r="AX437" s="98">
        <f t="shared" si="73"/>
        <v>2045</v>
      </c>
      <c r="AY437" s="98">
        <f t="shared" si="73"/>
        <v>2046</v>
      </c>
      <c r="AZ437" s="98">
        <f t="shared" si="73"/>
        <v>2047</v>
      </c>
      <c r="BA437" s="98">
        <f t="shared" si="73"/>
        <v>2048</v>
      </c>
      <c r="BB437" s="98">
        <f t="shared" si="73"/>
        <v>2049</v>
      </c>
      <c r="BC437" s="98">
        <f t="shared" si="73"/>
        <v>2050</v>
      </c>
      <c r="BD437" s="98">
        <f t="shared" si="73"/>
        <v>2051</v>
      </c>
      <c r="BE437" s="98">
        <f t="shared" si="73"/>
        <v>2052</v>
      </c>
      <c r="BF437" s="98">
        <f t="shared" si="73"/>
        <v>2053</v>
      </c>
      <c r="BG437" s="98">
        <f t="shared" si="73"/>
        <v>2054</v>
      </c>
      <c r="BH437" s="98">
        <f t="shared" si="73"/>
        <v>2055</v>
      </c>
      <c r="BI437" s="98">
        <f t="shared" si="73"/>
        <v>2056</v>
      </c>
      <c r="BJ437" s="98">
        <f t="shared" si="73"/>
        <v>2057</v>
      </c>
      <c r="BK437" s="98">
        <f t="shared" si="73"/>
        <v>2058</v>
      </c>
      <c r="BL437" s="98"/>
      <c r="BM437" s="98"/>
      <c r="BN437" s="98"/>
      <c r="BO437" s="98"/>
      <c r="BP437" s="98"/>
      <c r="BQ437" s="98"/>
      <c r="BR437" s="98"/>
      <c r="BS437" s="98"/>
      <c r="BT437" s="98"/>
      <c r="BU437" s="98"/>
    </row>
    <row r="438" spans="1:73" hidden="1">
      <c r="A438" s="6"/>
      <c r="B438" s="108"/>
      <c r="C438" s="1"/>
      <c r="D438" s="6"/>
      <c r="E438" s="6"/>
      <c r="F438" s="1"/>
      <c r="G438" s="43"/>
      <c r="H438" s="43"/>
      <c r="I438" s="43"/>
      <c r="J438" s="3"/>
      <c r="K438" s="3"/>
      <c r="L438" s="3"/>
      <c r="M438" s="3"/>
      <c r="N438" s="3"/>
      <c r="O438" s="1"/>
      <c r="P438" s="1"/>
      <c r="Q438" s="1"/>
      <c r="R438" s="162"/>
      <c r="S438" s="1"/>
      <c r="T438" s="103"/>
      <c r="U438" s="103"/>
      <c r="V438" s="103" t="str">
        <f>G$10</f>
        <v>PhD researcher</v>
      </c>
      <c r="W438" s="373">
        <f ca="1">IF(W$426 &lt;= '2.2 Input_General_Information'!$H$40 + '2.2 Input_General_Information'!$H$20, W$407*'2.3 Input_Main_Questionnaire'!$H$156*'2.3 Input_Main_Questionnaire'!$H$30,V438)</f>
        <v>0</v>
      </c>
      <c r="X438" s="373">
        <f ca="1">IF(X$426 &lt;= '2.2 Input_General_Information'!$H$40 + '2.2 Input_General_Information'!$H$20, X$407*'2.3 Input_Main_Questionnaire'!$H$156*'2.3 Input_Main_Questionnaire'!$H$30,W438)</f>
        <v>-2.5679694402120619E-3</v>
      </c>
      <c r="Y438" s="373">
        <f ca="1">IF(Y$426 &lt;= '2.2 Input_General_Information'!$H$40 + '2.2 Input_General_Information'!$H$20, Y$407*'2.3 Input_Main_Questionnaire'!$H$156*'2.3 Input_Main_Questionnaire'!$H$30,X438)</f>
        <v>-3.1158784420137601E-3</v>
      </c>
      <c r="Z438" s="373">
        <f ca="1">IF(Z$426 &lt;= '2.2 Input_General_Information'!$H$40 + '2.2 Input_General_Information'!$H$20, Z$407*'2.3 Input_Main_Questionnaire'!$H$156*'2.3 Input_Main_Questionnaire'!$H$30,Y438)</f>
        <v>-2.5420703507566178E-4</v>
      </c>
      <c r="AA438" s="373">
        <f ca="1">IF(AA$426 &lt;= '2.2 Input_General_Information'!$H$40 + '2.2 Input_General_Information'!$H$20, AA$407*'2.3 Input_Main_Questionnaire'!$H$156*'2.3 Input_Main_Questionnaire'!$H$30,Z438)</f>
        <v>-2.5420703507566178E-4</v>
      </c>
      <c r="AB438" s="373">
        <f ca="1">IF(AB$426 &lt;= '2.2 Input_General_Information'!$H$40 + '2.2 Input_General_Information'!$H$20, AB$407*'2.3 Input_Main_Questionnaire'!$H$156*'2.3 Input_Main_Questionnaire'!$H$30,AA438)</f>
        <v>-2.5420703507566178E-4</v>
      </c>
      <c r="AC438" s="373">
        <f ca="1">IF(AC$426 &lt;= '2.2 Input_General_Information'!$H$40 + '2.2 Input_General_Information'!$H$20, AC$407*'2.3 Input_Main_Questionnaire'!$H$156*'2.3 Input_Main_Questionnaire'!$H$30,AB438)</f>
        <v>-2.5420703507566178E-4</v>
      </c>
      <c r="AD438" s="373">
        <f ca="1">IF(AD$426 &lt;= '2.2 Input_General_Information'!$H$40 + '2.2 Input_General_Information'!$H$20, AD$407*'2.3 Input_Main_Questionnaire'!$H$156*'2.3 Input_Main_Questionnaire'!$H$30,AC438)</f>
        <v>-2.5420703507566178E-4</v>
      </c>
      <c r="AE438" s="373">
        <f ca="1">IF(AE$426 &lt;= '2.2 Input_General_Information'!$H$40 + '2.2 Input_General_Information'!$H$20, AE$407*'2.3 Input_Main_Questionnaire'!$H$156*'2.3 Input_Main_Questionnaire'!$H$30,AD438)</f>
        <v>-2.5420703507566178E-4</v>
      </c>
      <c r="AF438" s="373">
        <f ca="1">IF(AF$426 &lt;= '2.2 Input_General_Information'!$H$40 + '2.2 Input_General_Information'!$H$20, AF$407*'2.3 Input_Main_Questionnaire'!$H$156*'2.3 Input_Main_Questionnaire'!$H$30,AE438)</f>
        <v>-2.5420703507566178E-4</v>
      </c>
      <c r="AG438" s="373">
        <f ca="1">IF(AG$426 &lt;= '2.2 Input_General_Information'!$H$40 + '2.2 Input_General_Information'!$H$20, AG$407*'2.3 Input_Main_Questionnaire'!$H$156*'2.3 Input_Main_Questionnaire'!$H$30,AF438)</f>
        <v>-2.5420703507566178E-4</v>
      </c>
      <c r="AH438" s="373">
        <f ca="1">IF(AH$426 &lt;= '2.2 Input_General_Information'!$H$40 + '2.2 Input_General_Information'!$H$20, AH$407*'2.3 Input_Main_Questionnaire'!$H$156*'2.3 Input_Main_Questionnaire'!$H$30,AG438)</f>
        <v>-2.5420703507566178E-4</v>
      </c>
      <c r="AI438" s="373">
        <f ca="1">IF(AI$426 &lt;= '2.2 Input_General_Information'!$H$40 + '2.2 Input_General_Information'!$H$20, AI$407*'2.3 Input_Main_Questionnaire'!$H$156*'2.3 Input_Main_Questionnaire'!$H$30,AH438)</f>
        <v>-2.5420703507566178E-4</v>
      </c>
      <c r="AJ438" s="373">
        <f ca="1">IF(AJ$426 &lt;= '2.2 Input_General_Information'!$H$40 + '2.2 Input_General_Information'!$H$20, AJ$407*'2.3 Input_Main_Questionnaire'!$H$156*'2.3 Input_Main_Questionnaire'!$H$30,AI438)</f>
        <v>-2.5420703507566178E-4</v>
      </c>
      <c r="AK438" s="373">
        <f ca="1">IF(AK$426 &lt;= '2.2 Input_General_Information'!$H$40 + '2.2 Input_General_Information'!$H$20, AK$407*'2.3 Input_Main_Questionnaire'!$H$156*'2.3 Input_Main_Questionnaire'!$H$30,AJ438)</f>
        <v>-2.5420703507566178E-4</v>
      </c>
      <c r="AL438" s="373">
        <f ca="1">IF(AL$426 &lt;= '2.2 Input_General_Information'!$H$40 + '2.2 Input_General_Information'!$H$20, AL$407*'2.3 Input_Main_Questionnaire'!$H$156*'2.3 Input_Main_Questionnaire'!$H$30,AK438)</f>
        <v>-2.5420703507566178E-4</v>
      </c>
      <c r="AM438" s="373">
        <f ca="1">IF(AM$426 &lt;= '2.2 Input_General_Information'!$H$40 + '2.2 Input_General_Information'!$H$20, AM$407*'2.3 Input_Main_Questionnaire'!$H$156*'2.3 Input_Main_Questionnaire'!$H$30,AL438)</f>
        <v>-2.5420703507566178E-4</v>
      </c>
      <c r="AN438" s="373">
        <f ca="1">IF(AN$426 &lt;= '2.2 Input_General_Information'!$H$40 + '2.2 Input_General_Information'!$H$20, AN$407*'2.3 Input_Main_Questionnaire'!$H$156*'2.3 Input_Main_Questionnaire'!$H$30,AM438)</f>
        <v>-2.5420703507566178E-4</v>
      </c>
      <c r="AO438" s="373">
        <f ca="1">IF(AO$426 &lt;= '2.2 Input_General_Information'!$H$40 + '2.2 Input_General_Information'!$H$20, AO$407*'2.3 Input_Main_Questionnaire'!$H$156*'2.3 Input_Main_Questionnaire'!$H$30,AN438)</f>
        <v>-2.5420703507566178E-4</v>
      </c>
      <c r="AP438" s="373">
        <f ca="1">IF(AP$426 &lt;= '2.2 Input_General_Information'!$H$40 + '2.2 Input_General_Information'!$H$20, AP$407*'2.3 Input_Main_Questionnaire'!$H$156*'2.3 Input_Main_Questionnaire'!$H$30,AO438)</f>
        <v>-2.5420703507566178E-4</v>
      </c>
      <c r="AQ438" s="373">
        <f ca="1">IF(AQ$426 &lt;= '2.2 Input_General_Information'!$H$40 + '2.2 Input_General_Information'!$H$20, AQ$407*'2.3 Input_Main_Questionnaire'!$H$156*'2.3 Input_Main_Questionnaire'!$H$30,AP438)</f>
        <v>-2.5420703507566178E-4</v>
      </c>
      <c r="AR438" s="373">
        <f ca="1">IF(AR$426 &lt;= '2.2 Input_General_Information'!$H$40 + '2.2 Input_General_Information'!$H$20, AR$407*'2.3 Input_Main_Questionnaire'!$H$156*'2.3 Input_Main_Questionnaire'!$H$30,AQ438)</f>
        <v>-2.5420703507566178E-4</v>
      </c>
      <c r="AS438" s="373">
        <f ca="1">IF(AS$426 &lt;= '2.2 Input_General_Information'!$H$40 + '2.2 Input_General_Information'!$H$20, AS$407*'2.3 Input_Main_Questionnaire'!$H$156*'2.3 Input_Main_Questionnaire'!$H$30,AR438)</f>
        <v>-2.5420703507566178E-4</v>
      </c>
      <c r="AT438" s="373">
        <f ca="1">IF(AT$426 &lt;= '2.2 Input_General_Information'!$H$40 + '2.2 Input_General_Information'!$H$20, AT$407*'2.3 Input_Main_Questionnaire'!$H$156*'2.3 Input_Main_Questionnaire'!$H$30,AS438)</f>
        <v>-2.5420703507566178E-4</v>
      </c>
      <c r="AU438" s="373">
        <f ca="1">IF(AU$426 &lt;= '2.2 Input_General_Information'!$H$40 + '2.2 Input_General_Information'!$H$20, AU$407*'2.3 Input_Main_Questionnaire'!$H$156*'2.3 Input_Main_Questionnaire'!$H$30,AT438)</f>
        <v>-2.5420703507566178E-4</v>
      </c>
      <c r="AV438" s="373">
        <f ca="1">IF(AV$426 &lt;= '2.2 Input_General_Information'!$H$40 + '2.2 Input_General_Information'!$H$20, AV$407*'2.3 Input_Main_Questionnaire'!$H$156*'2.3 Input_Main_Questionnaire'!$H$30,AU438)</f>
        <v>-2.5420703507566178E-4</v>
      </c>
      <c r="AW438" s="373">
        <f ca="1">IF(AW$426 &lt;= '2.2 Input_General_Information'!$H$40 + '2.2 Input_General_Information'!$H$20, AW$407*'2.3 Input_Main_Questionnaire'!$H$156*'2.3 Input_Main_Questionnaire'!$H$30,AV438)</f>
        <v>-2.5420703507566178E-4</v>
      </c>
      <c r="AX438" s="373">
        <f ca="1">IF(AX$426 &lt;= '2.2 Input_General_Information'!$H$40 + '2.2 Input_General_Information'!$H$20, AX$407*'2.3 Input_Main_Questionnaire'!$H$156*'2.3 Input_Main_Questionnaire'!$H$30,AW438)</f>
        <v>-2.5420703507566178E-4</v>
      </c>
      <c r="AY438" s="373">
        <f ca="1">IF(AY$426 &lt;= '2.2 Input_General_Information'!$H$40 + '2.2 Input_General_Information'!$H$20, AY$407*'2.3 Input_Main_Questionnaire'!$H$156*'2.3 Input_Main_Questionnaire'!$H$30,AX438)</f>
        <v>-2.5420703507566178E-4</v>
      </c>
      <c r="AZ438" s="373">
        <f ca="1">IF(AZ$426 &lt;= '2.2 Input_General_Information'!$H$40 + '2.2 Input_General_Information'!$H$20, AZ$407*'2.3 Input_Main_Questionnaire'!$H$156*'2.3 Input_Main_Questionnaire'!$H$30,AY438)</f>
        <v>-2.5420703507566178E-4</v>
      </c>
      <c r="BA438" s="373">
        <f ca="1">IF(BA$426 &lt;= '2.2 Input_General_Information'!$H$40 + '2.2 Input_General_Information'!$H$20, BA$407*'2.3 Input_Main_Questionnaire'!$H$156*'2.3 Input_Main_Questionnaire'!$H$30,AZ438)</f>
        <v>-2.5420703507566178E-4</v>
      </c>
      <c r="BB438" s="373">
        <f ca="1">IF(BB$426 &lt;= '2.2 Input_General_Information'!$H$40 + '2.2 Input_General_Information'!$H$20, BB$407*'2.3 Input_Main_Questionnaire'!$H$156*'2.3 Input_Main_Questionnaire'!$H$30,BA438)</f>
        <v>-2.5420703507566178E-4</v>
      </c>
      <c r="BC438" s="373">
        <f ca="1">IF(BC$426 &lt;= '2.2 Input_General_Information'!$H$40 + '2.2 Input_General_Information'!$H$20, BC$407*'2.3 Input_Main_Questionnaire'!$H$156*'2.3 Input_Main_Questionnaire'!$H$30,BB438)</f>
        <v>-2.5420703507566178E-4</v>
      </c>
      <c r="BD438" s="373">
        <f ca="1">IF(BD$426 &lt;= '2.2 Input_General_Information'!$H$40 + '2.2 Input_General_Information'!$H$20, BD$407*'2.3 Input_Main_Questionnaire'!$H$156*'2.3 Input_Main_Questionnaire'!$H$30,BC438)</f>
        <v>-2.5420703507566178E-4</v>
      </c>
      <c r="BE438" s="373">
        <f ca="1">IF(BE$426 &lt;= '2.2 Input_General_Information'!$H$40 + '2.2 Input_General_Information'!$H$20, BE$407*'2.3 Input_Main_Questionnaire'!$H$156*'2.3 Input_Main_Questionnaire'!$H$30,BD438)</f>
        <v>-2.5420703507566178E-4</v>
      </c>
      <c r="BF438" s="373">
        <f ca="1">IF(BF$426 &lt;= '2.2 Input_General_Information'!$H$40 + '2.2 Input_General_Information'!$H$20, BF$407*'2.3 Input_Main_Questionnaire'!$H$156*'2.3 Input_Main_Questionnaire'!$H$30,BE438)</f>
        <v>-2.5420703507566178E-4</v>
      </c>
      <c r="BG438" s="373">
        <f ca="1">IF(BG$426 &lt;= '2.2 Input_General_Information'!$H$40 + '2.2 Input_General_Information'!$H$20, BG$407*'2.3 Input_Main_Questionnaire'!$H$156*'2.3 Input_Main_Questionnaire'!$H$30,BF438)</f>
        <v>-2.5420703507566178E-4</v>
      </c>
      <c r="BH438" s="373">
        <f ca="1">IF(BH$426 &lt;= '2.2 Input_General_Information'!$H$40 + '2.2 Input_General_Information'!$H$20, BH$407*'2.3 Input_Main_Questionnaire'!$H$156*'2.3 Input_Main_Questionnaire'!$H$30,BG438)</f>
        <v>-2.5420703507566178E-4</v>
      </c>
      <c r="BI438" s="373">
        <f ca="1">IF(BI$426 &lt;= '2.2 Input_General_Information'!$H$40 + '2.2 Input_General_Information'!$H$20, BI$407*'2.3 Input_Main_Questionnaire'!$H$156*'2.3 Input_Main_Questionnaire'!$H$30,BH438)</f>
        <v>-2.5420703507566178E-4</v>
      </c>
      <c r="BJ438" s="373">
        <f ca="1">IF(BJ$426 &lt;= '2.2 Input_General_Information'!$H$40 + '2.2 Input_General_Information'!$H$20, BJ$407*'2.3 Input_Main_Questionnaire'!$H$156*'2.3 Input_Main_Questionnaire'!$H$30,BI438)</f>
        <v>-2.5420703507566178E-4</v>
      </c>
      <c r="BK438" s="373">
        <f ca="1">IF(BK$426 &lt;= '2.2 Input_General_Information'!$H$40 + '2.2 Input_General_Information'!$H$20, BK$407*'2.3 Input_Main_Questionnaire'!$H$156*'2.3 Input_Main_Questionnaire'!$H$30,BJ438)</f>
        <v>-2.5420703507566178E-4</v>
      </c>
      <c r="BL438" s="373"/>
      <c r="BM438" s="373"/>
      <c r="BN438" s="373"/>
      <c r="BO438" s="373"/>
      <c r="BP438" s="373"/>
      <c r="BQ438" s="373"/>
      <c r="BR438" s="373"/>
      <c r="BS438" s="373"/>
      <c r="BT438" s="373"/>
      <c r="BU438" s="373"/>
    </row>
    <row r="439" spans="1:73" hidden="1">
      <c r="A439" s="6"/>
      <c r="B439" s="108"/>
      <c r="C439" s="1"/>
      <c r="D439" s="6"/>
      <c r="E439" s="6"/>
      <c r="F439" s="1"/>
      <c r="G439" s="43"/>
      <c r="H439" s="43"/>
      <c r="I439" s="43"/>
      <c r="J439" s="3"/>
      <c r="K439" s="3"/>
      <c r="L439" s="3"/>
      <c r="M439" s="3"/>
      <c r="N439" s="3"/>
      <c r="O439" s="1"/>
      <c r="P439" s="1"/>
      <c r="Q439" s="1"/>
      <c r="R439" s="162"/>
      <c r="S439" s="1"/>
      <c r="T439" s="103"/>
      <c r="U439" s="103"/>
      <c r="V439" s="103" t="str">
        <f>$H$10</f>
        <v>Lecturer assistant/Research assistant (Academic)</v>
      </c>
      <c r="W439" s="373">
        <f ca="1">IF(W$426 &lt;= '2.2 Input_General_Information'!$H$40 + '2.2 Input_General_Information'!$H$20, W$407*'2.3 Input_Main_Questionnaire'!$H$156*'2.3 Input_Main_Questionnaire'!$I$30,V439)</f>
        <v>0</v>
      </c>
      <c r="X439" s="373">
        <f ca="1">IF(X$426 &lt;= '2.2 Input_General_Information'!$H$40 + '2.2 Input_General_Information'!$H$20, X$407*'2.3 Input_Main_Questionnaire'!$H$156*'2.3 Input_Main_Questionnaire'!$I$30,W439)</f>
        <v>-3.7924316898496012E-3</v>
      </c>
      <c r="Y439" s="373">
        <f ca="1">IF(Y$426 &lt;= '2.2 Input_General_Information'!$H$40 + '2.2 Input_General_Information'!$H$20, Y$407*'2.3 Input_Main_Questionnaire'!$H$156*'2.3 Input_Main_Questionnaire'!$I$30,X439)</f>
        <v>-4.6015953150269438E-3</v>
      </c>
      <c r="Z439" s="373">
        <f ca="1">IF(Z$426 &lt;= '2.2 Input_General_Information'!$H$40 + '2.2 Input_General_Information'!$H$20, Z$407*'2.3 Input_Main_Questionnaire'!$H$156*'2.3 Input_Main_Questionnaire'!$I$30,Y439)</f>
        <v>-3.7541833656869254E-4</v>
      </c>
      <c r="AA439" s="373">
        <f ca="1">IF(AA$426 &lt;= '2.2 Input_General_Information'!$H$40 + '2.2 Input_General_Information'!$H$20, AA$407*'2.3 Input_Main_Questionnaire'!$H$156*'2.3 Input_Main_Questionnaire'!$I$30,Z439)</f>
        <v>-3.7541833656869254E-4</v>
      </c>
      <c r="AB439" s="373">
        <f ca="1">IF(AB$426 &lt;= '2.2 Input_General_Information'!$H$40 + '2.2 Input_General_Information'!$H$20, AB$407*'2.3 Input_Main_Questionnaire'!$H$156*'2.3 Input_Main_Questionnaire'!$I$30,AA439)</f>
        <v>-3.7541833656869254E-4</v>
      </c>
      <c r="AC439" s="373">
        <f ca="1">IF(AC$426 &lt;= '2.2 Input_General_Information'!$H$40 + '2.2 Input_General_Information'!$H$20, AC$407*'2.3 Input_Main_Questionnaire'!$H$156*'2.3 Input_Main_Questionnaire'!$I$30,AB439)</f>
        <v>-3.7541833656869254E-4</v>
      </c>
      <c r="AD439" s="373">
        <f ca="1">IF(AD$426 &lt;= '2.2 Input_General_Information'!$H$40 + '2.2 Input_General_Information'!$H$20, AD$407*'2.3 Input_Main_Questionnaire'!$H$156*'2.3 Input_Main_Questionnaire'!$I$30,AC439)</f>
        <v>-3.7541833656869254E-4</v>
      </c>
      <c r="AE439" s="373">
        <f ca="1">IF(AE$426 &lt;= '2.2 Input_General_Information'!$H$40 + '2.2 Input_General_Information'!$H$20, AE$407*'2.3 Input_Main_Questionnaire'!$H$156*'2.3 Input_Main_Questionnaire'!$I$30,AD439)</f>
        <v>-3.7541833656869254E-4</v>
      </c>
      <c r="AF439" s="373">
        <f ca="1">IF(AF$426 &lt;= '2.2 Input_General_Information'!$H$40 + '2.2 Input_General_Information'!$H$20, AF$407*'2.3 Input_Main_Questionnaire'!$H$156*'2.3 Input_Main_Questionnaire'!$I$30,AE439)</f>
        <v>-3.7541833656869254E-4</v>
      </c>
      <c r="AG439" s="373">
        <f ca="1">IF(AG$426 &lt;= '2.2 Input_General_Information'!$H$40 + '2.2 Input_General_Information'!$H$20, AG$407*'2.3 Input_Main_Questionnaire'!$H$156*'2.3 Input_Main_Questionnaire'!$I$30,AF439)</f>
        <v>-3.7541833656869254E-4</v>
      </c>
      <c r="AH439" s="373">
        <f ca="1">IF(AH$426 &lt;= '2.2 Input_General_Information'!$H$40 + '2.2 Input_General_Information'!$H$20, AH$407*'2.3 Input_Main_Questionnaire'!$H$156*'2.3 Input_Main_Questionnaire'!$I$30,AG439)</f>
        <v>-3.7541833656869254E-4</v>
      </c>
      <c r="AI439" s="373">
        <f ca="1">IF(AI$426 &lt;= '2.2 Input_General_Information'!$H$40 + '2.2 Input_General_Information'!$H$20, AI$407*'2.3 Input_Main_Questionnaire'!$H$156*'2.3 Input_Main_Questionnaire'!$I$30,AH439)</f>
        <v>-3.7541833656869254E-4</v>
      </c>
      <c r="AJ439" s="373">
        <f ca="1">IF(AJ$426 &lt;= '2.2 Input_General_Information'!$H$40 + '2.2 Input_General_Information'!$H$20, AJ$407*'2.3 Input_Main_Questionnaire'!$H$156*'2.3 Input_Main_Questionnaire'!$I$30,AI439)</f>
        <v>-3.7541833656869254E-4</v>
      </c>
      <c r="AK439" s="373">
        <f ca="1">IF(AK$426 &lt;= '2.2 Input_General_Information'!$H$40 + '2.2 Input_General_Information'!$H$20, AK$407*'2.3 Input_Main_Questionnaire'!$H$156*'2.3 Input_Main_Questionnaire'!$I$30,AJ439)</f>
        <v>-3.7541833656869254E-4</v>
      </c>
      <c r="AL439" s="373">
        <f ca="1">IF(AL$426 &lt;= '2.2 Input_General_Information'!$H$40 + '2.2 Input_General_Information'!$H$20, AL$407*'2.3 Input_Main_Questionnaire'!$H$156*'2.3 Input_Main_Questionnaire'!$I$30,AK439)</f>
        <v>-3.7541833656869254E-4</v>
      </c>
      <c r="AM439" s="373">
        <f ca="1">IF(AM$426 &lt;= '2.2 Input_General_Information'!$H$40 + '2.2 Input_General_Information'!$H$20, AM$407*'2.3 Input_Main_Questionnaire'!$H$156*'2.3 Input_Main_Questionnaire'!$I$30,AL439)</f>
        <v>-3.7541833656869254E-4</v>
      </c>
      <c r="AN439" s="373">
        <f ca="1">IF(AN$426 &lt;= '2.2 Input_General_Information'!$H$40 + '2.2 Input_General_Information'!$H$20, AN$407*'2.3 Input_Main_Questionnaire'!$H$156*'2.3 Input_Main_Questionnaire'!$I$30,AM439)</f>
        <v>-3.7541833656869254E-4</v>
      </c>
      <c r="AO439" s="373">
        <f ca="1">IF(AO$426 &lt;= '2.2 Input_General_Information'!$H$40 + '2.2 Input_General_Information'!$H$20, AO$407*'2.3 Input_Main_Questionnaire'!$H$156*'2.3 Input_Main_Questionnaire'!$I$30,AN439)</f>
        <v>-3.7541833656869254E-4</v>
      </c>
      <c r="AP439" s="373">
        <f ca="1">IF(AP$426 &lt;= '2.2 Input_General_Information'!$H$40 + '2.2 Input_General_Information'!$H$20, AP$407*'2.3 Input_Main_Questionnaire'!$H$156*'2.3 Input_Main_Questionnaire'!$I$30,AO439)</f>
        <v>-3.7541833656869254E-4</v>
      </c>
      <c r="AQ439" s="373">
        <f ca="1">IF(AQ$426 &lt;= '2.2 Input_General_Information'!$H$40 + '2.2 Input_General_Information'!$H$20, AQ$407*'2.3 Input_Main_Questionnaire'!$H$156*'2.3 Input_Main_Questionnaire'!$I$30,AP439)</f>
        <v>-3.7541833656869254E-4</v>
      </c>
      <c r="AR439" s="373">
        <f ca="1">IF(AR$426 &lt;= '2.2 Input_General_Information'!$H$40 + '2.2 Input_General_Information'!$H$20, AR$407*'2.3 Input_Main_Questionnaire'!$H$156*'2.3 Input_Main_Questionnaire'!$I$30,AQ439)</f>
        <v>-3.7541833656869254E-4</v>
      </c>
      <c r="AS439" s="373">
        <f ca="1">IF(AS$426 &lt;= '2.2 Input_General_Information'!$H$40 + '2.2 Input_General_Information'!$H$20, AS$407*'2.3 Input_Main_Questionnaire'!$H$156*'2.3 Input_Main_Questionnaire'!$I$30,AR439)</f>
        <v>-3.7541833656869254E-4</v>
      </c>
      <c r="AT439" s="373">
        <f ca="1">IF(AT$426 &lt;= '2.2 Input_General_Information'!$H$40 + '2.2 Input_General_Information'!$H$20, AT$407*'2.3 Input_Main_Questionnaire'!$H$156*'2.3 Input_Main_Questionnaire'!$I$30,AS439)</f>
        <v>-3.7541833656869254E-4</v>
      </c>
      <c r="AU439" s="373">
        <f ca="1">IF(AU$426 &lt;= '2.2 Input_General_Information'!$H$40 + '2.2 Input_General_Information'!$H$20, AU$407*'2.3 Input_Main_Questionnaire'!$H$156*'2.3 Input_Main_Questionnaire'!$I$30,AT439)</f>
        <v>-3.7541833656869254E-4</v>
      </c>
      <c r="AV439" s="373">
        <f ca="1">IF(AV$426 &lt;= '2.2 Input_General_Information'!$H$40 + '2.2 Input_General_Information'!$H$20, AV$407*'2.3 Input_Main_Questionnaire'!$H$156*'2.3 Input_Main_Questionnaire'!$I$30,AU439)</f>
        <v>-3.7541833656869254E-4</v>
      </c>
      <c r="AW439" s="373">
        <f ca="1">IF(AW$426 &lt;= '2.2 Input_General_Information'!$H$40 + '2.2 Input_General_Information'!$H$20, AW$407*'2.3 Input_Main_Questionnaire'!$H$156*'2.3 Input_Main_Questionnaire'!$I$30,AV439)</f>
        <v>-3.7541833656869254E-4</v>
      </c>
      <c r="AX439" s="373">
        <f ca="1">IF(AX$426 &lt;= '2.2 Input_General_Information'!$H$40 + '2.2 Input_General_Information'!$H$20, AX$407*'2.3 Input_Main_Questionnaire'!$H$156*'2.3 Input_Main_Questionnaire'!$I$30,AW439)</f>
        <v>-3.7541833656869254E-4</v>
      </c>
      <c r="AY439" s="373">
        <f ca="1">IF(AY$426 &lt;= '2.2 Input_General_Information'!$H$40 + '2.2 Input_General_Information'!$H$20, AY$407*'2.3 Input_Main_Questionnaire'!$H$156*'2.3 Input_Main_Questionnaire'!$I$30,AX439)</f>
        <v>-3.7541833656869254E-4</v>
      </c>
      <c r="AZ439" s="373">
        <f ca="1">IF(AZ$426 &lt;= '2.2 Input_General_Information'!$H$40 + '2.2 Input_General_Information'!$H$20, AZ$407*'2.3 Input_Main_Questionnaire'!$H$156*'2.3 Input_Main_Questionnaire'!$I$30,AY439)</f>
        <v>-3.7541833656869254E-4</v>
      </c>
      <c r="BA439" s="373">
        <f ca="1">IF(BA$426 &lt;= '2.2 Input_General_Information'!$H$40 + '2.2 Input_General_Information'!$H$20, BA$407*'2.3 Input_Main_Questionnaire'!$H$156*'2.3 Input_Main_Questionnaire'!$I$30,AZ439)</f>
        <v>-3.7541833656869254E-4</v>
      </c>
      <c r="BB439" s="373">
        <f ca="1">IF(BB$426 &lt;= '2.2 Input_General_Information'!$H$40 + '2.2 Input_General_Information'!$H$20, BB$407*'2.3 Input_Main_Questionnaire'!$H$156*'2.3 Input_Main_Questionnaire'!$I$30,BA439)</f>
        <v>-3.7541833656869254E-4</v>
      </c>
      <c r="BC439" s="373">
        <f ca="1">IF(BC$426 &lt;= '2.2 Input_General_Information'!$H$40 + '2.2 Input_General_Information'!$H$20, BC$407*'2.3 Input_Main_Questionnaire'!$H$156*'2.3 Input_Main_Questionnaire'!$I$30,BB439)</f>
        <v>-3.7541833656869254E-4</v>
      </c>
      <c r="BD439" s="373">
        <f ca="1">IF(BD$426 &lt;= '2.2 Input_General_Information'!$H$40 + '2.2 Input_General_Information'!$H$20, BD$407*'2.3 Input_Main_Questionnaire'!$H$156*'2.3 Input_Main_Questionnaire'!$I$30,BC439)</f>
        <v>-3.7541833656869254E-4</v>
      </c>
      <c r="BE439" s="373">
        <f ca="1">IF(BE$426 &lt;= '2.2 Input_General_Information'!$H$40 + '2.2 Input_General_Information'!$H$20, BE$407*'2.3 Input_Main_Questionnaire'!$H$156*'2.3 Input_Main_Questionnaire'!$I$30,BD439)</f>
        <v>-3.7541833656869254E-4</v>
      </c>
      <c r="BF439" s="373">
        <f ca="1">IF(BF$426 &lt;= '2.2 Input_General_Information'!$H$40 + '2.2 Input_General_Information'!$H$20, BF$407*'2.3 Input_Main_Questionnaire'!$H$156*'2.3 Input_Main_Questionnaire'!$I$30,BE439)</f>
        <v>-3.7541833656869254E-4</v>
      </c>
      <c r="BG439" s="373">
        <f ca="1">IF(BG$426 &lt;= '2.2 Input_General_Information'!$H$40 + '2.2 Input_General_Information'!$H$20, BG$407*'2.3 Input_Main_Questionnaire'!$H$156*'2.3 Input_Main_Questionnaire'!$I$30,BF439)</f>
        <v>-3.7541833656869254E-4</v>
      </c>
      <c r="BH439" s="373">
        <f ca="1">IF(BH$426 &lt;= '2.2 Input_General_Information'!$H$40 + '2.2 Input_General_Information'!$H$20, BH$407*'2.3 Input_Main_Questionnaire'!$H$156*'2.3 Input_Main_Questionnaire'!$I$30,BG439)</f>
        <v>-3.7541833656869254E-4</v>
      </c>
      <c r="BI439" s="373">
        <f ca="1">IF(BI$426 &lt;= '2.2 Input_General_Information'!$H$40 + '2.2 Input_General_Information'!$H$20, BI$407*'2.3 Input_Main_Questionnaire'!$H$156*'2.3 Input_Main_Questionnaire'!$I$30,BH439)</f>
        <v>-3.7541833656869254E-4</v>
      </c>
      <c r="BJ439" s="373">
        <f ca="1">IF(BJ$426 &lt;= '2.2 Input_General_Information'!$H$40 + '2.2 Input_General_Information'!$H$20, BJ$407*'2.3 Input_Main_Questionnaire'!$H$156*'2.3 Input_Main_Questionnaire'!$I$30,BI439)</f>
        <v>-3.7541833656869254E-4</v>
      </c>
      <c r="BK439" s="373">
        <f ca="1">IF(BK$426 &lt;= '2.2 Input_General_Information'!$H$40 + '2.2 Input_General_Information'!$H$20, BK$407*'2.3 Input_Main_Questionnaire'!$H$156*'2.3 Input_Main_Questionnaire'!$I$30,BJ439)</f>
        <v>-3.7541833656869254E-4</v>
      </c>
      <c r="BL439" s="373"/>
      <c r="BM439" s="373"/>
      <c r="BN439" s="373"/>
      <c r="BO439" s="373"/>
      <c r="BP439" s="373"/>
      <c r="BQ439" s="373"/>
      <c r="BR439" s="373"/>
      <c r="BS439" s="373"/>
      <c r="BT439" s="373"/>
      <c r="BU439" s="373"/>
    </row>
    <row r="440" spans="1:73" hidden="1">
      <c r="A440" s="6"/>
      <c r="B440" s="108"/>
      <c r="C440" s="1"/>
      <c r="D440" s="6"/>
      <c r="E440" s="6"/>
      <c r="F440" s="1"/>
      <c r="G440" s="43"/>
      <c r="H440" s="43"/>
      <c r="I440" s="43"/>
      <c r="J440" s="3"/>
      <c r="K440" s="3"/>
      <c r="L440" s="3"/>
      <c r="M440" s="3"/>
      <c r="N440" s="3"/>
      <c r="O440" s="1"/>
      <c r="P440" s="1"/>
      <c r="Q440" s="1"/>
      <c r="R440" s="162"/>
      <c r="S440" s="1"/>
      <c r="T440" s="103"/>
      <c r="U440" s="103"/>
      <c r="V440" s="103" t="str">
        <f>$I$10</f>
        <v>Lecturer/Researcher (Academic)</v>
      </c>
      <c r="W440" s="373">
        <f ca="1">IF(W$426 &lt;= '2.2 Input_General_Information'!$H$40 + '2.2 Input_General_Information'!$H$20, W$407*'2.3 Input_Main_Questionnaire'!$H$156*'2.3 Input_Main_Questionnaire'!$J$30,V440)</f>
        <v>0</v>
      </c>
      <c r="X440" s="373">
        <f ca="1">IF(X$426 &lt;= '2.2 Input_General_Information'!$H$40 + '2.2 Input_General_Information'!$H$20, X$407*'2.3 Input_Main_Questionnaire'!$H$156*'2.3 Input_Main_Questionnaire'!$J$30,W440)</f>
        <v>-3.0526524140269211E-3</v>
      </c>
      <c r="Y440" s="373">
        <f ca="1">IF(Y$426 &lt;= '2.2 Input_General_Information'!$H$40 + '2.2 Input_General_Information'!$H$20, Y$407*'2.3 Input_Main_Questionnaire'!$H$156*'2.3 Input_Main_Questionnaire'!$J$30,X440)</f>
        <v>-3.7039747042481451E-3</v>
      </c>
      <c r="Z440" s="373">
        <f ca="1">IF(Z$426 &lt;= '2.2 Input_General_Information'!$H$40 + '2.2 Input_General_Information'!$H$20, Z$407*'2.3 Input_Main_Questionnaire'!$H$156*'2.3 Input_Main_Questionnaire'!$J$30,Y440)</f>
        <v>-3.021865085833198E-4</v>
      </c>
      <c r="AA440" s="373">
        <f ca="1">IF(AA$426 &lt;= '2.2 Input_General_Information'!$H$40 + '2.2 Input_General_Information'!$H$20, AA$407*'2.3 Input_Main_Questionnaire'!$H$156*'2.3 Input_Main_Questionnaire'!$J$30,Z440)</f>
        <v>-3.021865085833198E-4</v>
      </c>
      <c r="AB440" s="373">
        <f ca="1">IF(AB$426 &lt;= '2.2 Input_General_Information'!$H$40 + '2.2 Input_General_Information'!$H$20, AB$407*'2.3 Input_Main_Questionnaire'!$H$156*'2.3 Input_Main_Questionnaire'!$J$30,AA440)</f>
        <v>-3.021865085833198E-4</v>
      </c>
      <c r="AC440" s="373">
        <f ca="1">IF(AC$426 &lt;= '2.2 Input_General_Information'!$H$40 + '2.2 Input_General_Information'!$H$20, AC$407*'2.3 Input_Main_Questionnaire'!$H$156*'2.3 Input_Main_Questionnaire'!$J$30,AB440)</f>
        <v>-3.021865085833198E-4</v>
      </c>
      <c r="AD440" s="373">
        <f ca="1">IF(AD$426 &lt;= '2.2 Input_General_Information'!$H$40 + '2.2 Input_General_Information'!$H$20, AD$407*'2.3 Input_Main_Questionnaire'!$H$156*'2.3 Input_Main_Questionnaire'!$J$30,AC440)</f>
        <v>-3.021865085833198E-4</v>
      </c>
      <c r="AE440" s="373">
        <f ca="1">IF(AE$426 &lt;= '2.2 Input_General_Information'!$H$40 + '2.2 Input_General_Information'!$H$20, AE$407*'2.3 Input_Main_Questionnaire'!$H$156*'2.3 Input_Main_Questionnaire'!$J$30,AD440)</f>
        <v>-3.021865085833198E-4</v>
      </c>
      <c r="AF440" s="373">
        <f ca="1">IF(AF$426 &lt;= '2.2 Input_General_Information'!$H$40 + '2.2 Input_General_Information'!$H$20, AF$407*'2.3 Input_Main_Questionnaire'!$H$156*'2.3 Input_Main_Questionnaire'!$J$30,AE440)</f>
        <v>-3.021865085833198E-4</v>
      </c>
      <c r="AG440" s="373">
        <f ca="1">IF(AG$426 &lt;= '2.2 Input_General_Information'!$H$40 + '2.2 Input_General_Information'!$H$20, AG$407*'2.3 Input_Main_Questionnaire'!$H$156*'2.3 Input_Main_Questionnaire'!$J$30,AF440)</f>
        <v>-3.021865085833198E-4</v>
      </c>
      <c r="AH440" s="373">
        <f ca="1">IF(AH$426 &lt;= '2.2 Input_General_Information'!$H$40 + '2.2 Input_General_Information'!$H$20, AH$407*'2.3 Input_Main_Questionnaire'!$H$156*'2.3 Input_Main_Questionnaire'!$J$30,AG440)</f>
        <v>-3.021865085833198E-4</v>
      </c>
      <c r="AI440" s="373">
        <f ca="1">IF(AI$426 &lt;= '2.2 Input_General_Information'!$H$40 + '2.2 Input_General_Information'!$H$20, AI$407*'2.3 Input_Main_Questionnaire'!$H$156*'2.3 Input_Main_Questionnaire'!$J$30,AH440)</f>
        <v>-3.021865085833198E-4</v>
      </c>
      <c r="AJ440" s="373">
        <f ca="1">IF(AJ$426 &lt;= '2.2 Input_General_Information'!$H$40 + '2.2 Input_General_Information'!$H$20, AJ$407*'2.3 Input_Main_Questionnaire'!$H$156*'2.3 Input_Main_Questionnaire'!$J$30,AI440)</f>
        <v>-3.021865085833198E-4</v>
      </c>
      <c r="AK440" s="373">
        <f ca="1">IF(AK$426 &lt;= '2.2 Input_General_Information'!$H$40 + '2.2 Input_General_Information'!$H$20, AK$407*'2.3 Input_Main_Questionnaire'!$H$156*'2.3 Input_Main_Questionnaire'!$J$30,AJ440)</f>
        <v>-3.021865085833198E-4</v>
      </c>
      <c r="AL440" s="373">
        <f ca="1">IF(AL$426 &lt;= '2.2 Input_General_Information'!$H$40 + '2.2 Input_General_Information'!$H$20, AL$407*'2.3 Input_Main_Questionnaire'!$H$156*'2.3 Input_Main_Questionnaire'!$J$30,AK440)</f>
        <v>-3.021865085833198E-4</v>
      </c>
      <c r="AM440" s="373">
        <f ca="1">IF(AM$426 &lt;= '2.2 Input_General_Information'!$H$40 + '2.2 Input_General_Information'!$H$20, AM$407*'2.3 Input_Main_Questionnaire'!$H$156*'2.3 Input_Main_Questionnaire'!$J$30,AL440)</f>
        <v>-3.021865085833198E-4</v>
      </c>
      <c r="AN440" s="373">
        <f ca="1">IF(AN$426 &lt;= '2.2 Input_General_Information'!$H$40 + '2.2 Input_General_Information'!$H$20, AN$407*'2.3 Input_Main_Questionnaire'!$H$156*'2.3 Input_Main_Questionnaire'!$J$30,AM440)</f>
        <v>-3.021865085833198E-4</v>
      </c>
      <c r="AO440" s="373">
        <f ca="1">IF(AO$426 &lt;= '2.2 Input_General_Information'!$H$40 + '2.2 Input_General_Information'!$H$20, AO$407*'2.3 Input_Main_Questionnaire'!$H$156*'2.3 Input_Main_Questionnaire'!$J$30,AN440)</f>
        <v>-3.021865085833198E-4</v>
      </c>
      <c r="AP440" s="373">
        <f ca="1">IF(AP$426 &lt;= '2.2 Input_General_Information'!$H$40 + '2.2 Input_General_Information'!$H$20, AP$407*'2.3 Input_Main_Questionnaire'!$H$156*'2.3 Input_Main_Questionnaire'!$J$30,AO440)</f>
        <v>-3.021865085833198E-4</v>
      </c>
      <c r="AQ440" s="373">
        <f ca="1">IF(AQ$426 &lt;= '2.2 Input_General_Information'!$H$40 + '2.2 Input_General_Information'!$H$20, AQ$407*'2.3 Input_Main_Questionnaire'!$H$156*'2.3 Input_Main_Questionnaire'!$J$30,AP440)</f>
        <v>-3.021865085833198E-4</v>
      </c>
      <c r="AR440" s="373">
        <f ca="1">IF(AR$426 &lt;= '2.2 Input_General_Information'!$H$40 + '2.2 Input_General_Information'!$H$20, AR$407*'2.3 Input_Main_Questionnaire'!$H$156*'2.3 Input_Main_Questionnaire'!$J$30,AQ440)</f>
        <v>-3.021865085833198E-4</v>
      </c>
      <c r="AS440" s="373">
        <f ca="1">IF(AS$426 &lt;= '2.2 Input_General_Information'!$H$40 + '2.2 Input_General_Information'!$H$20, AS$407*'2.3 Input_Main_Questionnaire'!$H$156*'2.3 Input_Main_Questionnaire'!$J$30,AR440)</f>
        <v>-3.021865085833198E-4</v>
      </c>
      <c r="AT440" s="373">
        <f ca="1">IF(AT$426 &lt;= '2.2 Input_General_Information'!$H$40 + '2.2 Input_General_Information'!$H$20, AT$407*'2.3 Input_Main_Questionnaire'!$H$156*'2.3 Input_Main_Questionnaire'!$J$30,AS440)</f>
        <v>-3.021865085833198E-4</v>
      </c>
      <c r="AU440" s="373">
        <f ca="1">IF(AU$426 &lt;= '2.2 Input_General_Information'!$H$40 + '2.2 Input_General_Information'!$H$20, AU$407*'2.3 Input_Main_Questionnaire'!$H$156*'2.3 Input_Main_Questionnaire'!$J$30,AT440)</f>
        <v>-3.021865085833198E-4</v>
      </c>
      <c r="AV440" s="373">
        <f ca="1">IF(AV$426 &lt;= '2.2 Input_General_Information'!$H$40 + '2.2 Input_General_Information'!$H$20, AV$407*'2.3 Input_Main_Questionnaire'!$H$156*'2.3 Input_Main_Questionnaire'!$J$30,AU440)</f>
        <v>-3.021865085833198E-4</v>
      </c>
      <c r="AW440" s="373">
        <f ca="1">IF(AW$426 &lt;= '2.2 Input_General_Information'!$H$40 + '2.2 Input_General_Information'!$H$20, AW$407*'2.3 Input_Main_Questionnaire'!$H$156*'2.3 Input_Main_Questionnaire'!$J$30,AV440)</f>
        <v>-3.021865085833198E-4</v>
      </c>
      <c r="AX440" s="373">
        <f ca="1">IF(AX$426 &lt;= '2.2 Input_General_Information'!$H$40 + '2.2 Input_General_Information'!$H$20, AX$407*'2.3 Input_Main_Questionnaire'!$H$156*'2.3 Input_Main_Questionnaire'!$J$30,AW440)</f>
        <v>-3.021865085833198E-4</v>
      </c>
      <c r="AY440" s="373">
        <f ca="1">IF(AY$426 &lt;= '2.2 Input_General_Information'!$H$40 + '2.2 Input_General_Information'!$H$20, AY$407*'2.3 Input_Main_Questionnaire'!$H$156*'2.3 Input_Main_Questionnaire'!$J$30,AX440)</f>
        <v>-3.021865085833198E-4</v>
      </c>
      <c r="AZ440" s="373">
        <f ca="1">IF(AZ$426 &lt;= '2.2 Input_General_Information'!$H$40 + '2.2 Input_General_Information'!$H$20, AZ$407*'2.3 Input_Main_Questionnaire'!$H$156*'2.3 Input_Main_Questionnaire'!$J$30,AY440)</f>
        <v>-3.021865085833198E-4</v>
      </c>
      <c r="BA440" s="373">
        <f ca="1">IF(BA$426 &lt;= '2.2 Input_General_Information'!$H$40 + '2.2 Input_General_Information'!$H$20, BA$407*'2.3 Input_Main_Questionnaire'!$H$156*'2.3 Input_Main_Questionnaire'!$J$30,AZ440)</f>
        <v>-3.021865085833198E-4</v>
      </c>
      <c r="BB440" s="373">
        <f ca="1">IF(BB$426 &lt;= '2.2 Input_General_Information'!$H$40 + '2.2 Input_General_Information'!$H$20, BB$407*'2.3 Input_Main_Questionnaire'!$H$156*'2.3 Input_Main_Questionnaire'!$J$30,BA440)</f>
        <v>-3.021865085833198E-4</v>
      </c>
      <c r="BC440" s="373">
        <f ca="1">IF(BC$426 &lt;= '2.2 Input_General_Information'!$H$40 + '2.2 Input_General_Information'!$H$20, BC$407*'2.3 Input_Main_Questionnaire'!$H$156*'2.3 Input_Main_Questionnaire'!$J$30,BB440)</f>
        <v>-3.021865085833198E-4</v>
      </c>
      <c r="BD440" s="373">
        <f ca="1">IF(BD$426 &lt;= '2.2 Input_General_Information'!$H$40 + '2.2 Input_General_Information'!$H$20, BD$407*'2.3 Input_Main_Questionnaire'!$H$156*'2.3 Input_Main_Questionnaire'!$J$30,BC440)</f>
        <v>-3.021865085833198E-4</v>
      </c>
      <c r="BE440" s="373">
        <f ca="1">IF(BE$426 &lt;= '2.2 Input_General_Information'!$H$40 + '2.2 Input_General_Information'!$H$20, BE$407*'2.3 Input_Main_Questionnaire'!$H$156*'2.3 Input_Main_Questionnaire'!$J$30,BD440)</f>
        <v>-3.021865085833198E-4</v>
      </c>
      <c r="BF440" s="373">
        <f ca="1">IF(BF$426 &lt;= '2.2 Input_General_Information'!$H$40 + '2.2 Input_General_Information'!$H$20, BF$407*'2.3 Input_Main_Questionnaire'!$H$156*'2.3 Input_Main_Questionnaire'!$J$30,BE440)</f>
        <v>-3.021865085833198E-4</v>
      </c>
      <c r="BG440" s="373">
        <f ca="1">IF(BG$426 &lt;= '2.2 Input_General_Information'!$H$40 + '2.2 Input_General_Information'!$H$20, BG$407*'2.3 Input_Main_Questionnaire'!$H$156*'2.3 Input_Main_Questionnaire'!$J$30,BF440)</f>
        <v>-3.021865085833198E-4</v>
      </c>
      <c r="BH440" s="373">
        <f ca="1">IF(BH$426 &lt;= '2.2 Input_General_Information'!$H$40 + '2.2 Input_General_Information'!$H$20, BH$407*'2.3 Input_Main_Questionnaire'!$H$156*'2.3 Input_Main_Questionnaire'!$J$30,BG440)</f>
        <v>-3.021865085833198E-4</v>
      </c>
      <c r="BI440" s="373">
        <f ca="1">IF(BI$426 &lt;= '2.2 Input_General_Information'!$H$40 + '2.2 Input_General_Information'!$H$20, BI$407*'2.3 Input_Main_Questionnaire'!$H$156*'2.3 Input_Main_Questionnaire'!$J$30,BH440)</f>
        <v>-3.021865085833198E-4</v>
      </c>
      <c r="BJ440" s="373">
        <f ca="1">IF(BJ$426 &lt;= '2.2 Input_General_Information'!$H$40 + '2.2 Input_General_Information'!$H$20, BJ$407*'2.3 Input_Main_Questionnaire'!$H$156*'2.3 Input_Main_Questionnaire'!$J$30,BI440)</f>
        <v>-3.021865085833198E-4</v>
      </c>
      <c r="BK440" s="373">
        <f ca="1">IF(BK$426 &lt;= '2.2 Input_General_Information'!$H$40 + '2.2 Input_General_Information'!$H$20, BK$407*'2.3 Input_Main_Questionnaire'!$H$156*'2.3 Input_Main_Questionnaire'!$J$30,BJ440)</f>
        <v>-3.021865085833198E-4</v>
      </c>
      <c r="BL440" s="373"/>
      <c r="BM440" s="373"/>
      <c r="BN440" s="373"/>
      <c r="BO440" s="373"/>
      <c r="BP440" s="373"/>
      <c r="BQ440" s="373"/>
      <c r="BR440" s="373"/>
      <c r="BS440" s="373"/>
      <c r="BT440" s="373"/>
      <c r="BU440" s="373"/>
    </row>
    <row r="441" spans="1:73" hidden="1">
      <c r="A441" s="6"/>
      <c r="B441" s="108"/>
      <c r="C441" s="1"/>
      <c r="D441" s="6"/>
      <c r="E441" s="6"/>
      <c r="F441" s="1"/>
      <c r="G441" s="43"/>
      <c r="H441" s="43"/>
      <c r="I441" s="43"/>
      <c r="J441" s="3"/>
      <c r="K441" s="3"/>
      <c r="L441" s="3"/>
      <c r="M441" s="3"/>
      <c r="N441" s="3"/>
      <c r="O441" s="1"/>
      <c r="P441" s="1"/>
      <c r="Q441" s="1"/>
      <c r="R441" s="162"/>
      <c r="S441" s="1"/>
      <c r="T441" s="103"/>
      <c r="U441" s="103"/>
      <c r="V441" s="103" t="str">
        <f>$J$10</f>
        <v>Other</v>
      </c>
      <c r="W441" s="373">
        <f ca="1">IF(W$426 &lt;= '2.2 Input_General_Information'!$H$40 + '2.2 Input_General_Information'!$H$20, W$407*'2.3 Input_Main_Questionnaire'!$H$156*'2.3 Input_Main_Questionnaire'!$K$30,V441)</f>
        <v>0</v>
      </c>
      <c r="X441" s="373">
        <f ca="1">IF(X$426 &lt;= '2.2 Input_General_Information'!$H$40 + '2.2 Input_General_Information'!$H$20, X$407*'2.3 Input_Main_Questionnaire'!$H$156*'2.3 Input_Main_Questionnaire'!$K$30,W441)</f>
        <v>-4.0645344119912769E-3</v>
      </c>
      <c r="Y441" s="373">
        <f ca="1">IF(Y$426 &lt;= '2.2 Input_General_Information'!$H$40 + '2.2 Input_General_Information'!$H$20, Y$407*'2.3 Input_Main_Questionnaire'!$H$156*'2.3 Input_Main_Questionnaire'!$K$30,X441)</f>
        <v>-4.9317546201409846E-3</v>
      </c>
      <c r="Z441" s="373">
        <f ca="1">IF(Z$426 &lt;= '2.2 Input_General_Information'!$H$40 + '2.2 Input_General_Information'!$H$20, Z$407*'2.3 Input_Main_Questionnaire'!$H$156*'2.3 Input_Main_Questionnaire'!$K$30,Y441)</f>
        <v>-4.0235418134492161E-4</v>
      </c>
      <c r="AA441" s="373">
        <f ca="1">IF(AA$426 &lt;= '2.2 Input_General_Information'!$H$40 + '2.2 Input_General_Information'!$H$20, AA$407*'2.3 Input_Main_Questionnaire'!$H$156*'2.3 Input_Main_Questionnaire'!$K$30,Z441)</f>
        <v>-4.0235418134492161E-4</v>
      </c>
      <c r="AB441" s="373">
        <f ca="1">IF(AB$426 &lt;= '2.2 Input_General_Information'!$H$40 + '2.2 Input_General_Information'!$H$20, AB$407*'2.3 Input_Main_Questionnaire'!$H$156*'2.3 Input_Main_Questionnaire'!$K$30,AA441)</f>
        <v>-4.0235418134492161E-4</v>
      </c>
      <c r="AC441" s="373">
        <f ca="1">IF(AC$426 &lt;= '2.2 Input_General_Information'!$H$40 + '2.2 Input_General_Information'!$H$20, AC$407*'2.3 Input_Main_Questionnaire'!$H$156*'2.3 Input_Main_Questionnaire'!$K$30,AB441)</f>
        <v>-4.0235418134492161E-4</v>
      </c>
      <c r="AD441" s="373">
        <f ca="1">IF(AD$426 &lt;= '2.2 Input_General_Information'!$H$40 + '2.2 Input_General_Information'!$H$20, AD$407*'2.3 Input_Main_Questionnaire'!$H$156*'2.3 Input_Main_Questionnaire'!$K$30,AC441)</f>
        <v>-4.0235418134492161E-4</v>
      </c>
      <c r="AE441" s="373">
        <f ca="1">IF(AE$426 &lt;= '2.2 Input_General_Information'!$H$40 + '2.2 Input_General_Information'!$H$20, AE$407*'2.3 Input_Main_Questionnaire'!$H$156*'2.3 Input_Main_Questionnaire'!$K$30,AD441)</f>
        <v>-4.0235418134492161E-4</v>
      </c>
      <c r="AF441" s="373">
        <f ca="1">IF(AF$426 &lt;= '2.2 Input_General_Information'!$H$40 + '2.2 Input_General_Information'!$H$20, AF$407*'2.3 Input_Main_Questionnaire'!$H$156*'2.3 Input_Main_Questionnaire'!$K$30,AE441)</f>
        <v>-4.0235418134492161E-4</v>
      </c>
      <c r="AG441" s="373">
        <f ca="1">IF(AG$426 &lt;= '2.2 Input_General_Information'!$H$40 + '2.2 Input_General_Information'!$H$20, AG$407*'2.3 Input_Main_Questionnaire'!$H$156*'2.3 Input_Main_Questionnaire'!$K$30,AF441)</f>
        <v>-4.0235418134492161E-4</v>
      </c>
      <c r="AH441" s="373">
        <f ca="1">IF(AH$426 &lt;= '2.2 Input_General_Information'!$H$40 + '2.2 Input_General_Information'!$H$20, AH$407*'2.3 Input_Main_Questionnaire'!$H$156*'2.3 Input_Main_Questionnaire'!$K$30,AG441)</f>
        <v>-4.0235418134492161E-4</v>
      </c>
      <c r="AI441" s="373">
        <f ca="1">IF(AI$426 &lt;= '2.2 Input_General_Information'!$H$40 + '2.2 Input_General_Information'!$H$20, AI$407*'2.3 Input_Main_Questionnaire'!$H$156*'2.3 Input_Main_Questionnaire'!$K$30,AH441)</f>
        <v>-4.0235418134492161E-4</v>
      </c>
      <c r="AJ441" s="373">
        <f ca="1">IF(AJ$426 &lt;= '2.2 Input_General_Information'!$H$40 + '2.2 Input_General_Information'!$H$20, AJ$407*'2.3 Input_Main_Questionnaire'!$H$156*'2.3 Input_Main_Questionnaire'!$K$30,AI441)</f>
        <v>-4.0235418134492161E-4</v>
      </c>
      <c r="AK441" s="373">
        <f ca="1">IF(AK$426 &lt;= '2.2 Input_General_Information'!$H$40 + '2.2 Input_General_Information'!$H$20, AK$407*'2.3 Input_Main_Questionnaire'!$H$156*'2.3 Input_Main_Questionnaire'!$K$30,AJ441)</f>
        <v>-4.0235418134492161E-4</v>
      </c>
      <c r="AL441" s="373">
        <f ca="1">IF(AL$426 &lt;= '2.2 Input_General_Information'!$H$40 + '2.2 Input_General_Information'!$H$20, AL$407*'2.3 Input_Main_Questionnaire'!$H$156*'2.3 Input_Main_Questionnaire'!$K$30,AK441)</f>
        <v>-4.0235418134492161E-4</v>
      </c>
      <c r="AM441" s="373">
        <f ca="1">IF(AM$426 &lt;= '2.2 Input_General_Information'!$H$40 + '2.2 Input_General_Information'!$H$20, AM$407*'2.3 Input_Main_Questionnaire'!$H$156*'2.3 Input_Main_Questionnaire'!$K$30,AL441)</f>
        <v>-4.0235418134492161E-4</v>
      </c>
      <c r="AN441" s="373">
        <f ca="1">IF(AN$426 &lt;= '2.2 Input_General_Information'!$H$40 + '2.2 Input_General_Information'!$H$20, AN$407*'2.3 Input_Main_Questionnaire'!$H$156*'2.3 Input_Main_Questionnaire'!$K$30,AM441)</f>
        <v>-4.0235418134492161E-4</v>
      </c>
      <c r="AO441" s="373">
        <f ca="1">IF(AO$426 &lt;= '2.2 Input_General_Information'!$H$40 + '2.2 Input_General_Information'!$H$20, AO$407*'2.3 Input_Main_Questionnaire'!$H$156*'2.3 Input_Main_Questionnaire'!$K$30,AN441)</f>
        <v>-4.0235418134492161E-4</v>
      </c>
      <c r="AP441" s="373">
        <f ca="1">IF(AP$426 &lt;= '2.2 Input_General_Information'!$H$40 + '2.2 Input_General_Information'!$H$20, AP$407*'2.3 Input_Main_Questionnaire'!$H$156*'2.3 Input_Main_Questionnaire'!$K$30,AO441)</f>
        <v>-4.0235418134492161E-4</v>
      </c>
      <c r="AQ441" s="373">
        <f ca="1">IF(AQ$426 &lt;= '2.2 Input_General_Information'!$H$40 + '2.2 Input_General_Information'!$H$20, AQ$407*'2.3 Input_Main_Questionnaire'!$H$156*'2.3 Input_Main_Questionnaire'!$K$30,AP441)</f>
        <v>-4.0235418134492161E-4</v>
      </c>
      <c r="AR441" s="373">
        <f ca="1">IF(AR$426 &lt;= '2.2 Input_General_Information'!$H$40 + '2.2 Input_General_Information'!$H$20, AR$407*'2.3 Input_Main_Questionnaire'!$H$156*'2.3 Input_Main_Questionnaire'!$K$30,AQ441)</f>
        <v>-4.0235418134492161E-4</v>
      </c>
      <c r="AS441" s="373">
        <f ca="1">IF(AS$426 &lt;= '2.2 Input_General_Information'!$H$40 + '2.2 Input_General_Information'!$H$20, AS$407*'2.3 Input_Main_Questionnaire'!$H$156*'2.3 Input_Main_Questionnaire'!$K$30,AR441)</f>
        <v>-4.0235418134492161E-4</v>
      </c>
      <c r="AT441" s="373">
        <f ca="1">IF(AT$426 &lt;= '2.2 Input_General_Information'!$H$40 + '2.2 Input_General_Information'!$H$20, AT$407*'2.3 Input_Main_Questionnaire'!$H$156*'2.3 Input_Main_Questionnaire'!$K$30,AS441)</f>
        <v>-4.0235418134492161E-4</v>
      </c>
      <c r="AU441" s="373">
        <f ca="1">IF(AU$426 &lt;= '2.2 Input_General_Information'!$H$40 + '2.2 Input_General_Information'!$H$20, AU$407*'2.3 Input_Main_Questionnaire'!$H$156*'2.3 Input_Main_Questionnaire'!$K$30,AT441)</f>
        <v>-4.0235418134492161E-4</v>
      </c>
      <c r="AV441" s="373">
        <f ca="1">IF(AV$426 &lt;= '2.2 Input_General_Information'!$H$40 + '2.2 Input_General_Information'!$H$20, AV$407*'2.3 Input_Main_Questionnaire'!$H$156*'2.3 Input_Main_Questionnaire'!$K$30,AU441)</f>
        <v>-4.0235418134492161E-4</v>
      </c>
      <c r="AW441" s="373">
        <f ca="1">IF(AW$426 &lt;= '2.2 Input_General_Information'!$H$40 + '2.2 Input_General_Information'!$H$20, AW$407*'2.3 Input_Main_Questionnaire'!$H$156*'2.3 Input_Main_Questionnaire'!$K$30,AV441)</f>
        <v>-4.0235418134492161E-4</v>
      </c>
      <c r="AX441" s="373">
        <f ca="1">IF(AX$426 &lt;= '2.2 Input_General_Information'!$H$40 + '2.2 Input_General_Information'!$H$20, AX$407*'2.3 Input_Main_Questionnaire'!$H$156*'2.3 Input_Main_Questionnaire'!$K$30,AW441)</f>
        <v>-4.0235418134492161E-4</v>
      </c>
      <c r="AY441" s="373">
        <f ca="1">IF(AY$426 &lt;= '2.2 Input_General_Information'!$H$40 + '2.2 Input_General_Information'!$H$20, AY$407*'2.3 Input_Main_Questionnaire'!$H$156*'2.3 Input_Main_Questionnaire'!$K$30,AX441)</f>
        <v>-4.0235418134492161E-4</v>
      </c>
      <c r="AZ441" s="373">
        <f ca="1">IF(AZ$426 &lt;= '2.2 Input_General_Information'!$H$40 + '2.2 Input_General_Information'!$H$20, AZ$407*'2.3 Input_Main_Questionnaire'!$H$156*'2.3 Input_Main_Questionnaire'!$K$30,AY441)</f>
        <v>-4.0235418134492161E-4</v>
      </c>
      <c r="BA441" s="373">
        <f ca="1">IF(BA$426 &lt;= '2.2 Input_General_Information'!$H$40 + '2.2 Input_General_Information'!$H$20, BA$407*'2.3 Input_Main_Questionnaire'!$H$156*'2.3 Input_Main_Questionnaire'!$K$30,AZ441)</f>
        <v>-4.0235418134492161E-4</v>
      </c>
      <c r="BB441" s="373">
        <f ca="1">IF(BB$426 &lt;= '2.2 Input_General_Information'!$H$40 + '2.2 Input_General_Information'!$H$20, BB$407*'2.3 Input_Main_Questionnaire'!$H$156*'2.3 Input_Main_Questionnaire'!$K$30,BA441)</f>
        <v>-4.0235418134492161E-4</v>
      </c>
      <c r="BC441" s="373">
        <f ca="1">IF(BC$426 &lt;= '2.2 Input_General_Information'!$H$40 + '2.2 Input_General_Information'!$H$20, BC$407*'2.3 Input_Main_Questionnaire'!$H$156*'2.3 Input_Main_Questionnaire'!$K$30,BB441)</f>
        <v>-4.0235418134492161E-4</v>
      </c>
      <c r="BD441" s="373">
        <f ca="1">IF(BD$426 &lt;= '2.2 Input_General_Information'!$H$40 + '2.2 Input_General_Information'!$H$20, BD$407*'2.3 Input_Main_Questionnaire'!$H$156*'2.3 Input_Main_Questionnaire'!$K$30,BC441)</f>
        <v>-4.0235418134492161E-4</v>
      </c>
      <c r="BE441" s="373">
        <f ca="1">IF(BE$426 &lt;= '2.2 Input_General_Information'!$H$40 + '2.2 Input_General_Information'!$H$20, BE$407*'2.3 Input_Main_Questionnaire'!$H$156*'2.3 Input_Main_Questionnaire'!$K$30,BD441)</f>
        <v>-4.0235418134492161E-4</v>
      </c>
      <c r="BF441" s="373">
        <f ca="1">IF(BF$426 &lt;= '2.2 Input_General_Information'!$H$40 + '2.2 Input_General_Information'!$H$20, BF$407*'2.3 Input_Main_Questionnaire'!$H$156*'2.3 Input_Main_Questionnaire'!$K$30,BE441)</f>
        <v>-4.0235418134492161E-4</v>
      </c>
      <c r="BG441" s="373">
        <f ca="1">IF(BG$426 &lt;= '2.2 Input_General_Information'!$H$40 + '2.2 Input_General_Information'!$H$20, BG$407*'2.3 Input_Main_Questionnaire'!$H$156*'2.3 Input_Main_Questionnaire'!$K$30,BF441)</f>
        <v>-4.0235418134492161E-4</v>
      </c>
      <c r="BH441" s="373">
        <f ca="1">IF(BH$426 &lt;= '2.2 Input_General_Information'!$H$40 + '2.2 Input_General_Information'!$H$20, BH$407*'2.3 Input_Main_Questionnaire'!$H$156*'2.3 Input_Main_Questionnaire'!$K$30,BG441)</f>
        <v>-4.0235418134492161E-4</v>
      </c>
      <c r="BI441" s="373">
        <f ca="1">IF(BI$426 &lt;= '2.2 Input_General_Information'!$H$40 + '2.2 Input_General_Information'!$H$20, BI$407*'2.3 Input_Main_Questionnaire'!$H$156*'2.3 Input_Main_Questionnaire'!$K$30,BH441)</f>
        <v>-4.0235418134492161E-4</v>
      </c>
      <c r="BJ441" s="373">
        <f ca="1">IF(BJ$426 &lt;= '2.2 Input_General_Information'!$H$40 + '2.2 Input_General_Information'!$H$20, BJ$407*'2.3 Input_Main_Questionnaire'!$H$156*'2.3 Input_Main_Questionnaire'!$K$30,BI441)</f>
        <v>-4.0235418134492161E-4</v>
      </c>
      <c r="BK441" s="373">
        <f ca="1">IF(BK$426 &lt;= '2.2 Input_General_Information'!$H$40 + '2.2 Input_General_Information'!$H$20, BK$407*'2.3 Input_Main_Questionnaire'!$H$156*'2.3 Input_Main_Questionnaire'!$K$30,BJ441)</f>
        <v>-4.0235418134492161E-4</v>
      </c>
      <c r="BL441" s="373"/>
      <c r="BM441" s="373"/>
      <c r="BN441" s="373"/>
      <c r="BO441" s="373"/>
      <c r="BP441" s="373"/>
      <c r="BQ441" s="373"/>
      <c r="BR441" s="373"/>
      <c r="BS441" s="373"/>
      <c r="BT441" s="373"/>
      <c r="BU441" s="373"/>
    </row>
    <row r="442" spans="1:73" hidden="1">
      <c r="A442" s="6"/>
      <c r="B442" s="108"/>
      <c r="C442" s="1"/>
      <c r="D442" s="6"/>
      <c r="E442" s="6"/>
      <c r="F442" s="1"/>
      <c r="G442" s="43"/>
      <c r="H442" s="43"/>
      <c r="I442" s="43"/>
      <c r="J442" s="3"/>
      <c r="K442" s="3"/>
      <c r="L442" s="3"/>
      <c r="M442" s="3"/>
      <c r="N442" s="3"/>
      <c r="O442" s="1"/>
      <c r="P442" s="1"/>
      <c r="Q442" s="1"/>
      <c r="R442" s="162"/>
      <c r="S442" s="1"/>
      <c r="T442" s="103"/>
      <c r="U442" s="103"/>
      <c r="V442" s="103" t="str">
        <f>$K$10</f>
        <v>Profile 5</v>
      </c>
      <c r="W442" s="373">
        <f ca="1">IF(W$426 &lt;= '2.2 Input_General_Information'!$H$40 + '2.2 Input_General_Information'!$H$20, W$407*'2.3 Input_Main_Questionnaire'!$H$156*'2.3 Input_Main_Questionnaire'!$L$30,V442)</f>
        <v>0</v>
      </c>
      <c r="X442" s="373">
        <f ca="1">IF(X$426 &lt;= '2.2 Input_General_Information'!$H$40 + '2.2 Input_General_Information'!$H$20, X$407*'2.3 Input_Main_Questionnaire'!$H$156*'2.3 Input_Main_Questionnaire'!$L$30,W442)</f>
        <v>-3.3693969890199651E-3</v>
      </c>
      <c r="Y442" s="373">
        <f ca="1">IF(Y$426 &lt;= '2.2 Input_General_Information'!$H$40 + '2.2 Input_General_Information'!$H$20, Y$407*'2.3 Input_Main_Questionnaire'!$H$156*'2.3 Input_Main_Questionnaire'!$L$30,X442)</f>
        <v>-4.088300770357458E-3</v>
      </c>
      <c r="Z442" s="373">
        <f ca="1">IF(Z$426 &lt;= '2.2 Input_General_Information'!$H$40 + '2.2 Input_General_Information'!$H$20, Z$407*'2.3 Input_Main_Questionnaire'!$H$156*'2.3 Input_Main_Questionnaire'!$L$30,Y442)</f>
        <v>-3.3354151539314892E-4</v>
      </c>
      <c r="AA442" s="373">
        <f ca="1">IF(AA$426 &lt;= '2.2 Input_General_Information'!$H$40 + '2.2 Input_General_Information'!$H$20, AA$407*'2.3 Input_Main_Questionnaire'!$H$156*'2.3 Input_Main_Questionnaire'!$L$30,Z442)</f>
        <v>-3.3354151539314892E-4</v>
      </c>
      <c r="AB442" s="373">
        <f ca="1">IF(AB$426 &lt;= '2.2 Input_General_Information'!$H$40 + '2.2 Input_General_Information'!$H$20, AB$407*'2.3 Input_Main_Questionnaire'!$H$156*'2.3 Input_Main_Questionnaire'!$L$30,AA442)</f>
        <v>-3.3354151539314892E-4</v>
      </c>
      <c r="AC442" s="373">
        <f ca="1">IF(AC$426 &lt;= '2.2 Input_General_Information'!$H$40 + '2.2 Input_General_Information'!$H$20, AC$407*'2.3 Input_Main_Questionnaire'!$H$156*'2.3 Input_Main_Questionnaire'!$L$30,AB442)</f>
        <v>-3.3354151539314892E-4</v>
      </c>
      <c r="AD442" s="373">
        <f ca="1">IF(AD$426 &lt;= '2.2 Input_General_Information'!$H$40 + '2.2 Input_General_Information'!$H$20, AD$407*'2.3 Input_Main_Questionnaire'!$H$156*'2.3 Input_Main_Questionnaire'!$L$30,AC442)</f>
        <v>-3.3354151539314892E-4</v>
      </c>
      <c r="AE442" s="373">
        <f ca="1">IF(AE$426 &lt;= '2.2 Input_General_Information'!$H$40 + '2.2 Input_General_Information'!$H$20, AE$407*'2.3 Input_Main_Questionnaire'!$H$156*'2.3 Input_Main_Questionnaire'!$L$30,AD442)</f>
        <v>-3.3354151539314892E-4</v>
      </c>
      <c r="AF442" s="373">
        <f ca="1">IF(AF$426 &lt;= '2.2 Input_General_Information'!$H$40 + '2.2 Input_General_Information'!$H$20, AF$407*'2.3 Input_Main_Questionnaire'!$H$156*'2.3 Input_Main_Questionnaire'!$L$30,AE442)</f>
        <v>-3.3354151539314892E-4</v>
      </c>
      <c r="AG442" s="373">
        <f ca="1">IF(AG$426 &lt;= '2.2 Input_General_Information'!$H$40 + '2.2 Input_General_Information'!$H$20, AG$407*'2.3 Input_Main_Questionnaire'!$H$156*'2.3 Input_Main_Questionnaire'!$L$30,AF442)</f>
        <v>-3.3354151539314892E-4</v>
      </c>
      <c r="AH442" s="373">
        <f ca="1">IF(AH$426 &lt;= '2.2 Input_General_Information'!$H$40 + '2.2 Input_General_Information'!$H$20, AH$407*'2.3 Input_Main_Questionnaire'!$H$156*'2.3 Input_Main_Questionnaire'!$L$30,AG442)</f>
        <v>-3.3354151539314892E-4</v>
      </c>
      <c r="AI442" s="373">
        <f ca="1">IF(AI$426 &lt;= '2.2 Input_General_Information'!$H$40 + '2.2 Input_General_Information'!$H$20, AI$407*'2.3 Input_Main_Questionnaire'!$H$156*'2.3 Input_Main_Questionnaire'!$L$30,AH442)</f>
        <v>-3.3354151539314892E-4</v>
      </c>
      <c r="AJ442" s="373">
        <f ca="1">IF(AJ$426 &lt;= '2.2 Input_General_Information'!$H$40 + '2.2 Input_General_Information'!$H$20, AJ$407*'2.3 Input_Main_Questionnaire'!$H$156*'2.3 Input_Main_Questionnaire'!$L$30,AI442)</f>
        <v>-3.3354151539314892E-4</v>
      </c>
      <c r="AK442" s="373">
        <f ca="1">IF(AK$426 &lt;= '2.2 Input_General_Information'!$H$40 + '2.2 Input_General_Information'!$H$20, AK$407*'2.3 Input_Main_Questionnaire'!$H$156*'2.3 Input_Main_Questionnaire'!$L$30,AJ442)</f>
        <v>-3.3354151539314892E-4</v>
      </c>
      <c r="AL442" s="373">
        <f ca="1">IF(AL$426 &lt;= '2.2 Input_General_Information'!$H$40 + '2.2 Input_General_Information'!$H$20, AL$407*'2.3 Input_Main_Questionnaire'!$H$156*'2.3 Input_Main_Questionnaire'!$L$30,AK442)</f>
        <v>-3.3354151539314892E-4</v>
      </c>
      <c r="AM442" s="373">
        <f ca="1">IF(AM$426 &lt;= '2.2 Input_General_Information'!$H$40 + '2.2 Input_General_Information'!$H$20, AM$407*'2.3 Input_Main_Questionnaire'!$H$156*'2.3 Input_Main_Questionnaire'!$L$30,AL442)</f>
        <v>-3.3354151539314892E-4</v>
      </c>
      <c r="AN442" s="373">
        <f ca="1">IF(AN$426 &lt;= '2.2 Input_General_Information'!$H$40 + '2.2 Input_General_Information'!$H$20, AN$407*'2.3 Input_Main_Questionnaire'!$H$156*'2.3 Input_Main_Questionnaire'!$L$30,AM442)</f>
        <v>-3.3354151539314892E-4</v>
      </c>
      <c r="AO442" s="373">
        <f ca="1">IF(AO$426 &lt;= '2.2 Input_General_Information'!$H$40 + '2.2 Input_General_Information'!$H$20, AO$407*'2.3 Input_Main_Questionnaire'!$H$156*'2.3 Input_Main_Questionnaire'!$L$30,AN442)</f>
        <v>-3.3354151539314892E-4</v>
      </c>
      <c r="AP442" s="373">
        <f ca="1">IF(AP$426 &lt;= '2.2 Input_General_Information'!$H$40 + '2.2 Input_General_Information'!$H$20, AP$407*'2.3 Input_Main_Questionnaire'!$H$156*'2.3 Input_Main_Questionnaire'!$L$30,AO442)</f>
        <v>-3.3354151539314892E-4</v>
      </c>
      <c r="AQ442" s="373">
        <f ca="1">IF(AQ$426 &lt;= '2.2 Input_General_Information'!$H$40 + '2.2 Input_General_Information'!$H$20, AQ$407*'2.3 Input_Main_Questionnaire'!$H$156*'2.3 Input_Main_Questionnaire'!$L$30,AP442)</f>
        <v>-3.3354151539314892E-4</v>
      </c>
      <c r="AR442" s="373">
        <f ca="1">IF(AR$426 &lt;= '2.2 Input_General_Information'!$H$40 + '2.2 Input_General_Information'!$H$20, AR$407*'2.3 Input_Main_Questionnaire'!$H$156*'2.3 Input_Main_Questionnaire'!$L$30,AQ442)</f>
        <v>-3.3354151539314892E-4</v>
      </c>
      <c r="AS442" s="373">
        <f ca="1">IF(AS$426 &lt;= '2.2 Input_General_Information'!$H$40 + '2.2 Input_General_Information'!$H$20, AS$407*'2.3 Input_Main_Questionnaire'!$H$156*'2.3 Input_Main_Questionnaire'!$L$30,AR442)</f>
        <v>-3.3354151539314892E-4</v>
      </c>
      <c r="AT442" s="373">
        <f ca="1">IF(AT$426 &lt;= '2.2 Input_General_Information'!$H$40 + '2.2 Input_General_Information'!$H$20, AT$407*'2.3 Input_Main_Questionnaire'!$H$156*'2.3 Input_Main_Questionnaire'!$L$30,AS442)</f>
        <v>-3.3354151539314892E-4</v>
      </c>
      <c r="AU442" s="373">
        <f ca="1">IF(AU$426 &lt;= '2.2 Input_General_Information'!$H$40 + '2.2 Input_General_Information'!$H$20, AU$407*'2.3 Input_Main_Questionnaire'!$H$156*'2.3 Input_Main_Questionnaire'!$L$30,AT442)</f>
        <v>-3.3354151539314892E-4</v>
      </c>
      <c r="AV442" s="373">
        <f ca="1">IF(AV$426 &lt;= '2.2 Input_General_Information'!$H$40 + '2.2 Input_General_Information'!$H$20, AV$407*'2.3 Input_Main_Questionnaire'!$H$156*'2.3 Input_Main_Questionnaire'!$L$30,AU442)</f>
        <v>-3.3354151539314892E-4</v>
      </c>
      <c r="AW442" s="373">
        <f ca="1">IF(AW$426 &lt;= '2.2 Input_General_Information'!$H$40 + '2.2 Input_General_Information'!$H$20, AW$407*'2.3 Input_Main_Questionnaire'!$H$156*'2.3 Input_Main_Questionnaire'!$L$30,AV442)</f>
        <v>-3.3354151539314892E-4</v>
      </c>
      <c r="AX442" s="373">
        <f ca="1">IF(AX$426 &lt;= '2.2 Input_General_Information'!$H$40 + '2.2 Input_General_Information'!$H$20, AX$407*'2.3 Input_Main_Questionnaire'!$H$156*'2.3 Input_Main_Questionnaire'!$L$30,AW442)</f>
        <v>-3.3354151539314892E-4</v>
      </c>
      <c r="AY442" s="373">
        <f ca="1">IF(AY$426 &lt;= '2.2 Input_General_Information'!$H$40 + '2.2 Input_General_Information'!$H$20, AY$407*'2.3 Input_Main_Questionnaire'!$H$156*'2.3 Input_Main_Questionnaire'!$L$30,AX442)</f>
        <v>-3.3354151539314892E-4</v>
      </c>
      <c r="AZ442" s="373">
        <f ca="1">IF(AZ$426 &lt;= '2.2 Input_General_Information'!$H$40 + '2.2 Input_General_Information'!$H$20, AZ$407*'2.3 Input_Main_Questionnaire'!$H$156*'2.3 Input_Main_Questionnaire'!$L$30,AY442)</f>
        <v>-3.3354151539314892E-4</v>
      </c>
      <c r="BA442" s="373">
        <f ca="1">IF(BA$426 &lt;= '2.2 Input_General_Information'!$H$40 + '2.2 Input_General_Information'!$H$20, BA$407*'2.3 Input_Main_Questionnaire'!$H$156*'2.3 Input_Main_Questionnaire'!$L$30,AZ442)</f>
        <v>-3.3354151539314892E-4</v>
      </c>
      <c r="BB442" s="373">
        <f ca="1">IF(BB$426 &lt;= '2.2 Input_General_Information'!$H$40 + '2.2 Input_General_Information'!$H$20, BB$407*'2.3 Input_Main_Questionnaire'!$H$156*'2.3 Input_Main_Questionnaire'!$L$30,BA442)</f>
        <v>-3.3354151539314892E-4</v>
      </c>
      <c r="BC442" s="373">
        <f ca="1">IF(BC$426 &lt;= '2.2 Input_General_Information'!$H$40 + '2.2 Input_General_Information'!$H$20, BC$407*'2.3 Input_Main_Questionnaire'!$H$156*'2.3 Input_Main_Questionnaire'!$L$30,BB442)</f>
        <v>-3.3354151539314892E-4</v>
      </c>
      <c r="BD442" s="373">
        <f ca="1">IF(BD$426 &lt;= '2.2 Input_General_Information'!$H$40 + '2.2 Input_General_Information'!$H$20, BD$407*'2.3 Input_Main_Questionnaire'!$H$156*'2.3 Input_Main_Questionnaire'!$L$30,BC442)</f>
        <v>-3.3354151539314892E-4</v>
      </c>
      <c r="BE442" s="373">
        <f ca="1">IF(BE$426 &lt;= '2.2 Input_General_Information'!$H$40 + '2.2 Input_General_Information'!$H$20, BE$407*'2.3 Input_Main_Questionnaire'!$H$156*'2.3 Input_Main_Questionnaire'!$L$30,BD442)</f>
        <v>-3.3354151539314892E-4</v>
      </c>
      <c r="BF442" s="373">
        <f ca="1">IF(BF$426 &lt;= '2.2 Input_General_Information'!$H$40 + '2.2 Input_General_Information'!$H$20, BF$407*'2.3 Input_Main_Questionnaire'!$H$156*'2.3 Input_Main_Questionnaire'!$L$30,BE442)</f>
        <v>-3.3354151539314892E-4</v>
      </c>
      <c r="BG442" s="373">
        <f ca="1">IF(BG$426 &lt;= '2.2 Input_General_Information'!$H$40 + '2.2 Input_General_Information'!$H$20, BG$407*'2.3 Input_Main_Questionnaire'!$H$156*'2.3 Input_Main_Questionnaire'!$L$30,BF442)</f>
        <v>-3.3354151539314892E-4</v>
      </c>
      <c r="BH442" s="373">
        <f ca="1">IF(BH$426 &lt;= '2.2 Input_General_Information'!$H$40 + '2.2 Input_General_Information'!$H$20, BH$407*'2.3 Input_Main_Questionnaire'!$H$156*'2.3 Input_Main_Questionnaire'!$L$30,BG442)</f>
        <v>-3.3354151539314892E-4</v>
      </c>
      <c r="BI442" s="373">
        <f ca="1">IF(BI$426 &lt;= '2.2 Input_General_Information'!$H$40 + '2.2 Input_General_Information'!$H$20, BI$407*'2.3 Input_Main_Questionnaire'!$H$156*'2.3 Input_Main_Questionnaire'!$L$30,BH442)</f>
        <v>-3.3354151539314892E-4</v>
      </c>
      <c r="BJ442" s="373">
        <f ca="1">IF(BJ$426 &lt;= '2.2 Input_General_Information'!$H$40 + '2.2 Input_General_Information'!$H$20, BJ$407*'2.3 Input_Main_Questionnaire'!$H$156*'2.3 Input_Main_Questionnaire'!$L$30,BI442)</f>
        <v>-3.3354151539314892E-4</v>
      </c>
      <c r="BK442" s="373">
        <f ca="1">IF(BK$426 &lt;= '2.2 Input_General_Information'!$H$40 + '2.2 Input_General_Information'!$H$20, BK$407*'2.3 Input_Main_Questionnaire'!$H$156*'2.3 Input_Main_Questionnaire'!$L$30,BJ442)</f>
        <v>-3.3354151539314892E-4</v>
      </c>
      <c r="BL442" s="373"/>
      <c r="BM442" s="373"/>
      <c r="BN442" s="373"/>
      <c r="BO442" s="373"/>
      <c r="BP442" s="373"/>
      <c r="BQ442" s="373"/>
      <c r="BR442" s="373"/>
      <c r="BS442" s="373"/>
      <c r="BT442" s="373"/>
      <c r="BU442" s="373"/>
    </row>
    <row r="443" spans="1:73" hidden="1">
      <c r="A443" s="6"/>
      <c r="B443" s="108"/>
      <c r="C443" s="1"/>
      <c r="D443" s="6"/>
      <c r="E443" s="6"/>
      <c r="F443" s="1"/>
      <c r="G443" s="43"/>
      <c r="H443" s="43"/>
      <c r="I443" s="43"/>
      <c r="J443" s="3"/>
      <c r="K443" s="3"/>
      <c r="L443" s="3"/>
      <c r="M443" s="3"/>
      <c r="N443" s="3"/>
      <c r="O443" s="1"/>
      <c r="P443" s="1"/>
      <c r="Q443" s="1"/>
      <c r="R443" s="162"/>
      <c r="S443" s="1"/>
      <c r="T443" s="103"/>
      <c r="U443" s="103"/>
      <c r="V443" s="103" t="str">
        <f>$L$10</f>
        <v>Profile 6</v>
      </c>
      <c r="W443" s="373">
        <f ca="1">IF(W$426 &lt;= '2.2 Input_General_Information'!$H$40 + '2.2 Input_General_Information'!$H$20, W$407*'2.3 Input_Main_Questionnaire'!$H$156*'2.3 Input_Main_Questionnaire'!$M$30,V443)</f>
        <v>0</v>
      </c>
      <c r="X443" s="373">
        <f ca="1">IF(X$426 &lt;= '2.2 Input_General_Information'!$H$40 + '2.2 Input_General_Information'!$H$20, X$407*'2.3 Input_Main_Questionnaire'!$H$156*'2.3 Input_Main_Questionnaire'!$M$30,W443)</f>
        <v>-3.3693969890199651E-3</v>
      </c>
      <c r="Y443" s="373">
        <f ca="1">IF(Y$426 &lt;= '2.2 Input_General_Information'!$H$40 + '2.2 Input_General_Information'!$H$20, Y$407*'2.3 Input_Main_Questionnaire'!$H$156*'2.3 Input_Main_Questionnaire'!$M$30,X443)</f>
        <v>-4.088300770357458E-3</v>
      </c>
      <c r="Z443" s="373">
        <f ca="1">IF(Z$426 &lt;= '2.2 Input_General_Information'!$H$40 + '2.2 Input_General_Information'!$H$20, Z$407*'2.3 Input_Main_Questionnaire'!$H$156*'2.3 Input_Main_Questionnaire'!$M$30,Y443)</f>
        <v>-3.3354151539314892E-4</v>
      </c>
      <c r="AA443" s="373">
        <f ca="1">IF(AA$426 &lt;= '2.2 Input_General_Information'!$H$40 + '2.2 Input_General_Information'!$H$20, AA$407*'2.3 Input_Main_Questionnaire'!$H$156*'2.3 Input_Main_Questionnaire'!$M$30,Z443)</f>
        <v>-3.3354151539314892E-4</v>
      </c>
      <c r="AB443" s="373">
        <f ca="1">IF(AB$426 &lt;= '2.2 Input_General_Information'!$H$40 + '2.2 Input_General_Information'!$H$20, AB$407*'2.3 Input_Main_Questionnaire'!$H$156*'2.3 Input_Main_Questionnaire'!$M$30,AA443)</f>
        <v>-3.3354151539314892E-4</v>
      </c>
      <c r="AC443" s="373">
        <f ca="1">IF(AC$426 &lt;= '2.2 Input_General_Information'!$H$40 + '2.2 Input_General_Information'!$H$20, AC$407*'2.3 Input_Main_Questionnaire'!$H$156*'2.3 Input_Main_Questionnaire'!$M$30,AB443)</f>
        <v>-3.3354151539314892E-4</v>
      </c>
      <c r="AD443" s="373">
        <f ca="1">IF(AD$426 &lt;= '2.2 Input_General_Information'!$H$40 + '2.2 Input_General_Information'!$H$20, AD$407*'2.3 Input_Main_Questionnaire'!$H$156*'2.3 Input_Main_Questionnaire'!$M$30,AC443)</f>
        <v>-3.3354151539314892E-4</v>
      </c>
      <c r="AE443" s="373">
        <f ca="1">IF(AE$426 &lt;= '2.2 Input_General_Information'!$H$40 + '2.2 Input_General_Information'!$H$20, AE$407*'2.3 Input_Main_Questionnaire'!$H$156*'2.3 Input_Main_Questionnaire'!$M$30,AD443)</f>
        <v>-3.3354151539314892E-4</v>
      </c>
      <c r="AF443" s="373">
        <f ca="1">IF(AF$426 &lt;= '2.2 Input_General_Information'!$H$40 + '2.2 Input_General_Information'!$H$20, AF$407*'2.3 Input_Main_Questionnaire'!$H$156*'2.3 Input_Main_Questionnaire'!$M$30,AE443)</f>
        <v>-3.3354151539314892E-4</v>
      </c>
      <c r="AG443" s="373">
        <f ca="1">IF(AG$426 &lt;= '2.2 Input_General_Information'!$H$40 + '2.2 Input_General_Information'!$H$20, AG$407*'2.3 Input_Main_Questionnaire'!$H$156*'2.3 Input_Main_Questionnaire'!$M$30,AF443)</f>
        <v>-3.3354151539314892E-4</v>
      </c>
      <c r="AH443" s="373">
        <f ca="1">IF(AH$426 &lt;= '2.2 Input_General_Information'!$H$40 + '2.2 Input_General_Information'!$H$20, AH$407*'2.3 Input_Main_Questionnaire'!$H$156*'2.3 Input_Main_Questionnaire'!$M$30,AG443)</f>
        <v>-3.3354151539314892E-4</v>
      </c>
      <c r="AI443" s="373">
        <f ca="1">IF(AI$426 &lt;= '2.2 Input_General_Information'!$H$40 + '2.2 Input_General_Information'!$H$20, AI$407*'2.3 Input_Main_Questionnaire'!$H$156*'2.3 Input_Main_Questionnaire'!$M$30,AH443)</f>
        <v>-3.3354151539314892E-4</v>
      </c>
      <c r="AJ443" s="373">
        <f ca="1">IF(AJ$426 &lt;= '2.2 Input_General_Information'!$H$40 + '2.2 Input_General_Information'!$H$20, AJ$407*'2.3 Input_Main_Questionnaire'!$H$156*'2.3 Input_Main_Questionnaire'!$M$30,AI443)</f>
        <v>-3.3354151539314892E-4</v>
      </c>
      <c r="AK443" s="373">
        <f ca="1">IF(AK$426 &lt;= '2.2 Input_General_Information'!$H$40 + '2.2 Input_General_Information'!$H$20, AK$407*'2.3 Input_Main_Questionnaire'!$H$156*'2.3 Input_Main_Questionnaire'!$M$30,AJ443)</f>
        <v>-3.3354151539314892E-4</v>
      </c>
      <c r="AL443" s="373">
        <f ca="1">IF(AL$426 &lt;= '2.2 Input_General_Information'!$H$40 + '2.2 Input_General_Information'!$H$20, AL$407*'2.3 Input_Main_Questionnaire'!$H$156*'2.3 Input_Main_Questionnaire'!$M$30,AK443)</f>
        <v>-3.3354151539314892E-4</v>
      </c>
      <c r="AM443" s="373">
        <f ca="1">IF(AM$426 &lt;= '2.2 Input_General_Information'!$H$40 + '2.2 Input_General_Information'!$H$20, AM$407*'2.3 Input_Main_Questionnaire'!$H$156*'2.3 Input_Main_Questionnaire'!$M$30,AL443)</f>
        <v>-3.3354151539314892E-4</v>
      </c>
      <c r="AN443" s="373">
        <f ca="1">IF(AN$426 &lt;= '2.2 Input_General_Information'!$H$40 + '2.2 Input_General_Information'!$H$20, AN$407*'2.3 Input_Main_Questionnaire'!$H$156*'2.3 Input_Main_Questionnaire'!$M$30,AM443)</f>
        <v>-3.3354151539314892E-4</v>
      </c>
      <c r="AO443" s="373">
        <f ca="1">IF(AO$426 &lt;= '2.2 Input_General_Information'!$H$40 + '2.2 Input_General_Information'!$H$20, AO$407*'2.3 Input_Main_Questionnaire'!$H$156*'2.3 Input_Main_Questionnaire'!$M$30,AN443)</f>
        <v>-3.3354151539314892E-4</v>
      </c>
      <c r="AP443" s="373">
        <f ca="1">IF(AP$426 &lt;= '2.2 Input_General_Information'!$H$40 + '2.2 Input_General_Information'!$H$20, AP$407*'2.3 Input_Main_Questionnaire'!$H$156*'2.3 Input_Main_Questionnaire'!$M$30,AO443)</f>
        <v>-3.3354151539314892E-4</v>
      </c>
      <c r="AQ443" s="373">
        <f ca="1">IF(AQ$426 &lt;= '2.2 Input_General_Information'!$H$40 + '2.2 Input_General_Information'!$H$20, AQ$407*'2.3 Input_Main_Questionnaire'!$H$156*'2.3 Input_Main_Questionnaire'!$M$30,AP443)</f>
        <v>-3.3354151539314892E-4</v>
      </c>
      <c r="AR443" s="373">
        <f ca="1">IF(AR$426 &lt;= '2.2 Input_General_Information'!$H$40 + '2.2 Input_General_Information'!$H$20, AR$407*'2.3 Input_Main_Questionnaire'!$H$156*'2.3 Input_Main_Questionnaire'!$M$30,AQ443)</f>
        <v>-3.3354151539314892E-4</v>
      </c>
      <c r="AS443" s="373">
        <f ca="1">IF(AS$426 &lt;= '2.2 Input_General_Information'!$H$40 + '2.2 Input_General_Information'!$H$20, AS$407*'2.3 Input_Main_Questionnaire'!$H$156*'2.3 Input_Main_Questionnaire'!$M$30,AR443)</f>
        <v>-3.3354151539314892E-4</v>
      </c>
      <c r="AT443" s="373">
        <f ca="1">IF(AT$426 &lt;= '2.2 Input_General_Information'!$H$40 + '2.2 Input_General_Information'!$H$20, AT$407*'2.3 Input_Main_Questionnaire'!$H$156*'2.3 Input_Main_Questionnaire'!$M$30,AS443)</f>
        <v>-3.3354151539314892E-4</v>
      </c>
      <c r="AU443" s="373">
        <f ca="1">IF(AU$426 &lt;= '2.2 Input_General_Information'!$H$40 + '2.2 Input_General_Information'!$H$20, AU$407*'2.3 Input_Main_Questionnaire'!$H$156*'2.3 Input_Main_Questionnaire'!$M$30,AT443)</f>
        <v>-3.3354151539314892E-4</v>
      </c>
      <c r="AV443" s="373">
        <f ca="1">IF(AV$426 &lt;= '2.2 Input_General_Information'!$H$40 + '2.2 Input_General_Information'!$H$20, AV$407*'2.3 Input_Main_Questionnaire'!$H$156*'2.3 Input_Main_Questionnaire'!$M$30,AU443)</f>
        <v>-3.3354151539314892E-4</v>
      </c>
      <c r="AW443" s="373">
        <f ca="1">IF(AW$426 &lt;= '2.2 Input_General_Information'!$H$40 + '2.2 Input_General_Information'!$H$20, AW$407*'2.3 Input_Main_Questionnaire'!$H$156*'2.3 Input_Main_Questionnaire'!$M$30,AV443)</f>
        <v>-3.3354151539314892E-4</v>
      </c>
      <c r="AX443" s="373">
        <f ca="1">IF(AX$426 &lt;= '2.2 Input_General_Information'!$H$40 + '2.2 Input_General_Information'!$H$20, AX$407*'2.3 Input_Main_Questionnaire'!$H$156*'2.3 Input_Main_Questionnaire'!$M$30,AW443)</f>
        <v>-3.3354151539314892E-4</v>
      </c>
      <c r="AY443" s="373">
        <f ca="1">IF(AY$426 &lt;= '2.2 Input_General_Information'!$H$40 + '2.2 Input_General_Information'!$H$20, AY$407*'2.3 Input_Main_Questionnaire'!$H$156*'2.3 Input_Main_Questionnaire'!$M$30,AX443)</f>
        <v>-3.3354151539314892E-4</v>
      </c>
      <c r="AZ443" s="373">
        <f ca="1">IF(AZ$426 &lt;= '2.2 Input_General_Information'!$H$40 + '2.2 Input_General_Information'!$H$20, AZ$407*'2.3 Input_Main_Questionnaire'!$H$156*'2.3 Input_Main_Questionnaire'!$M$30,AY443)</f>
        <v>-3.3354151539314892E-4</v>
      </c>
      <c r="BA443" s="373">
        <f ca="1">IF(BA$426 &lt;= '2.2 Input_General_Information'!$H$40 + '2.2 Input_General_Information'!$H$20, BA$407*'2.3 Input_Main_Questionnaire'!$H$156*'2.3 Input_Main_Questionnaire'!$M$30,AZ443)</f>
        <v>-3.3354151539314892E-4</v>
      </c>
      <c r="BB443" s="373">
        <f ca="1">IF(BB$426 &lt;= '2.2 Input_General_Information'!$H$40 + '2.2 Input_General_Information'!$H$20, BB$407*'2.3 Input_Main_Questionnaire'!$H$156*'2.3 Input_Main_Questionnaire'!$M$30,BA443)</f>
        <v>-3.3354151539314892E-4</v>
      </c>
      <c r="BC443" s="373">
        <f ca="1">IF(BC$426 &lt;= '2.2 Input_General_Information'!$H$40 + '2.2 Input_General_Information'!$H$20, BC$407*'2.3 Input_Main_Questionnaire'!$H$156*'2.3 Input_Main_Questionnaire'!$M$30,BB443)</f>
        <v>-3.3354151539314892E-4</v>
      </c>
      <c r="BD443" s="373">
        <f ca="1">IF(BD$426 &lt;= '2.2 Input_General_Information'!$H$40 + '2.2 Input_General_Information'!$H$20, BD$407*'2.3 Input_Main_Questionnaire'!$H$156*'2.3 Input_Main_Questionnaire'!$M$30,BC443)</f>
        <v>-3.3354151539314892E-4</v>
      </c>
      <c r="BE443" s="373">
        <f ca="1">IF(BE$426 &lt;= '2.2 Input_General_Information'!$H$40 + '2.2 Input_General_Information'!$H$20, BE$407*'2.3 Input_Main_Questionnaire'!$H$156*'2.3 Input_Main_Questionnaire'!$M$30,BD443)</f>
        <v>-3.3354151539314892E-4</v>
      </c>
      <c r="BF443" s="373">
        <f ca="1">IF(BF$426 &lt;= '2.2 Input_General_Information'!$H$40 + '2.2 Input_General_Information'!$H$20, BF$407*'2.3 Input_Main_Questionnaire'!$H$156*'2.3 Input_Main_Questionnaire'!$M$30,BE443)</f>
        <v>-3.3354151539314892E-4</v>
      </c>
      <c r="BG443" s="373">
        <f ca="1">IF(BG$426 &lt;= '2.2 Input_General_Information'!$H$40 + '2.2 Input_General_Information'!$H$20, BG$407*'2.3 Input_Main_Questionnaire'!$H$156*'2.3 Input_Main_Questionnaire'!$M$30,BF443)</f>
        <v>-3.3354151539314892E-4</v>
      </c>
      <c r="BH443" s="373">
        <f ca="1">IF(BH$426 &lt;= '2.2 Input_General_Information'!$H$40 + '2.2 Input_General_Information'!$H$20, BH$407*'2.3 Input_Main_Questionnaire'!$H$156*'2.3 Input_Main_Questionnaire'!$M$30,BG443)</f>
        <v>-3.3354151539314892E-4</v>
      </c>
      <c r="BI443" s="373">
        <f ca="1">IF(BI$426 &lt;= '2.2 Input_General_Information'!$H$40 + '2.2 Input_General_Information'!$H$20, BI$407*'2.3 Input_Main_Questionnaire'!$H$156*'2.3 Input_Main_Questionnaire'!$M$30,BH443)</f>
        <v>-3.3354151539314892E-4</v>
      </c>
      <c r="BJ443" s="373">
        <f ca="1">IF(BJ$426 &lt;= '2.2 Input_General_Information'!$H$40 + '2.2 Input_General_Information'!$H$20, BJ$407*'2.3 Input_Main_Questionnaire'!$H$156*'2.3 Input_Main_Questionnaire'!$M$30,BI443)</f>
        <v>-3.3354151539314892E-4</v>
      </c>
      <c r="BK443" s="373">
        <f ca="1">IF(BK$426 &lt;= '2.2 Input_General_Information'!$H$40 + '2.2 Input_General_Information'!$H$20, BK$407*'2.3 Input_Main_Questionnaire'!$H$156*'2.3 Input_Main_Questionnaire'!$M$30,BJ443)</f>
        <v>-3.3354151539314892E-4</v>
      </c>
      <c r="BL443" s="373"/>
      <c r="BM443" s="373"/>
      <c r="BN443" s="373"/>
      <c r="BO443" s="373"/>
      <c r="BP443" s="373"/>
      <c r="BQ443" s="373"/>
      <c r="BR443" s="373"/>
      <c r="BS443" s="373"/>
      <c r="BT443" s="373"/>
      <c r="BU443" s="373"/>
    </row>
    <row r="444" spans="1:73" hidden="1">
      <c r="A444" s="6"/>
      <c r="B444" s="108"/>
      <c r="C444" s="1"/>
      <c r="D444" s="6"/>
      <c r="E444" s="6"/>
      <c r="F444" s="1"/>
      <c r="G444" s="43"/>
      <c r="H444" s="43"/>
      <c r="I444" s="43"/>
      <c r="J444" s="3"/>
      <c r="K444" s="3"/>
      <c r="L444" s="3"/>
      <c r="M444" s="3"/>
      <c r="N444" s="3"/>
      <c r="O444" s="1"/>
      <c r="P444" s="1"/>
      <c r="Q444" s="1"/>
      <c r="R444" s="162"/>
      <c r="S444" s="1"/>
      <c r="T444" s="103"/>
      <c r="U444" s="103"/>
      <c r="V444" s="103" t="str">
        <f>$M$10</f>
        <v>Profile 7</v>
      </c>
      <c r="W444" s="373">
        <f ca="1">IF(W$426 &lt;= '2.2 Input_General_Information'!$H$40 + '2.2 Input_General_Information'!$H$20, W$407*'2.3 Input_Main_Questionnaire'!$H$156*'2.3 Input_Main_Questionnaire'!$N$30,V444)</f>
        <v>0</v>
      </c>
      <c r="X444" s="373">
        <f ca="1">IF(X$426 &lt;= '2.2 Input_General_Information'!$H$40 + '2.2 Input_General_Information'!$H$20, X$407*'2.3 Input_Main_Questionnaire'!$H$156*'2.3 Input_Main_Questionnaire'!$N$30,W444)</f>
        <v>-3.3693969890199651E-3</v>
      </c>
      <c r="Y444" s="373">
        <f ca="1">IF(Y$426 &lt;= '2.2 Input_General_Information'!$H$40 + '2.2 Input_General_Information'!$H$20, Y$407*'2.3 Input_Main_Questionnaire'!$H$156*'2.3 Input_Main_Questionnaire'!$N$30,X444)</f>
        <v>-4.088300770357458E-3</v>
      </c>
      <c r="Z444" s="373">
        <f ca="1">IF(Z$426 &lt;= '2.2 Input_General_Information'!$H$40 + '2.2 Input_General_Information'!$H$20, Z$407*'2.3 Input_Main_Questionnaire'!$H$156*'2.3 Input_Main_Questionnaire'!$N$30,Y444)</f>
        <v>-3.3354151539314892E-4</v>
      </c>
      <c r="AA444" s="373">
        <f ca="1">IF(AA$426 &lt;= '2.2 Input_General_Information'!$H$40 + '2.2 Input_General_Information'!$H$20, AA$407*'2.3 Input_Main_Questionnaire'!$H$156*'2.3 Input_Main_Questionnaire'!$N$30,Z444)</f>
        <v>-3.3354151539314892E-4</v>
      </c>
      <c r="AB444" s="373">
        <f ca="1">IF(AB$426 &lt;= '2.2 Input_General_Information'!$H$40 + '2.2 Input_General_Information'!$H$20, AB$407*'2.3 Input_Main_Questionnaire'!$H$156*'2.3 Input_Main_Questionnaire'!$N$30,AA444)</f>
        <v>-3.3354151539314892E-4</v>
      </c>
      <c r="AC444" s="373">
        <f ca="1">IF(AC$426 &lt;= '2.2 Input_General_Information'!$H$40 + '2.2 Input_General_Information'!$H$20, AC$407*'2.3 Input_Main_Questionnaire'!$H$156*'2.3 Input_Main_Questionnaire'!$N$30,AB444)</f>
        <v>-3.3354151539314892E-4</v>
      </c>
      <c r="AD444" s="373">
        <f ca="1">IF(AD$426 &lt;= '2.2 Input_General_Information'!$H$40 + '2.2 Input_General_Information'!$H$20, AD$407*'2.3 Input_Main_Questionnaire'!$H$156*'2.3 Input_Main_Questionnaire'!$N$30,AC444)</f>
        <v>-3.3354151539314892E-4</v>
      </c>
      <c r="AE444" s="373">
        <f ca="1">IF(AE$426 &lt;= '2.2 Input_General_Information'!$H$40 + '2.2 Input_General_Information'!$H$20, AE$407*'2.3 Input_Main_Questionnaire'!$H$156*'2.3 Input_Main_Questionnaire'!$N$30,AD444)</f>
        <v>-3.3354151539314892E-4</v>
      </c>
      <c r="AF444" s="373">
        <f ca="1">IF(AF$426 &lt;= '2.2 Input_General_Information'!$H$40 + '2.2 Input_General_Information'!$H$20, AF$407*'2.3 Input_Main_Questionnaire'!$H$156*'2.3 Input_Main_Questionnaire'!$N$30,AE444)</f>
        <v>-3.3354151539314892E-4</v>
      </c>
      <c r="AG444" s="373">
        <f ca="1">IF(AG$426 &lt;= '2.2 Input_General_Information'!$H$40 + '2.2 Input_General_Information'!$H$20, AG$407*'2.3 Input_Main_Questionnaire'!$H$156*'2.3 Input_Main_Questionnaire'!$N$30,AF444)</f>
        <v>-3.3354151539314892E-4</v>
      </c>
      <c r="AH444" s="373">
        <f ca="1">IF(AH$426 &lt;= '2.2 Input_General_Information'!$H$40 + '2.2 Input_General_Information'!$H$20, AH$407*'2.3 Input_Main_Questionnaire'!$H$156*'2.3 Input_Main_Questionnaire'!$N$30,AG444)</f>
        <v>-3.3354151539314892E-4</v>
      </c>
      <c r="AI444" s="373">
        <f ca="1">IF(AI$426 &lt;= '2.2 Input_General_Information'!$H$40 + '2.2 Input_General_Information'!$H$20, AI$407*'2.3 Input_Main_Questionnaire'!$H$156*'2.3 Input_Main_Questionnaire'!$N$30,AH444)</f>
        <v>-3.3354151539314892E-4</v>
      </c>
      <c r="AJ444" s="373">
        <f ca="1">IF(AJ$426 &lt;= '2.2 Input_General_Information'!$H$40 + '2.2 Input_General_Information'!$H$20, AJ$407*'2.3 Input_Main_Questionnaire'!$H$156*'2.3 Input_Main_Questionnaire'!$N$30,AI444)</f>
        <v>-3.3354151539314892E-4</v>
      </c>
      <c r="AK444" s="373">
        <f ca="1">IF(AK$426 &lt;= '2.2 Input_General_Information'!$H$40 + '2.2 Input_General_Information'!$H$20, AK$407*'2.3 Input_Main_Questionnaire'!$H$156*'2.3 Input_Main_Questionnaire'!$N$30,AJ444)</f>
        <v>-3.3354151539314892E-4</v>
      </c>
      <c r="AL444" s="373">
        <f ca="1">IF(AL$426 &lt;= '2.2 Input_General_Information'!$H$40 + '2.2 Input_General_Information'!$H$20, AL$407*'2.3 Input_Main_Questionnaire'!$H$156*'2.3 Input_Main_Questionnaire'!$N$30,AK444)</f>
        <v>-3.3354151539314892E-4</v>
      </c>
      <c r="AM444" s="373">
        <f ca="1">IF(AM$426 &lt;= '2.2 Input_General_Information'!$H$40 + '2.2 Input_General_Information'!$H$20, AM$407*'2.3 Input_Main_Questionnaire'!$H$156*'2.3 Input_Main_Questionnaire'!$N$30,AL444)</f>
        <v>-3.3354151539314892E-4</v>
      </c>
      <c r="AN444" s="373">
        <f ca="1">IF(AN$426 &lt;= '2.2 Input_General_Information'!$H$40 + '2.2 Input_General_Information'!$H$20, AN$407*'2.3 Input_Main_Questionnaire'!$H$156*'2.3 Input_Main_Questionnaire'!$N$30,AM444)</f>
        <v>-3.3354151539314892E-4</v>
      </c>
      <c r="AO444" s="373">
        <f ca="1">IF(AO$426 &lt;= '2.2 Input_General_Information'!$H$40 + '2.2 Input_General_Information'!$H$20, AO$407*'2.3 Input_Main_Questionnaire'!$H$156*'2.3 Input_Main_Questionnaire'!$N$30,AN444)</f>
        <v>-3.3354151539314892E-4</v>
      </c>
      <c r="AP444" s="373">
        <f ca="1">IF(AP$426 &lt;= '2.2 Input_General_Information'!$H$40 + '2.2 Input_General_Information'!$H$20, AP$407*'2.3 Input_Main_Questionnaire'!$H$156*'2.3 Input_Main_Questionnaire'!$N$30,AO444)</f>
        <v>-3.3354151539314892E-4</v>
      </c>
      <c r="AQ444" s="373">
        <f ca="1">IF(AQ$426 &lt;= '2.2 Input_General_Information'!$H$40 + '2.2 Input_General_Information'!$H$20, AQ$407*'2.3 Input_Main_Questionnaire'!$H$156*'2.3 Input_Main_Questionnaire'!$N$30,AP444)</f>
        <v>-3.3354151539314892E-4</v>
      </c>
      <c r="AR444" s="373">
        <f ca="1">IF(AR$426 &lt;= '2.2 Input_General_Information'!$H$40 + '2.2 Input_General_Information'!$H$20, AR$407*'2.3 Input_Main_Questionnaire'!$H$156*'2.3 Input_Main_Questionnaire'!$N$30,AQ444)</f>
        <v>-3.3354151539314892E-4</v>
      </c>
      <c r="AS444" s="373">
        <f ca="1">IF(AS$426 &lt;= '2.2 Input_General_Information'!$H$40 + '2.2 Input_General_Information'!$H$20, AS$407*'2.3 Input_Main_Questionnaire'!$H$156*'2.3 Input_Main_Questionnaire'!$N$30,AR444)</f>
        <v>-3.3354151539314892E-4</v>
      </c>
      <c r="AT444" s="373">
        <f ca="1">IF(AT$426 &lt;= '2.2 Input_General_Information'!$H$40 + '2.2 Input_General_Information'!$H$20, AT$407*'2.3 Input_Main_Questionnaire'!$H$156*'2.3 Input_Main_Questionnaire'!$N$30,AS444)</f>
        <v>-3.3354151539314892E-4</v>
      </c>
      <c r="AU444" s="373">
        <f ca="1">IF(AU$426 &lt;= '2.2 Input_General_Information'!$H$40 + '2.2 Input_General_Information'!$H$20, AU$407*'2.3 Input_Main_Questionnaire'!$H$156*'2.3 Input_Main_Questionnaire'!$N$30,AT444)</f>
        <v>-3.3354151539314892E-4</v>
      </c>
      <c r="AV444" s="373">
        <f ca="1">IF(AV$426 &lt;= '2.2 Input_General_Information'!$H$40 + '2.2 Input_General_Information'!$H$20, AV$407*'2.3 Input_Main_Questionnaire'!$H$156*'2.3 Input_Main_Questionnaire'!$N$30,AU444)</f>
        <v>-3.3354151539314892E-4</v>
      </c>
      <c r="AW444" s="373">
        <f ca="1">IF(AW$426 &lt;= '2.2 Input_General_Information'!$H$40 + '2.2 Input_General_Information'!$H$20, AW$407*'2.3 Input_Main_Questionnaire'!$H$156*'2.3 Input_Main_Questionnaire'!$N$30,AV444)</f>
        <v>-3.3354151539314892E-4</v>
      </c>
      <c r="AX444" s="373">
        <f ca="1">IF(AX$426 &lt;= '2.2 Input_General_Information'!$H$40 + '2.2 Input_General_Information'!$H$20, AX$407*'2.3 Input_Main_Questionnaire'!$H$156*'2.3 Input_Main_Questionnaire'!$N$30,AW444)</f>
        <v>-3.3354151539314892E-4</v>
      </c>
      <c r="AY444" s="373">
        <f ca="1">IF(AY$426 &lt;= '2.2 Input_General_Information'!$H$40 + '2.2 Input_General_Information'!$H$20, AY$407*'2.3 Input_Main_Questionnaire'!$H$156*'2.3 Input_Main_Questionnaire'!$N$30,AX444)</f>
        <v>-3.3354151539314892E-4</v>
      </c>
      <c r="AZ444" s="373">
        <f ca="1">IF(AZ$426 &lt;= '2.2 Input_General_Information'!$H$40 + '2.2 Input_General_Information'!$H$20, AZ$407*'2.3 Input_Main_Questionnaire'!$H$156*'2.3 Input_Main_Questionnaire'!$N$30,AY444)</f>
        <v>-3.3354151539314892E-4</v>
      </c>
      <c r="BA444" s="373">
        <f ca="1">IF(BA$426 &lt;= '2.2 Input_General_Information'!$H$40 + '2.2 Input_General_Information'!$H$20, BA$407*'2.3 Input_Main_Questionnaire'!$H$156*'2.3 Input_Main_Questionnaire'!$N$30,AZ444)</f>
        <v>-3.3354151539314892E-4</v>
      </c>
      <c r="BB444" s="373">
        <f ca="1">IF(BB$426 &lt;= '2.2 Input_General_Information'!$H$40 + '2.2 Input_General_Information'!$H$20, BB$407*'2.3 Input_Main_Questionnaire'!$H$156*'2.3 Input_Main_Questionnaire'!$N$30,BA444)</f>
        <v>-3.3354151539314892E-4</v>
      </c>
      <c r="BC444" s="373">
        <f ca="1">IF(BC$426 &lt;= '2.2 Input_General_Information'!$H$40 + '2.2 Input_General_Information'!$H$20, BC$407*'2.3 Input_Main_Questionnaire'!$H$156*'2.3 Input_Main_Questionnaire'!$N$30,BB444)</f>
        <v>-3.3354151539314892E-4</v>
      </c>
      <c r="BD444" s="373">
        <f ca="1">IF(BD$426 &lt;= '2.2 Input_General_Information'!$H$40 + '2.2 Input_General_Information'!$H$20, BD$407*'2.3 Input_Main_Questionnaire'!$H$156*'2.3 Input_Main_Questionnaire'!$N$30,BC444)</f>
        <v>-3.3354151539314892E-4</v>
      </c>
      <c r="BE444" s="373">
        <f ca="1">IF(BE$426 &lt;= '2.2 Input_General_Information'!$H$40 + '2.2 Input_General_Information'!$H$20, BE$407*'2.3 Input_Main_Questionnaire'!$H$156*'2.3 Input_Main_Questionnaire'!$N$30,BD444)</f>
        <v>-3.3354151539314892E-4</v>
      </c>
      <c r="BF444" s="373">
        <f ca="1">IF(BF$426 &lt;= '2.2 Input_General_Information'!$H$40 + '2.2 Input_General_Information'!$H$20, BF$407*'2.3 Input_Main_Questionnaire'!$H$156*'2.3 Input_Main_Questionnaire'!$N$30,BE444)</f>
        <v>-3.3354151539314892E-4</v>
      </c>
      <c r="BG444" s="373">
        <f ca="1">IF(BG$426 &lt;= '2.2 Input_General_Information'!$H$40 + '2.2 Input_General_Information'!$H$20, BG$407*'2.3 Input_Main_Questionnaire'!$H$156*'2.3 Input_Main_Questionnaire'!$N$30,BF444)</f>
        <v>-3.3354151539314892E-4</v>
      </c>
      <c r="BH444" s="373">
        <f ca="1">IF(BH$426 &lt;= '2.2 Input_General_Information'!$H$40 + '2.2 Input_General_Information'!$H$20, BH$407*'2.3 Input_Main_Questionnaire'!$H$156*'2.3 Input_Main_Questionnaire'!$N$30,BG444)</f>
        <v>-3.3354151539314892E-4</v>
      </c>
      <c r="BI444" s="373">
        <f ca="1">IF(BI$426 &lt;= '2.2 Input_General_Information'!$H$40 + '2.2 Input_General_Information'!$H$20, BI$407*'2.3 Input_Main_Questionnaire'!$H$156*'2.3 Input_Main_Questionnaire'!$N$30,BH444)</f>
        <v>-3.3354151539314892E-4</v>
      </c>
      <c r="BJ444" s="373">
        <f ca="1">IF(BJ$426 &lt;= '2.2 Input_General_Information'!$H$40 + '2.2 Input_General_Information'!$H$20, BJ$407*'2.3 Input_Main_Questionnaire'!$H$156*'2.3 Input_Main_Questionnaire'!$N$30,BI444)</f>
        <v>-3.3354151539314892E-4</v>
      </c>
      <c r="BK444" s="373">
        <f ca="1">IF(BK$426 &lt;= '2.2 Input_General_Information'!$H$40 + '2.2 Input_General_Information'!$H$20, BK$407*'2.3 Input_Main_Questionnaire'!$H$156*'2.3 Input_Main_Questionnaire'!$N$30,BJ444)</f>
        <v>-3.3354151539314892E-4</v>
      </c>
      <c r="BL444" s="373"/>
      <c r="BM444" s="373"/>
      <c r="BN444" s="373"/>
      <c r="BO444" s="373"/>
      <c r="BP444" s="373"/>
      <c r="BQ444" s="373"/>
      <c r="BR444" s="373"/>
      <c r="BS444" s="373"/>
      <c r="BT444" s="373"/>
      <c r="BU444" s="373"/>
    </row>
    <row r="445" spans="1:73" hidden="1">
      <c r="A445" s="6"/>
      <c r="B445" s="108"/>
      <c r="C445" s="1"/>
      <c r="D445" s="6"/>
      <c r="E445" s="6"/>
      <c r="F445" s="1"/>
      <c r="G445" s="43"/>
      <c r="H445" s="43"/>
      <c r="I445" s="43"/>
      <c r="J445" s="3"/>
      <c r="K445" s="3"/>
      <c r="L445" s="3"/>
      <c r="M445" s="3"/>
      <c r="N445" s="3"/>
      <c r="O445" s="1"/>
      <c r="P445" s="1"/>
      <c r="Q445" s="1"/>
      <c r="R445" s="162"/>
      <c r="S445" s="1"/>
      <c r="T445" s="103"/>
      <c r="U445" s="103"/>
      <c r="V445" s="103" t="str">
        <f>$N$10</f>
        <v>Profile 8</v>
      </c>
      <c r="W445" s="373">
        <f ca="1">IF(W$426 &lt;= '2.2 Input_General_Information'!$H$40 + '2.2 Input_General_Information'!$H$20, W$407*'2.3 Input_Main_Questionnaire'!$H$156*'2.3 Input_Main_Questionnaire'!$O$30,V445)</f>
        <v>0</v>
      </c>
      <c r="X445" s="373">
        <f ca="1">IF(X$426 &lt;= '2.2 Input_General_Information'!$H$40 + '2.2 Input_General_Information'!$H$20, X$407*'2.3 Input_Main_Questionnaire'!$H$156*'2.3 Input_Main_Questionnaire'!$O$30,W445)</f>
        <v>-3.3693969890199651E-3</v>
      </c>
      <c r="Y445" s="373">
        <f ca="1">IF(Y$426 &lt;= '2.2 Input_General_Information'!$H$40 + '2.2 Input_General_Information'!$H$20, Y$407*'2.3 Input_Main_Questionnaire'!$H$156*'2.3 Input_Main_Questionnaire'!$O$30,X445)</f>
        <v>-4.088300770357458E-3</v>
      </c>
      <c r="Z445" s="373">
        <f ca="1">IF(Z$426 &lt;= '2.2 Input_General_Information'!$H$40 + '2.2 Input_General_Information'!$H$20, Z$407*'2.3 Input_Main_Questionnaire'!$H$156*'2.3 Input_Main_Questionnaire'!$O$30,Y445)</f>
        <v>-3.3354151539314892E-4</v>
      </c>
      <c r="AA445" s="373">
        <f ca="1">IF(AA$426 &lt;= '2.2 Input_General_Information'!$H$40 + '2.2 Input_General_Information'!$H$20, AA$407*'2.3 Input_Main_Questionnaire'!$H$156*'2.3 Input_Main_Questionnaire'!$O$30,Z445)</f>
        <v>-3.3354151539314892E-4</v>
      </c>
      <c r="AB445" s="373">
        <f ca="1">IF(AB$426 &lt;= '2.2 Input_General_Information'!$H$40 + '2.2 Input_General_Information'!$H$20, AB$407*'2.3 Input_Main_Questionnaire'!$H$156*'2.3 Input_Main_Questionnaire'!$O$30,AA445)</f>
        <v>-3.3354151539314892E-4</v>
      </c>
      <c r="AC445" s="373">
        <f ca="1">IF(AC$426 &lt;= '2.2 Input_General_Information'!$H$40 + '2.2 Input_General_Information'!$H$20, AC$407*'2.3 Input_Main_Questionnaire'!$H$156*'2.3 Input_Main_Questionnaire'!$O$30,AB445)</f>
        <v>-3.3354151539314892E-4</v>
      </c>
      <c r="AD445" s="373">
        <f ca="1">IF(AD$426 &lt;= '2.2 Input_General_Information'!$H$40 + '2.2 Input_General_Information'!$H$20, AD$407*'2.3 Input_Main_Questionnaire'!$H$156*'2.3 Input_Main_Questionnaire'!$O$30,AC445)</f>
        <v>-3.3354151539314892E-4</v>
      </c>
      <c r="AE445" s="373">
        <f ca="1">IF(AE$426 &lt;= '2.2 Input_General_Information'!$H$40 + '2.2 Input_General_Information'!$H$20, AE$407*'2.3 Input_Main_Questionnaire'!$H$156*'2.3 Input_Main_Questionnaire'!$O$30,AD445)</f>
        <v>-3.3354151539314892E-4</v>
      </c>
      <c r="AF445" s="373">
        <f ca="1">IF(AF$426 &lt;= '2.2 Input_General_Information'!$H$40 + '2.2 Input_General_Information'!$H$20, AF$407*'2.3 Input_Main_Questionnaire'!$H$156*'2.3 Input_Main_Questionnaire'!$O$30,AE445)</f>
        <v>-3.3354151539314892E-4</v>
      </c>
      <c r="AG445" s="373">
        <f ca="1">IF(AG$426 &lt;= '2.2 Input_General_Information'!$H$40 + '2.2 Input_General_Information'!$H$20, AG$407*'2.3 Input_Main_Questionnaire'!$H$156*'2.3 Input_Main_Questionnaire'!$O$30,AF445)</f>
        <v>-3.3354151539314892E-4</v>
      </c>
      <c r="AH445" s="373">
        <f ca="1">IF(AH$426 &lt;= '2.2 Input_General_Information'!$H$40 + '2.2 Input_General_Information'!$H$20, AH$407*'2.3 Input_Main_Questionnaire'!$H$156*'2.3 Input_Main_Questionnaire'!$O$30,AG445)</f>
        <v>-3.3354151539314892E-4</v>
      </c>
      <c r="AI445" s="373">
        <f ca="1">IF(AI$426 &lt;= '2.2 Input_General_Information'!$H$40 + '2.2 Input_General_Information'!$H$20, AI$407*'2.3 Input_Main_Questionnaire'!$H$156*'2.3 Input_Main_Questionnaire'!$O$30,AH445)</f>
        <v>-3.3354151539314892E-4</v>
      </c>
      <c r="AJ445" s="373">
        <f ca="1">IF(AJ$426 &lt;= '2.2 Input_General_Information'!$H$40 + '2.2 Input_General_Information'!$H$20, AJ$407*'2.3 Input_Main_Questionnaire'!$H$156*'2.3 Input_Main_Questionnaire'!$O$30,AI445)</f>
        <v>-3.3354151539314892E-4</v>
      </c>
      <c r="AK445" s="373">
        <f ca="1">IF(AK$426 &lt;= '2.2 Input_General_Information'!$H$40 + '2.2 Input_General_Information'!$H$20, AK$407*'2.3 Input_Main_Questionnaire'!$H$156*'2.3 Input_Main_Questionnaire'!$O$30,AJ445)</f>
        <v>-3.3354151539314892E-4</v>
      </c>
      <c r="AL445" s="373">
        <f ca="1">IF(AL$426 &lt;= '2.2 Input_General_Information'!$H$40 + '2.2 Input_General_Information'!$H$20, AL$407*'2.3 Input_Main_Questionnaire'!$H$156*'2.3 Input_Main_Questionnaire'!$O$30,AK445)</f>
        <v>-3.3354151539314892E-4</v>
      </c>
      <c r="AM445" s="373">
        <f ca="1">IF(AM$426 &lt;= '2.2 Input_General_Information'!$H$40 + '2.2 Input_General_Information'!$H$20, AM$407*'2.3 Input_Main_Questionnaire'!$H$156*'2.3 Input_Main_Questionnaire'!$O$30,AL445)</f>
        <v>-3.3354151539314892E-4</v>
      </c>
      <c r="AN445" s="373">
        <f ca="1">IF(AN$426 &lt;= '2.2 Input_General_Information'!$H$40 + '2.2 Input_General_Information'!$H$20, AN$407*'2.3 Input_Main_Questionnaire'!$H$156*'2.3 Input_Main_Questionnaire'!$O$30,AM445)</f>
        <v>-3.3354151539314892E-4</v>
      </c>
      <c r="AO445" s="373">
        <f ca="1">IF(AO$426 &lt;= '2.2 Input_General_Information'!$H$40 + '2.2 Input_General_Information'!$H$20, AO$407*'2.3 Input_Main_Questionnaire'!$H$156*'2.3 Input_Main_Questionnaire'!$O$30,AN445)</f>
        <v>-3.3354151539314892E-4</v>
      </c>
      <c r="AP445" s="373">
        <f ca="1">IF(AP$426 &lt;= '2.2 Input_General_Information'!$H$40 + '2.2 Input_General_Information'!$H$20, AP$407*'2.3 Input_Main_Questionnaire'!$H$156*'2.3 Input_Main_Questionnaire'!$O$30,AO445)</f>
        <v>-3.3354151539314892E-4</v>
      </c>
      <c r="AQ445" s="373">
        <f ca="1">IF(AQ$426 &lt;= '2.2 Input_General_Information'!$H$40 + '2.2 Input_General_Information'!$H$20, AQ$407*'2.3 Input_Main_Questionnaire'!$H$156*'2.3 Input_Main_Questionnaire'!$O$30,AP445)</f>
        <v>-3.3354151539314892E-4</v>
      </c>
      <c r="AR445" s="373">
        <f ca="1">IF(AR$426 &lt;= '2.2 Input_General_Information'!$H$40 + '2.2 Input_General_Information'!$H$20, AR$407*'2.3 Input_Main_Questionnaire'!$H$156*'2.3 Input_Main_Questionnaire'!$O$30,AQ445)</f>
        <v>-3.3354151539314892E-4</v>
      </c>
      <c r="AS445" s="373">
        <f ca="1">IF(AS$426 &lt;= '2.2 Input_General_Information'!$H$40 + '2.2 Input_General_Information'!$H$20, AS$407*'2.3 Input_Main_Questionnaire'!$H$156*'2.3 Input_Main_Questionnaire'!$O$30,AR445)</f>
        <v>-3.3354151539314892E-4</v>
      </c>
      <c r="AT445" s="373">
        <f ca="1">IF(AT$426 &lt;= '2.2 Input_General_Information'!$H$40 + '2.2 Input_General_Information'!$H$20, AT$407*'2.3 Input_Main_Questionnaire'!$H$156*'2.3 Input_Main_Questionnaire'!$O$30,AS445)</f>
        <v>-3.3354151539314892E-4</v>
      </c>
      <c r="AU445" s="373">
        <f ca="1">IF(AU$426 &lt;= '2.2 Input_General_Information'!$H$40 + '2.2 Input_General_Information'!$H$20, AU$407*'2.3 Input_Main_Questionnaire'!$H$156*'2.3 Input_Main_Questionnaire'!$O$30,AT445)</f>
        <v>-3.3354151539314892E-4</v>
      </c>
      <c r="AV445" s="373">
        <f ca="1">IF(AV$426 &lt;= '2.2 Input_General_Information'!$H$40 + '2.2 Input_General_Information'!$H$20, AV$407*'2.3 Input_Main_Questionnaire'!$H$156*'2.3 Input_Main_Questionnaire'!$O$30,AU445)</f>
        <v>-3.3354151539314892E-4</v>
      </c>
      <c r="AW445" s="373">
        <f ca="1">IF(AW$426 &lt;= '2.2 Input_General_Information'!$H$40 + '2.2 Input_General_Information'!$H$20, AW$407*'2.3 Input_Main_Questionnaire'!$H$156*'2.3 Input_Main_Questionnaire'!$O$30,AV445)</f>
        <v>-3.3354151539314892E-4</v>
      </c>
      <c r="AX445" s="373">
        <f ca="1">IF(AX$426 &lt;= '2.2 Input_General_Information'!$H$40 + '2.2 Input_General_Information'!$H$20, AX$407*'2.3 Input_Main_Questionnaire'!$H$156*'2.3 Input_Main_Questionnaire'!$O$30,AW445)</f>
        <v>-3.3354151539314892E-4</v>
      </c>
      <c r="AY445" s="373">
        <f ca="1">IF(AY$426 &lt;= '2.2 Input_General_Information'!$H$40 + '2.2 Input_General_Information'!$H$20, AY$407*'2.3 Input_Main_Questionnaire'!$H$156*'2.3 Input_Main_Questionnaire'!$O$30,AX445)</f>
        <v>-3.3354151539314892E-4</v>
      </c>
      <c r="AZ445" s="373">
        <f ca="1">IF(AZ$426 &lt;= '2.2 Input_General_Information'!$H$40 + '2.2 Input_General_Information'!$H$20, AZ$407*'2.3 Input_Main_Questionnaire'!$H$156*'2.3 Input_Main_Questionnaire'!$O$30,AY445)</f>
        <v>-3.3354151539314892E-4</v>
      </c>
      <c r="BA445" s="373">
        <f ca="1">IF(BA$426 &lt;= '2.2 Input_General_Information'!$H$40 + '2.2 Input_General_Information'!$H$20, BA$407*'2.3 Input_Main_Questionnaire'!$H$156*'2.3 Input_Main_Questionnaire'!$O$30,AZ445)</f>
        <v>-3.3354151539314892E-4</v>
      </c>
      <c r="BB445" s="373">
        <f ca="1">IF(BB$426 &lt;= '2.2 Input_General_Information'!$H$40 + '2.2 Input_General_Information'!$H$20, BB$407*'2.3 Input_Main_Questionnaire'!$H$156*'2.3 Input_Main_Questionnaire'!$O$30,BA445)</f>
        <v>-3.3354151539314892E-4</v>
      </c>
      <c r="BC445" s="373">
        <f ca="1">IF(BC$426 &lt;= '2.2 Input_General_Information'!$H$40 + '2.2 Input_General_Information'!$H$20, BC$407*'2.3 Input_Main_Questionnaire'!$H$156*'2.3 Input_Main_Questionnaire'!$O$30,BB445)</f>
        <v>-3.3354151539314892E-4</v>
      </c>
      <c r="BD445" s="373">
        <f ca="1">IF(BD$426 &lt;= '2.2 Input_General_Information'!$H$40 + '2.2 Input_General_Information'!$H$20, BD$407*'2.3 Input_Main_Questionnaire'!$H$156*'2.3 Input_Main_Questionnaire'!$O$30,BC445)</f>
        <v>-3.3354151539314892E-4</v>
      </c>
      <c r="BE445" s="373">
        <f ca="1">IF(BE$426 &lt;= '2.2 Input_General_Information'!$H$40 + '2.2 Input_General_Information'!$H$20, BE$407*'2.3 Input_Main_Questionnaire'!$H$156*'2.3 Input_Main_Questionnaire'!$O$30,BD445)</f>
        <v>-3.3354151539314892E-4</v>
      </c>
      <c r="BF445" s="373">
        <f ca="1">IF(BF$426 &lt;= '2.2 Input_General_Information'!$H$40 + '2.2 Input_General_Information'!$H$20, BF$407*'2.3 Input_Main_Questionnaire'!$H$156*'2.3 Input_Main_Questionnaire'!$O$30,BE445)</f>
        <v>-3.3354151539314892E-4</v>
      </c>
      <c r="BG445" s="373">
        <f ca="1">IF(BG$426 &lt;= '2.2 Input_General_Information'!$H$40 + '2.2 Input_General_Information'!$H$20, BG$407*'2.3 Input_Main_Questionnaire'!$H$156*'2.3 Input_Main_Questionnaire'!$O$30,BF445)</f>
        <v>-3.3354151539314892E-4</v>
      </c>
      <c r="BH445" s="373">
        <f ca="1">IF(BH$426 &lt;= '2.2 Input_General_Information'!$H$40 + '2.2 Input_General_Information'!$H$20, BH$407*'2.3 Input_Main_Questionnaire'!$H$156*'2.3 Input_Main_Questionnaire'!$O$30,BG445)</f>
        <v>-3.3354151539314892E-4</v>
      </c>
      <c r="BI445" s="373">
        <f ca="1">IF(BI$426 &lt;= '2.2 Input_General_Information'!$H$40 + '2.2 Input_General_Information'!$H$20, BI$407*'2.3 Input_Main_Questionnaire'!$H$156*'2.3 Input_Main_Questionnaire'!$O$30,BH445)</f>
        <v>-3.3354151539314892E-4</v>
      </c>
      <c r="BJ445" s="373">
        <f ca="1">IF(BJ$426 &lt;= '2.2 Input_General_Information'!$H$40 + '2.2 Input_General_Information'!$H$20, BJ$407*'2.3 Input_Main_Questionnaire'!$H$156*'2.3 Input_Main_Questionnaire'!$O$30,BI445)</f>
        <v>-3.3354151539314892E-4</v>
      </c>
      <c r="BK445" s="373">
        <f ca="1">IF(BK$426 &lt;= '2.2 Input_General_Information'!$H$40 + '2.2 Input_General_Information'!$H$20, BK$407*'2.3 Input_Main_Questionnaire'!$H$156*'2.3 Input_Main_Questionnaire'!$O$30,BJ445)</f>
        <v>-3.3354151539314892E-4</v>
      </c>
      <c r="BL445" s="373"/>
      <c r="BM445" s="373"/>
      <c r="BN445" s="373"/>
      <c r="BO445" s="373"/>
      <c r="BP445" s="373"/>
      <c r="BQ445" s="373"/>
      <c r="BR445" s="373"/>
      <c r="BS445" s="373"/>
      <c r="BT445" s="373"/>
      <c r="BU445" s="373"/>
    </row>
    <row r="446" spans="1:73" hidden="1">
      <c r="A446" s="6"/>
      <c r="B446" s="6"/>
      <c r="C446" s="1"/>
      <c r="D446" s="6"/>
      <c r="E446" s="6"/>
      <c r="F446" s="6"/>
      <c r="G446" s="6"/>
      <c r="H446" s="6"/>
      <c r="I446" s="6"/>
      <c r="J446" s="6"/>
      <c r="K446" s="6"/>
      <c r="L446" s="6"/>
      <c r="M446" s="6"/>
      <c r="N446" s="6"/>
      <c r="O446" s="6"/>
      <c r="P446" s="6"/>
      <c r="Q446" s="6"/>
      <c r="R446" s="251"/>
      <c r="S446" s="6"/>
      <c r="T446" s="6"/>
      <c r="U446" s="9" t="s">
        <v>29</v>
      </c>
      <c r="V446" s="6"/>
      <c r="W446" s="81"/>
      <c r="X446" s="81"/>
      <c r="Y446" s="81"/>
      <c r="Z446" s="81"/>
      <c r="AA446" s="81"/>
      <c r="AB446" s="81"/>
      <c r="AC446" s="81"/>
      <c r="AD446" s="81"/>
      <c r="AE446" s="81"/>
      <c r="AF446" s="81"/>
      <c r="AG446" s="81"/>
      <c r="AH446" s="81"/>
      <c r="AI446" s="81"/>
      <c r="AJ446" s="81"/>
      <c r="AK446" s="81"/>
      <c r="AL446" s="81"/>
      <c r="AM446" s="81"/>
      <c r="AN446" s="81"/>
      <c r="AO446" s="81"/>
      <c r="AP446" s="81"/>
      <c r="AQ446" s="81"/>
      <c r="AR446" s="81"/>
      <c r="AS446" s="98"/>
      <c r="AT446" s="98"/>
      <c r="AU446" s="98"/>
      <c r="AV446" s="98"/>
      <c r="AW446" s="98"/>
      <c r="AX446" s="98"/>
      <c r="AY446" s="98"/>
      <c r="AZ446" s="98"/>
      <c r="BA446" s="98"/>
      <c r="BB446" s="98"/>
      <c r="BC446" s="98"/>
      <c r="BD446" s="98"/>
      <c r="BE446" s="98"/>
      <c r="BF446" s="98"/>
      <c r="BG446" s="98"/>
      <c r="BH446" s="98"/>
      <c r="BI446" s="98"/>
      <c r="BJ446" s="98"/>
      <c r="BK446" s="98"/>
      <c r="BL446" s="99"/>
      <c r="BM446" s="99"/>
      <c r="BN446" s="99"/>
      <c r="BO446" s="99"/>
      <c r="BP446" s="99"/>
      <c r="BQ446" s="99"/>
      <c r="BR446" s="99"/>
      <c r="BS446" s="99"/>
      <c r="BT446" s="99"/>
      <c r="BU446" s="99"/>
    </row>
    <row r="447" spans="1:73" ht="5.25" customHeight="1">
      <c r="A447" s="6"/>
      <c r="B447" s="108"/>
      <c r="C447" s="1"/>
      <c r="D447" s="57"/>
      <c r="E447" s="1"/>
      <c r="F447" s="1"/>
      <c r="G447" s="3"/>
      <c r="H447" s="3"/>
      <c r="I447" s="3"/>
      <c r="J447" s="3"/>
      <c r="K447" s="3"/>
      <c r="L447" s="3"/>
      <c r="M447" s="3"/>
      <c r="N447" s="3"/>
      <c r="O447" s="1"/>
      <c r="P447" s="1"/>
      <c r="Q447" s="1"/>
      <c r="R447" s="162"/>
      <c r="S447" s="1"/>
      <c r="T447" s="103"/>
      <c r="U447" s="103"/>
      <c r="V447" s="103"/>
      <c r="W447" s="98"/>
      <c r="X447" s="98"/>
      <c r="Y447" s="98"/>
      <c r="Z447" s="98"/>
      <c r="AA447" s="98"/>
      <c r="AB447" s="98"/>
      <c r="AC447" s="98"/>
      <c r="AD447" s="98"/>
      <c r="AE447" s="98"/>
      <c r="AF447" s="98"/>
      <c r="AG447" s="98"/>
      <c r="AH447" s="98"/>
      <c r="AI447" s="98"/>
      <c r="AJ447" s="98"/>
      <c r="AK447" s="98"/>
      <c r="AL447" s="98"/>
      <c r="AM447" s="98"/>
      <c r="AN447" s="98"/>
      <c r="AO447" s="98"/>
      <c r="AP447" s="98"/>
      <c r="AQ447" s="98"/>
      <c r="AR447" s="98"/>
      <c r="AS447" s="98"/>
      <c r="AT447" s="98"/>
      <c r="AU447" s="98"/>
      <c r="AV447" s="98"/>
      <c r="AW447" s="98"/>
      <c r="AX447" s="98"/>
      <c r="AY447" s="98"/>
      <c r="AZ447" s="98"/>
      <c r="BA447" s="98"/>
      <c r="BB447" s="98"/>
      <c r="BC447" s="98"/>
      <c r="BD447" s="98"/>
      <c r="BE447" s="98"/>
      <c r="BF447" s="98"/>
      <c r="BG447" s="98"/>
      <c r="BH447" s="98"/>
      <c r="BI447" s="98"/>
      <c r="BJ447" s="98"/>
      <c r="BK447" s="98"/>
      <c r="BL447" s="99"/>
      <c r="BM447" s="99"/>
      <c r="BN447" s="99"/>
      <c r="BO447" s="99"/>
      <c r="BP447" s="99"/>
      <c r="BQ447" s="99"/>
      <c r="BR447" s="99"/>
      <c r="BS447" s="99"/>
      <c r="BT447" s="99"/>
      <c r="BU447" s="99"/>
    </row>
    <row r="448" spans="1:73">
      <c r="A448" s="6"/>
      <c r="B448" s="97" t="s">
        <v>648</v>
      </c>
      <c r="C448" s="37"/>
      <c r="D448" s="560" t="s">
        <v>1025</v>
      </c>
      <c r="E448" s="561"/>
      <c r="F448" s="561"/>
      <c r="G448" s="562">
        <f>-'2.3 Input_Main_Questionnaire'!$H$210*'2.3 Input_Main_Questionnaire'!$H$157*'2.3 Input_Main_Questionnaire'!$H$136*'2.3 Input_Main_Questionnaire'!H30</f>
        <v>-1.5100000000000001E-4</v>
      </c>
      <c r="H448" s="562">
        <f>-'2.3 Input_Main_Questionnaire'!$H$210*'2.3 Input_Main_Questionnaire'!$H$157*'2.3 Input_Main_Questionnaire'!$H$136*'2.3 Input_Main_Questionnaire'!I30</f>
        <v>-2.23E-4</v>
      </c>
      <c r="I448" s="562">
        <f>-'2.3 Input_Main_Questionnaire'!$H$210*'2.3 Input_Main_Questionnaire'!$H$157*'2.3 Input_Main_Questionnaire'!$H$136*'2.3 Input_Main_Questionnaire'!J30</f>
        <v>-1.795E-4</v>
      </c>
      <c r="J448" s="562">
        <f>-'2.3 Input_Main_Questionnaire'!$H$210*'2.3 Input_Main_Questionnaire'!$H$157*'2.3 Input_Main_Questionnaire'!$H$136*'2.3 Input_Main_Questionnaire'!K30</f>
        <v>-2.3900000000000001E-4</v>
      </c>
      <c r="K448" s="562">
        <f>-'2.3 Input_Main_Questionnaire'!$H$210*'2.3 Input_Main_Questionnaire'!$H$157*'2.3 Input_Main_Questionnaire'!$H$136*'2.3 Input_Main_Questionnaire'!L30</f>
        <v>-1.98125E-4</v>
      </c>
      <c r="L448" s="562">
        <f>-'2.3 Input_Main_Questionnaire'!$H$210*'2.3 Input_Main_Questionnaire'!$H$157*'2.3 Input_Main_Questionnaire'!$H$136*'2.3 Input_Main_Questionnaire'!M30</f>
        <v>-1.98125E-4</v>
      </c>
      <c r="M448" s="562">
        <f>-'2.3 Input_Main_Questionnaire'!$H$210*'2.3 Input_Main_Questionnaire'!$H$157*'2.3 Input_Main_Questionnaire'!$H$136*'2.3 Input_Main_Questionnaire'!N30</f>
        <v>-1.98125E-4</v>
      </c>
      <c r="N448" s="563">
        <f>-'2.3 Input_Main_Questionnaire'!$H$210*'2.3 Input_Main_Questionnaire'!$H$157*'2.3 Input_Main_Questionnaire'!$H$136*'2.3 Input_Main_Questionnaire'!O30</f>
        <v>-1.98125E-4</v>
      </c>
      <c r="O448" s="10"/>
      <c r="P448" s="10"/>
      <c r="Q448" s="10"/>
      <c r="R448" s="193"/>
      <c r="S448" s="10"/>
      <c r="T448" s="103"/>
      <c r="U448" s="103"/>
      <c r="V448" s="103"/>
      <c r="W448" s="366"/>
      <c r="X448" s="366"/>
      <c r="Y448" s="366"/>
      <c r="Z448" s="366"/>
      <c r="AA448" s="366"/>
      <c r="AB448" s="366"/>
      <c r="AC448" s="366"/>
      <c r="AD448" s="366"/>
      <c r="AE448" s="366"/>
      <c r="AF448" s="366"/>
      <c r="AG448" s="366"/>
      <c r="AH448" s="366"/>
      <c r="AI448" s="366"/>
      <c r="AJ448" s="366"/>
      <c r="AK448" s="366"/>
      <c r="AL448" s="366"/>
      <c r="AM448" s="366"/>
      <c r="AN448" s="366"/>
      <c r="AO448" s="366"/>
      <c r="AP448" s="366"/>
      <c r="AQ448" s="366"/>
      <c r="AR448" s="366"/>
      <c r="AS448" s="366"/>
      <c r="AT448" s="366"/>
      <c r="AU448" s="366"/>
      <c r="AV448" s="366"/>
      <c r="AW448" s="366"/>
      <c r="AX448" s="366"/>
      <c r="AY448" s="366"/>
      <c r="AZ448" s="366"/>
      <c r="BA448" s="366"/>
      <c r="BB448" s="366"/>
      <c r="BC448" s="366"/>
      <c r="BD448" s="366"/>
      <c r="BE448" s="366"/>
      <c r="BF448" s="366"/>
      <c r="BG448" s="366"/>
      <c r="BH448" s="366"/>
      <c r="BI448" s="366"/>
      <c r="BJ448" s="366"/>
      <c r="BK448" s="366"/>
      <c r="BL448" s="367"/>
      <c r="BM448" s="367"/>
      <c r="BN448" s="367"/>
      <c r="BO448" s="367"/>
      <c r="BP448" s="367"/>
      <c r="BQ448" s="367"/>
      <c r="BR448" s="367"/>
      <c r="BS448" s="367"/>
      <c r="BT448" s="367"/>
      <c r="BU448" s="367"/>
    </row>
    <row r="449" spans="1:73" hidden="1">
      <c r="A449" s="11"/>
      <c r="B449" s="11"/>
      <c r="C449" s="11"/>
      <c r="D449" s="11"/>
      <c r="E449" s="11"/>
      <c r="F449" s="11"/>
      <c r="G449" s="584"/>
      <c r="H449" s="584"/>
      <c r="I449" s="11"/>
      <c r="J449" s="11"/>
      <c r="K449" s="11"/>
      <c r="L449" s="11"/>
      <c r="M449" s="11"/>
      <c r="N449" s="11"/>
      <c r="O449" s="11"/>
      <c r="P449" s="11"/>
      <c r="Q449" s="11"/>
      <c r="R449" s="193"/>
      <c r="S449" s="11"/>
      <c r="T449" s="11"/>
      <c r="U449" s="9" t="s">
        <v>5</v>
      </c>
      <c r="V449" s="591"/>
      <c r="W449" s="588"/>
      <c r="X449" s="588"/>
      <c r="Y449" s="588"/>
      <c r="Z449" s="588"/>
      <c r="AA449" s="588"/>
      <c r="AB449" s="588"/>
      <c r="AC449" s="588"/>
      <c r="AD449" s="588"/>
      <c r="AE449" s="588"/>
      <c r="AF449" s="588"/>
      <c r="AG449" s="588"/>
      <c r="AH449" s="588"/>
      <c r="AI449" s="588"/>
      <c r="AJ449" s="588"/>
      <c r="AK449" s="588"/>
      <c r="AL449" s="588"/>
      <c r="AM449" s="588"/>
      <c r="AN449" s="588"/>
      <c r="AO449" s="588"/>
      <c r="AP449" s="588"/>
      <c r="AQ449" s="588"/>
      <c r="AR449" s="588"/>
      <c r="AS449" s="588"/>
      <c r="AT449" s="588"/>
      <c r="AU449" s="588"/>
      <c r="AV449" s="588"/>
      <c r="AW449" s="588"/>
      <c r="AX449" s="588"/>
      <c r="AY449" s="588"/>
      <c r="AZ449" s="588"/>
      <c r="BA449" s="588"/>
      <c r="BB449" s="588"/>
      <c r="BC449" s="588"/>
      <c r="BD449" s="588"/>
      <c r="BE449" s="588"/>
      <c r="BF449" s="588"/>
      <c r="BG449" s="588"/>
      <c r="BH449" s="588"/>
      <c r="BI449" s="588"/>
      <c r="BJ449" s="588"/>
      <c r="BK449" s="588"/>
      <c r="BL449" s="11"/>
      <c r="BM449" s="11"/>
      <c r="BN449" s="11"/>
      <c r="BO449" s="11"/>
      <c r="BP449" s="11"/>
      <c r="BQ449" s="11"/>
      <c r="BR449" s="11"/>
      <c r="BS449" s="11"/>
      <c r="BT449" s="11"/>
      <c r="BU449" s="11"/>
    </row>
    <row r="450" spans="1:73" hidden="1">
      <c r="A450" s="11"/>
      <c r="B450" s="11"/>
      <c r="C450" s="11"/>
      <c r="D450" s="11"/>
      <c r="E450" s="11"/>
      <c r="F450" s="11"/>
      <c r="G450" s="584"/>
      <c r="H450" s="584"/>
      <c r="I450" s="11"/>
      <c r="J450" s="11"/>
      <c r="K450" s="11"/>
      <c r="L450" s="11"/>
      <c r="M450" s="11"/>
      <c r="N450" s="11"/>
      <c r="O450" s="11"/>
      <c r="P450" s="11"/>
      <c r="Q450" s="11"/>
      <c r="R450" s="587"/>
      <c r="S450" s="11"/>
      <c r="T450" s="11"/>
      <c r="U450" s="11"/>
      <c r="V450" s="592" t="str">
        <f>D448</f>
        <v>Additional cost in time to move towards reproducible methods and results</v>
      </c>
      <c r="W450" s="593"/>
      <c r="X450" s="593"/>
      <c r="Y450" s="593"/>
      <c r="Z450" s="593"/>
      <c r="AA450" s="593"/>
      <c r="AB450" s="593"/>
      <c r="AC450" s="593"/>
      <c r="AD450" s="593"/>
      <c r="AE450" s="593"/>
      <c r="AF450" s="593"/>
      <c r="AG450" s="593"/>
      <c r="AH450" s="593"/>
      <c r="AI450" s="593"/>
      <c r="AJ450" s="593"/>
      <c r="AK450" s="593"/>
      <c r="AL450" s="593"/>
      <c r="AM450" s="593"/>
      <c r="AN450" s="593"/>
      <c r="AO450" s="593"/>
      <c r="AP450" s="593"/>
      <c r="AQ450" s="593"/>
      <c r="AR450" s="593"/>
      <c r="AS450" s="593"/>
      <c r="AT450" s="593"/>
      <c r="AU450" s="593"/>
      <c r="AV450" s="593"/>
      <c r="AW450" s="593"/>
      <c r="AX450" s="593"/>
      <c r="AY450" s="593"/>
      <c r="AZ450" s="593"/>
      <c r="BA450" s="593"/>
      <c r="BB450" s="593"/>
      <c r="BC450" s="593"/>
      <c r="BD450" s="593"/>
      <c r="BE450" s="593"/>
      <c r="BF450" s="593"/>
      <c r="BG450" s="593"/>
      <c r="BH450" s="593"/>
      <c r="BI450" s="593"/>
      <c r="BJ450" s="593"/>
      <c r="BK450" s="593"/>
      <c r="BL450" s="11"/>
      <c r="BM450" s="11"/>
      <c r="BN450" s="11"/>
      <c r="BO450" s="11"/>
      <c r="BP450" s="11"/>
      <c r="BQ450" s="11"/>
      <c r="BR450" s="11"/>
      <c r="BS450" s="11"/>
      <c r="BT450" s="11"/>
      <c r="BU450" s="11"/>
    </row>
    <row r="451" spans="1:73" hidden="1">
      <c r="A451" s="6"/>
      <c r="B451" s="108"/>
      <c r="C451" s="1"/>
      <c r="D451" s="1"/>
      <c r="E451" s="1"/>
      <c r="F451" s="1"/>
      <c r="G451" s="43"/>
      <c r="H451" s="43"/>
      <c r="I451" s="3"/>
      <c r="J451" s="3"/>
      <c r="K451" s="3"/>
      <c r="L451" s="3"/>
      <c r="M451" s="3"/>
      <c r="N451" s="3"/>
      <c r="O451" s="1"/>
      <c r="P451" s="1"/>
      <c r="Q451" s="1"/>
      <c r="R451" s="162"/>
      <c r="S451" s="1"/>
      <c r="T451" s="103"/>
      <c r="U451" s="103"/>
      <c r="V451" s="101" t="s">
        <v>208</v>
      </c>
      <c r="W451" s="98">
        <f>Growth!B20</f>
        <v>2018</v>
      </c>
      <c r="X451" s="98">
        <f t="shared" ref="X451:BK451" si="74">W451+1</f>
        <v>2019</v>
      </c>
      <c r="Y451" s="98">
        <f t="shared" si="74"/>
        <v>2020</v>
      </c>
      <c r="Z451" s="98">
        <f t="shared" si="74"/>
        <v>2021</v>
      </c>
      <c r="AA451" s="98">
        <f t="shared" si="74"/>
        <v>2022</v>
      </c>
      <c r="AB451" s="98">
        <f t="shared" si="74"/>
        <v>2023</v>
      </c>
      <c r="AC451" s="98">
        <f t="shared" si="74"/>
        <v>2024</v>
      </c>
      <c r="AD451" s="98">
        <f t="shared" si="74"/>
        <v>2025</v>
      </c>
      <c r="AE451" s="98">
        <f t="shared" si="74"/>
        <v>2026</v>
      </c>
      <c r="AF451" s="98">
        <f t="shared" si="74"/>
        <v>2027</v>
      </c>
      <c r="AG451" s="98">
        <f t="shared" si="74"/>
        <v>2028</v>
      </c>
      <c r="AH451" s="98">
        <f t="shared" si="74"/>
        <v>2029</v>
      </c>
      <c r="AI451" s="98">
        <f t="shared" si="74"/>
        <v>2030</v>
      </c>
      <c r="AJ451" s="98">
        <f t="shared" si="74"/>
        <v>2031</v>
      </c>
      <c r="AK451" s="98">
        <f t="shared" si="74"/>
        <v>2032</v>
      </c>
      <c r="AL451" s="98">
        <f t="shared" si="74"/>
        <v>2033</v>
      </c>
      <c r="AM451" s="98">
        <f t="shared" si="74"/>
        <v>2034</v>
      </c>
      <c r="AN451" s="98">
        <f t="shared" si="74"/>
        <v>2035</v>
      </c>
      <c r="AO451" s="98">
        <f t="shared" si="74"/>
        <v>2036</v>
      </c>
      <c r="AP451" s="98">
        <f t="shared" si="74"/>
        <v>2037</v>
      </c>
      <c r="AQ451" s="98">
        <f t="shared" si="74"/>
        <v>2038</v>
      </c>
      <c r="AR451" s="98">
        <f t="shared" si="74"/>
        <v>2039</v>
      </c>
      <c r="AS451" s="98">
        <f t="shared" si="74"/>
        <v>2040</v>
      </c>
      <c r="AT451" s="98">
        <f t="shared" si="74"/>
        <v>2041</v>
      </c>
      <c r="AU451" s="98">
        <f t="shared" si="74"/>
        <v>2042</v>
      </c>
      <c r="AV451" s="98">
        <f t="shared" si="74"/>
        <v>2043</v>
      </c>
      <c r="AW451" s="98">
        <f t="shared" si="74"/>
        <v>2044</v>
      </c>
      <c r="AX451" s="98">
        <f t="shared" si="74"/>
        <v>2045</v>
      </c>
      <c r="AY451" s="98">
        <f t="shared" si="74"/>
        <v>2046</v>
      </c>
      <c r="AZ451" s="98">
        <f t="shared" si="74"/>
        <v>2047</v>
      </c>
      <c r="BA451" s="98">
        <f t="shared" si="74"/>
        <v>2048</v>
      </c>
      <c r="BB451" s="98">
        <f t="shared" si="74"/>
        <v>2049</v>
      </c>
      <c r="BC451" s="98">
        <f t="shared" si="74"/>
        <v>2050</v>
      </c>
      <c r="BD451" s="98">
        <f t="shared" si="74"/>
        <v>2051</v>
      </c>
      <c r="BE451" s="98">
        <f t="shared" si="74"/>
        <v>2052</v>
      </c>
      <c r="BF451" s="98">
        <f t="shared" si="74"/>
        <v>2053</v>
      </c>
      <c r="BG451" s="98">
        <f t="shared" si="74"/>
        <v>2054</v>
      </c>
      <c r="BH451" s="98">
        <f t="shared" si="74"/>
        <v>2055</v>
      </c>
      <c r="BI451" s="98">
        <f t="shared" si="74"/>
        <v>2056</v>
      </c>
      <c r="BJ451" s="98">
        <f t="shared" si="74"/>
        <v>2057</v>
      </c>
      <c r="BK451" s="98">
        <f t="shared" si="74"/>
        <v>2058</v>
      </c>
      <c r="BL451" s="98"/>
      <c r="BM451" s="98"/>
      <c r="BN451" s="98"/>
      <c r="BO451" s="98"/>
      <c r="BP451" s="98"/>
      <c r="BQ451" s="98"/>
      <c r="BR451" s="98"/>
      <c r="BS451" s="98"/>
      <c r="BT451" s="98"/>
      <c r="BU451" s="98"/>
    </row>
    <row r="452" spans="1:73" hidden="1">
      <c r="A452" s="6"/>
      <c r="B452" s="108"/>
      <c r="C452" s="1"/>
      <c r="D452" s="1"/>
      <c r="E452" s="1"/>
      <c r="F452" s="1"/>
      <c r="G452" s="43"/>
      <c r="H452" s="43"/>
      <c r="I452" s="3"/>
      <c r="J452" s="3"/>
      <c r="K452" s="3"/>
      <c r="L452" s="3"/>
      <c r="M452" s="3"/>
      <c r="N452" s="3"/>
      <c r="O452" s="1"/>
      <c r="P452" s="1"/>
      <c r="Q452" s="1"/>
      <c r="R452" s="162"/>
      <c r="S452" s="1"/>
      <c r="T452" s="103"/>
      <c r="U452" s="103"/>
      <c r="V452" s="103" t="str">
        <f>$G$10</f>
        <v>PhD researcher</v>
      </c>
      <c r="W452" s="373">
        <f ca="1">IF(W$451 &lt;= '2.2 Input_General_Information'!$H$40 + '2.2 Input_General_Information'!$H$20, ($G$448*(VLOOKUP(W$451,Growth!$B$128:$J$168, 7, FALSE))),$G$448)</f>
        <v>-1.5099999999993726E-8</v>
      </c>
      <c r="X452" s="373">
        <f ca="1">IF(X$451 &lt;= '2.2 Input_General_Information'!$H$40 + '2.2 Input_General_Information'!$H$20, ($G$448*(VLOOKUP(X$451,Growth!$B$128:$J$168, 7, FALSE))),$G$448)</f>
        <v>-6.6981230838452045E-6</v>
      </c>
      <c r="Y452" s="373">
        <f ca="1">IF(Y$451 &lt;= '2.2 Input_General_Information'!$H$40 + '2.2 Input_General_Information'!$H$20, ($G$448*(VLOOKUP(Y$451,Growth!$B$128:$J$168, 7, FALSE))),$G$448)</f>
        <v>-1.4430187691615479E-4</v>
      </c>
      <c r="Z452" s="373">
        <f ca="1">IF(Z$451 &lt;= '2.2 Input_General_Information'!$H$40 + '2.2 Input_General_Information'!$H$20, ($G$448*(VLOOKUP(Z$451,Growth!$B$128:$J$168, 7, FALSE))),$G$448)</f>
        <v>-1.5098490000000004E-4</v>
      </c>
      <c r="AA452" s="373">
        <f ca="1">IF(AA$451 &lt;= '2.2 Input_General_Information'!$H$40 + '2.2 Input_General_Information'!$H$20, ($G$448*(VLOOKUP(AA$451,Growth!$B$128:$J$168, 7, FALSE))),$G$448)</f>
        <v>-1.5100000000000001E-4</v>
      </c>
      <c r="AB452" s="373">
        <f ca="1">IF(AB$451 &lt;= '2.2 Input_General_Information'!$H$40 + '2.2 Input_General_Information'!$H$20, ($G$448*(VLOOKUP(AB$451,Growth!$B$128:$J$168, 7, FALSE))),$G$448)</f>
        <v>-1.5100000000000001E-4</v>
      </c>
      <c r="AC452" s="373">
        <f ca="1">IF(AC$451 &lt;= '2.2 Input_General_Information'!$H$40 + '2.2 Input_General_Information'!$H$20, ($G$448*(VLOOKUP(AC$451,Growth!$B$128:$J$168, 7, FALSE))),$G$448)</f>
        <v>-1.5100000000000001E-4</v>
      </c>
      <c r="AD452" s="373">
        <f ca="1">IF(AD$451 &lt;= '2.2 Input_General_Information'!$H$40 + '2.2 Input_General_Information'!$H$20, ($G$448*(VLOOKUP(AD$451,Growth!$B$128:$J$168, 7, FALSE))),$G$448)</f>
        <v>-1.5100000000000001E-4</v>
      </c>
      <c r="AE452" s="373">
        <f ca="1">IF(AE$451 &lt;= '2.2 Input_General_Information'!$H$40 + '2.2 Input_General_Information'!$H$20, ($G$448*(VLOOKUP(AE$451,Growth!$B$128:$J$168, 7, FALSE))),$G$448)</f>
        <v>-1.5100000000000001E-4</v>
      </c>
      <c r="AF452" s="373">
        <f ca="1">IF(AF$451 &lt;= '2.2 Input_General_Information'!$H$40 + '2.2 Input_General_Information'!$H$20, ($G$448*(VLOOKUP(AF$451,Growth!$B$128:$J$168, 7, FALSE))),$G$448)</f>
        <v>-1.5100000000000001E-4</v>
      </c>
      <c r="AG452" s="594">
        <f ca="1">IF(AG$451 &lt;= '2.2 Input_General_Information'!$H$40 + '2.2 Input_General_Information'!$H$20, ($G$448*(VLOOKUP(AG$451,Growth!$B$128:$J$168, 7, FALSE))),$G$448)</f>
        <v>-1.5100000000000001E-4</v>
      </c>
      <c r="AH452" s="373">
        <f ca="1">IF(AH$451 &lt;= '2.2 Input_General_Information'!$H$40 + '2.2 Input_General_Information'!$H$20, ($G$448*(VLOOKUP(AH$451,Growth!$B$128:$J$168, 7, FALSE))),$G$448)</f>
        <v>-1.5100000000000001E-4</v>
      </c>
      <c r="AI452" s="373">
        <f ca="1">IF(AI$451 &lt;= '2.2 Input_General_Information'!$H$40 + '2.2 Input_General_Information'!$H$20, ($G$448*(VLOOKUP(AI$451,Growth!$B$128:$J$168, 7, FALSE))),$G$448)</f>
        <v>-1.5100000000000001E-4</v>
      </c>
      <c r="AJ452" s="373">
        <f ca="1">IF(AJ$451 &lt;= '2.2 Input_General_Information'!$H$40 + '2.2 Input_General_Information'!$H$20, ($G$448*(VLOOKUP(AJ$451,Growth!$B$128:$J$168, 7, FALSE))),$G$448)</f>
        <v>-1.5100000000000001E-4</v>
      </c>
      <c r="AK452" s="373">
        <f ca="1">IF(AK$451 &lt;= '2.2 Input_General_Information'!$H$40 + '2.2 Input_General_Information'!$H$20, ($G$448*(VLOOKUP(AK$451,Growth!$B$128:$J$168, 7, FALSE))),$G$448)</f>
        <v>-1.5100000000000001E-4</v>
      </c>
      <c r="AL452" s="373">
        <f ca="1">IF(AL$451 &lt;= '2.2 Input_General_Information'!$H$40 + '2.2 Input_General_Information'!$H$20, ($G$448*(VLOOKUP(AL$451,Growth!$B$128:$J$168, 7, FALSE))),$G$448)</f>
        <v>-1.5100000000000001E-4</v>
      </c>
      <c r="AM452" s="373">
        <f ca="1">IF(AM$451 &lt;= '2.2 Input_General_Information'!$H$40 + '2.2 Input_General_Information'!$H$20, ($G$448*(VLOOKUP(AM$451,Growth!$B$128:$J$168, 7, FALSE))),$G$448)</f>
        <v>-1.5100000000000001E-4</v>
      </c>
      <c r="AN452" s="373">
        <f ca="1">IF(AN$451 &lt;= '2.2 Input_General_Information'!$H$40 + '2.2 Input_General_Information'!$H$20, ($G$448*(VLOOKUP(AN$451,Growth!$B$128:$J$168, 7, FALSE))),$G$448)</f>
        <v>-1.5100000000000001E-4</v>
      </c>
      <c r="AO452" s="373">
        <f ca="1">IF(AO$451 &lt;= '2.2 Input_General_Information'!$H$40 + '2.2 Input_General_Information'!$H$20, ($G$448*(VLOOKUP(AO$451,Growth!$B$128:$J$168, 7, FALSE))),$G$448)</f>
        <v>-1.5100000000000001E-4</v>
      </c>
      <c r="AP452" s="373">
        <f ca="1">IF(AP$451 &lt;= '2.2 Input_General_Information'!$H$40 + '2.2 Input_General_Information'!$H$20, ($G$448*(VLOOKUP(AP$451,Growth!$B$128:$J$168, 7, FALSE))),$G$448)</f>
        <v>-1.5100000000000001E-4</v>
      </c>
      <c r="AQ452" s="373">
        <f ca="1">IF(AQ$451 &lt;= '2.2 Input_General_Information'!$H$40 + '2.2 Input_General_Information'!$H$20, ($G$448*(VLOOKUP(AQ$451,Growth!$B$128:$J$168, 7, FALSE))),$G$448)</f>
        <v>-1.5100000000000001E-4</v>
      </c>
      <c r="AR452" s="373">
        <f ca="1">IF(AR$451 &lt;= '2.2 Input_General_Information'!$H$40 + '2.2 Input_General_Information'!$H$20, ($G$448*(VLOOKUP(AR$451,Growth!$B$128:$J$168, 7, FALSE))),$G$448)</f>
        <v>-1.5100000000000001E-4</v>
      </c>
      <c r="AS452" s="373">
        <f ca="1">IF(AS$451 &lt;= '2.2 Input_General_Information'!$H$40 + '2.2 Input_General_Information'!$H$20, ($G$448*(VLOOKUP(AS$451,Growth!$B$128:$J$168, 7, FALSE))),$G$448)</f>
        <v>-1.5100000000000001E-4</v>
      </c>
      <c r="AT452" s="373">
        <f ca="1">IF(AT$451 &lt;= '2.2 Input_General_Information'!$H$40 + '2.2 Input_General_Information'!$H$20, ($G$448*(VLOOKUP(AT$451,Growth!$B$128:$J$168, 7, FALSE))),$G$448)</f>
        <v>-1.5100000000000001E-4</v>
      </c>
      <c r="AU452" s="373">
        <f ca="1">IF(AU$451 &lt;= '2.2 Input_General_Information'!$H$40 + '2.2 Input_General_Information'!$H$20, ($G$448*(VLOOKUP(AU$451,Growth!$B$128:$J$168, 7, FALSE))),$G$448)</f>
        <v>-1.5100000000000001E-4</v>
      </c>
      <c r="AV452" s="373">
        <f ca="1">IF(AV$451 &lt;= '2.2 Input_General_Information'!$H$40 + '2.2 Input_General_Information'!$H$20, ($G$448*(VLOOKUP(AV$451,Growth!$B$128:$J$168, 7, FALSE))),$G$448)</f>
        <v>-1.5100000000000001E-4</v>
      </c>
      <c r="AW452" s="373">
        <f ca="1">IF(AW$451 &lt;= '2.2 Input_General_Information'!$H$40 + '2.2 Input_General_Information'!$H$20, ($G$448*(VLOOKUP(AW$451,Growth!$B$128:$J$168, 7, FALSE))),$G$448)</f>
        <v>-1.5100000000000001E-4</v>
      </c>
      <c r="AX452" s="373">
        <f ca="1">IF(AX$451 &lt;= '2.2 Input_General_Information'!$H$40 + '2.2 Input_General_Information'!$H$20, ($G$448*(VLOOKUP(AX$451,Growth!$B$128:$J$168, 7, FALSE))),$G$448)</f>
        <v>-1.5100000000000001E-4</v>
      </c>
      <c r="AY452" s="373">
        <f ca="1">IF(AY$451 &lt;= '2.2 Input_General_Information'!$H$40 + '2.2 Input_General_Information'!$H$20, ($G$448*(VLOOKUP(AY$451,Growth!$B$128:$J$168, 7, FALSE))),$G$448)</f>
        <v>-1.5100000000000001E-4</v>
      </c>
      <c r="AZ452" s="373">
        <f ca="1">IF(AZ$451 &lt;= '2.2 Input_General_Information'!$H$40 + '2.2 Input_General_Information'!$H$20, ($G$448*(VLOOKUP(AZ$451,Growth!$B$128:$J$168, 7, FALSE))),$G$448)</f>
        <v>-1.5100000000000001E-4</v>
      </c>
      <c r="BA452" s="373">
        <f ca="1">IF(BA$451 &lt;= '2.2 Input_General_Information'!$H$40 + '2.2 Input_General_Information'!$H$20, ($G$448*(VLOOKUP(BA$451,Growth!$B$128:$J$168, 7, FALSE))),$G$448)</f>
        <v>-1.5100000000000001E-4</v>
      </c>
      <c r="BB452" s="373">
        <f ca="1">IF(BB$451 &lt;= '2.2 Input_General_Information'!$H$40 + '2.2 Input_General_Information'!$H$20, ($G$448*(VLOOKUP(BB$451,Growth!$B$128:$J$168, 7, FALSE))),$G$448)</f>
        <v>-1.5100000000000001E-4</v>
      </c>
      <c r="BC452" s="373">
        <f ca="1">IF(BC$451 &lt;= '2.2 Input_General_Information'!$H$40 + '2.2 Input_General_Information'!$H$20, ($G$448*(VLOOKUP(BC$451,Growth!$B$128:$J$168, 7, FALSE))),$G$448)</f>
        <v>-1.5100000000000001E-4</v>
      </c>
      <c r="BD452" s="373">
        <f ca="1">IF(BD$451 &lt;= '2.2 Input_General_Information'!$H$40 + '2.2 Input_General_Information'!$H$20, ($G$448*(VLOOKUP(BD$451,Growth!$B$128:$J$168, 7, FALSE))),$G$448)</f>
        <v>-1.5100000000000001E-4</v>
      </c>
      <c r="BE452" s="373">
        <f ca="1">IF(BE$451 &lt;= '2.2 Input_General_Information'!$H$40 + '2.2 Input_General_Information'!$H$20, ($G$448*(VLOOKUP(BE$451,Growth!$B$128:$J$168, 7, FALSE))),$G$448)</f>
        <v>-1.5100000000000001E-4</v>
      </c>
      <c r="BF452" s="373">
        <f ca="1">IF(BF$451 &lt;= '2.2 Input_General_Information'!$H$40 + '2.2 Input_General_Information'!$H$20, ($G$448*(VLOOKUP(BF$451,Growth!$B$128:$J$168, 7, FALSE))),$G$448)</f>
        <v>-1.5100000000000001E-4</v>
      </c>
      <c r="BG452" s="373">
        <f ca="1">IF(BG$451 &lt;= '2.2 Input_General_Information'!$H$40 + '2.2 Input_General_Information'!$H$20, ($G$448*(VLOOKUP(BG$451,Growth!$B$128:$J$168, 7, FALSE))),$G$448)</f>
        <v>-1.5100000000000001E-4</v>
      </c>
      <c r="BH452" s="373">
        <f ca="1">IF(BH$451 &lt;= '2.2 Input_General_Information'!$H$40 + '2.2 Input_General_Information'!$H$20, ($G$448*(VLOOKUP(BH$451,Growth!$B$128:$J$168, 7, FALSE))),$G$448)</f>
        <v>-1.5100000000000001E-4</v>
      </c>
      <c r="BI452" s="373">
        <f ca="1">IF(BI$451 &lt;= '2.2 Input_General_Information'!$H$40 + '2.2 Input_General_Information'!$H$20, ($G$448*(VLOOKUP(BI$451,Growth!$B$128:$J$168, 7, FALSE))),$G$448)</f>
        <v>-1.5100000000000001E-4</v>
      </c>
      <c r="BJ452" s="373">
        <f ca="1">IF(BJ$451 &lt;= '2.2 Input_General_Information'!$H$40 + '2.2 Input_General_Information'!$H$20, ($G$448*(VLOOKUP(BJ$451,Growth!$B$128:$J$168, 7, FALSE))),$G$448)</f>
        <v>-1.5100000000000001E-4</v>
      </c>
      <c r="BK452" s="373">
        <f ca="1">IF(BK$451 &lt;= '2.2 Input_General_Information'!$H$40 + '2.2 Input_General_Information'!$H$20, ($G$448*(VLOOKUP(BK$451,Growth!$B$128:$J$168, 7, FALSE))),$G$448)</f>
        <v>-1.5100000000000001E-4</v>
      </c>
      <c r="BL452" s="373"/>
      <c r="BM452" s="373"/>
      <c r="BN452" s="373"/>
      <c r="BO452" s="373"/>
      <c r="BP452" s="373"/>
      <c r="BQ452" s="373"/>
      <c r="BR452" s="373"/>
      <c r="BS452" s="373"/>
      <c r="BT452" s="373"/>
      <c r="BU452" s="373"/>
    </row>
    <row r="453" spans="1:73" hidden="1">
      <c r="A453" s="6"/>
      <c r="B453" s="108"/>
      <c r="C453" s="1"/>
      <c r="D453" s="1"/>
      <c r="E453" s="1"/>
      <c r="F453" s="1"/>
      <c r="G453" s="43"/>
      <c r="H453" s="43"/>
      <c r="I453" s="3"/>
      <c r="J453" s="3"/>
      <c r="K453" s="3"/>
      <c r="L453" s="3"/>
      <c r="M453" s="3"/>
      <c r="N453" s="3"/>
      <c r="O453" s="1"/>
      <c r="P453" s="1"/>
      <c r="Q453" s="1"/>
      <c r="R453" s="162"/>
      <c r="S453" s="1"/>
      <c r="T453" s="103"/>
      <c r="U453" s="103"/>
      <c r="V453" s="103" t="str">
        <f>$H$10</f>
        <v>Lecturer assistant/Research assistant (Academic)</v>
      </c>
      <c r="W453" s="373">
        <f ca="1">IF(W$451 &lt;= '2.2 Input_General_Information'!$H$40 + '2.2 Input_General_Information'!$H$20, ($H$448*(VLOOKUP(W$451,Growth!$B$128:$J$168, 7, FALSE))),$H$448)</f>
        <v>-2.2299999999990733E-8</v>
      </c>
      <c r="X453" s="373">
        <f ca="1">IF(X$451 &lt;= '2.2 Input_General_Information'!$H$40 + '2.2 Input_General_Information'!$H$20, ($H$448*(VLOOKUP(X$451,Growth!$B$128:$J$168, 7, FALSE))),$H$448)</f>
        <v>-9.8919301172018581E-6</v>
      </c>
      <c r="Y453" s="373">
        <f ca="1">IF(Y$451 &lt;= '2.2 Input_General_Information'!$H$40 + '2.2 Input_General_Information'!$H$20, ($H$448*(VLOOKUP(Y$451,Growth!$B$128:$J$168, 7, FALSE))),$H$448)</f>
        <v>-2.1310806988279811E-4</v>
      </c>
      <c r="Z453" s="373">
        <f ca="1">IF(Z$451 &lt;= '2.2 Input_General_Information'!$H$40 + '2.2 Input_General_Information'!$H$20, ($H$448*(VLOOKUP(Z$451,Growth!$B$128:$J$168, 7, FALSE))),$H$448)</f>
        <v>-2.2297770000000004E-4</v>
      </c>
      <c r="AA453" s="373">
        <f ca="1">IF(AA$451 &lt;= '2.2 Input_General_Information'!$H$40 + '2.2 Input_General_Information'!$H$20, ($H$448*(VLOOKUP(AA$451,Growth!$B$128:$J$168, 7, FALSE))),$H$448)</f>
        <v>-2.23E-4</v>
      </c>
      <c r="AB453" s="373">
        <f ca="1">IF(AB$451 &lt;= '2.2 Input_General_Information'!$H$40 + '2.2 Input_General_Information'!$H$20, ($H$448*(VLOOKUP(AB$451,Growth!$B$128:$J$168, 7, FALSE))),$H$448)</f>
        <v>-2.23E-4</v>
      </c>
      <c r="AC453" s="373">
        <f ca="1">IF(AC$451 &lt;= '2.2 Input_General_Information'!$H$40 + '2.2 Input_General_Information'!$H$20, ($H$448*(VLOOKUP(AC$451,Growth!$B$128:$J$168, 7, FALSE))),$H$448)</f>
        <v>-2.23E-4</v>
      </c>
      <c r="AD453" s="373">
        <f ca="1">IF(AD$451 &lt;= '2.2 Input_General_Information'!$H$40 + '2.2 Input_General_Information'!$H$20, ($H$448*(VLOOKUP(AD$451,Growth!$B$128:$J$168, 7, FALSE))),$H$448)</f>
        <v>-2.23E-4</v>
      </c>
      <c r="AE453" s="373">
        <f ca="1">IF(AE$451 &lt;= '2.2 Input_General_Information'!$H$40 + '2.2 Input_General_Information'!$H$20, ($H$448*(VLOOKUP(AE$451,Growth!$B$128:$J$168, 7, FALSE))),$H$448)</f>
        <v>-2.23E-4</v>
      </c>
      <c r="AF453" s="373">
        <f ca="1">IF(AF$451 &lt;= '2.2 Input_General_Information'!$H$40 + '2.2 Input_General_Information'!$H$20, ($H$448*(VLOOKUP(AF$451,Growth!$B$128:$J$168, 7, FALSE))),$H$448)</f>
        <v>-2.23E-4</v>
      </c>
      <c r="AG453" s="373">
        <f ca="1">IF(AG$451 &lt;= '2.2 Input_General_Information'!$H$40 + '2.2 Input_General_Information'!$H$20, ($H$448*(VLOOKUP(AG$451,Growth!$B$128:$J$168, 7, FALSE))),$H$448)</f>
        <v>-2.23E-4</v>
      </c>
      <c r="AH453" s="373">
        <f ca="1">IF(AH$451 &lt;= '2.2 Input_General_Information'!$H$40 + '2.2 Input_General_Information'!$H$20, ($H$448*(VLOOKUP(AH$451,Growth!$B$128:$J$168, 7, FALSE))),$H$448)</f>
        <v>-2.23E-4</v>
      </c>
      <c r="AI453" s="373">
        <f ca="1">IF(AI$451 &lt;= '2.2 Input_General_Information'!$H$40 + '2.2 Input_General_Information'!$H$20, ($H$448*(VLOOKUP(AI$451,Growth!$B$128:$J$168, 7, FALSE))),$H$448)</f>
        <v>-2.23E-4</v>
      </c>
      <c r="AJ453" s="373">
        <f ca="1">IF(AJ$451 &lt;= '2.2 Input_General_Information'!$H$40 + '2.2 Input_General_Information'!$H$20, ($H$448*(VLOOKUP(AJ$451,Growth!$B$128:$J$168, 7, FALSE))),$H$448)</f>
        <v>-2.23E-4</v>
      </c>
      <c r="AK453" s="373">
        <f ca="1">IF(AK$451 &lt;= '2.2 Input_General_Information'!$H$40 + '2.2 Input_General_Information'!$H$20, ($H$448*(VLOOKUP(AK$451,Growth!$B$128:$J$168, 7, FALSE))),$H$448)</f>
        <v>-2.23E-4</v>
      </c>
      <c r="AL453" s="373">
        <f ca="1">IF(AL$451 &lt;= '2.2 Input_General_Information'!$H$40 + '2.2 Input_General_Information'!$H$20, ($H$448*(VLOOKUP(AL$451,Growth!$B$128:$J$168, 7, FALSE))),$H$448)</f>
        <v>-2.23E-4</v>
      </c>
      <c r="AM453" s="373">
        <f ca="1">IF(AM$451 &lt;= '2.2 Input_General_Information'!$H$40 + '2.2 Input_General_Information'!$H$20, ($H$448*(VLOOKUP(AM$451,Growth!$B$128:$J$168, 7, FALSE))),$H$448)</f>
        <v>-2.23E-4</v>
      </c>
      <c r="AN453" s="373">
        <f ca="1">IF(AN$451 &lt;= '2.2 Input_General_Information'!$H$40 + '2.2 Input_General_Information'!$H$20, ($H$448*(VLOOKUP(AN$451,Growth!$B$128:$J$168, 7, FALSE))),$H$448)</f>
        <v>-2.23E-4</v>
      </c>
      <c r="AO453" s="373">
        <f ca="1">IF(AO$451 &lt;= '2.2 Input_General_Information'!$H$40 + '2.2 Input_General_Information'!$H$20, ($H$448*(VLOOKUP(AO$451,Growth!$B$128:$J$168, 7, FALSE))),$H$448)</f>
        <v>-2.23E-4</v>
      </c>
      <c r="AP453" s="373">
        <f ca="1">IF(AP$451 &lt;= '2.2 Input_General_Information'!$H$40 + '2.2 Input_General_Information'!$H$20, ($H$448*(VLOOKUP(AP$451,Growth!$B$128:$J$168, 7, FALSE))),$H$448)</f>
        <v>-2.23E-4</v>
      </c>
      <c r="AQ453" s="373">
        <f ca="1">IF(AQ$451 &lt;= '2.2 Input_General_Information'!$H$40 + '2.2 Input_General_Information'!$H$20, ($H$448*(VLOOKUP(AQ$451,Growth!$B$128:$J$168, 7, FALSE))),$H$448)</f>
        <v>-2.23E-4</v>
      </c>
      <c r="AR453" s="373">
        <f ca="1">IF(AR$451 &lt;= '2.2 Input_General_Information'!$H$40 + '2.2 Input_General_Information'!$H$20, ($H$448*(VLOOKUP(AR$451,Growth!$B$128:$J$168, 7, FALSE))),$H$448)</f>
        <v>-2.23E-4</v>
      </c>
      <c r="AS453" s="373">
        <f ca="1">IF(AS$451 &lt;= '2.2 Input_General_Information'!$H$40 + '2.2 Input_General_Information'!$H$20, ($H$448*(VLOOKUP(AS$451,Growth!$B$128:$J$168, 7, FALSE))),$H$448)</f>
        <v>-2.23E-4</v>
      </c>
      <c r="AT453" s="373">
        <f ca="1">IF(AT$451 &lt;= '2.2 Input_General_Information'!$H$40 + '2.2 Input_General_Information'!$H$20, ($H$448*(VLOOKUP(AT$451,Growth!$B$128:$J$168, 7, FALSE))),$H$448)</f>
        <v>-2.23E-4</v>
      </c>
      <c r="AU453" s="373">
        <f ca="1">IF(AU$451 &lt;= '2.2 Input_General_Information'!$H$40 + '2.2 Input_General_Information'!$H$20, ($H$448*(VLOOKUP(AU$451,Growth!$B$128:$J$168, 7, FALSE))),$H$448)</f>
        <v>-2.23E-4</v>
      </c>
      <c r="AV453" s="373">
        <f ca="1">IF(AV$451 &lt;= '2.2 Input_General_Information'!$H$40 + '2.2 Input_General_Information'!$H$20, ($H$448*(VLOOKUP(AV$451,Growth!$B$128:$J$168, 7, FALSE))),$H$448)</f>
        <v>-2.23E-4</v>
      </c>
      <c r="AW453" s="373">
        <f ca="1">IF(AW$451 &lt;= '2.2 Input_General_Information'!$H$40 + '2.2 Input_General_Information'!$H$20, ($H$448*(VLOOKUP(AW$451,Growth!$B$128:$J$168, 7, FALSE))),$H$448)</f>
        <v>-2.23E-4</v>
      </c>
      <c r="AX453" s="373">
        <f ca="1">IF(AX$451 &lt;= '2.2 Input_General_Information'!$H$40 + '2.2 Input_General_Information'!$H$20, ($H$448*(VLOOKUP(AX$451,Growth!$B$128:$J$168, 7, FALSE))),$H$448)</f>
        <v>-2.23E-4</v>
      </c>
      <c r="AY453" s="373">
        <f ca="1">IF(AY$451 &lt;= '2.2 Input_General_Information'!$H$40 + '2.2 Input_General_Information'!$H$20, ($H$448*(VLOOKUP(AY$451,Growth!$B$128:$J$168, 7, FALSE))),$H$448)</f>
        <v>-2.23E-4</v>
      </c>
      <c r="AZ453" s="373">
        <f ca="1">IF(AZ$451 &lt;= '2.2 Input_General_Information'!$H$40 + '2.2 Input_General_Information'!$H$20, ($H$448*(VLOOKUP(AZ$451,Growth!$B$128:$J$168, 7, FALSE))),$H$448)</f>
        <v>-2.23E-4</v>
      </c>
      <c r="BA453" s="373">
        <f ca="1">IF(BA$451 &lt;= '2.2 Input_General_Information'!$H$40 + '2.2 Input_General_Information'!$H$20, ($H$448*(VLOOKUP(BA$451,Growth!$B$128:$J$168, 7, FALSE))),$H$448)</f>
        <v>-2.23E-4</v>
      </c>
      <c r="BB453" s="373">
        <f ca="1">IF(BB$451 &lt;= '2.2 Input_General_Information'!$H$40 + '2.2 Input_General_Information'!$H$20, ($H$448*(VLOOKUP(BB$451,Growth!$B$128:$J$168, 7, FALSE))),$H$448)</f>
        <v>-2.23E-4</v>
      </c>
      <c r="BC453" s="373">
        <f ca="1">IF(BC$451 &lt;= '2.2 Input_General_Information'!$H$40 + '2.2 Input_General_Information'!$H$20, ($H$448*(VLOOKUP(BC$451,Growth!$B$128:$J$168, 7, FALSE))),$H$448)</f>
        <v>-2.23E-4</v>
      </c>
      <c r="BD453" s="373">
        <f ca="1">IF(BD$451 &lt;= '2.2 Input_General_Information'!$H$40 + '2.2 Input_General_Information'!$H$20, ($H$448*(VLOOKUP(BD$451,Growth!$B$128:$J$168, 7, FALSE))),$H$448)</f>
        <v>-2.23E-4</v>
      </c>
      <c r="BE453" s="373">
        <f ca="1">IF(BE$451 &lt;= '2.2 Input_General_Information'!$H$40 + '2.2 Input_General_Information'!$H$20, ($H$448*(VLOOKUP(BE$451,Growth!$B$128:$J$168, 7, FALSE))),$H$448)</f>
        <v>-2.23E-4</v>
      </c>
      <c r="BF453" s="373">
        <f ca="1">IF(BF$451 &lt;= '2.2 Input_General_Information'!$H$40 + '2.2 Input_General_Information'!$H$20, ($H$448*(VLOOKUP(BF$451,Growth!$B$128:$J$168, 7, FALSE))),$H$448)</f>
        <v>-2.23E-4</v>
      </c>
      <c r="BG453" s="373">
        <f ca="1">IF(BG$451 &lt;= '2.2 Input_General_Information'!$H$40 + '2.2 Input_General_Information'!$H$20, ($H$448*(VLOOKUP(BG$451,Growth!$B$128:$J$168, 7, FALSE))),$H$448)</f>
        <v>-2.23E-4</v>
      </c>
      <c r="BH453" s="373">
        <f ca="1">IF(BH$451 &lt;= '2.2 Input_General_Information'!$H$40 + '2.2 Input_General_Information'!$H$20, ($H$448*(VLOOKUP(BH$451,Growth!$B$128:$J$168, 7, FALSE))),$H$448)</f>
        <v>-2.23E-4</v>
      </c>
      <c r="BI453" s="373">
        <f ca="1">IF(BI$451 &lt;= '2.2 Input_General_Information'!$H$40 + '2.2 Input_General_Information'!$H$20, ($H$448*(VLOOKUP(BI$451,Growth!$B$128:$J$168, 7, FALSE))),$H$448)</f>
        <v>-2.23E-4</v>
      </c>
      <c r="BJ453" s="373">
        <f ca="1">IF(BJ$451 &lt;= '2.2 Input_General_Information'!$H$40 + '2.2 Input_General_Information'!$H$20, ($H$448*(VLOOKUP(BJ$451,Growth!$B$128:$J$168, 7, FALSE))),$H$448)</f>
        <v>-2.23E-4</v>
      </c>
      <c r="BK453" s="373">
        <f ca="1">IF(BK$451 &lt;= '2.2 Input_General_Information'!$H$40 + '2.2 Input_General_Information'!$H$20, ($H$448*(VLOOKUP(BK$451,Growth!$B$128:$J$168, 7, FALSE))),$H$448)</f>
        <v>-2.23E-4</v>
      </c>
      <c r="BL453" s="373"/>
      <c r="BM453" s="373"/>
      <c r="BN453" s="373"/>
      <c r="BO453" s="373"/>
      <c r="BP453" s="373"/>
      <c r="BQ453" s="373"/>
      <c r="BR453" s="373"/>
      <c r="BS453" s="373"/>
      <c r="BT453" s="373"/>
      <c r="BU453" s="373"/>
    </row>
    <row r="454" spans="1:73" hidden="1">
      <c r="A454" s="6"/>
      <c r="B454" s="108"/>
      <c r="C454" s="1"/>
      <c r="D454" s="1"/>
      <c r="E454" s="1"/>
      <c r="F454" s="1"/>
      <c r="G454" s="43"/>
      <c r="H454" s="43"/>
      <c r="I454" s="3"/>
      <c r="J454" s="3"/>
      <c r="K454" s="3"/>
      <c r="L454" s="3"/>
      <c r="M454" s="3"/>
      <c r="N454" s="3"/>
      <c r="O454" s="1"/>
      <c r="P454" s="1"/>
      <c r="Q454" s="1"/>
      <c r="R454" s="162"/>
      <c r="S454" s="1"/>
      <c r="T454" s="103"/>
      <c r="U454" s="103"/>
      <c r="V454" s="103" t="str">
        <f>$I$10</f>
        <v>Lecturer/Researcher (Academic)</v>
      </c>
      <c r="W454" s="373">
        <f ca="1">IF(W$451 &lt;= '2.2 Input_General_Information'!$H$40 + '2.2 Input_General_Information'!$H$20, ($I$448*(VLOOKUP(W$451,Growth!$B$128:$J$168, 7, FALSE))),$I$448)</f>
        <v>-1.7949999999992541E-8</v>
      </c>
      <c r="X454" s="373">
        <f ca="1">IF(X$451 &lt;= '2.2 Input_General_Information'!$H$40 + '2.2 Input_General_Information'!$H$20, ($I$448*(VLOOKUP(X$451,Growth!$B$128:$J$168, 7, FALSE))),$I$448)</f>
        <v>-7.9623383678822118E-6</v>
      </c>
      <c r="Y454" s="373">
        <f ca="1">IF(Y$451 &lt;= '2.2 Input_General_Information'!$H$40 + '2.2 Input_General_Information'!$H$20, ($I$448*(VLOOKUP(Y$451,Growth!$B$128:$J$168, 7, FALSE))),$I$448)</f>
        <v>-1.7153766163211778E-4</v>
      </c>
      <c r="Z454" s="373">
        <f ca="1">IF(Z$451 &lt;= '2.2 Input_General_Information'!$H$40 + '2.2 Input_General_Information'!$H$20, ($I$448*(VLOOKUP(Z$451,Growth!$B$128:$J$168, 7, FALSE))),$I$448)</f>
        <v>-1.7948205000000003E-4</v>
      </c>
      <c r="AA454" s="373">
        <f ca="1">IF(AA$451 &lt;= '2.2 Input_General_Information'!$H$40 + '2.2 Input_General_Information'!$H$20, ($I$448*(VLOOKUP(AA$451,Growth!$B$128:$J$168, 7, FALSE))),$I$448)</f>
        <v>-1.795E-4</v>
      </c>
      <c r="AB454" s="373">
        <f ca="1">IF(AB$451 &lt;= '2.2 Input_General_Information'!$H$40 + '2.2 Input_General_Information'!$H$20, ($I$448*(VLOOKUP(AB$451,Growth!$B$128:$J$168, 7, FALSE))),$I$448)</f>
        <v>-1.795E-4</v>
      </c>
      <c r="AC454" s="373">
        <f ca="1">IF(AC$451 &lt;= '2.2 Input_General_Information'!$H$40 + '2.2 Input_General_Information'!$H$20, ($I$448*(VLOOKUP(AC$451,Growth!$B$128:$J$168, 7, FALSE))),$I$448)</f>
        <v>-1.795E-4</v>
      </c>
      <c r="AD454" s="373">
        <f ca="1">IF(AD$451 &lt;= '2.2 Input_General_Information'!$H$40 + '2.2 Input_General_Information'!$H$20, ($I$448*(VLOOKUP(AD$451,Growth!$B$128:$J$168, 7, FALSE))),$I$448)</f>
        <v>-1.795E-4</v>
      </c>
      <c r="AE454" s="373">
        <f ca="1">IF(AE$451 &lt;= '2.2 Input_General_Information'!$H$40 + '2.2 Input_General_Information'!$H$20, ($I$448*(VLOOKUP(AE$451,Growth!$B$128:$J$168, 7, FALSE))),$I$448)</f>
        <v>-1.795E-4</v>
      </c>
      <c r="AF454" s="373">
        <f ca="1">IF(AF$451 &lt;= '2.2 Input_General_Information'!$H$40 + '2.2 Input_General_Information'!$H$20, ($I$448*(VLOOKUP(AF$451,Growth!$B$128:$J$168, 7, FALSE))),$I$448)</f>
        <v>-1.795E-4</v>
      </c>
      <c r="AG454" s="373">
        <f ca="1">IF(AG$451 &lt;= '2.2 Input_General_Information'!$H$40 + '2.2 Input_General_Information'!$H$20, ($I$448*(VLOOKUP(AG$451,Growth!$B$128:$J$168, 7, FALSE))),$I$448)</f>
        <v>-1.795E-4</v>
      </c>
      <c r="AH454" s="373">
        <f ca="1">IF(AH$451 &lt;= '2.2 Input_General_Information'!$H$40 + '2.2 Input_General_Information'!$H$20, ($I$448*(VLOOKUP(AH$451,Growth!$B$128:$J$168, 7, FALSE))),$I$448)</f>
        <v>-1.795E-4</v>
      </c>
      <c r="AI454" s="373">
        <f ca="1">IF(AI$451 &lt;= '2.2 Input_General_Information'!$H$40 + '2.2 Input_General_Information'!$H$20, ($I$448*(VLOOKUP(AI$451,Growth!$B$128:$J$168, 7, FALSE))),$I$448)</f>
        <v>-1.795E-4</v>
      </c>
      <c r="AJ454" s="373">
        <f ca="1">IF(AJ$451 &lt;= '2.2 Input_General_Information'!$H$40 + '2.2 Input_General_Information'!$H$20, ($I$448*(VLOOKUP(AJ$451,Growth!$B$128:$J$168, 7, FALSE))),$I$448)</f>
        <v>-1.795E-4</v>
      </c>
      <c r="AK454" s="373">
        <f ca="1">IF(AK$451 &lt;= '2.2 Input_General_Information'!$H$40 + '2.2 Input_General_Information'!$H$20, ($I$448*(VLOOKUP(AK$451,Growth!$B$128:$J$168, 7, FALSE))),$I$448)</f>
        <v>-1.795E-4</v>
      </c>
      <c r="AL454" s="373">
        <f ca="1">IF(AL$451 &lt;= '2.2 Input_General_Information'!$H$40 + '2.2 Input_General_Information'!$H$20, ($I$448*(VLOOKUP(AL$451,Growth!$B$128:$J$168, 7, FALSE))),$I$448)</f>
        <v>-1.795E-4</v>
      </c>
      <c r="AM454" s="373">
        <f ca="1">IF(AM$451 &lt;= '2.2 Input_General_Information'!$H$40 + '2.2 Input_General_Information'!$H$20, ($I$448*(VLOOKUP(AM$451,Growth!$B$128:$J$168, 7, FALSE))),$I$448)</f>
        <v>-1.795E-4</v>
      </c>
      <c r="AN454" s="373">
        <f ca="1">IF(AN$451 &lt;= '2.2 Input_General_Information'!$H$40 + '2.2 Input_General_Information'!$H$20, ($I$448*(VLOOKUP(AN$451,Growth!$B$128:$J$168, 7, FALSE))),$I$448)</f>
        <v>-1.795E-4</v>
      </c>
      <c r="AO454" s="373">
        <f ca="1">IF(AO$451 &lt;= '2.2 Input_General_Information'!$H$40 + '2.2 Input_General_Information'!$H$20, ($I$448*(VLOOKUP(AO$451,Growth!$B$128:$J$168, 7, FALSE))),$I$448)</f>
        <v>-1.795E-4</v>
      </c>
      <c r="AP454" s="373">
        <f ca="1">IF(AP$451 &lt;= '2.2 Input_General_Information'!$H$40 + '2.2 Input_General_Information'!$H$20, ($I$448*(VLOOKUP(AP$451,Growth!$B$128:$J$168, 7, FALSE))),$I$448)</f>
        <v>-1.795E-4</v>
      </c>
      <c r="AQ454" s="373">
        <f ca="1">IF(AQ$451 &lt;= '2.2 Input_General_Information'!$H$40 + '2.2 Input_General_Information'!$H$20, ($I$448*(VLOOKUP(AQ$451,Growth!$B$128:$J$168, 7, FALSE))),$I$448)</f>
        <v>-1.795E-4</v>
      </c>
      <c r="AR454" s="373">
        <f ca="1">IF(AR$451 &lt;= '2.2 Input_General_Information'!$H$40 + '2.2 Input_General_Information'!$H$20, ($I$448*(VLOOKUP(AR$451,Growth!$B$128:$J$168, 7, FALSE))),$I$448)</f>
        <v>-1.795E-4</v>
      </c>
      <c r="AS454" s="373">
        <f ca="1">IF(AS$451 &lt;= '2.2 Input_General_Information'!$H$40 + '2.2 Input_General_Information'!$H$20, ($I$448*(VLOOKUP(AS$451,Growth!$B$128:$J$168, 7, FALSE))),$I$448)</f>
        <v>-1.795E-4</v>
      </c>
      <c r="AT454" s="373">
        <f ca="1">IF(AT$451 &lt;= '2.2 Input_General_Information'!$H$40 + '2.2 Input_General_Information'!$H$20, ($I$448*(VLOOKUP(AT$451,Growth!$B$128:$J$168, 7, FALSE))),$I$448)</f>
        <v>-1.795E-4</v>
      </c>
      <c r="AU454" s="373">
        <f ca="1">IF(AU$451 &lt;= '2.2 Input_General_Information'!$H$40 + '2.2 Input_General_Information'!$H$20, ($I$448*(VLOOKUP(AU$451,Growth!$B$128:$J$168, 7, FALSE))),$I$448)</f>
        <v>-1.795E-4</v>
      </c>
      <c r="AV454" s="373">
        <f ca="1">IF(AV$451 &lt;= '2.2 Input_General_Information'!$H$40 + '2.2 Input_General_Information'!$H$20, ($I$448*(VLOOKUP(AV$451,Growth!$B$128:$J$168, 7, FALSE))),$I$448)</f>
        <v>-1.795E-4</v>
      </c>
      <c r="AW454" s="373">
        <f ca="1">IF(AW$451 &lt;= '2.2 Input_General_Information'!$H$40 + '2.2 Input_General_Information'!$H$20, ($I$448*(VLOOKUP(AW$451,Growth!$B$128:$J$168, 7, FALSE))),$I$448)</f>
        <v>-1.795E-4</v>
      </c>
      <c r="AX454" s="373">
        <f ca="1">IF(AX$451 &lt;= '2.2 Input_General_Information'!$H$40 + '2.2 Input_General_Information'!$H$20, ($I$448*(VLOOKUP(AX$451,Growth!$B$128:$J$168, 7, FALSE))),$I$448)</f>
        <v>-1.795E-4</v>
      </c>
      <c r="AY454" s="373">
        <f ca="1">IF(AY$451 &lt;= '2.2 Input_General_Information'!$H$40 + '2.2 Input_General_Information'!$H$20, ($I$448*(VLOOKUP(AY$451,Growth!$B$128:$J$168, 7, FALSE))),$I$448)</f>
        <v>-1.795E-4</v>
      </c>
      <c r="AZ454" s="373">
        <f ca="1">IF(AZ$451 &lt;= '2.2 Input_General_Information'!$H$40 + '2.2 Input_General_Information'!$H$20, ($I$448*(VLOOKUP(AZ$451,Growth!$B$128:$J$168, 7, FALSE))),$I$448)</f>
        <v>-1.795E-4</v>
      </c>
      <c r="BA454" s="373">
        <f ca="1">IF(BA$451 &lt;= '2.2 Input_General_Information'!$H$40 + '2.2 Input_General_Information'!$H$20, ($I$448*(VLOOKUP(BA$451,Growth!$B$128:$J$168, 7, FALSE))),$I$448)</f>
        <v>-1.795E-4</v>
      </c>
      <c r="BB454" s="373">
        <f ca="1">IF(BB$451 &lt;= '2.2 Input_General_Information'!$H$40 + '2.2 Input_General_Information'!$H$20, ($I$448*(VLOOKUP(BB$451,Growth!$B$128:$J$168, 7, FALSE))),$I$448)</f>
        <v>-1.795E-4</v>
      </c>
      <c r="BC454" s="373">
        <f ca="1">IF(BC$451 &lt;= '2.2 Input_General_Information'!$H$40 + '2.2 Input_General_Information'!$H$20, ($I$448*(VLOOKUP(BC$451,Growth!$B$128:$J$168, 7, FALSE))),$I$448)</f>
        <v>-1.795E-4</v>
      </c>
      <c r="BD454" s="373">
        <f ca="1">IF(BD$451 &lt;= '2.2 Input_General_Information'!$H$40 + '2.2 Input_General_Information'!$H$20, ($I$448*(VLOOKUP(BD$451,Growth!$B$128:$J$168, 7, FALSE))),$I$448)</f>
        <v>-1.795E-4</v>
      </c>
      <c r="BE454" s="373">
        <f ca="1">IF(BE$451 &lt;= '2.2 Input_General_Information'!$H$40 + '2.2 Input_General_Information'!$H$20, ($I$448*(VLOOKUP(BE$451,Growth!$B$128:$J$168, 7, FALSE))),$I$448)</f>
        <v>-1.795E-4</v>
      </c>
      <c r="BF454" s="373">
        <f ca="1">IF(BF$451 &lt;= '2.2 Input_General_Information'!$H$40 + '2.2 Input_General_Information'!$H$20, ($I$448*(VLOOKUP(BF$451,Growth!$B$128:$J$168, 7, FALSE))),$I$448)</f>
        <v>-1.795E-4</v>
      </c>
      <c r="BG454" s="373">
        <f ca="1">IF(BG$451 &lt;= '2.2 Input_General_Information'!$H$40 + '2.2 Input_General_Information'!$H$20, ($I$448*(VLOOKUP(BG$451,Growth!$B$128:$J$168, 7, FALSE))),$I$448)</f>
        <v>-1.795E-4</v>
      </c>
      <c r="BH454" s="373">
        <f ca="1">IF(BH$451 &lt;= '2.2 Input_General_Information'!$H$40 + '2.2 Input_General_Information'!$H$20, ($I$448*(VLOOKUP(BH$451,Growth!$B$128:$J$168, 7, FALSE))),$I$448)</f>
        <v>-1.795E-4</v>
      </c>
      <c r="BI454" s="373">
        <f ca="1">IF(BI$451 &lt;= '2.2 Input_General_Information'!$H$40 + '2.2 Input_General_Information'!$H$20, ($I$448*(VLOOKUP(BI$451,Growth!$B$128:$J$168, 7, FALSE))),$I$448)</f>
        <v>-1.795E-4</v>
      </c>
      <c r="BJ454" s="373">
        <f ca="1">IF(BJ$451 &lt;= '2.2 Input_General_Information'!$H$40 + '2.2 Input_General_Information'!$H$20, ($I$448*(VLOOKUP(BJ$451,Growth!$B$128:$J$168, 7, FALSE))),$I$448)</f>
        <v>-1.795E-4</v>
      </c>
      <c r="BK454" s="373">
        <f ca="1">IF(BK$451 &lt;= '2.2 Input_General_Information'!$H$40 + '2.2 Input_General_Information'!$H$20, ($I$448*(VLOOKUP(BK$451,Growth!$B$128:$J$168, 7, FALSE))),$I$448)</f>
        <v>-1.795E-4</v>
      </c>
      <c r="BL454" s="373"/>
      <c r="BM454" s="373"/>
      <c r="BN454" s="373"/>
      <c r="BO454" s="373"/>
      <c r="BP454" s="373"/>
      <c r="BQ454" s="373"/>
      <c r="BR454" s="373"/>
      <c r="BS454" s="373"/>
      <c r="BT454" s="373"/>
      <c r="BU454" s="373"/>
    </row>
    <row r="455" spans="1:73" hidden="1">
      <c r="A455" s="6"/>
      <c r="B455" s="108"/>
      <c r="C455" s="1"/>
      <c r="D455" s="1"/>
      <c r="E455" s="1"/>
      <c r="F455" s="1"/>
      <c r="G455" s="43"/>
      <c r="H455" s="43"/>
      <c r="I455" s="3"/>
      <c r="J455" s="3"/>
      <c r="K455" s="3"/>
      <c r="L455" s="3"/>
      <c r="M455" s="3"/>
      <c r="N455" s="3"/>
      <c r="O455" s="1"/>
      <c r="P455" s="1"/>
      <c r="Q455" s="1"/>
      <c r="R455" s="162"/>
      <c r="S455" s="1"/>
      <c r="T455" s="103"/>
      <c r="U455" s="103"/>
      <c r="V455" s="103" t="str">
        <f>$J$10</f>
        <v>Other</v>
      </c>
      <c r="W455" s="373">
        <f ca="1">IF(W$451 &lt;= '2.2 Input_General_Information'!$H$40 + '2.2 Input_General_Information'!$H$20, ($J$448*(VLOOKUP(W$451,Growth!$B$128:$J$168, 7, FALSE))),$J$448)</f>
        <v>-2.3899999999990069E-8</v>
      </c>
      <c r="X455" s="373">
        <f ca="1">IF(X$451 &lt;= '2.2 Input_General_Information'!$H$40 + '2.2 Input_General_Information'!$H$20, ($J$448*(VLOOKUP(X$451,Growth!$B$128:$J$168, 7, FALSE))),$J$448)</f>
        <v>-1.0601665013503336E-5</v>
      </c>
      <c r="Y455" s="373">
        <f ca="1">IF(Y$451 &lt;= '2.2 Input_General_Information'!$H$40 + '2.2 Input_General_Information'!$H$20, ($J$448*(VLOOKUP(Y$451,Growth!$B$128:$J$168, 7, FALSE))),$J$448)</f>
        <v>-2.2839833498649665E-4</v>
      </c>
      <c r="Z455" s="373">
        <f ca="1">IF(Z$451 &lt;= '2.2 Input_General_Information'!$H$40 + '2.2 Input_General_Information'!$H$20, ($J$448*(VLOOKUP(Z$451,Growth!$B$128:$J$168, 7, FALSE))),$J$448)</f>
        <v>-2.3897610000000004E-4</v>
      </c>
      <c r="AA455" s="373">
        <f ca="1">IF(AA$451 &lt;= '2.2 Input_General_Information'!$H$40 + '2.2 Input_General_Information'!$H$20, ($J$448*(VLOOKUP(AA$451,Growth!$B$128:$J$168, 7, FALSE))),$J$448)</f>
        <v>-2.3900000000000001E-4</v>
      </c>
      <c r="AB455" s="373">
        <f ca="1">IF(AB$451 &lt;= '2.2 Input_General_Information'!$H$40 + '2.2 Input_General_Information'!$H$20, ($J$448*(VLOOKUP(AB$451,Growth!$B$128:$J$168, 7, FALSE))),$J$448)</f>
        <v>-2.3900000000000001E-4</v>
      </c>
      <c r="AC455" s="373">
        <f ca="1">IF(AC$451 &lt;= '2.2 Input_General_Information'!$H$40 + '2.2 Input_General_Information'!$H$20, ($J$448*(VLOOKUP(AC$451,Growth!$B$128:$J$168, 7, FALSE))),$J$448)</f>
        <v>-2.3900000000000001E-4</v>
      </c>
      <c r="AD455" s="373">
        <f ca="1">IF(AD$451 &lt;= '2.2 Input_General_Information'!$H$40 + '2.2 Input_General_Information'!$H$20, ($J$448*(VLOOKUP(AD$451,Growth!$B$128:$J$168, 7, FALSE))),$J$448)</f>
        <v>-2.3900000000000001E-4</v>
      </c>
      <c r="AE455" s="373">
        <f ca="1">IF(AE$451 &lt;= '2.2 Input_General_Information'!$H$40 + '2.2 Input_General_Information'!$H$20, ($J$448*(VLOOKUP(AE$451,Growth!$B$128:$J$168, 7, FALSE))),$J$448)</f>
        <v>-2.3900000000000001E-4</v>
      </c>
      <c r="AF455" s="373">
        <f ca="1">IF(AF$451 &lt;= '2.2 Input_General_Information'!$H$40 + '2.2 Input_General_Information'!$H$20, ($J$448*(VLOOKUP(AF$451,Growth!$B$128:$J$168, 7, FALSE))),$J$448)</f>
        <v>-2.3900000000000001E-4</v>
      </c>
      <c r="AG455" s="373">
        <f ca="1">IF(AG$451 &lt;= '2.2 Input_General_Information'!$H$40 + '2.2 Input_General_Information'!$H$20, ($J$448*(VLOOKUP(AG$451,Growth!$B$128:$J$168, 7, FALSE))),$J$448)</f>
        <v>-2.3900000000000001E-4</v>
      </c>
      <c r="AH455" s="373">
        <f ca="1">IF(AH$451 &lt;= '2.2 Input_General_Information'!$H$40 + '2.2 Input_General_Information'!$H$20, ($J$448*(VLOOKUP(AH$451,Growth!$B$128:$J$168, 7, FALSE))),$J$448)</f>
        <v>-2.3900000000000001E-4</v>
      </c>
      <c r="AI455" s="373">
        <f ca="1">IF(AI$451 &lt;= '2.2 Input_General_Information'!$H$40 + '2.2 Input_General_Information'!$H$20, ($J$448*(VLOOKUP(AI$451,Growth!$B$128:$J$168, 7, FALSE))),$J$448)</f>
        <v>-2.3900000000000001E-4</v>
      </c>
      <c r="AJ455" s="373">
        <f ca="1">IF(AJ$451 &lt;= '2.2 Input_General_Information'!$H$40 + '2.2 Input_General_Information'!$H$20, ($J$448*(VLOOKUP(AJ$451,Growth!$B$128:$J$168, 7, FALSE))),$J$448)</f>
        <v>-2.3900000000000001E-4</v>
      </c>
      <c r="AK455" s="373">
        <f ca="1">IF(AK$451 &lt;= '2.2 Input_General_Information'!$H$40 + '2.2 Input_General_Information'!$H$20, ($J$448*(VLOOKUP(AK$451,Growth!$B$128:$J$168, 7, FALSE))),$J$448)</f>
        <v>-2.3900000000000001E-4</v>
      </c>
      <c r="AL455" s="373">
        <f ca="1">IF(AL$451 &lt;= '2.2 Input_General_Information'!$H$40 + '2.2 Input_General_Information'!$H$20, ($J$448*(VLOOKUP(AL$451,Growth!$B$128:$J$168, 7, FALSE))),$J$448)</f>
        <v>-2.3900000000000001E-4</v>
      </c>
      <c r="AM455" s="373">
        <f ca="1">IF(AM$451 &lt;= '2.2 Input_General_Information'!$H$40 + '2.2 Input_General_Information'!$H$20, ($J$448*(VLOOKUP(AM$451,Growth!$B$128:$J$168, 7, FALSE))),$J$448)</f>
        <v>-2.3900000000000001E-4</v>
      </c>
      <c r="AN455" s="373">
        <f ca="1">IF(AN$451 &lt;= '2.2 Input_General_Information'!$H$40 + '2.2 Input_General_Information'!$H$20, ($J$448*(VLOOKUP(AN$451,Growth!$B$128:$J$168, 7, FALSE))),$J$448)</f>
        <v>-2.3900000000000001E-4</v>
      </c>
      <c r="AO455" s="373">
        <f ca="1">IF(AO$451 &lt;= '2.2 Input_General_Information'!$H$40 + '2.2 Input_General_Information'!$H$20, ($J$448*(VLOOKUP(AO$451,Growth!$B$128:$J$168, 7, FALSE))),$J$448)</f>
        <v>-2.3900000000000001E-4</v>
      </c>
      <c r="AP455" s="373">
        <f ca="1">IF(AP$451 &lt;= '2.2 Input_General_Information'!$H$40 + '2.2 Input_General_Information'!$H$20, ($J$448*(VLOOKUP(AP$451,Growth!$B$128:$J$168, 7, FALSE))),$J$448)</f>
        <v>-2.3900000000000001E-4</v>
      </c>
      <c r="AQ455" s="373">
        <f ca="1">IF(AQ$451 &lt;= '2.2 Input_General_Information'!$H$40 + '2.2 Input_General_Information'!$H$20, ($J$448*(VLOOKUP(AQ$451,Growth!$B$128:$J$168, 7, FALSE))),$J$448)</f>
        <v>-2.3900000000000001E-4</v>
      </c>
      <c r="AR455" s="373">
        <f ca="1">IF(AR$451 &lt;= '2.2 Input_General_Information'!$H$40 + '2.2 Input_General_Information'!$H$20, ($J$448*(VLOOKUP(AR$451,Growth!$B$128:$J$168, 7, FALSE))),$J$448)</f>
        <v>-2.3900000000000001E-4</v>
      </c>
      <c r="AS455" s="373">
        <f ca="1">IF(AS$451 &lt;= '2.2 Input_General_Information'!$H$40 + '2.2 Input_General_Information'!$H$20, ($J$448*(VLOOKUP(AS$451,Growth!$B$128:$J$168, 7, FALSE))),$J$448)</f>
        <v>-2.3900000000000001E-4</v>
      </c>
      <c r="AT455" s="373">
        <f ca="1">IF(AT$451 &lt;= '2.2 Input_General_Information'!$H$40 + '2.2 Input_General_Information'!$H$20, ($J$448*(VLOOKUP(AT$451,Growth!$B$128:$J$168, 7, FALSE))),$J$448)</f>
        <v>-2.3900000000000001E-4</v>
      </c>
      <c r="AU455" s="373">
        <f ca="1">IF(AU$451 &lt;= '2.2 Input_General_Information'!$H$40 + '2.2 Input_General_Information'!$H$20, ($J$448*(VLOOKUP(AU$451,Growth!$B$128:$J$168, 7, FALSE))),$J$448)</f>
        <v>-2.3900000000000001E-4</v>
      </c>
      <c r="AV455" s="373">
        <f ca="1">IF(AV$451 &lt;= '2.2 Input_General_Information'!$H$40 + '2.2 Input_General_Information'!$H$20, ($J$448*(VLOOKUP(AV$451,Growth!$B$128:$J$168, 7, FALSE))),$J$448)</f>
        <v>-2.3900000000000001E-4</v>
      </c>
      <c r="AW455" s="373">
        <f ca="1">IF(AW$451 &lt;= '2.2 Input_General_Information'!$H$40 + '2.2 Input_General_Information'!$H$20, ($J$448*(VLOOKUP(AW$451,Growth!$B$128:$J$168, 7, FALSE))),$J$448)</f>
        <v>-2.3900000000000001E-4</v>
      </c>
      <c r="AX455" s="373">
        <f ca="1">IF(AX$451 &lt;= '2.2 Input_General_Information'!$H$40 + '2.2 Input_General_Information'!$H$20, ($J$448*(VLOOKUP(AX$451,Growth!$B$128:$J$168, 7, FALSE))),$J$448)</f>
        <v>-2.3900000000000001E-4</v>
      </c>
      <c r="AY455" s="373">
        <f ca="1">IF(AY$451 &lt;= '2.2 Input_General_Information'!$H$40 + '2.2 Input_General_Information'!$H$20, ($J$448*(VLOOKUP(AY$451,Growth!$B$128:$J$168, 7, FALSE))),$J$448)</f>
        <v>-2.3900000000000001E-4</v>
      </c>
      <c r="AZ455" s="373">
        <f ca="1">IF(AZ$451 &lt;= '2.2 Input_General_Information'!$H$40 + '2.2 Input_General_Information'!$H$20, ($J$448*(VLOOKUP(AZ$451,Growth!$B$128:$J$168, 7, FALSE))),$J$448)</f>
        <v>-2.3900000000000001E-4</v>
      </c>
      <c r="BA455" s="373">
        <f ca="1">IF(BA$451 &lt;= '2.2 Input_General_Information'!$H$40 + '2.2 Input_General_Information'!$H$20, ($J$448*(VLOOKUP(BA$451,Growth!$B$128:$J$168, 7, FALSE))),$J$448)</f>
        <v>-2.3900000000000001E-4</v>
      </c>
      <c r="BB455" s="373">
        <f ca="1">IF(BB$451 &lt;= '2.2 Input_General_Information'!$H$40 + '2.2 Input_General_Information'!$H$20, ($J$448*(VLOOKUP(BB$451,Growth!$B$128:$J$168, 7, FALSE))),$J$448)</f>
        <v>-2.3900000000000001E-4</v>
      </c>
      <c r="BC455" s="373">
        <f ca="1">IF(BC$451 &lt;= '2.2 Input_General_Information'!$H$40 + '2.2 Input_General_Information'!$H$20, ($J$448*(VLOOKUP(BC$451,Growth!$B$128:$J$168, 7, FALSE))),$J$448)</f>
        <v>-2.3900000000000001E-4</v>
      </c>
      <c r="BD455" s="373">
        <f ca="1">IF(BD$451 &lt;= '2.2 Input_General_Information'!$H$40 + '2.2 Input_General_Information'!$H$20, ($J$448*(VLOOKUP(BD$451,Growth!$B$128:$J$168, 7, FALSE))),$J$448)</f>
        <v>-2.3900000000000001E-4</v>
      </c>
      <c r="BE455" s="373">
        <f ca="1">IF(BE$451 &lt;= '2.2 Input_General_Information'!$H$40 + '2.2 Input_General_Information'!$H$20, ($J$448*(VLOOKUP(BE$451,Growth!$B$128:$J$168, 7, FALSE))),$J$448)</f>
        <v>-2.3900000000000001E-4</v>
      </c>
      <c r="BF455" s="373">
        <f ca="1">IF(BF$451 &lt;= '2.2 Input_General_Information'!$H$40 + '2.2 Input_General_Information'!$H$20, ($J$448*(VLOOKUP(BF$451,Growth!$B$128:$J$168, 7, FALSE))),$J$448)</f>
        <v>-2.3900000000000001E-4</v>
      </c>
      <c r="BG455" s="373">
        <f ca="1">IF(BG$451 &lt;= '2.2 Input_General_Information'!$H$40 + '2.2 Input_General_Information'!$H$20, ($J$448*(VLOOKUP(BG$451,Growth!$B$128:$J$168, 7, FALSE))),$J$448)</f>
        <v>-2.3900000000000001E-4</v>
      </c>
      <c r="BH455" s="373">
        <f ca="1">IF(BH$451 &lt;= '2.2 Input_General_Information'!$H$40 + '2.2 Input_General_Information'!$H$20, ($J$448*(VLOOKUP(BH$451,Growth!$B$128:$J$168, 7, FALSE))),$J$448)</f>
        <v>-2.3900000000000001E-4</v>
      </c>
      <c r="BI455" s="373">
        <f ca="1">IF(BI$451 &lt;= '2.2 Input_General_Information'!$H$40 + '2.2 Input_General_Information'!$H$20, ($J$448*(VLOOKUP(BI$451,Growth!$B$128:$J$168, 7, FALSE))),$J$448)</f>
        <v>-2.3900000000000001E-4</v>
      </c>
      <c r="BJ455" s="373">
        <f ca="1">IF(BJ$451 &lt;= '2.2 Input_General_Information'!$H$40 + '2.2 Input_General_Information'!$H$20, ($J$448*(VLOOKUP(BJ$451,Growth!$B$128:$J$168, 7, FALSE))),$J$448)</f>
        <v>-2.3900000000000001E-4</v>
      </c>
      <c r="BK455" s="373">
        <f ca="1">IF(BK$451 &lt;= '2.2 Input_General_Information'!$H$40 + '2.2 Input_General_Information'!$H$20, ($J$448*(VLOOKUP(BK$451,Growth!$B$128:$J$168, 7, FALSE))),$J$448)</f>
        <v>-2.3900000000000001E-4</v>
      </c>
      <c r="BL455" s="373"/>
      <c r="BM455" s="373"/>
      <c r="BN455" s="373"/>
      <c r="BO455" s="373"/>
      <c r="BP455" s="373"/>
      <c r="BQ455" s="373"/>
      <c r="BR455" s="373"/>
      <c r="BS455" s="373"/>
      <c r="BT455" s="373"/>
      <c r="BU455" s="373"/>
    </row>
    <row r="456" spans="1:73" hidden="1">
      <c r="A456" s="6"/>
      <c r="B456" s="108"/>
      <c r="C456" s="1"/>
      <c r="D456" s="1"/>
      <c r="E456" s="1"/>
      <c r="F456" s="1"/>
      <c r="G456" s="43"/>
      <c r="H456" s="43"/>
      <c r="I456" s="3"/>
      <c r="J456" s="3"/>
      <c r="K456" s="3"/>
      <c r="L456" s="3"/>
      <c r="M456" s="3"/>
      <c r="N456" s="3"/>
      <c r="O456" s="1"/>
      <c r="P456" s="1"/>
      <c r="Q456" s="1"/>
      <c r="R456" s="162"/>
      <c r="S456" s="1"/>
      <c r="T456" s="103"/>
      <c r="U456" s="103"/>
      <c r="V456" s="103" t="str">
        <f>$K$10</f>
        <v>Profile 5</v>
      </c>
      <c r="W456" s="373">
        <f ca="1">IF(W$451 &lt;= '2.2 Input_General_Information'!$H$40 + '2.2 Input_General_Information'!$H$20, ($K$448*(VLOOKUP(W$451,Growth!$B$128:$J$168, 7, FALSE))),$K$448)</f>
        <v>-1.9812499999991767E-8</v>
      </c>
      <c r="X456" s="373">
        <f ca="1">IF(X$451 &lt;= '2.2 Input_General_Information'!$H$40 + '2.2 Input_General_Information'!$H$20, ($K$448*(VLOOKUP(X$451,Growth!$B$128:$J$168, 7, FALSE))),$K$448)</f>
        <v>-8.7885141456081525E-6</v>
      </c>
      <c r="Y456" s="373">
        <f ca="1">IF(Y$451 &lt;= '2.2 Input_General_Information'!$H$40 + '2.2 Input_General_Information'!$H$20, ($K$448*(VLOOKUP(Y$451,Growth!$B$128:$J$168, 7, FALSE))),$K$448)</f>
        <v>-1.8933648585439184E-4</v>
      </c>
      <c r="Z456" s="373">
        <f ca="1">IF(Z$451 &lt;= '2.2 Input_General_Information'!$H$40 + '2.2 Input_General_Information'!$H$20, ($K$448*(VLOOKUP(Z$451,Growth!$B$128:$J$168, 7, FALSE))),$K$448)</f>
        <v>-1.9810518750000002E-4</v>
      </c>
      <c r="AA456" s="373">
        <f ca="1">IF(AA$451 &lt;= '2.2 Input_General_Information'!$H$40 + '2.2 Input_General_Information'!$H$20, ($K$448*(VLOOKUP(AA$451,Growth!$B$128:$J$168, 7, FALSE))),$K$448)</f>
        <v>-1.98125E-4</v>
      </c>
      <c r="AB456" s="373">
        <f ca="1">IF(AB$451 &lt;= '2.2 Input_General_Information'!$H$40 + '2.2 Input_General_Information'!$H$20, ($K$448*(VLOOKUP(AB$451,Growth!$B$128:$J$168, 7, FALSE))),$K$448)</f>
        <v>-1.98125E-4</v>
      </c>
      <c r="AC456" s="373">
        <f ca="1">IF(AC$451 &lt;= '2.2 Input_General_Information'!$H$40 + '2.2 Input_General_Information'!$H$20, ($K$448*(VLOOKUP(AC$451,Growth!$B$128:$J$168, 7, FALSE))),$K$448)</f>
        <v>-1.98125E-4</v>
      </c>
      <c r="AD456" s="373">
        <f ca="1">IF(AD$451 &lt;= '2.2 Input_General_Information'!$H$40 + '2.2 Input_General_Information'!$H$20, ($K$448*(VLOOKUP(AD$451,Growth!$B$128:$J$168, 7, FALSE))),$K$448)</f>
        <v>-1.98125E-4</v>
      </c>
      <c r="AE456" s="373">
        <f ca="1">IF(AE$451 &lt;= '2.2 Input_General_Information'!$H$40 + '2.2 Input_General_Information'!$H$20, ($K$448*(VLOOKUP(AE$451,Growth!$B$128:$J$168, 7, FALSE))),$K$448)</f>
        <v>-1.98125E-4</v>
      </c>
      <c r="AF456" s="373">
        <f ca="1">IF(AF$451 &lt;= '2.2 Input_General_Information'!$H$40 + '2.2 Input_General_Information'!$H$20, ($K$448*(VLOOKUP(AF$451,Growth!$B$128:$J$168, 7, FALSE))),$K$448)</f>
        <v>-1.98125E-4</v>
      </c>
      <c r="AG456" s="373">
        <f ca="1">IF(AG$451 &lt;= '2.2 Input_General_Information'!$H$40 + '2.2 Input_General_Information'!$H$20, ($K$448*(VLOOKUP(AG$451,Growth!$B$128:$J$168, 7, FALSE))),$K$448)</f>
        <v>-1.98125E-4</v>
      </c>
      <c r="AH456" s="373">
        <f ca="1">IF(AH$451 &lt;= '2.2 Input_General_Information'!$H$40 + '2.2 Input_General_Information'!$H$20, ($K$448*(VLOOKUP(AH$451,Growth!$B$128:$J$168, 7, FALSE))),$K$448)</f>
        <v>-1.98125E-4</v>
      </c>
      <c r="AI456" s="373">
        <f ca="1">IF(AI$451 &lt;= '2.2 Input_General_Information'!$H$40 + '2.2 Input_General_Information'!$H$20, ($K$448*(VLOOKUP(AI$451,Growth!$B$128:$J$168, 7, FALSE))),$K$448)</f>
        <v>-1.98125E-4</v>
      </c>
      <c r="AJ456" s="373">
        <f ca="1">IF(AJ$451 &lt;= '2.2 Input_General_Information'!$H$40 + '2.2 Input_General_Information'!$H$20, ($K$448*(VLOOKUP(AJ$451,Growth!$B$128:$J$168, 7, FALSE))),$K$448)</f>
        <v>-1.98125E-4</v>
      </c>
      <c r="AK456" s="373">
        <f ca="1">IF(AK$451 &lt;= '2.2 Input_General_Information'!$H$40 + '2.2 Input_General_Information'!$H$20, ($K$448*(VLOOKUP(AK$451,Growth!$B$128:$J$168, 7, FALSE))),$K$448)</f>
        <v>-1.98125E-4</v>
      </c>
      <c r="AL456" s="373">
        <f ca="1">IF(AL$451 &lt;= '2.2 Input_General_Information'!$H$40 + '2.2 Input_General_Information'!$H$20, ($K$448*(VLOOKUP(AL$451,Growth!$B$128:$J$168, 7, FALSE))),$K$448)</f>
        <v>-1.98125E-4</v>
      </c>
      <c r="AM456" s="373">
        <f ca="1">IF(AM$451 &lt;= '2.2 Input_General_Information'!$H$40 + '2.2 Input_General_Information'!$H$20, ($K$448*(VLOOKUP(AM$451,Growth!$B$128:$J$168, 7, FALSE))),$K$448)</f>
        <v>-1.98125E-4</v>
      </c>
      <c r="AN456" s="373">
        <f ca="1">IF(AN$451 &lt;= '2.2 Input_General_Information'!$H$40 + '2.2 Input_General_Information'!$H$20, ($K$448*(VLOOKUP(AN$451,Growth!$B$128:$J$168, 7, FALSE))),$K$448)</f>
        <v>-1.98125E-4</v>
      </c>
      <c r="AO456" s="373">
        <f ca="1">IF(AO$451 &lt;= '2.2 Input_General_Information'!$H$40 + '2.2 Input_General_Information'!$H$20, ($K$448*(VLOOKUP(AO$451,Growth!$B$128:$J$168, 7, FALSE))),$K$448)</f>
        <v>-1.98125E-4</v>
      </c>
      <c r="AP456" s="373">
        <f ca="1">IF(AP$451 &lt;= '2.2 Input_General_Information'!$H$40 + '2.2 Input_General_Information'!$H$20, ($K$448*(VLOOKUP(AP$451,Growth!$B$128:$J$168, 7, FALSE))),$K$448)</f>
        <v>-1.98125E-4</v>
      </c>
      <c r="AQ456" s="373">
        <f ca="1">IF(AQ$451 &lt;= '2.2 Input_General_Information'!$H$40 + '2.2 Input_General_Information'!$H$20, ($K$448*(VLOOKUP(AQ$451,Growth!$B$128:$J$168, 7, FALSE))),$K$448)</f>
        <v>-1.98125E-4</v>
      </c>
      <c r="AR456" s="373">
        <f ca="1">IF(AR$451 &lt;= '2.2 Input_General_Information'!$H$40 + '2.2 Input_General_Information'!$H$20, ($K$448*(VLOOKUP(AR$451,Growth!$B$128:$J$168, 7, FALSE))),$K$448)</f>
        <v>-1.98125E-4</v>
      </c>
      <c r="AS456" s="373">
        <f ca="1">IF(AS$451 &lt;= '2.2 Input_General_Information'!$H$40 + '2.2 Input_General_Information'!$H$20, ($K$448*(VLOOKUP(AS$451,Growth!$B$128:$J$168, 7, FALSE))),$K$448)</f>
        <v>-1.98125E-4</v>
      </c>
      <c r="AT456" s="373">
        <f ca="1">IF(AT$451 &lt;= '2.2 Input_General_Information'!$H$40 + '2.2 Input_General_Information'!$H$20, ($K$448*(VLOOKUP(AT$451,Growth!$B$128:$J$168, 7, FALSE))),$K$448)</f>
        <v>-1.98125E-4</v>
      </c>
      <c r="AU456" s="373">
        <f ca="1">IF(AU$451 &lt;= '2.2 Input_General_Information'!$H$40 + '2.2 Input_General_Information'!$H$20, ($K$448*(VLOOKUP(AU$451,Growth!$B$128:$J$168, 7, FALSE))),$K$448)</f>
        <v>-1.98125E-4</v>
      </c>
      <c r="AV456" s="373">
        <f ca="1">IF(AV$451 &lt;= '2.2 Input_General_Information'!$H$40 + '2.2 Input_General_Information'!$H$20, ($K$448*(VLOOKUP(AV$451,Growth!$B$128:$J$168, 7, FALSE))),$K$448)</f>
        <v>-1.98125E-4</v>
      </c>
      <c r="AW456" s="373">
        <f ca="1">IF(AW$451 &lt;= '2.2 Input_General_Information'!$H$40 + '2.2 Input_General_Information'!$H$20, ($K$448*(VLOOKUP(AW$451,Growth!$B$128:$J$168, 7, FALSE))),$K$448)</f>
        <v>-1.98125E-4</v>
      </c>
      <c r="AX456" s="373">
        <f ca="1">IF(AX$451 &lt;= '2.2 Input_General_Information'!$H$40 + '2.2 Input_General_Information'!$H$20, ($K$448*(VLOOKUP(AX$451,Growth!$B$128:$J$168, 7, FALSE))),$K$448)</f>
        <v>-1.98125E-4</v>
      </c>
      <c r="AY456" s="373">
        <f ca="1">IF(AY$451 &lt;= '2.2 Input_General_Information'!$H$40 + '2.2 Input_General_Information'!$H$20, ($K$448*(VLOOKUP(AY$451,Growth!$B$128:$J$168, 7, FALSE))),$K$448)</f>
        <v>-1.98125E-4</v>
      </c>
      <c r="AZ456" s="373">
        <f ca="1">IF(AZ$451 &lt;= '2.2 Input_General_Information'!$H$40 + '2.2 Input_General_Information'!$H$20, ($K$448*(VLOOKUP(AZ$451,Growth!$B$128:$J$168, 7, FALSE))),$K$448)</f>
        <v>-1.98125E-4</v>
      </c>
      <c r="BA456" s="373">
        <f ca="1">IF(BA$451 &lt;= '2.2 Input_General_Information'!$H$40 + '2.2 Input_General_Information'!$H$20, ($K$448*(VLOOKUP(BA$451,Growth!$B$128:$J$168, 7, FALSE))),$K$448)</f>
        <v>-1.98125E-4</v>
      </c>
      <c r="BB456" s="373">
        <f ca="1">IF(BB$451 &lt;= '2.2 Input_General_Information'!$H$40 + '2.2 Input_General_Information'!$H$20, ($K$448*(VLOOKUP(BB$451,Growth!$B$128:$J$168, 7, FALSE))),$K$448)</f>
        <v>-1.98125E-4</v>
      </c>
      <c r="BC456" s="373">
        <f ca="1">IF(BC$451 &lt;= '2.2 Input_General_Information'!$H$40 + '2.2 Input_General_Information'!$H$20, ($K$448*(VLOOKUP(BC$451,Growth!$B$128:$J$168, 7, FALSE))),$K$448)</f>
        <v>-1.98125E-4</v>
      </c>
      <c r="BD456" s="373">
        <f ca="1">IF(BD$451 &lt;= '2.2 Input_General_Information'!$H$40 + '2.2 Input_General_Information'!$H$20, ($K$448*(VLOOKUP(BD$451,Growth!$B$128:$J$168, 7, FALSE))),$K$448)</f>
        <v>-1.98125E-4</v>
      </c>
      <c r="BE456" s="373">
        <f ca="1">IF(BE$451 &lt;= '2.2 Input_General_Information'!$H$40 + '2.2 Input_General_Information'!$H$20, ($K$448*(VLOOKUP(BE$451,Growth!$B$128:$J$168, 7, FALSE))),$K$448)</f>
        <v>-1.98125E-4</v>
      </c>
      <c r="BF456" s="373">
        <f ca="1">IF(BF$451 &lt;= '2.2 Input_General_Information'!$H$40 + '2.2 Input_General_Information'!$H$20, ($K$448*(VLOOKUP(BF$451,Growth!$B$128:$J$168, 7, FALSE))),$K$448)</f>
        <v>-1.98125E-4</v>
      </c>
      <c r="BG456" s="373">
        <f ca="1">IF(BG$451 &lt;= '2.2 Input_General_Information'!$H$40 + '2.2 Input_General_Information'!$H$20, ($K$448*(VLOOKUP(BG$451,Growth!$B$128:$J$168, 7, FALSE))),$K$448)</f>
        <v>-1.98125E-4</v>
      </c>
      <c r="BH456" s="373">
        <f ca="1">IF(BH$451 &lt;= '2.2 Input_General_Information'!$H$40 + '2.2 Input_General_Information'!$H$20, ($K$448*(VLOOKUP(BH$451,Growth!$B$128:$J$168, 7, FALSE))),$K$448)</f>
        <v>-1.98125E-4</v>
      </c>
      <c r="BI456" s="373">
        <f ca="1">IF(BI$451 &lt;= '2.2 Input_General_Information'!$H$40 + '2.2 Input_General_Information'!$H$20, ($K$448*(VLOOKUP(BI$451,Growth!$B$128:$J$168, 7, FALSE))),$K$448)</f>
        <v>-1.98125E-4</v>
      </c>
      <c r="BJ456" s="373">
        <f ca="1">IF(BJ$451 &lt;= '2.2 Input_General_Information'!$H$40 + '2.2 Input_General_Information'!$H$20, ($K$448*(VLOOKUP(BJ$451,Growth!$B$128:$J$168, 7, FALSE))),$K$448)</f>
        <v>-1.98125E-4</v>
      </c>
      <c r="BK456" s="373">
        <f ca="1">IF(BK$451 &lt;= '2.2 Input_General_Information'!$H$40 + '2.2 Input_General_Information'!$H$20, ($K$448*(VLOOKUP(BK$451,Growth!$B$128:$J$168, 7, FALSE))),$K$448)</f>
        <v>-1.98125E-4</v>
      </c>
      <c r="BL456" s="373"/>
      <c r="BM456" s="373"/>
      <c r="BN456" s="373"/>
      <c r="BO456" s="373"/>
      <c r="BP456" s="373"/>
      <c r="BQ456" s="373"/>
      <c r="BR456" s="373"/>
      <c r="BS456" s="373"/>
      <c r="BT456" s="373"/>
      <c r="BU456" s="373"/>
    </row>
    <row r="457" spans="1:73" hidden="1">
      <c r="A457" s="6"/>
      <c r="B457" s="108"/>
      <c r="C457" s="1"/>
      <c r="D457" s="1"/>
      <c r="E457" s="1"/>
      <c r="F457" s="1"/>
      <c r="G457" s="43"/>
      <c r="H457" s="43"/>
      <c r="I457" s="3"/>
      <c r="J457" s="3"/>
      <c r="K457" s="3"/>
      <c r="L457" s="3"/>
      <c r="M457" s="3"/>
      <c r="N457" s="3"/>
      <c r="O457" s="1"/>
      <c r="P457" s="1"/>
      <c r="Q457" s="1"/>
      <c r="R457" s="162"/>
      <c r="S457" s="1"/>
      <c r="T457" s="103"/>
      <c r="U457" s="103"/>
      <c r="V457" s="103" t="str">
        <f>$L$10</f>
        <v>Profile 6</v>
      </c>
      <c r="W457" s="373">
        <f ca="1">IF(W$451 &lt;= '2.2 Input_General_Information'!$H$40 + '2.2 Input_General_Information'!$H$20, ($L$448*(VLOOKUP(W$451,Growth!$B$128:$J$168, 7, FALSE))),$L$448)</f>
        <v>-1.9812499999991767E-8</v>
      </c>
      <c r="X457" s="373">
        <f ca="1">IF(X$451 &lt;= '2.2 Input_General_Information'!$H$40 + '2.2 Input_General_Information'!$H$20, ($L$448*(VLOOKUP(X$451,Growth!$B$128:$J$168, 7, FALSE))),$L$448)</f>
        <v>-8.7885141456081525E-6</v>
      </c>
      <c r="Y457" s="373">
        <f ca="1">IF(Y$451 &lt;= '2.2 Input_General_Information'!$H$40 + '2.2 Input_General_Information'!$H$20, ($L$448*(VLOOKUP(Y$451,Growth!$B$128:$J$168, 7, FALSE))),$L$448)</f>
        <v>-1.8933648585439184E-4</v>
      </c>
      <c r="Z457" s="373">
        <f ca="1">IF(Z$451 &lt;= '2.2 Input_General_Information'!$H$40 + '2.2 Input_General_Information'!$H$20, ($L$448*(VLOOKUP(Z$451,Growth!$B$128:$J$168, 7, FALSE))),$L$448)</f>
        <v>-1.9810518750000002E-4</v>
      </c>
      <c r="AA457" s="373">
        <f ca="1">IF(AA$451 &lt;= '2.2 Input_General_Information'!$H$40 + '2.2 Input_General_Information'!$H$20, ($L$448*(VLOOKUP(AA$451,Growth!$B$128:$J$168, 7, FALSE))),$L$448)</f>
        <v>-1.98125E-4</v>
      </c>
      <c r="AB457" s="373">
        <f ca="1">IF(AB$451 &lt;= '2.2 Input_General_Information'!$H$40 + '2.2 Input_General_Information'!$H$20, ($L$448*(VLOOKUP(AB$451,Growth!$B$128:$J$168, 7, FALSE))),$L$448)</f>
        <v>-1.98125E-4</v>
      </c>
      <c r="AC457" s="373">
        <f ca="1">IF(AC$451 &lt;= '2.2 Input_General_Information'!$H$40 + '2.2 Input_General_Information'!$H$20, ($L$448*(VLOOKUP(AC$451,Growth!$B$128:$J$168, 7, FALSE))),$L$448)</f>
        <v>-1.98125E-4</v>
      </c>
      <c r="AD457" s="373">
        <f ca="1">IF(AD$451 &lt;= '2.2 Input_General_Information'!$H$40 + '2.2 Input_General_Information'!$H$20, ($L$448*(VLOOKUP(AD$451,Growth!$B$128:$J$168, 7, FALSE))),$L$448)</f>
        <v>-1.98125E-4</v>
      </c>
      <c r="AE457" s="373">
        <f ca="1">IF(AE$451 &lt;= '2.2 Input_General_Information'!$H$40 + '2.2 Input_General_Information'!$H$20, ($L$448*(VLOOKUP(AE$451,Growth!$B$128:$J$168, 7, FALSE))),$L$448)</f>
        <v>-1.98125E-4</v>
      </c>
      <c r="AF457" s="373">
        <f ca="1">IF(AF$451 &lt;= '2.2 Input_General_Information'!$H$40 + '2.2 Input_General_Information'!$H$20, ($L$448*(VLOOKUP(AF$451,Growth!$B$128:$J$168, 7, FALSE))),$L$448)</f>
        <v>-1.98125E-4</v>
      </c>
      <c r="AG457" s="373">
        <f ca="1">IF(AG$451 &lt;= '2.2 Input_General_Information'!$H$40 + '2.2 Input_General_Information'!$H$20, ($L$448*(VLOOKUP(AG$451,Growth!$B$128:$J$168, 7, FALSE))),$L$448)</f>
        <v>-1.98125E-4</v>
      </c>
      <c r="AH457" s="373">
        <f ca="1">IF(AH$451 &lt;= '2.2 Input_General_Information'!$H$40 + '2.2 Input_General_Information'!$H$20, ($L$448*(VLOOKUP(AH$451,Growth!$B$128:$J$168, 7, FALSE))),$L$448)</f>
        <v>-1.98125E-4</v>
      </c>
      <c r="AI457" s="373">
        <f ca="1">IF(AI$451 &lt;= '2.2 Input_General_Information'!$H$40 + '2.2 Input_General_Information'!$H$20, ($L$448*(VLOOKUP(AI$451,Growth!$B$128:$J$168, 7, FALSE))),$L$448)</f>
        <v>-1.98125E-4</v>
      </c>
      <c r="AJ457" s="373">
        <f ca="1">IF(AJ$451 &lt;= '2.2 Input_General_Information'!$H$40 + '2.2 Input_General_Information'!$H$20, ($L$448*(VLOOKUP(AJ$451,Growth!$B$128:$J$168, 7, FALSE))),$L$448)</f>
        <v>-1.98125E-4</v>
      </c>
      <c r="AK457" s="373">
        <f ca="1">IF(AK$451 &lt;= '2.2 Input_General_Information'!$H$40 + '2.2 Input_General_Information'!$H$20, ($L$448*(VLOOKUP(AK$451,Growth!$B$128:$J$168, 7, FALSE))),$L$448)</f>
        <v>-1.98125E-4</v>
      </c>
      <c r="AL457" s="373">
        <f ca="1">IF(AL$451 &lt;= '2.2 Input_General_Information'!$H$40 + '2.2 Input_General_Information'!$H$20, ($L$448*(VLOOKUP(AL$451,Growth!$B$128:$J$168, 7, FALSE))),$L$448)</f>
        <v>-1.98125E-4</v>
      </c>
      <c r="AM457" s="373">
        <f ca="1">IF(AM$451 &lt;= '2.2 Input_General_Information'!$H$40 + '2.2 Input_General_Information'!$H$20, ($L$448*(VLOOKUP(AM$451,Growth!$B$128:$J$168, 7, FALSE))),$L$448)</f>
        <v>-1.98125E-4</v>
      </c>
      <c r="AN457" s="373">
        <f ca="1">IF(AN$451 &lt;= '2.2 Input_General_Information'!$H$40 + '2.2 Input_General_Information'!$H$20, ($L$448*(VLOOKUP(AN$451,Growth!$B$128:$J$168, 7, FALSE))),$L$448)</f>
        <v>-1.98125E-4</v>
      </c>
      <c r="AO457" s="373">
        <f ca="1">IF(AO$451 &lt;= '2.2 Input_General_Information'!$H$40 + '2.2 Input_General_Information'!$H$20, ($L$448*(VLOOKUP(AO$451,Growth!$B$128:$J$168, 7, FALSE))),$L$448)</f>
        <v>-1.98125E-4</v>
      </c>
      <c r="AP457" s="373">
        <f ca="1">IF(AP$451 &lt;= '2.2 Input_General_Information'!$H$40 + '2.2 Input_General_Information'!$H$20, ($L$448*(VLOOKUP(AP$451,Growth!$B$128:$J$168, 7, FALSE))),$L$448)</f>
        <v>-1.98125E-4</v>
      </c>
      <c r="AQ457" s="373">
        <f ca="1">IF(AQ$451 &lt;= '2.2 Input_General_Information'!$H$40 + '2.2 Input_General_Information'!$H$20, ($L$448*(VLOOKUP(AQ$451,Growth!$B$128:$J$168, 7, FALSE))),$L$448)</f>
        <v>-1.98125E-4</v>
      </c>
      <c r="AR457" s="373">
        <f ca="1">IF(AR$451 &lt;= '2.2 Input_General_Information'!$H$40 + '2.2 Input_General_Information'!$H$20, ($L$448*(VLOOKUP(AR$451,Growth!$B$128:$J$168, 7, FALSE))),$L$448)</f>
        <v>-1.98125E-4</v>
      </c>
      <c r="AS457" s="373">
        <f ca="1">IF(AS$451 &lt;= '2.2 Input_General_Information'!$H$40 + '2.2 Input_General_Information'!$H$20, ($L$448*(VLOOKUP(AS$451,Growth!$B$128:$J$168, 7, FALSE))),$L$448)</f>
        <v>-1.98125E-4</v>
      </c>
      <c r="AT457" s="373">
        <f ca="1">IF(AT$451 &lt;= '2.2 Input_General_Information'!$H$40 + '2.2 Input_General_Information'!$H$20, ($L$448*(VLOOKUP(AT$451,Growth!$B$128:$J$168, 7, FALSE))),$L$448)</f>
        <v>-1.98125E-4</v>
      </c>
      <c r="AU457" s="373">
        <f ca="1">IF(AU$451 &lt;= '2.2 Input_General_Information'!$H$40 + '2.2 Input_General_Information'!$H$20, ($L$448*(VLOOKUP(AU$451,Growth!$B$128:$J$168, 7, FALSE))),$L$448)</f>
        <v>-1.98125E-4</v>
      </c>
      <c r="AV457" s="373">
        <f ca="1">IF(AV$451 &lt;= '2.2 Input_General_Information'!$H$40 + '2.2 Input_General_Information'!$H$20, ($L$448*(VLOOKUP(AV$451,Growth!$B$128:$J$168, 7, FALSE))),$L$448)</f>
        <v>-1.98125E-4</v>
      </c>
      <c r="AW457" s="373">
        <f ca="1">IF(AW$451 &lt;= '2.2 Input_General_Information'!$H$40 + '2.2 Input_General_Information'!$H$20, ($L$448*(VLOOKUP(AW$451,Growth!$B$128:$J$168, 7, FALSE))),$L$448)</f>
        <v>-1.98125E-4</v>
      </c>
      <c r="AX457" s="373">
        <f ca="1">IF(AX$451 &lt;= '2.2 Input_General_Information'!$H$40 + '2.2 Input_General_Information'!$H$20, ($L$448*(VLOOKUP(AX$451,Growth!$B$128:$J$168, 7, FALSE))),$L$448)</f>
        <v>-1.98125E-4</v>
      </c>
      <c r="AY457" s="373">
        <f ca="1">IF(AY$451 &lt;= '2.2 Input_General_Information'!$H$40 + '2.2 Input_General_Information'!$H$20, ($L$448*(VLOOKUP(AY$451,Growth!$B$128:$J$168, 7, FALSE))),$L$448)</f>
        <v>-1.98125E-4</v>
      </c>
      <c r="AZ457" s="373">
        <f ca="1">IF(AZ$451 &lt;= '2.2 Input_General_Information'!$H$40 + '2.2 Input_General_Information'!$H$20, ($L$448*(VLOOKUP(AZ$451,Growth!$B$128:$J$168, 7, FALSE))),$L$448)</f>
        <v>-1.98125E-4</v>
      </c>
      <c r="BA457" s="373">
        <f ca="1">IF(BA$451 &lt;= '2.2 Input_General_Information'!$H$40 + '2.2 Input_General_Information'!$H$20, ($L$448*(VLOOKUP(BA$451,Growth!$B$128:$J$168, 7, FALSE))),$L$448)</f>
        <v>-1.98125E-4</v>
      </c>
      <c r="BB457" s="373">
        <f ca="1">IF(BB$451 &lt;= '2.2 Input_General_Information'!$H$40 + '2.2 Input_General_Information'!$H$20, ($L$448*(VLOOKUP(BB$451,Growth!$B$128:$J$168, 7, FALSE))),$L$448)</f>
        <v>-1.98125E-4</v>
      </c>
      <c r="BC457" s="373">
        <f ca="1">IF(BC$451 &lt;= '2.2 Input_General_Information'!$H$40 + '2.2 Input_General_Information'!$H$20, ($L$448*(VLOOKUP(BC$451,Growth!$B$128:$J$168, 7, FALSE))),$L$448)</f>
        <v>-1.98125E-4</v>
      </c>
      <c r="BD457" s="373">
        <f ca="1">IF(BD$451 &lt;= '2.2 Input_General_Information'!$H$40 + '2.2 Input_General_Information'!$H$20, ($L$448*(VLOOKUP(BD$451,Growth!$B$128:$J$168, 7, FALSE))),$L$448)</f>
        <v>-1.98125E-4</v>
      </c>
      <c r="BE457" s="373">
        <f ca="1">IF(BE$451 &lt;= '2.2 Input_General_Information'!$H$40 + '2.2 Input_General_Information'!$H$20, ($L$448*(VLOOKUP(BE$451,Growth!$B$128:$J$168, 7, FALSE))),$L$448)</f>
        <v>-1.98125E-4</v>
      </c>
      <c r="BF457" s="373">
        <f ca="1">IF(BF$451 &lt;= '2.2 Input_General_Information'!$H$40 + '2.2 Input_General_Information'!$H$20, ($L$448*(VLOOKUP(BF$451,Growth!$B$128:$J$168, 7, FALSE))),$L$448)</f>
        <v>-1.98125E-4</v>
      </c>
      <c r="BG457" s="373">
        <f ca="1">IF(BG$451 &lt;= '2.2 Input_General_Information'!$H$40 + '2.2 Input_General_Information'!$H$20, ($L$448*(VLOOKUP(BG$451,Growth!$B$128:$J$168, 7, FALSE))),$L$448)</f>
        <v>-1.98125E-4</v>
      </c>
      <c r="BH457" s="373">
        <f ca="1">IF(BH$451 &lt;= '2.2 Input_General_Information'!$H$40 + '2.2 Input_General_Information'!$H$20, ($L$448*(VLOOKUP(BH$451,Growth!$B$128:$J$168, 7, FALSE))),$L$448)</f>
        <v>-1.98125E-4</v>
      </c>
      <c r="BI457" s="373">
        <f ca="1">IF(BI$451 &lt;= '2.2 Input_General_Information'!$H$40 + '2.2 Input_General_Information'!$H$20, ($L$448*(VLOOKUP(BI$451,Growth!$B$128:$J$168, 7, FALSE))),$L$448)</f>
        <v>-1.98125E-4</v>
      </c>
      <c r="BJ457" s="373">
        <f ca="1">IF(BJ$451 &lt;= '2.2 Input_General_Information'!$H$40 + '2.2 Input_General_Information'!$H$20, ($L$448*(VLOOKUP(BJ$451,Growth!$B$128:$J$168, 7, FALSE))),$L$448)</f>
        <v>-1.98125E-4</v>
      </c>
      <c r="BK457" s="373">
        <f ca="1">IF(BK$451 &lt;= '2.2 Input_General_Information'!$H$40 + '2.2 Input_General_Information'!$H$20, ($L$448*(VLOOKUP(BK$451,Growth!$B$128:$J$168, 7, FALSE))),$L$448)</f>
        <v>-1.98125E-4</v>
      </c>
      <c r="BL457" s="373"/>
      <c r="BM457" s="373"/>
      <c r="BN457" s="373"/>
      <c r="BO457" s="373"/>
      <c r="BP457" s="373"/>
      <c r="BQ457" s="373"/>
      <c r="BR457" s="373"/>
      <c r="BS457" s="373"/>
      <c r="BT457" s="373"/>
      <c r="BU457" s="373"/>
    </row>
    <row r="458" spans="1:73" hidden="1">
      <c r="A458" s="6"/>
      <c r="B458" s="108"/>
      <c r="C458" s="1"/>
      <c r="D458" s="1"/>
      <c r="E458" s="1"/>
      <c r="F458" s="1"/>
      <c r="G458" s="43"/>
      <c r="H458" s="43"/>
      <c r="I458" s="3"/>
      <c r="J458" s="3"/>
      <c r="K458" s="3"/>
      <c r="L458" s="3"/>
      <c r="M458" s="3"/>
      <c r="N458" s="3"/>
      <c r="O458" s="1"/>
      <c r="P458" s="1"/>
      <c r="Q458" s="1"/>
      <c r="R458" s="162"/>
      <c r="S458" s="1"/>
      <c r="T458" s="103"/>
      <c r="U458" s="103"/>
      <c r="V458" s="103" t="str">
        <f>$M$10</f>
        <v>Profile 7</v>
      </c>
      <c r="W458" s="373">
        <f ca="1">IF(W$451 &lt;= '2.2 Input_General_Information'!$H$40 + '2.2 Input_General_Information'!$H$20, ($M$448*(VLOOKUP(W$451,Growth!$B$128:$J$168, 7, FALSE))),$M$448)</f>
        <v>-1.9812499999991767E-8</v>
      </c>
      <c r="X458" s="373">
        <f ca="1">IF(X$451 &lt;= '2.2 Input_General_Information'!$H$40 + '2.2 Input_General_Information'!$H$20, ($M$448*(VLOOKUP(X$451,Growth!$B$128:$J$168, 7, FALSE))),$M$448)</f>
        <v>-8.7885141456081525E-6</v>
      </c>
      <c r="Y458" s="373">
        <f ca="1">IF(Y$451 &lt;= '2.2 Input_General_Information'!$H$40 + '2.2 Input_General_Information'!$H$20, ($M$448*(VLOOKUP(Y$451,Growth!$B$128:$J$168, 7, FALSE))),$M$448)</f>
        <v>-1.8933648585439184E-4</v>
      </c>
      <c r="Z458" s="373">
        <f ca="1">IF(Z$451 &lt;= '2.2 Input_General_Information'!$H$40 + '2.2 Input_General_Information'!$H$20, ($M$448*(VLOOKUP(Z$451,Growth!$B$128:$J$168, 7, FALSE))),$M$448)</f>
        <v>-1.9810518750000002E-4</v>
      </c>
      <c r="AA458" s="373">
        <f ca="1">IF(AA$451 &lt;= '2.2 Input_General_Information'!$H$40 + '2.2 Input_General_Information'!$H$20, ($M$448*(VLOOKUP(AA$451,Growth!$B$128:$J$168, 7, FALSE))),$M$448)</f>
        <v>-1.98125E-4</v>
      </c>
      <c r="AB458" s="373">
        <f ca="1">IF(AB$451 &lt;= '2.2 Input_General_Information'!$H$40 + '2.2 Input_General_Information'!$H$20, ($M$448*(VLOOKUP(AB$451,Growth!$B$128:$J$168, 7, FALSE))),$M$448)</f>
        <v>-1.98125E-4</v>
      </c>
      <c r="AC458" s="373">
        <f ca="1">IF(AC$451 &lt;= '2.2 Input_General_Information'!$H$40 + '2.2 Input_General_Information'!$H$20, ($M$448*(VLOOKUP(AC$451,Growth!$B$128:$J$168, 7, FALSE))),$M$448)</f>
        <v>-1.98125E-4</v>
      </c>
      <c r="AD458" s="373">
        <f ca="1">IF(AD$451 &lt;= '2.2 Input_General_Information'!$H$40 + '2.2 Input_General_Information'!$H$20, ($M$448*(VLOOKUP(AD$451,Growth!$B$128:$J$168, 7, FALSE))),$M$448)</f>
        <v>-1.98125E-4</v>
      </c>
      <c r="AE458" s="373">
        <f ca="1">IF(AE$451 &lt;= '2.2 Input_General_Information'!$H$40 + '2.2 Input_General_Information'!$H$20, ($M$448*(VLOOKUP(AE$451,Growth!$B$128:$J$168, 7, FALSE))),$M$448)</f>
        <v>-1.98125E-4</v>
      </c>
      <c r="AF458" s="373">
        <f ca="1">IF(AF$451 &lt;= '2.2 Input_General_Information'!$H$40 + '2.2 Input_General_Information'!$H$20, ($M$448*(VLOOKUP(AF$451,Growth!$B$128:$J$168, 7, FALSE))),$M$448)</f>
        <v>-1.98125E-4</v>
      </c>
      <c r="AG458" s="373">
        <f ca="1">IF(AG$451 &lt;= '2.2 Input_General_Information'!$H$40 + '2.2 Input_General_Information'!$H$20, ($M$448*(VLOOKUP(AG$451,Growth!$B$128:$J$168, 7, FALSE))),$M$448)</f>
        <v>-1.98125E-4</v>
      </c>
      <c r="AH458" s="373">
        <f ca="1">IF(AH$451 &lt;= '2.2 Input_General_Information'!$H$40 + '2.2 Input_General_Information'!$H$20, ($M$448*(VLOOKUP(AH$451,Growth!$B$128:$J$168, 7, FALSE))),$M$448)</f>
        <v>-1.98125E-4</v>
      </c>
      <c r="AI458" s="373">
        <f ca="1">IF(AI$451 &lt;= '2.2 Input_General_Information'!$H$40 + '2.2 Input_General_Information'!$H$20, ($M$448*(VLOOKUP(AI$451,Growth!$B$128:$J$168, 7, FALSE))),$M$448)</f>
        <v>-1.98125E-4</v>
      </c>
      <c r="AJ458" s="373">
        <f ca="1">IF(AJ$451 &lt;= '2.2 Input_General_Information'!$H$40 + '2.2 Input_General_Information'!$H$20, ($M$448*(VLOOKUP(AJ$451,Growth!$B$128:$J$168, 7, FALSE))),$M$448)</f>
        <v>-1.98125E-4</v>
      </c>
      <c r="AK458" s="373">
        <f ca="1">IF(AK$451 &lt;= '2.2 Input_General_Information'!$H$40 + '2.2 Input_General_Information'!$H$20, ($M$448*(VLOOKUP(AK$451,Growth!$B$128:$J$168, 7, FALSE))),$M$448)</f>
        <v>-1.98125E-4</v>
      </c>
      <c r="AL458" s="373">
        <f ca="1">IF(AL$451 &lt;= '2.2 Input_General_Information'!$H$40 + '2.2 Input_General_Information'!$H$20, ($M$448*(VLOOKUP(AL$451,Growth!$B$128:$J$168, 7, FALSE))),$M$448)</f>
        <v>-1.98125E-4</v>
      </c>
      <c r="AM458" s="373">
        <f ca="1">IF(AM$451 &lt;= '2.2 Input_General_Information'!$H$40 + '2.2 Input_General_Information'!$H$20, ($M$448*(VLOOKUP(AM$451,Growth!$B$128:$J$168, 7, FALSE))),$M$448)</f>
        <v>-1.98125E-4</v>
      </c>
      <c r="AN458" s="373">
        <f ca="1">IF(AN$451 &lt;= '2.2 Input_General_Information'!$H$40 + '2.2 Input_General_Information'!$H$20, ($M$448*(VLOOKUP(AN$451,Growth!$B$128:$J$168, 7, FALSE))),$M$448)</f>
        <v>-1.98125E-4</v>
      </c>
      <c r="AO458" s="373">
        <f ca="1">IF(AO$451 &lt;= '2.2 Input_General_Information'!$H$40 + '2.2 Input_General_Information'!$H$20, ($M$448*(VLOOKUP(AO$451,Growth!$B$128:$J$168, 7, FALSE))),$M$448)</f>
        <v>-1.98125E-4</v>
      </c>
      <c r="AP458" s="373">
        <f ca="1">IF(AP$451 &lt;= '2.2 Input_General_Information'!$H$40 + '2.2 Input_General_Information'!$H$20, ($M$448*(VLOOKUP(AP$451,Growth!$B$128:$J$168, 7, FALSE))),$M$448)</f>
        <v>-1.98125E-4</v>
      </c>
      <c r="AQ458" s="373">
        <f ca="1">IF(AQ$451 &lt;= '2.2 Input_General_Information'!$H$40 + '2.2 Input_General_Information'!$H$20, ($M$448*(VLOOKUP(AQ$451,Growth!$B$128:$J$168, 7, FALSE))),$M$448)</f>
        <v>-1.98125E-4</v>
      </c>
      <c r="AR458" s="373">
        <f ca="1">IF(AR$451 &lt;= '2.2 Input_General_Information'!$H$40 + '2.2 Input_General_Information'!$H$20, ($M$448*(VLOOKUP(AR$451,Growth!$B$128:$J$168, 7, FALSE))),$M$448)</f>
        <v>-1.98125E-4</v>
      </c>
      <c r="AS458" s="373">
        <f ca="1">IF(AS$451 &lt;= '2.2 Input_General_Information'!$H$40 + '2.2 Input_General_Information'!$H$20, ($M$448*(VLOOKUP(AS$451,Growth!$B$128:$J$168, 7, FALSE))),$M$448)</f>
        <v>-1.98125E-4</v>
      </c>
      <c r="AT458" s="373">
        <f ca="1">IF(AT$451 &lt;= '2.2 Input_General_Information'!$H$40 + '2.2 Input_General_Information'!$H$20, ($M$448*(VLOOKUP(AT$451,Growth!$B$128:$J$168, 7, FALSE))),$M$448)</f>
        <v>-1.98125E-4</v>
      </c>
      <c r="AU458" s="373">
        <f ca="1">IF(AU$451 &lt;= '2.2 Input_General_Information'!$H$40 + '2.2 Input_General_Information'!$H$20, ($M$448*(VLOOKUP(AU$451,Growth!$B$128:$J$168, 7, FALSE))),$M$448)</f>
        <v>-1.98125E-4</v>
      </c>
      <c r="AV458" s="373">
        <f ca="1">IF(AV$451 &lt;= '2.2 Input_General_Information'!$H$40 + '2.2 Input_General_Information'!$H$20, ($M$448*(VLOOKUP(AV$451,Growth!$B$128:$J$168, 7, FALSE))),$M$448)</f>
        <v>-1.98125E-4</v>
      </c>
      <c r="AW458" s="373">
        <f ca="1">IF(AW$451 &lt;= '2.2 Input_General_Information'!$H$40 + '2.2 Input_General_Information'!$H$20, ($M$448*(VLOOKUP(AW$451,Growth!$B$128:$J$168, 7, FALSE))),$M$448)</f>
        <v>-1.98125E-4</v>
      </c>
      <c r="AX458" s="373">
        <f ca="1">IF(AX$451 &lt;= '2.2 Input_General_Information'!$H$40 + '2.2 Input_General_Information'!$H$20, ($M$448*(VLOOKUP(AX$451,Growth!$B$128:$J$168, 7, FALSE))),$M$448)</f>
        <v>-1.98125E-4</v>
      </c>
      <c r="AY458" s="373">
        <f ca="1">IF(AY$451 &lt;= '2.2 Input_General_Information'!$H$40 + '2.2 Input_General_Information'!$H$20, ($M$448*(VLOOKUP(AY$451,Growth!$B$128:$J$168, 7, FALSE))),$M$448)</f>
        <v>-1.98125E-4</v>
      </c>
      <c r="AZ458" s="373">
        <f ca="1">IF(AZ$451 &lt;= '2.2 Input_General_Information'!$H$40 + '2.2 Input_General_Information'!$H$20, ($M$448*(VLOOKUP(AZ$451,Growth!$B$128:$J$168, 7, FALSE))),$M$448)</f>
        <v>-1.98125E-4</v>
      </c>
      <c r="BA458" s="373">
        <f ca="1">IF(BA$451 &lt;= '2.2 Input_General_Information'!$H$40 + '2.2 Input_General_Information'!$H$20, ($M$448*(VLOOKUP(BA$451,Growth!$B$128:$J$168, 7, FALSE))),$M$448)</f>
        <v>-1.98125E-4</v>
      </c>
      <c r="BB458" s="373">
        <f ca="1">IF(BB$451 &lt;= '2.2 Input_General_Information'!$H$40 + '2.2 Input_General_Information'!$H$20, ($M$448*(VLOOKUP(BB$451,Growth!$B$128:$J$168, 7, FALSE))),$M$448)</f>
        <v>-1.98125E-4</v>
      </c>
      <c r="BC458" s="373">
        <f ca="1">IF(BC$451 &lt;= '2.2 Input_General_Information'!$H$40 + '2.2 Input_General_Information'!$H$20, ($M$448*(VLOOKUP(BC$451,Growth!$B$128:$J$168, 7, FALSE))),$M$448)</f>
        <v>-1.98125E-4</v>
      </c>
      <c r="BD458" s="373">
        <f ca="1">IF(BD$451 &lt;= '2.2 Input_General_Information'!$H$40 + '2.2 Input_General_Information'!$H$20, ($M$448*(VLOOKUP(BD$451,Growth!$B$128:$J$168, 7, FALSE))),$M$448)</f>
        <v>-1.98125E-4</v>
      </c>
      <c r="BE458" s="373">
        <f ca="1">IF(BE$451 &lt;= '2.2 Input_General_Information'!$H$40 + '2.2 Input_General_Information'!$H$20, ($M$448*(VLOOKUP(BE$451,Growth!$B$128:$J$168, 7, FALSE))),$M$448)</f>
        <v>-1.98125E-4</v>
      </c>
      <c r="BF458" s="373">
        <f ca="1">IF(BF$451 &lt;= '2.2 Input_General_Information'!$H$40 + '2.2 Input_General_Information'!$H$20, ($M$448*(VLOOKUP(BF$451,Growth!$B$128:$J$168, 7, FALSE))),$M$448)</f>
        <v>-1.98125E-4</v>
      </c>
      <c r="BG458" s="373">
        <f ca="1">IF(BG$451 &lt;= '2.2 Input_General_Information'!$H$40 + '2.2 Input_General_Information'!$H$20, ($M$448*(VLOOKUP(BG$451,Growth!$B$128:$J$168, 7, FALSE))),$M$448)</f>
        <v>-1.98125E-4</v>
      </c>
      <c r="BH458" s="373">
        <f ca="1">IF(BH$451 &lt;= '2.2 Input_General_Information'!$H$40 + '2.2 Input_General_Information'!$H$20, ($M$448*(VLOOKUP(BH$451,Growth!$B$128:$J$168, 7, FALSE))),$M$448)</f>
        <v>-1.98125E-4</v>
      </c>
      <c r="BI458" s="373">
        <f ca="1">IF(BI$451 &lt;= '2.2 Input_General_Information'!$H$40 + '2.2 Input_General_Information'!$H$20, ($M$448*(VLOOKUP(BI$451,Growth!$B$128:$J$168, 7, FALSE))),$M$448)</f>
        <v>-1.98125E-4</v>
      </c>
      <c r="BJ458" s="373">
        <f ca="1">IF(BJ$451 &lt;= '2.2 Input_General_Information'!$H$40 + '2.2 Input_General_Information'!$H$20, ($M$448*(VLOOKUP(BJ$451,Growth!$B$128:$J$168, 7, FALSE))),$M$448)</f>
        <v>-1.98125E-4</v>
      </c>
      <c r="BK458" s="373">
        <f ca="1">IF(BK$451 &lt;= '2.2 Input_General_Information'!$H$40 + '2.2 Input_General_Information'!$H$20, ($M$448*(VLOOKUP(BK$451,Growth!$B$128:$J$168, 7, FALSE))),$M$448)</f>
        <v>-1.98125E-4</v>
      </c>
      <c r="BL458" s="373"/>
      <c r="BM458" s="373"/>
      <c r="BN458" s="373"/>
      <c r="BO458" s="373"/>
      <c r="BP458" s="373"/>
      <c r="BQ458" s="373"/>
      <c r="BR458" s="373"/>
      <c r="BS458" s="373"/>
      <c r="BT458" s="373"/>
      <c r="BU458" s="373"/>
    </row>
    <row r="459" spans="1:73" hidden="1">
      <c r="A459" s="6"/>
      <c r="B459" s="108"/>
      <c r="C459" s="1"/>
      <c r="D459" s="1"/>
      <c r="E459" s="1"/>
      <c r="F459" s="1"/>
      <c r="G459" s="43"/>
      <c r="H459" s="43"/>
      <c r="I459" s="3"/>
      <c r="J459" s="3"/>
      <c r="K459" s="3"/>
      <c r="L459" s="3"/>
      <c r="M459" s="3"/>
      <c r="N459" s="3"/>
      <c r="O459" s="1"/>
      <c r="P459" s="1"/>
      <c r="Q459" s="1"/>
      <c r="R459" s="162"/>
      <c r="S459" s="1"/>
      <c r="T459" s="103"/>
      <c r="U459" s="103"/>
      <c r="V459" s="103" t="str">
        <f>$N$10</f>
        <v>Profile 8</v>
      </c>
      <c r="W459" s="373">
        <f ca="1">IF(W$451 &lt;= '2.2 Input_General_Information'!$H$40 + '2.2 Input_General_Information'!$H$20, ($N$448*(VLOOKUP(W$451,Growth!$B$128:$J$168, 7, FALSE))),$N$448)</f>
        <v>-1.9812499999991767E-8</v>
      </c>
      <c r="X459" s="373">
        <f ca="1">IF(X$451 &lt;= '2.2 Input_General_Information'!$H$40 + '2.2 Input_General_Information'!$H$20, ($N$448*(VLOOKUP(X$451,Growth!$B$128:$J$168, 7, FALSE))),$N$448)</f>
        <v>-8.7885141456081525E-6</v>
      </c>
      <c r="Y459" s="373">
        <f ca="1">IF(Y$451 &lt;= '2.2 Input_General_Information'!$H$40 + '2.2 Input_General_Information'!$H$20, ($N$448*(VLOOKUP(Y$451,Growth!$B$128:$J$168, 7, FALSE))),$N$448)</f>
        <v>-1.8933648585439184E-4</v>
      </c>
      <c r="Z459" s="373">
        <f ca="1">IF(Z$451 &lt;= '2.2 Input_General_Information'!$H$40 + '2.2 Input_General_Information'!$H$20, ($N$448*(VLOOKUP(Z$451,Growth!$B$128:$J$168, 7, FALSE))),$N$448)</f>
        <v>-1.9810518750000002E-4</v>
      </c>
      <c r="AA459" s="373">
        <f ca="1">IF(AA$451 &lt;= '2.2 Input_General_Information'!$H$40 + '2.2 Input_General_Information'!$H$20, ($N$448*(VLOOKUP(AA$451,Growth!$B$128:$J$168, 7, FALSE))),$N$448)</f>
        <v>-1.98125E-4</v>
      </c>
      <c r="AB459" s="373">
        <f ca="1">IF(AB$451 &lt;= '2.2 Input_General_Information'!$H$40 + '2.2 Input_General_Information'!$H$20, ($N$448*(VLOOKUP(AB$451,Growth!$B$128:$J$168, 7, FALSE))),$N$448)</f>
        <v>-1.98125E-4</v>
      </c>
      <c r="AC459" s="373">
        <f ca="1">IF(AC$451 &lt;= '2.2 Input_General_Information'!$H$40 + '2.2 Input_General_Information'!$H$20, ($N$448*(VLOOKUP(AC$451,Growth!$B$128:$J$168, 7, FALSE))),$N$448)</f>
        <v>-1.98125E-4</v>
      </c>
      <c r="AD459" s="373">
        <f ca="1">IF(AD$451 &lt;= '2.2 Input_General_Information'!$H$40 + '2.2 Input_General_Information'!$H$20, ($N$448*(VLOOKUP(AD$451,Growth!$B$128:$J$168, 7, FALSE))),$N$448)</f>
        <v>-1.98125E-4</v>
      </c>
      <c r="AE459" s="373">
        <f ca="1">IF(AE$451 &lt;= '2.2 Input_General_Information'!$H$40 + '2.2 Input_General_Information'!$H$20, ($N$448*(VLOOKUP(AE$451,Growth!$B$128:$J$168, 7, FALSE))),$N$448)</f>
        <v>-1.98125E-4</v>
      </c>
      <c r="AF459" s="373">
        <f ca="1">IF(AF$451 &lt;= '2.2 Input_General_Information'!$H$40 + '2.2 Input_General_Information'!$H$20, ($N$448*(VLOOKUP(AF$451,Growth!$B$128:$J$168, 7, FALSE))),$N$448)</f>
        <v>-1.98125E-4</v>
      </c>
      <c r="AG459" s="373">
        <f ca="1">IF(AG$451 &lt;= '2.2 Input_General_Information'!$H$40 + '2.2 Input_General_Information'!$H$20, ($N$448*(VLOOKUP(AG$451,Growth!$B$128:$J$168, 7, FALSE))),$N$448)</f>
        <v>-1.98125E-4</v>
      </c>
      <c r="AH459" s="373">
        <f ca="1">IF(AH$451 &lt;= '2.2 Input_General_Information'!$H$40 + '2.2 Input_General_Information'!$H$20, ($N$448*(VLOOKUP(AH$451,Growth!$B$128:$J$168, 7, FALSE))),$N$448)</f>
        <v>-1.98125E-4</v>
      </c>
      <c r="AI459" s="373">
        <f ca="1">IF(AI$451 &lt;= '2.2 Input_General_Information'!$H$40 + '2.2 Input_General_Information'!$H$20, ($N$448*(VLOOKUP(AI$451,Growth!$B$128:$J$168, 7, FALSE))),$N$448)</f>
        <v>-1.98125E-4</v>
      </c>
      <c r="AJ459" s="373">
        <f ca="1">IF(AJ$451 &lt;= '2.2 Input_General_Information'!$H$40 + '2.2 Input_General_Information'!$H$20, ($N$448*(VLOOKUP(AJ$451,Growth!$B$128:$J$168, 7, FALSE))),$N$448)</f>
        <v>-1.98125E-4</v>
      </c>
      <c r="AK459" s="373">
        <f ca="1">IF(AK$451 &lt;= '2.2 Input_General_Information'!$H$40 + '2.2 Input_General_Information'!$H$20, ($N$448*(VLOOKUP(AK$451,Growth!$B$128:$J$168, 7, FALSE))),$N$448)</f>
        <v>-1.98125E-4</v>
      </c>
      <c r="AL459" s="373">
        <f ca="1">IF(AL$451 &lt;= '2.2 Input_General_Information'!$H$40 + '2.2 Input_General_Information'!$H$20, ($N$448*(VLOOKUP(AL$451,Growth!$B$128:$J$168, 7, FALSE))),$N$448)</f>
        <v>-1.98125E-4</v>
      </c>
      <c r="AM459" s="373">
        <f ca="1">IF(AM$451 &lt;= '2.2 Input_General_Information'!$H$40 + '2.2 Input_General_Information'!$H$20, ($N$448*(VLOOKUP(AM$451,Growth!$B$128:$J$168, 7, FALSE))),$N$448)</f>
        <v>-1.98125E-4</v>
      </c>
      <c r="AN459" s="373">
        <f ca="1">IF(AN$451 &lt;= '2.2 Input_General_Information'!$H$40 + '2.2 Input_General_Information'!$H$20, ($N$448*(VLOOKUP(AN$451,Growth!$B$128:$J$168, 7, FALSE))),$N$448)</f>
        <v>-1.98125E-4</v>
      </c>
      <c r="AO459" s="373">
        <f ca="1">IF(AO$451 &lt;= '2.2 Input_General_Information'!$H$40 + '2.2 Input_General_Information'!$H$20, ($N$448*(VLOOKUP(AO$451,Growth!$B$128:$J$168, 7, FALSE))),$N$448)</f>
        <v>-1.98125E-4</v>
      </c>
      <c r="AP459" s="373">
        <f ca="1">IF(AP$451 &lt;= '2.2 Input_General_Information'!$H$40 + '2.2 Input_General_Information'!$H$20, ($N$448*(VLOOKUP(AP$451,Growth!$B$128:$J$168, 7, FALSE))),$N$448)</f>
        <v>-1.98125E-4</v>
      </c>
      <c r="AQ459" s="373">
        <f ca="1">IF(AQ$451 &lt;= '2.2 Input_General_Information'!$H$40 + '2.2 Input_General_Information'!$H$20, ($N$448*(VLOOKUP(AQ$451,Growth!$B$128:$J$168, 7, FALSE))),$N$448)</f>
        <v>-1.98125E-4</v>
      </c>
      <c r="AR459" s="373">
        <f ca="1">IF(AR$451 &lt;= '2.2 Input_General_Information'!$H$40 + '2.2 Input_General_Information'!$H$20, ($N$448*(VLOOKUP(AR$451,Growth!$B$128:$J$168, 7, FALSE))),$N$448)</f>
        <v>-1.98125E-4</v>
      </c>
      <c r="AS459" s="373">
        <f ca="1">IF(AS$451 &lt;= '2.2 Input_General_Information'!$H$40 + '2.2 Input_General_Information'!$H$20, ($N$448*(VLOOKUP(AS$451,Growth!$B$128:$J$168, 7, FALSE))),$N$448)</f>
        <v>-1.98125E-4</v>
      </c>
      <c r="AT459" s="373">
        <f ca="1">IF(AT$451 &lt;= '2.2 Input_General_Information'!$H$40 + '2.2 Input_General_Information'!$H$20, ($N$448*(VLOOKUP(AT$451,Growth!$B$128:$J$168, 7, FALSE))),$N$448)</f>
        <v>-1.98125E-4</v>
      </c>
      <c r="AU459" s="373">
        <f ca="1">IF(AU$451 &lt;= '2.2 Input_General_Information'!$H$40 + '2.2 Input_General_Information'!$H$20, ($N$448*(VLOOKUP(AU$451,Growth!$B$128:$J$168, 7, FALSE))),$N$448)</f>
        <v>-1.98125E-4</v>
      </c>
      <c r="AV459" s="373">
        <f ca="1">IF(AV$451 &lt;= '2.2 Input_General_Information'!$H$40 + '2.2 Input_General_Information'!$H$20, ($N$448*(VLOOKUP(AV$451,Growth!$B$128:$J$168, 7, FALSE))),$N$448)</f>
        <v>-1.98125E-4</v>
      </c>
      <c r="AW459" s="373">
        <f ca="1">IF(AW$451 &lt;= '2.2 Input_General_Information'!$H$40 + '2.2 Input_General_Information'!$H$20, ($N$448*(VLOOKUP(AW$451,Growth!$B$128:$J$168, 7, FALSE))),$N$448)</f>
        <v>-1.98125E-4</v>
      </c>
      <c r="AX459" s="373">
        <f ca="1">IF(AX$451 &lt;= '2.2 Input_General_Information'!$H$40 + '2.2 Input_General_Information'!$H$20, ($N$448*(VLOOKUP(AX$451,Growth!$B$128:$J$168, 7, FALSE))),$N$448)</f>
        <v>-1.98125E-4</v>
      </c>
      <c r="AY459" s="373">
        <f ca="1">IF(AY$451 &lt;= '2.2 Input_General_Information'!$H$40 + '2.2 Input_General_Information'!$H$20, ($N$448*(VLOOKUP(AY$451,Growth!$B$128:$J$168, 7, FALSE))),$N$448)</f>
        <v>-1.98125E-4</v>
      </c>
      <c r="AZ459" s="373">
        <f ca="1">IF(AZ$451 &lt;= '2.2 Input_General_Information'!$H$40 + '2.2 Input_General_Information'!$H$20, ($N$448*(VLOOKUP(AZ$451,Growth!$B$128:$J$168, 7, FALSE))),$N$448)</f>
        <v>-1.98125E-4</v>
      </c>
      <c r="BA459" s="373">
        <f ca="1">IF(BA$451 &lt;= '2.2 Input_General_Information'!$H$40 + '2.2 Input_General_Information'!$H$20, ($N$448*(VLOOKUP(BA$451,Growth!$B$128:$J$168, 7, FALSE))),$N$448)</f>
        <v>-1.98125E-4</v>
      </c>
      <c r="BB459" s="373">
        <f ca="1">IF(BB$451 &lt;= '2.2 Input_General_Information'!$H$40 + '2.2 Input_General_Information'!$H$20, ($N$448*(VLOOKUP(BB$451,Growth!$B$128:$J$168, 7, FALSE))),$N$448)</f>
        <v>-1.98125E-4</v>
      </c>
      <c r="BC459" s="373">
        <f ca="1">IF(BC$451 &lt;= '2.2 Input_General_Information'!$H$40 + '2.2 Input_General_Information'!$H$20, ($N$448*(VLOOKUP(BC$451,Growth!$B$128:$J$168, 7, FALSE))),$N$448)</f>
        <v>-1.98125E-4</v>
      </c>
      <c r="BD459" s="373">
        <f ca="1">IF(BD$451 &lt;= '2.2 Input_General_Information'!$H$40 + '2.2 Input_General_Information'!$H$20, ($N$448*(VLOOKUP(BD$451,Growth!$B$128:$J$168, 7, FALSE))),$N$448)</f>
        <v>-1.98125E-4</v>
      </c>
      <c r="BE459" s="373">
        <f ca="1">IF(BE$451 &lt;= '2.2 Input_General_Information'!$H$40 + '2.2 Input_General_Information'!$H$20, ($N$448*(VLOOKUP(BE$451,Growth!$B$128:$J$168, 7, FALSE))),$N$448)</f>
        <v>-1.98125E-4</v>
      </c>
      <c r="BF459" s="373">
        <f ca="1">IF(BF$451 &lt;= '2.2 Input_General_Information'!$H$40 + '2.2 Input_General_Information'!$H$20, ($N$448*(VLOOKUP(BF$451,Growth!$B$128:$J$168, 7, FALSE))),$N$448)</f>
        <v>-1.98125E-4</v>
      </c>
      <c r="BG459" s="373">
        <f ca="1">IF(BG$451 &lt;= '2.2 Input_General_Information'!$H$40 + '2.2 Input_General_Information'!$H$20, ($N$448*(VLOOKUP(BG$451,Growth!$B$128:$J$168, 7, FALSE))),$N$448)</f>
        <v>-1.98125E-4</v>
      </c>
      <c r="BH459" s="373">
        <f ca="1">IF(BH$451 &lt;= '2.2 Input_General_Information'!$H$40 + '2.2 Input_General_Information'!$H$20, ($N$448*(VLOOKUP(BH$451,Growth!$B$128:$J$168, 7, FALSE))),$N$448)</f>
        <v>-1.98125E-4</v>
      </c>
      <c r="BI459" s="373">
        <f ca="1">IF(BI$451 &lt;= '2.2 Input_General_Information'!$H$40 + '2.2 Input_General_Information'!$H$20, ($N$448*(VLOOKUP(BI$451,Growth!$B$128:$J$168, 7, FALSE))),$N$448)</f>
        <v>-1.98125E-4</v>
      </c>
      <c r="BJ459" s="373">
        <f ca="1">IF(BJ$451 &lt;= '2.2 Input_General_Information'!$H$40 + '2.2 Input_General_Information'!$H$20, ($N$448*(VLOOKUP(BJ$451,Growth!$B$128:$J$168, 7, FALSE))),$N$448)</f>
        <v>-1.98125E-4</v>
      </c>
      <c r="BK459" s="373">
        <f ca="1">IF(BK$451 &lt;= '2.2 Input_General_Information'!$H$40 + '2.2 Input_General_Information'!$H$20, ($N$448*(VLOOKUP(BK$451,Growth!$B$128:$J$168, 7, FALSE))),$N$448)</f>
        <v>-1.98125E-4</v>
      </c>
      <c r="BL459" s="373"/>
      <c r="BM459" s="373"/>
      <c r="BN459" s="373"/>
      <c r="BO459" s="373"/>
      <c r="BP459" s="373"/>
      <c r="BQ459" s="373"/>
      <c r="BR459" s="373"/>
      <c r="BS459" s="373"/>
      <c r="BT459" s="373"/>
      <c r="BU459" s="373"/>
    </row>
    <row r="460" spans="1:73" hidden="1">
      <c r="A460" s="6"/>
      <c r="B460" s="108"/>
      <c r="C460" s="1"/>
      <c r="D460" s="1"/>
      <c r="E460" s="1"/>
      <c r="F460" s="1"/>
      <c r="G460" s="43"/>
      <c r="H460" s="43"/>
      <c r="I460" s="3"/>
      <c r="J460" s="3"/>
      <c r="K460" s="3"/>
      <c r="L460" s="3"/>
      <c r="M460" s="3"/>
      <c r="N460" s="3"/>
      <c r="O460" s="1"/>
      <c r="P460" s="1"/>
      <c r="Q460" s="1"/>
      <c r="R460" s="162"/>
      <c r="S460" s="1"/>
      <c r="T460" s="103"/>
      <c r="U460" s="9" t="s">
        <v>29</v>
      </c>
      <c r="V460" s="103"/>
      <c r="W460" s="98"/>
      <c r="X460" s="98"/>
      <c r="Y460" s="98"/>
      <c r="Z460" s="98"/>
      <c r="AA460" s="98"/>
      <c r="AB460" s="98"/>
      <c r="AC460" s="98"/>
      <c r="AD460" s="98"/>
      <c r="AE460" s="98"/>
      <c r="AF460" s="98"/>
      <c r="AG460" s="98"/>
      <c r="AH460" s="98"/>
      <c r="AI460" s="98"/>
      <c r="AJ460" s="98"/>
      <c r="AK460" s="98"/>
      <c r="AL460" s="98"/>
      <c r="AM460" s="98"/>
      <c r="AN460" s="98"/>
      <c r="AO460" s="98"/>
      <c r="AP460" s="98"/>
      <c r="AQ460" s="98"/>
      <c r="AR460" s="98"/>
      <c r="AS460" s="98"/>
      <c r="AT460" s="98"/>
      <c r="AU460" s="98"/>
      <c r="AV460" s="98"/>
      <c r="AW460" s="98"/>
      <c r="AX460" s="98"/>
      <c r="AY460" s="98"/>
      <c r="AZ460" s="98"/>
      <c r="BA460" s="98"/>
      <c r="BB460" s="98"/>
      <c r="BC460" s="98"/>
      <c r="BD460" s="98"/>
      <c r="BE460" s="98"/>
      <c r="BF460" s="98"/>
      <c r="BG460" s="98"/>
      <c r="BH460" s="98"/>
      <c r="BI460" s="98"/>
      <c r="BJ460" s="98"/>
      <c r="BK460" s="98"/>
      <c r="BL460" s="99"/>
      <c r="BM460" s="99"/>
      <c r="BN460" s="99"/>
      <c r="BO460" s="99"/>
      <c r="BP460" s="99"/>
      <c r="BQ460" s="99"/>
      <c r="BR460" s="99"/>
      <c r="BS460" s="99"/>
      <c r="BT460" s="99"/>
      <c r="BU460" s="99"/>
    </row>
    <row r="461" spans="1:73">
      <c r="A461" s="6"/>
      <c r="B461" s="108"/>
      <c r="C461" s="1"/>
      <c r="D461" s="1"/>
      <c r="E461" s="1"/>
      <c r="F461" s="1"/>
      <c r="G461" s="43"/>
      <c r="H461" s="43"/>
      <c r="I461" s="3"/>
      <c r="J461" s="3"/>
      <c r="K461" s="3"/>
      <c r="L461" s="3"/>
      <c r="M461" s="3"/>
      <c r="N461" s="3"/>
      <c r="O461" s="1"/>
      <c r="P461" s="1"/>
      <c r="Q461" s="1"/>
      <c r="R461" s="162"/>
      <c r="S461" s="1"/>
      <c r="T461" s="103"/>
      <c r="U461" s="103"/>
      <c r="V461" s="103"/>
      <c r="W461" s="98"/>
      <c r="X461" s="98"/>
      <c r="Y461" s="98"/>
      <c r="Z461" s="98"/>
      <c r="AA461" s="98"/>
      <c r="AB461" s="98"/>
      <c r="AC461" s="98"/>
      <c r="AD461" s="98"/>
      <c r="AE461" s="98"/>
      <c r="AF461" s="98"/>
      <c r="AG461" s="98"/>
      <c r="AH461" s="98"/>
      <c r="AI461" s="98"/>
      <c r="AJ461" s="98"/>
      <c r="AK461" s="98"/>
      <c r="AL461" s="98"/>
      <c r="AM461" s="98"/>
      <c r="AN461" s="98"/>
      <c r="AO461" s="98"/>
      <c r="AP461" s="98"/>
      <c r="AQ461" s="98"/>
      <c r="AR461" s="98"/>
      <c r="AS461" s="98"/>
      <c r="AT461" s="98"/>
      <c r="AU461" s="98"/>
      <c r="AV461" s="98"/>
      <c r="AW461" s="98"/>
      <c r="AX461" s="98"/>
      <c r="AY461" s="98"/>
      <c r="AZ461" s="98"/>
      <c r="BA461" s="98"/>
      <c r="BB461" s="98"/>
      <c r="BC461" s="98"/>
      <c r="BD461" s="98"/>
      <c r="BE461" s="98"/>
      <c r="BF461" s="98"/>
      <c r="BG461" s="98"/>
      <c r="BH461" s="98"/>
      <c r="BI461" s="98"/>
      <c r="BJ461" s="98"/>
      <c r="BK461" s="98"/>
      <c r="BL461" s="99"/>
      <c r="BM461" s="99"/>
      <c r="BN461" s="99"/>
      <c r="BO461" s="99"/>
      <c r="BP461" s="99"/>
      <c r="BQ461" s="99"/>
      <c r="BR461" s="99"/>
      <c r="BS461" s="99"/>
      <c r="BT461" s="99"/>
      <c r="BU461" s="99"/>
    </row>
    <row r="462" spans="1:73" ht="15.75" thickBot="1">
      <c r="A462" s="6"/>
      <c r="B462" s="108"/>
      <c r="C462" s="1"/>
      <c r="D462" s="71" t="str">
        <f>'2.3 Input_Main_Questionnaire'!E214</f>
        <v xml:space="preserve">d) Creating and maintaining data management policies (detailed estimation) </v>
      </c>
      <c r="E462" s="71"/>
      <c r="F462" s="46"/>
      <c r="G462" s="72" t="str">
        <f>'2.3 Input_Main_Questionnaire'!H$24</f>
        <v>PhD researcher</v>
      </c>
      <c r="H462" s="72"/>
      <c r="I462" s="72"/>
      <c r="J462" s="72"/>
      <c r="K462" s="72"/>
      <c r="L462" s="72"/>
      <c r="M462" s="72"/>
      <c r="N462" s="72"/>
      <c r="O462" s="1"/>
      <c r="P462" s="1"/>
      <c r="Q462" s="1"/>
      <c r="R462" s="162"/>
      <c r="S462" s="1"/>
      <c r="T462" s="6"/>
      <c r="U462" s="6"/>
      <c r="V462" s="6"/>
      <c r="W462" s="81"/>
      <c r="X462" s="81"/>
      <c r="Y462" s="81"/>
      <c r="Z462" s="81"/>
      <c r="AA462" s="81"/>
      <c r="AB462" s="81"/>
      <c r="AC462" s="81"/>
      <c r="AD462" s="81"/>
      <c r="AE462" s="81"/>
      <c r="AF462" s="81"/>
      <c r="AG462" s="81"/>
      <c r="AH462" s="81"/>
      <c r="AI462" s="81"/>
      <c r="AJ462" s="81"/>
      <c r="AK462" s="81"/>
      <c r="AL462" s="81"/>
      <c r="AM462" s="81"/>
      <c r="AN462" s="81"/>
      <c r="AO462" s="81"/>
      <c r="AP462" s="81"/>
      <c r="AQ462" s="81"/>
      <c r="AR462" s="81"/>
      <c r="AS462" s="81"/>
      <c r="AT462" s="81"/>
      <c r="AU462" s="81"/>
      <c r="AV462" s="81"/>
      <c r="AW462" s="81"/>
      <c r="AX462" s="81"/>
      <c r="AY462" s="81"/>
      <c r="AZ462" s="81"/>
      <c r="BA462" s="81"/>
      <c r="BB462" s="81"/>
      <c r="BC462" s="81"/>
      <c r="BD462" s="81"/>
      <c r="BE462" s="81"/>
      <c r="BF462" s="81"/>
      <c r="BG462" s="81"/>
      <c r="BH462" s="81"/>
      <c r="BI462" s="81"/>
      <c r="BJ462" s="81"/>
      <c r="BK462" s="81"/>
      <c r="BL462" s="6"/>
      <c r="BM462" s="6"/>
      <c r="BN462" s="6"/>
      <c r="BO462" s="6"/>
      <c r="BP462" s="6"/>
      <c r="BQ462" s="6"/>
      <c r="BR462" s="6"/>
      <c r="BS462" s="6"/>
      <c r="BT462" s="6"/>
      <c r="BU462" s="6"/>
    </row>
    <row r="463" spans="1:73" ht="5.25" customHeight="1" thickTop="1">
      <c r="A463" s="6"/>
      <c r="B463" s="108"/>
      <c r="C463" s="1"/>
      <c r="D463" s="12"/>
      <c r="E463" s="1"/>
      <c r="F463" s="1"/>
      <c r="G463" s="43"/>
      <c r="H463" s="43"/>
      <c r="I463" s="3"/>
      <c r="J463" s="3"/>
      <c r="K463" s="3"/>
      <c r="L463" s="3"/>
      <c r="M463" s="3"/>
      <c r="N463" s="3"/>
      <c r="O463" s="1"/>
      <c r="P463" s="1"/>
      <c r="Q463" s="1"/>
      <c r="R463" s="162"/>
      <c r="S463" s="1"/>
      <c r="T463" s="6"/>
      <c r="U463" s="6"/>
      <c r="V463" s="6"/>
      <c r="W463" s="81"/>
      <c r="X463" s="81"/>
      <c r="Y463" s="81"/>
      <c r="Z463" s="81"/>
      <c r="AA463" s="81"/>
      <c r="AB463" s="81"/>
      <c r="AC463" s="81"/>
      <c r="AD463" s="81"/>
      <c r="AE463" s="81"/>
      <c r="AF463" s="81"/>
      <c r="AG463" s="81"/>
      <c r="AH463" s="81"/>
      <c r="AI463" s="81"/>
      <c r="AJ463" s="81"/>
      <c r="AK463" s="81"/>
      <c r="AL463" s="81"/>
      <c r="AM463" s="81"/>
      <c r="AN463" s="81"/>
      <c r="AO463" s="81"/>
      <c r="AP463" s="81"/>
      <c r="AQ463" s="81"/>
      <c r="AR463" s="81"/>
      <c r="AS463" s="81"/>
      <c r="AT463" s="81"/>
      <c r="AU463" s="81"/>
      <c r="AV463" s="81"/>
      <c r="AW463" s="81"/>
      <c r="AX463" s="81"/>
      <c r="AY463" s="81"/>
      <c r="AZ463" s="81"/>
      <c r="BA463" s="81"/>
      <c r="BB463" s="81"/>
      <c r="BC463" s="81"/>
      <c r="BD463" s="81"/>
      <c r="BE463" s="81"/>
      <c r="BF463" s="81"/>
      <c r="BG463" s="81"/>
      <c r="BH463" s="81"/>
      <c r="BI463" s="81"/>
      <c r="BJ463" s="81"/>
      <c r="BK463" s="81"/>
      <c r="BL463" s="6"/>
      <c r="BM463" s="6"/>
      <c r="BN463" s="6"/>
      <c r="BO463" s="6"/>
      <c r="BP463" s="6"/>
      <c r="BQ463" s="6"/>
      <c r="BR463" s="6"/>
      <c r="BS463" s="6"/>
      <c r="BT463" s="6"/>
      <c r="BU463" s="6"/>
    </row>
    <row r="464" spans="1:73">
      <c r="A464" s="6"/>
      <c r="B464" s="108"/>
      <c r="C464" s="1"/>
      <c r="D464" s="12"/>
      <c r="E464" s="1"/>
      <c r="F464" s="1"/>
      <c r="G464" s="43"/>
      <c r="H464" s="43"/>
      <c r="I464" s="3"/>
      <c r="J464" s="3"/>
      <c r="K464" s="3"/>
      <c r="L464" s="3"/>
      <c r="M464" s="3"/>
      <c r="N464" s="3"/>
      <c r="O464" s="1"/>
      <c r="P464" s="1"/>
      <c r="Q464" s="1"/>
      <c r="R464" s="162"/>
      <c r="S464" s="1"/>
      <c r="T464" s="6"/>
      <c r="U464" s="6"/>
      <c r="V464" s="6"/>
      <c r="W464" s="81"/>
      <c r="X464" s="81"/>
      <c r="Y464" s="81"/>
      <c r="Z464" s="81"/>
      <c r="AA464" s="81"/>
      <c r="AB464" s="81"/>
      <c r="AC464" s="81"/>
      <c r="AD464" s="81"/>
      <c r="AE464" s="81"/>
      <c r="AF464" s="81"/>
      <c r="AG464" s="81"/>
      <c r="AH464" s="81"/>
      <c r="AI464" s="81"/>
      <c r="AJ464" s="81"/>
      <c r="AK464" s="81"/>
      <c r="AL464" s="81"/>
      <c r="AM464" s="81"/>
      <c r="AN464" s="81"/>
      <c r="AO464" s="81"/>
      <c r="AP464" s="81"/>
      <c r="AQ464" s="81"/>
      <c r="AR464" s="81"/>
      <c r="AS464" s="81"/>
      <c r="AT464" s="81"/>
      <c r="AU464" s="81"/>
      <c r="AV464" s="81"/>
      <c r="AW464" s="81"/>
      <c r="AX464" s="81"/>
      <c r="AY464" s="81"/>
      <c r="AZ464" s="81"/>
      <c r="BA464" s="81"/>
      <c r="BB464" s="81"/>
      <c r="BC464" s="81"/>
      <c r="BD464" s="81"/>
      <c r="BE464" s="81"/>
      <c r="BF464" s="81"/>
      <c r="BG464" s="81"/>
      <c r="BH464" s="81"/>
      <c r="BI464" s="81"/>
      <c r="BJ464" s="81"/>
      <c r="BK464" s="81"/>
      <c r="BL464" s="6"/>
      <c r="BM464" s="6"/>
      <c r="BN464" s="6"/>
      <c r="BO464" s="6"/>
      <c r="BP464" s="6"/>
      <c r="BQ464" s="6"/>
      <c r="BR464" s="6"/>
      <c r="BS464" s="6"/>
      <c r="BT464" s="6"/>
      <c r="BU464" s="6"/>
    </row>
    <row r="465" spans="1:73">
      <c r="A465" s="6"/>
      <c r="B465" s="108"/>
      <c r="C465" s="1"/>
      <c r="D465" s="12"/>
      <c r="E465" s="1175" t="s">
        <v>1026</v>
      </c>
      <c r="F465" s="1174"/>
      <c r="G465" s="39"/>
      <c r="I465" s="3"/>
      <c r="J465" s="3"/>
      <c r="K465" s="3"/>
      <c r="L465" s="3"/>
      <c r="M465" s="3"/>
      <c r="N465" s="3"/>
      <c r="O465" s="1"/>
      <c r="P465" s="1"/>
      <c r="Q465" s="1"/>
      <c r="R465" s="162"/>
      <c r="S465" s="1"/>
      <c r="T465" s="6"/>
      <c r="U465" s="6"/>
      <c r="V465" s="6"/>
      <c r="W465" s="81"/>
      <c r="X465" s="81"/>
      <c r="Y465" s="81"/>
      <c r="Z465" s="81"/>
      <c r="AA465" s="81"/>
      <c r="AB465" s="81"/>
      <c r="AC465" s="81"/>
      <c r="AD465" s="81"/>
      <c r="AE465" s="81"/>
      <c r="AF465" s="81"/>
      <c r="AG465" s="81"/>
      <c r="AH465" s="81"/>
      <c r="AI465" s="81"/>
      <c r="AJ465" s="81"/>
      <c r="AK465" s="81"/>
      <c r="AL465" s="81"/>
      <c r="AM465" s="81"/>
      <c r="AN465" s="81"/>
      <c r="AO465" s="81"/>
      <c r="AP465" s="81"/>
      <c r="AQ465" s="81"/>
      <c r="AR465" s="81"/>
      <c r="AS465" s="81"/>
      <c r="AT465" s="81"/>
      <c r="AU465" s="81"/>
      <c r="AV465" s="81"/>
      <c r="AW465" s="81"/>
      <c r="AX465" s="81"/>
      <c r="AY465" s="81"/>
      <c r="AZ465" s="81"/>
      <c r="BA465" s="81"/>
      <c r="BB465" s="81"/>
      <c r="BC465" s="81"/>
      <c r="BD465" s="81"/>
      <c r="BE465" s="81"/>
      <c r="BF465" s="81"/>
      <c r="BG465" s="81"/>
      <c r="BH465" s="81"/>
      <c r="BI465" s="81"/>
      <c r="BJ465" s="81"/>
      <c r="BK465" s="81"/>
      <c r="BL465" s="6"/>
      <c r="BM465" s="6"/>
      <c r="BN465" s="6"/>
      <c r="BO465" s="6"/>
      <c r="BP465" s="6"/>
      <c r="BQ465" s="6"/>
      <c r="BR465" s="6"/>
      <c r="BS465" s="6"/>
      <c r="BT465" s="6"/>
      <c r="BU465" s="6"/>
    </row>
    <row r="466" spans="1:73" ht="60">
      <c r="A466" s="6"/>
      <c r="B466" s="108"/>
      <c r="C466" s="1"/>
      <c r="D466" s="12"/>
      <c r="E466" s="50" t="s">
        <v>1027</v>
      </c>
      <c r="F466" s="62" t="s">
        <v>1028</v>
      </c>
      <c r="G466" s="62" t="s">
        <v>1029</v>
      </c>
      <c r="I466" s="3"/>
      <c r="K466" s="62" t="s">
        <v>1030</v>
      </c>
      <c r="L466" s="62" t="s">
        <v>1031</v>
      </c>
      <c r="M466" s="3"/>
      <c r="N466" s="3"/>
      <c r="O466" s="1"/>
      <c r="P466" s="1"/>
      <c r="Q466" s="1"/>
      <c r="R466" s="162"/>
      <c r="S466" s="1"/>
      <c r="T466" s="6"/>
      <c r="U466" s="6"/>
      <c r="V466" s="6"/>
      <c r="W466" s="81"/>
      <c r="X466" s="81"/>
      <c r="Y466" s="81"/>
      <c r="Z466" s="81"/>
      <c r="AA466" s="81"/>
      <c r="AB466" s="81"/>
      <c r="AC466" s="81"/>
      <c r="AD466" s="81"/>
      <c r="AE466" s="81"/>
      <c r="AF466" s="81"/>
      <c r="AG466" s="81"/>
      <c r="AH466" s="81"/>
      <c r="AI466" s="81"/>
      <c r="AJ466" s="81"/>
      <c r="AK466" s="81"/>
      <c r="AL466" s="81"/>
      <c r="AM466" s="81"/>
      <c r="AN466" s="81"/>
      <c r="AO466" s="81"/>
      <c r="AP466" s="81"/>
      <c r="AQ466" s="81"/>
      <c r="AR466" s="81"/>
      <c r="AS466" s="81"/>
      <c r="AT466" s="81"/>
      <c r="AU466" s="81"/>
      <c r="AV466" s="81"/>
      <c r="AW466" s="81"/>
      <c r="AX466" s="81"/>
      <c r="AY466" s="81"/>
      <c r="AZ466" s="81"/>
      <c r="BA466" s="81"/>
      <c r="BB466" s="81"/>
      <c r="BC466" s="81"/>
      <c r="BD466" s="81"/>
      <c r="BE466" s="81"/>
      <c r="BF466" s="81"/>
      <c r="BG466" s="81"/>
      <c r="BH466" s="81"/>
      <c r="BI466" s="81"/>
      <c r="BJ466" s="81"/>
      <c r="BK466" s="81"/>
      <c r="BL466" s="6"/>
      <c r="BM466" s="6"/>
      <c r="BN466" s="6"/>
      <c r="BO466" s="6"/>
      <c r="BP466" s="6"/>
      <c r="BQ466" s="6"/>
      <c r="BR466" s="6"/>
      <c r="BS466" s="6"/>
      <c r="BT466" s="6"/>
      <c r="BU466" s="6"/>
    </row>
    <row r="467" spans="1:73">
      <c r="A467" s="6"/>
      <c r="B467" s="108"/>
      <c r="C467" s="1"/>
      <c r="D467" s="12"/>
      <c r="E467" s="595" t="str">
        <f>'2.3 Input_Main_Questionnaire'!F217</f>
        <v>- data management: defining processes for creating, updating, maintaining, retiring datasets (incl. persistent availability of different versions of a dataset)</v>
      </c>
      <c r="F467" s="595">
        <v>40</v>
      </c>
      <c r="G467" s="595">
        <f>F467*IF('2.2 Input_General_Information'!$H$36&lt;100,0.7,IF('2.2 Input_General_Information'!$H$36&lt;1000,0.8,IF('2.2 Input_General_Information'!$H$36&lt;5000,0.9,1)))</f>
        <v>32</v>
      </c>
      <c r="K467" s="596">
        <f>('2.2 Input_General_Information'!$H$40+VLOOKUP('2.3 Input_Main_Questionnaire'!I217,'2.3 Input_Main_Questionnaire'!$E$221:$G$224,3,FALSE))/'2.3 Input_Main_Questionnaire'!$H$226</f>
        <v>1.3333333333333333</v>
      </c>
      <c r="L467" s="596">
        <f>(COUNT($W$9:$BK$9)+VLOOKUP('2.3 Input_Main_Questionnaire'!I217,'2.3 Input_Main_Questionnaire'!$E$221:$G$224,3,FALSE))/'2.3 Input_Main_Questionnaire'!$H$226</f>
        <v>14</v>
      </c>
      <c r="M467" s="3"/>
      <c r="N467" s="3"/>
      <c r="O467" s="1"/>
      <c r="P467" s="1"/>
      <c r="Q467" s="1"/>
      <c r="R467" s="162"/>
      <c r="S467" s="1"/>
      <c r="T467" s="6"/>
      <c r="U467" s="6"/>
      <c r="V467" s="6"/>
      <c r="W467" s="81"/>
      <c r="X467" s="81"/>
      <c r="Y467" s="81"/>
      <c r="Z467" s="81"/>
      <c r="AA467" s="81"/>
      <c r="AB467" s="81"/>
      <c r="AC467" s="81"/>
      <c r="AD467" s="81"/>
      <c r="AE467" s="81"/>
      <c r="AF467" s="81"/>
      <c r="AG467" s="81"/>
      <c r="AH467" s="81"/>
      <c r="AI467" s="81"/>
      <c r="AJ467" s="81"/>
      <c r="AK467" s="81"/>
      <c r="AL467" s="81"/>
      <c r="AM467" s="81"/>
      <c r="AN467" s="81"/>
      <c r="AO467" s="81"/>
      <c r="AP467" s="81"/>
      <c r="AQ467" s="81"/>
      <c r="AR467" s="81"/>
      <c r="AS467" s="81"/>
      <c r="AT467" s="81"/>
      <c r="AU467" s="81"/>
      <c r="AV467" s="81"/>
      <c r="AW467" s="81"/>
      <c r="AX467" s="81"/>
      <c r="AY467" s="81"/>
      <c r="AZ467" s="81"/>
      <c r="BA467" s="81"/>
      <c r="BB467" s="81"/>
      <c r="BC467" s="81"/>
      <c r="BD467" s="81"/>
      <c r="BE467" s="81"/>
      <c r="BF467" s="81"/>
      <c r="BG467" s="81"/>
      <c r="BH467" s="81"/>
      <c r="BI467" s="81"/>
      <c r="BJ467" s="81"/>
      <c r="BK467" s="81"/>
      <c r="BL467" s="6"/>
      <c r="BM467" s="6"/>
      <c r="BN467" s="6"/>
      <c r="BO467" s="6"/>
      <c r="BP467" s="6"/>
      <c r="BQ467" s="6"/>
      <c r="BR467" s="6"/>
      <c r="BS467" s="6"/>
      <c r="BT467" s="6"/>
      <c r="BU467" s="6"/>
    </row>
    <row r="468" spans="1:73">
      <c r="A468" s="6"/>
      <c r="B468" s="108"/>
      <c r="C468" s="1"/>
      <c r="D468" s="12"/>
      <c r="E468" s="595" t="str">
        <f>'2.3 Input_Main_Questionnaire'!F218</f>
        <v>- metadata management (incl. assigning the right licence)</v>
      </c>
      <c r="F468" s="595">
        <v>33</v>
      </c>
      <c r="G468" s="595">
        <f>F468*IF('2.2 Input_General_Information'!$H$36&lt;100,0.7,IF('2.2 Input_General_Information'!$H$36&lt;1000,0.8,IF('2.2 Input_General_Information'!$H$36&lt;5000,0.9,1)))</f>
        <v>26.400000000000002</v>
      </c>
      <c r="H468" s="39"/>
      <c r="I468" s="39"/>
      <c r="J468" s="39"/>
      <c r="K468" s="596">
        <f>('2.2 Input_General_Information'!$H$40+VLOOKUP('2.3 Input_Main_Questionnaire'!I218,'2.3 Input_Main_Questionnaire'!$E$221:$G$224,3,FALSE))/'2.3 Input_Main_Questionnaire'!$H$226</f>
        <v>2</v>
      </c>
      <c r="L468" s="596">
        <f>(COUNT($W$9:$BK$9)+VLOOKUP('2.3 Input_Main_Questionnaire'!I218,'2.3 Input_Main_Questionnaire'!$E$221:$G$224,3,FALSE))/'2.3 Input_Main_Questionnaire'!$H$226</f>
        <v>14.666666666666666</v>
      </c>
      <c r="M468" s="3"/>
      <c r="N468" s="3"/>
      <c r="O468" s="1"/>
      <c r="P468" s="1"/>
      <c r="Q468" s="1"/>
      <c r="R468" s="162"/>
      <c r="S468" s="1"/>
      <c r="T468" s="6"/>
      <c r="U468" s="6"/>
      <c r="V468" s="6"/>
      <c r="W468" s="81"/>
      <c r="X468" s="81"/>
      <c r="Y468" s="81"/>
      <c r="Z468" s="81"/>
      <c r="AA468" s="81"/>
      <c r="AB468" s="81"/>
      <c r="AC468" s="81"/>
      <c r="AD468" s="81"/>
      <c r="AE468" s="81"/>
      <c r="AF468" s="81"/>
      <c r="AG468" s="81"/>
      <c r="AH468" s="81"/>
      <c r="AI468" s="81"/>
      <c r="AJ468" s="81"/>
      <c r="AK468" s="81"/>
      <c r="AL468" s="81"/>
      <c r="AM468" s="81"/>
      <c r="AN468" s="81"/>
      <c r="AO468" s="81"/>
      <c r="AP468" s="81"/>
      <c r="AQ468" s="81"/>
      <c r="AR468" s="81"/>
      <c r="AS468" s="81"/>
      <c r="AT468" s="81"/>
      <c r="AU468" s="81"/>
      <c r="AV468" s="81"/>
      <c r="AW468" s="81"/>
      <c r="AX468" s="81"/>
      <c r="AY468" s="81"/>
      <c r="AZ468" s="81"/>
      <c r="BA468" s="81"/>
      <c r="BB468" s="81"/>
      <c r="BC468" s="81"/>
      <c r="BD468" s="81"/>
      <c r="BE468" s="81"/>
      <c r="BF468" s="81"/>
      <c r="BG468" s="81"/>
      <c r="BH468" s="81"/>
      <c r="BI468" s="81"/>
      <c r="BJ468" s="81"/>
      <c r="BK468" s="81"/>
      <c r="BL468" s="6"/>
      <c r="BM468" s="6"/>
      <c r="BN468" s="6"/>
      <c r="BO468" s="6"/>
      <c r="BP468" s="6"/>
      <c r="BQ468" s="6"/>
      <c r="BR468" s="6"/>
      <c r="BS468" s="6"/>
      <c r="BT468" s="6"/>
      <c r="BU468" s="6"/>
    </row>
    <row r="469" spans="1:73">
      <c r="A469" s="6"/>
      <c r="B469" s="108"/>
      <c r="C469" s="1"/>
      <c r="D469" s="12"/>
      <c r="E469" s="595" t="str">
        <f>'2.3 Input_Main_Questionnaire'!F219</f>
        <v>- the management of persistent identifiers</v>
      </c>
      <c r="F469" s="595">
        <v>45</v>
      </c>
      <c r="G469" s="595">
        <f>F469*IF('2.2 Input_General_Information'!$H$36&lt;100,0.7,IF('2.2 Input_General_Information'!$H$36&lt;1000,0.8,IF('2.2 Input_General_Information'!$H$36&lt;5000,0.9,1)))</f>
        <v>36</v>
      </c>
      <c r="H469" s="39"/>
      <c r="I469" s="39"/>
      <c r="J469" s="39"/>
      <c r="K469" s="596">
        <f>('2.2 Input_General_Information'!$H$40+VLOOKUP('2.3 Input_Main_Questionnaire'!I219,'2.3 Input_Main_Questionnaire'!$E$221:$G$224,3,FALSE))/'2.3 Input_Main_Questionnaire'!$H$226</f>
        <v>1</v>
      </c>
      <c r="L469" s="596">
        <f>(COUNT($W$9:$BK$9)+VLOOKUP('2.3 Input_Main_Questionnaire'!I219,'2.3 Input_Main_Questionnaire'!$E$221:$G$224,3,FALSE))/'2.3 Input_Main_Questionnaire'!$H$226</f>
        <v>13.666666666666666</v>
      </c>
      <c r="M469" s="3"/>
      <c r="N469" s="3"/>
      <c r="O469" s="1"/>
      <c r="P469" s="1"/>
      <c r="Q469" s="1"/>
      <c r="R469" s="162"/>
      <c r="S469" s="1"/>
      <c r="T469" s="6"/>
      <c r="U469" s="6"/>
      <c r="V469" s="6"/>
      <c r="W469" s="81"/>
      <c r="X469" s="81"/>
      <c r="Y469" s="81"/>
      <c r="Z469" s="81"/>
      <c r="AA469" s="81"/>
      <c r="AB469" s="81"/>
      <c r="AC469" s="81"/>
      <c r="AD469" s="81"/>
      <c r="AE469" s="81"/>
      <c r="AF469" s="81"/>
      <c r="AG469" s="81"/>
      <c r="AH469" s="81"/>
      <c r="AI469" s="81"/>
      <c r="AJ469" s="81"/>
      <c r="AK469" s="81"/>
      <c r="AL469" s="81"/>
      <c r="AM469" s="81"/>
      <c r="AN469" s="81"/>
      <c r="AO469" s="81"/>
      <c r="AP469" s="81"/>
      <c r="AQ469" s="81"/>
      <c r="AR469" s="81"/>
      <c r="AS469" s="81"/>
      <c r="AT469" s="81"/>
      <c r="AU469" s="81"/>
      <c r="AV469" s="81"/>
      <c r="AW469" s="81"/>
      <c r="AX469" s="81"/>
      <c r="AY469" s="81"/>
      <c r="AZ469" s="81"/>
      <c r="BA469" s="81"/>
      <c r="BB469" s="81"/>
      <c r="BC469" s="81"/>
      <c r="BD469" s="81"/>
      <c r="BE469" s="81"/>
      <c r="BF469" s="81"/>
      <c r="BG469" s="81"/>
      <c r="BH469" s="81"/>
      <c r="BI469" s="81"/>
      <c r="BJ469" s="81"/>
      <c r="BK469" s="81"/>
      <c r="BL469" s="6"/>
      <c r="BM469" s="6"/>
      <c r="BN469" s="6"/>
      <c r="BO469" s="6"/>
      <c r="BP469" s="6"/>
      <c r="BQ469" s="6"/>
      <c r="BR469" s="6"/>
      <c r="BS469" s="6"/>
      <c r="BT469" s="6"/>
      <c r="BU469" s="6"/>
    </row>
    <row r="470" spans="1:73">
      <c r="A470" s="6"/>
      <c r="B470" s="108"/>
      <c r="C470" s="1"/>
      <c r="D470" s="12"/>
      <c r="H470" s="43"/>
      <c r="I470" s="3"/>
      <c r="J470" s="3"/>
      <c r="K470" s="3"/>
      <c r="L470" s="3"/>
      <c r="M470" s="3"/>
      <c r="N470" s="3"/>
      <c r="O470" s="1"/>
      <c r="P470" s="1"/>
      <c r="Q470" s="1"/>
      <c r="R470" s="162"/>
      <c r="S470" s="1"/>
      <c r="T470" s="6"/>
      <c r="U470" s="6"/>
      <c r="V470" s="6"/>
      <c r="W470" s="81"/>
      <c r="X470" s="81"/>
      <c r="Y470" s="81"/>
      <c r="Z470" s="81"/>
      <c r="AA470" s="81"/>
      <c r="AB470" s="81"/>
      <c r="AC470" s="81"/>
      <c r="AD470" s="81"/>
      <c r="AE470" s="81"/>
      <c r="AF470" s="81"/>
      <c r="AG470" s="81"/>
      <c r="AH470" s="81"/>
      <c r="AI470" s="81"/>
      <c r="AJ470" s="81"/>
      <c r="AK470" s="81"/>
      <c r="AL470" s="81"/>
      <c r="AM470" s="81"/>
      <c r="AN470" s="81"/>
      <c r="AO470" s="81"/>
      <c r="AP470" s="81"/>
      <c r="AQ470" s="81"/>
      <c r="AR470" s="81"/>
      <c r="AS470" s="81"/>
      <c r="AT470" s="81"/>
      <c r="AU470" s="81"/>
      <c r="AV470" s="81"/>
      <c r="AW470" s="81"/>
      <c r="AX470" s="81"/>
      <c r="AY470" s="81"/>
      <c r="AZ470" s="81"/>
      <c r="BA470" s="81"/>
      <c r="BB470" s="81"/>
      <c r="BC470" s="81"/>
      <c r="BD470" s="81"/>
      <c r="BE470" s="81"/>
      <c r="BF470" s="81"/>
      <c r="BG470" s="81"/>
      <c r="BH470" s="81"/>
      <c r="BI470" s="81"/>
      <c r="BJ470" s="81"/>
      <c r="BK470" s="81"/>
      <c r="BL470" s="81"/>
      <c r="BM470" s="81"/>
      <c r="BN470" s="81"/>
      <c r="BO470" s="81"/>
      <c r="BP470" s="81"/>
      <c r="BQ470" s="81"/>
      <c r="BR470" s="6"/>
      <c r="BS470" s="6"/>
      <c r="BT470" s="6"/>
      <c r="BU470" s="6"/>
    </row>
    <row r="471" spans="1:73">
      <c r="A471" s="6"/>
      <c r="B471" s="108"/>
      <c r="C471" s="1"/>
      <c r="D471" s="12"/>
      <c r="E471" s="3"/>
      <c r="F471" s="50" t="s">
        <v>1032</v>
      </c>
      <c r="G471" s="50" t="s">
        <v>1033</v>
      </c>
      <c r="J471" s="3"/>
      <c r="K471" s="3"/>
      <c r="L471" s="3"/>
      <c r="M471" s="3"/>
      <c r="N471" s="3"/>
      <c r="O471" s="1"/>
      <c r="P471" s="1"/>
      <c r="Q471" s="1"/>
      <c r="R471" s="162"/>
      <c r="S471" s="1"/>
      <c r="T471" s="6"/>
      <c r="U471" s="6"/>
      <c r="V471" s="6"/>
      <c r="W471" s="81"/>
      <c r="X471" s="81"/>
      <c r="Y471" s="81"/>
      <c r="Z471" s="81"/>
      <c r="AA471" s="81"/>
      <c r="AB471" s="81"/>
      <c r="AC471" s="81"/>
      <c r="AD471" s="81"/>
      <c r="AE471" s="81"/>
      <c r="AF471" s="81"/>
      <c r="AG471" s="81"/>
      <c r="AH471" s="81"/>
      <c r="AI471" s="81"/>
      <c r="AJ471" s="81"/>
      <c r="AK471" s="81"/>
      <c r="AL471" s="81"/>
      <c r="AM471" s="81"/>
      <c r="AN471" s="81"/>
      <c r="AO471" s="81"/>
      <c r="AP471" s="81"/>
      <c r="AQ471" s="81"/>
      <c r="AR471" s="81"/>
      <c r="AS471" s="81"/>
      <c r="AT471" s="81"/>
      <c r="AU471" s="81"/>
      <c r="AV471" s="81"/>
      <c r="AW471" s="81"/>
      <c r="AX471" s="81"/>
      <c r="AY471" s="81"/>
      <c r="AZ471" s="81"/>
      <c r="BA471" s="81"/>
      <c r="BB471" s="81"/>
      <c r="BC471" s="81"/>
      <c r="BD471" s="81"/>
      <c r="BE471" s="81"/>
      <c r="BF471" s="81"/>
      <c r="BG471" s="81"/>
      <c r="BH471" s="81"/>
      <c r="BI471" s="81"/>
      <c r="BJ471" s="81"/>
      <c r="BK471" s="81"/>
      <c r="BL471" s="81"/>
      <c r="BM471" s="81"/>
      <c r="BN471" s="81"/>
      <c r="BO471" s="81"/>
      <c r="BP471" s="81"/>
      <c r="BQ471" s="81"/>
      <c r="BR471" s="6"/>
      <c r="BS471" s="6"/>
      <c r="BT471" s="6"/>
      <c r="BU471" s="6"/>
    </row>
    <row r="472" spans="1:73">
      <c r="A472" s="6"/>
      <c r="B472" s="108"/>
      <c r="C472" s="1"/>
      <c r="D472" s="12"/>
      <c r="E472" s="31" t="s">
        <v>1034</v>
      </c>
      <c r="F472" s="597">
        <f ca="1">HLOOKUP('2.3 Input_Main_Questionnaire'!H230,'2.2 Input_General_Information'!H91:O94,4,FALSE)/HLOOKUP('2.3 Input_Main_Questionnaire'!H230,'2.2 Input_General_Information'!H91:O100,10,FALSE)</f>
        <v>76.974231953942152</v>
      </c>
      <c r="G472" s="595">
        <v>950</v>
      </c>
      <c r="J472" s="3"/>
      <c r="K472" s="3"/>
      <c r="L472" s="3"/>
      <c r="M472" s="3"/>
      <c r="N472" s="3"/>
      <c r="O472" s="1"/>
      <c r="P472" s="1"/>
      <c r="Q472" s="1"/>
      <c r="R472" s="162"/>
      <c r="S472" s="1"/>
      <c r="T472" s="6"/>
      <c r="U472" s="6"/>
      <c r="V472" s="6"/>
      <c r="W472" s="81"/>
      <c r="X472" s="81"/>
      <c r="Y472" s="81"/>
      <c r="Z472" s="81"/>
      <c r="AA472" s="81"/>
      <c r="AB472" s="81"/>
      <c r="AC472" s="81"/>
      <c r="AD472" s="81"/>
      <c r="AE472" s="81"/>
      <c r="AF472" s="81"/>
      <c r="AG472" s="81"/>
      <c r="AH472" s="81"/>
      <c r="AI472" s="81"/>
      <c r="AJ472" s="81"/>
      <c r="AK472" s="81"/>
      <c r="AL472" s="81"/>
      <c r="AM472" s="81"/>
      <c r="AN472" s="81"/>
      <c r="AO472" s="81"/>
      <c r="AP472" s="81"/>
      <c r="AQ472" s="81"/>
      <c r="AR472" s="81"/>
      <c r="AS472" s="81"/>
      <c r="AT472" s="81"/>
      <c r="AU472" s="81"/>
      <c r="AV472" s="81"/>
      <c r="AW472" s="81"/>
      <c r="AX472" s="81"/>
      <c r="AY472" s="81"/>
      <c r="AZ472" s="81"/>
      <c r="BA472" s="81"/>
      <c r="BB472" s="81"/>
      <c r="BC472" s="81"/>
      <c r="BD472" s="81"/>
      <c r="BE472" s="81"/>
      <c r="BF472" s="81"/>
      <c r="BG472" s="81"/>
      <c r="BH472" s="81"/>
      <c r="BI472" s="81"/>
      <c r="BJ472" s="81"/>
      <c r="BK472" s="81"/>
      <c r="BL472" s="81"/>
      <c r="BM472" s="81"/>
      <c r="BN472" s="81"/>
      <c r="BO472" s="81"/>
      <c r="BP472" s="81"/>
      <c r="BQ472" s="81"/>
      <c r="BR472" s="6"/>
      <c r="BS472" s="6"/>
      <c r="BT472" s="6"/>
      <c r="BU472" s="6"/>
    </row>
    <row r="473" spans="1:73">
      <c r="A473" s="6"/>
      <c r="B473" s="108"/>
      <c r="C473" s="1"/>
      <c r="D473" s="12"/>
      <c r="H473" s="43"/>
      <c r="I473" s="3"/>
      <c r="J473" s="3"/>
      <c r="K473" s="3"/>
      <c r="L473" s="3"/>
      <c r="M473" s="3"/>
      <c r="N473" s="3"/>
      <c r="O473" s="1"/>
      <c r="P473" s="1"/>
      <c r="Q473" s="1"/>
      <c r="R473" s="162"/>
      <c r="S473" s="1"/>
      <c r="T473" s="6"/>
      <c r="U473" s="6"/>
      <c r="V473" s="6"/>
      <c r="W473" s="81"/>
      <c r="X473" s="81"/>
      <c r="Y473" s="81"/>
      <c r="Z473" s="81"/>
      <c r="AA473" s="81"/>
      <c r="AB473" s="81"/>
      <c r="AC473" s="81"/>
      <c r="AD473" s="81"/>
      <c r="AE473" s="81"/>
      <c r="AF473" s="81"/>
      <c r="AG473" s="81"/>
      <c r="AH473" s="81"/>
      <c r="AI473" s="81"/>
      <c r="AJ473" s="81"/>
      <c r="AK473" s="81"/>
      <c r="AL473" s="81"/>
      <c r="AM473" s="81"/>
      <c r="AN473" s="81"/>
      <c r="AO473" s="81"/>
      <c r="AP473" s="81"/>
      <c r="AQ473" s="81"/>
      <c r="AR473" s="81"/>
      <c r="AS473" s="81"/>
      <c r="AT473" s="81"/>
      <c r="AU473" s="81"/>
      <c r="AV473" s="81"/>
      <c r="AW473" s="81"/>
      <c r="AX473" s="81"/>
      <c r="AY473" s="81"/>
      <c r="AZ473" s="81"/>
      <c r="BA473" s="81"/>
      <c r="BB473" s="81"/>
      <c r="BC473" s="81"/>
      <c r="BD473" s="81"/>
      <c r="BE473" s="81"/>
      <c r="BF473" s="81"/>
      <c r="BG473" s="81"/>
      <c r="BH473" s="81"/>
      <c r="BI473" s="81"/>
      <c r="BJ473" s="81"/>
      <c r="BK473" s="81"/>
      <c r="BL473" s="81"/>
      <c r="BM473" s="81"/>
      <c r="BN473" s="81"/>
      <c r="BO473" s="81"/>
      <c r="BP473" s="81"/>
      <c r="BQ473" s="81"/>
      <c r="BR473" s="6"/>
      <c r="BS473" s="6"/>
      <c r="BT473" s="6"/>
      <c r="BU473" s="6"/>
    </row>
    <row r="474" spans="1:73">
      <c r="A474" s="6"/>
      <c r="B474" s="108"/>
      <c r="C474" s="1"/>
      <c r="D474" s="12"/>
      <c r="E474" s="50" t="s">
        <v>1035</v>
      </c>
      <c r="F474" s="50" t="s">
        <v>1036</v>
      </c>
      <c r="H474" s="43"/>
      <c r="I474" s="3"/>
      <c r="J474" s="3"/>
      <c r="K474" s="3"/>
      <c r="L474" s="3"/>
      <c r="M474" s="3"/>
      <c r="N474" s="3"/>
      <c r="O474" s="1"/>
      <c r="P474" s="1"/>
      <c r="Q474" s="1"/>
      <c r="R474" s="162"/>
      <c r="S474" s="1"/>
      <c r="T474" s="6"/>
      <c r="U474" s="6"/>
      <c r="V474" s="6"/>
      <c r="W474" s="81"/>
      <c r="X474" s="81"/>
      <c r="Y474" s="81"/>
      <c r="Z474" s="81"/>
      <c r="AA474" s="81"/>
      <c r="AB474" s="81"/>
      <c r="AD474" s="81"/>
      <c r="AE474" s="81"/>
      <c r="AF474" s="81"/>
      <c r="AG474" s="81"/>
      <c r="AH474" s="81"/>
      <c r="AI474" s="81"/>
      <c r="AJ474" s="81"/>
      <c r="AK474" s="81"/>
      <c r="AL474" s="81"/>
      <c r="AM474" s="81"/>
      <c r="AN474" s="81"/>
      <c r="AO474" s="81"/>
      <c r="AP474" s="81"/>
      <c r="AQ474" s="81"/>
      <c r="AR474" s="81"/>
      <c r="AS474" s="81"/>
      <c r="AT474" s="81"/>
      <c r="AU474" s="81"/>
      <c r="AV474" s="81"/>
      <c r="AW474" s="81"/>
      <c r="AX474" s="81"/>
      <c r="AY474" s="81"/>
      <c r="AZ474" s="81"/>
      <c r="BA474" s="81"/>
      <c r="BB474" s="81"/>
      <c r="BC474" s="81"/>
      <c r="BD474" s="81"/>
      <c r="BE474" s="81"/>
      <c r="BF474" s="81"/>
      <c r="BG474" s="81"/>
      <c r="BH474" s="81"/>
      <c r="BI474" s="81"/>
      <c r="BJ474" s="81"/>
      <c r="BK474" s="81"/>
      <c r="BL474" s="6"/>
      <c r="BM474" s="6"/>
      <c r="BN474" s="6"/>
      <c r="BO474" s="6"/>
      <c r="BP474" s="6"/>
      <c r="BQ474" s="6"/>
      <c r="BR474" s="6"/>
      <c r="BS474" s="6"/>
      <c r="BT474" s="6"/>
      <c r="BU474" s="6"/>
    </row>
    <row r="475" spans="1:73">
      <c r="A475" s="6"/>
      <c r="B475" s="108"/>
      <c r="C475" s="1"/>
      <c r="D475" s="12"/>
      <c r="E475" s="598">
        <f ca="1">IF('2.3 Input_Main_Questionnaire'!H227="Internal employees",G467*$F$472,G467*$G$472)</f>
        <v>2463.1754225261489</v>
      </c>
      <c r="F475" s="598">
        <f t="shared" ref="F475:F477" ca="1" si="75">E475/4</f>
        <v>615.79385563153721</v>
      </c>
      <c r="H475" s="43"/>
      <c r="I475" s="3"/>
      <c r="J475" s="3"/>
      <c r="K475" s="3"/>
      <c r="L475" s="3"/>
      <c r="M475" s="3"/>
      <c r="N475" s="3"/>
      <c r="O475" s="1"/>
      <c r="P475" s="1"/>
      <c r="Q475" s="1"/>
      <c r="R475" s="162"/>
      <c r="S475" s="1"/>
      <c r="W475" s="98"/>
      <c r="X475" s="98"/>
      <c r="Y475" s="98"/>
      <c r="Z475" s="98"/>
      <c r="AA475" s="98"/>
      <c r="AB475" s="98"/>
      <c r="AC475" s="98"/>
      <c r="AD475" s="98"/>
      <c r="AE475" s="98"/>
      <c r="AF475" s="98"/>
      <c r="AG475" s="98"/>
      <c r="AH475" s="98"/>
      <c r="AI475" s="98"/>
      <c r="AJ475" s="98"/>
      <c r="AK475" s="98"/>
      <c r="AL475" s="98"/>
      <c r="AM475" s="98"/>
      <c r="AN475" s="98"/>
      <c r="AO475" s="98"/>
      <c r="AP475" s="98"/>
      <c r="AQ475" s="98"/>
      <c r="AR475" s="98"/>
      <c r="AS475" s="98"/>
      <c r="AT475" s="98"/>
      <c r="AU475" s="98"/>
      <c r="AV475" s="98"/>
      <c r="AW475" s="98"/>
      <c r="AX475" s="98"/>
      <c r="AY475" s="98"/>
      <c r="AZ475" s="98"/>
      <c r="BA475" s="98"/>
      <c r="BB475" s="98"/>
      <c r="BC475" s="98"/>
      <c r="BD475" s="98"/>
      <c r="BE475" s="98"/>
      <c r="BF475" s="98"/>
      <c r="BG475" s="98"/>
      <c r="BH475" s="98"/>
      <c r="BI475" s="98"/>
      <c r="BJ475" s="98"/>
      <c r="BK475" s="98"/>
      <c r="BL475" s="98"/>
      <c r="BM475" s="98"/>
      <c r="BN475" s="98"/>
      <c r="BO475" s="98"/>
      <c r="BP475" s="98"/>
      <c r="BQ475" s="98"/>
      <c r="BR475" s="6"/>
      <c r="BS475" s="6"/>
      <c r="BT475" s="6"/>
      <c r="BU475" s="6"/>
    </row>
    <row r="476" spans="1:73">
      <c r="A476" s="6"/>
      <c r="B476" s="108"/>
      <c r="C476" s="1"/>
      <c r="D476" s="12"/>
      <c r="E476" s="598">
        <f>IF('2.3 Input_Main_Questionnaire'!H228="Internal employees",G468*$F$472,G468*$G$472)</f>
        <v>25080.000000000004</v>
      </c>
      <c r="F476" s="598">
        <f t="shared" si="75"/>
        <v>6270.0000000000009</v>
      </c>
      <c r="H476" s="43"/>
      <c r="I476" s="3"/>
      <c r="J476" s="3"/>
      <c r="K476" s="3"/>
      <c r="L476" s="3"/>
      <c r="M476" s="3"/>
      <c r="N476" s="3"/>
      <c r="O476" s="1"/>
      <c r="P476" s="1"/>
      <c r="Q476" s="1"/>
      <c r="R476" s="162"/>
      <c r="S476" s="1"/>
      <c r="V476" s="6"/>
      <c r="Y476" s="81"/>
      <c r="Z476" s="81"/>
      <c r="AA476" s="81"/>
      <c r="AB476" s="81"/>
      <c r="AC476" s="81"/>
      <c r="AD476" s="81"/>
      <c r="AE476" s="81"/>
      <c r="AF476" s="81"/>
      <c r="AG476" s="81"/>
      <c r="AH476" s="81"/>
      <c r="AI476" s="81"/>
      <c r="AJ476" s="81"/>
      <c r="AK476" s="81"/>
      <c r="AL476" s="81"/>
      <c r="AM476" s="81"/>
      <c r="AN476" s="81"/>
      <c r="AO476" s="81"/>
      <c r="AP476" s="81"/>
      <c r="AQ476" s="81"/>
      <c r="AR476" s="81"/>
      <c r="AS476" s="81"/>
      <c r="AT476" s="81"/>
      <c r="AU476" s="81"/>
      <c r="AV476" s="81"/>
      <c r="AW476" s="81"/>
      <c r="AX476" s="81"/>
      <c r="AY476" s="81"/>
      <c r="AZ476" s="81"/>
      <c r="BA476" s="81"/>
      <c r="BB476" s="81"/>
      <c r="BC476" s="81"/>
      <c r="BD476" s="81"/>
      <c r="BE476" s="81"/>
      <c r="BF476" s="81"/>
      <c r="BG476" s="81"/>
      <c r="BH476" s="81"/>
      <c r="BI476" s="81"/>
      <c r="BJ476" s="81"/>
      <c r="BK476" s="81"/>
      <c r="BL476" s="81"/>
      <c r="BM476" s="81"/>
      <c r="BN476" s="81"/>
      <c r="BO476" s="81"/>
      <c r="BP476" s="81"/>
      <c r="BQ476" s="81"/>
      <c r="BR476" s="6"/>
      <c r="BS476" s="6"/>
      <c r="BT476" s="6"/>
      <c r="BU476" s="6"/>
    </row>
    <row r="477" spans="1:73">
      <c r="A477" s="6"/>
      <c r="B477" s="108"/>
      <c r="C477" s="1"/>
      <c r="D477" s="12"/>
      <c r="E477" s="598">
        <f>IF('2.3 Input_Main_Questionnaire'!H229="Internal employees",G469*$F$472,G469*$G$472)</f>
        <v>34200</v>
      </c>
      <c r="F477" s="598">
        <f t="shared" si="75"/>
        <v>8550</v>
      </c>
      <c r="H477" s="43"/>
      <c r="I477" s="3"/>
      <c r="J477" s="3"/>
      <c r="K477" s="3"/>
      <c r="L477" s="3"/>
      <c r="M477" s="3"/>
      <c r="N477" s="3"/>
      <c r="O477" s="1"/>
      <c r="P477" s="1"/>
      <c r="Q477" s="1"/>
      <c r="R477" s="162"/>
      <c r="S477" s="1"/>
      <c r="V477" s="6"/>
      <c r="Y477" s="81"/>
      <c r="Z477" s="81"/>
      <c r="AA477" s="81"/>
      <c r="AB477" s="81"/>
      <c r="AC477" s="81"/>
      <c r="AD477" s="81"/>
      <c r="AE477" s="81"/>
      <c r="AF477" s="81"/>
      <c r="AG477" s="81"/>
      <c r="AH477" s="81"/>
      <c r="AI477" s="81"/>
      <c r="AJ477" s="81"/>
      <c r="AK477" s="81"/>
      <c r="AL477" s="81"/>
      <c r="AM477" s="81"/>
      <c r="AN477" s="81"/>
      <c r="AO477" s="81"/>
      <c r="AP477" s="81"/>
      <c r="AQ477" s="81"/>
      <c r="AR477" s="81"/>
      <c r="AS477" s="81"/>
      <c r="AT477" s="81"/>
      <c r="AU477" s="81"/>
      <c r="AV477" s="81"/>
      <c r="AW477" s="81"/>
      <c r="AX477" s="81"/>
      <c r="AY477" s="81"/>
      <c r="AZ477" s="81"/>
      <c r="BA477" s="81"/>
      <c r="BB477" s="81"/>
      <c r="BC477" s="81"/>
      <c r="BD477" s="81"/>
      <c r="BE477" s="81"/>
      <c r="BF477" s="81"/>
      <c r="BG477" s="81"/>
      <c r="BH477" s="81"/>
      <c r="BI477" s="81"/>
      <c r="BJ477" s="81"/>
      <c r="BK477" s="81"/>
      <c r="BL477" s="81"/>
      <c r="BM477" s="81"/>
      <c r="BN477" s="81"/>
      <c r="BO477" s="81"/>
      <c r="BP477" s="81"/>
      <c r="BQ477" s="81"/>
      <c r="BR477" s="6"/>
      <c r="BS477" s="6"/>
      <c r="BT477" s="6"/>
      <c r="BU477" s="6"/>
    </row>
    <row r="478" spans="1:73">
      <c r="A478" s="6"/>
      <c r="B478" s="108"/>
      <c r="C478" s="1"/>
      <c r="D478" s="12"/>
      <c r="H478" s="43"/>
      <c r="I478" s="3"/>
      <c r="J478" s="3"/>
      <c r="K478" s="3"/>
      <c r="L478" s="3"/>
      <c r="M478" s="3"/>
      <c r="N478" s="3"/>
      <c r="O478" s="1"/>
      <c r="P478" s="1"/>
      <c r="Q478" s="1"/>
      <c r="R478" s="162"/>
      <c r="S478" s="1"/>
      <c r="V478" s="6"/>
      <c r="Y478" s="81"/>
      <c r="Z478" s="81"/>
      <c r="AA478" s="81"/>
      <c r="AB478" s="81"/>
      <c r="AC478" s="81"/>
      <c r="AD478" s="81"/>
      <c r="AE478" s="81"/>
      <c r="AF478" s="81"/>
      <c r="AG478" s="81"/>
      <c r="AH478" s="81"/>
      <c r="AI478" s="81"/>
      <c r="AJ478" s="81"/>
      <c r="AK478" s="81"/>
      <c r="AL478" s="81"/>
      <c r="AM478" s="81"/>
      <c r="AN478" s="81"/>
      <c r="AO478" s="81"/>
      <c r="AP478" s="81"/>
      <c r="AQ478" s="81"/>
      <c r="AR478" s="81"/>
      <c r="AS478" s="81"/>
      <c r="AT478" s="81"/>
      <c r="AU478" s="81"/>
      <c r="AV478" s="81"/>
      <c r="AW478" s="81"/>
      <c r="AX478" s="81"/>
      <c r="AY478" s="81"/>
      <c r="AZ478" s="81"/>
      <c r="BA478" s="81"/>
      <c r="BB478" s="81"/>
      <c r="BC478" s="81"/>
      <c r="BD478" s="81"/>
      <c r="BE478" s="81"/>
      <c r="BF478" s="81"/>
      <c r="BG478" s="81"/>
      <c r="BH478" s="81"/>
      <c r="BI478" s="81"/>
      <c r="BJ478" s="81"/>
      <c r="BK478" s="81"/>
      <c r="BL478" s="81"/>
      <c r="BM478" s="81"/>
      <c r="BN478" s="81"/>
      <c r="BO478" s="81"/>
      <c r="BP478" s="81"/>
      <c r="BQ478" s="81"/>
      <c r="BR478" s="6"/>
      <c r="BS478" s="6"/>
      <c r="BT478" s="6"/>
      <c r="BU478" s="6"/>
    </row>
    <row r="479" spans="1:73">
      <c r="A479" s="6"/>
      <c r="B479" s="108"/>
      <c r="C479" s="1"/>
      <c r="D479" s="12"/>
      <c r="H479" s="43"/>
      <c r="I479" s="3"/>
      <c r="J479" s="3"/>
      <c r="K479" s="3"/>
      <c r="L479" s="3"/>
      <c r="M479" s="3"/>
      <c r="N479" s="3"/>
      <c r="O479" s="1"/>
      <c r="P479" s="1"/>
      <c r="Q479" s="1"/>
      <c r="R479" s="162"/>
      <c r="S479" s="1"/>
      <c r="T479" s="6"/>
      <c r="U479" s="6"/>
      <c r="V479" s="6"/>
      <c r="W479" s="81"/>
      <c r="X479" s="81"/>
      <c r="Y479" s="81"/>
      <c r="Z479" s="81"/>
      <c r="AA479" s="81"/>
      <c r="AB479" s="81"/>
      <c r="AE479" s="81"/>
      <c r="AF479" s="81"/>
      <c r="AG479" s="81"/>
      <c r="AH479" s="81"/>
      <c r="AI479" s="81"/>
      <c r="AJ479" s="81"/>
      <c r="AK479" s="81"/>
      <c r="AL479" s="81"/>
      <c r="AM479" s="81"/>
      <c r="AN479" s="81"/>
      <c r="AO479" s="81"/>
      <c r="AP479" s="81"/>
      <c r="AQ479" s="81"/>
      <c r="AR479" s="81"/>
      <c r="AS479" s="81"/>
      <c r="AT479" s="81"/>
      <c r="AU479" s="81"/>
      <c r="AV479" s="81"/>
      <c r="AW479" s="81"/>
      <c r="AX479" s="81"/>
      <c r="AY479" s="81"/>
      <c r="AZ479" s="81"/>
      <c r="BA479" s="81"/>
      <c r="BB479" s="81"/>
      <c r="BC479" s="81"/>
      <c r="BD479" s="81"/>
      <c r="BE479" s="81"/>
      <c r="BF479" s="81"/>
      <c r="BG479" s="81"/>
      <c r="BH479" s="81"/>
      <c r="BI479" s="81"/>
      <c r="BJ479" s="81"/>
      <c r="BK479" s="81"/>
      <c r="BL479" s="6"/>
      <c r="BM479" s="6"/>
      <c r="BN479" s="6"/>
      <c r="BO479" s="6"/>
      <c r="BP479" s="6"/>
      <c r="BQ479" s="6"/>
      <c r="BR479" s="6"/>
      <c r="BS479" s="6"/>
      <c r="BT479" s="6"/>
      <c r="BU479" s="6"/>
    </row>
    <row r="480" spans="1:73">
      <c r="A480" s="6"/>
      <c r="B480" s="108"/>
      <c r="C480" s="1"/>
      <c r="D480" s="12"/>
      <c r="E480" s="1"/>
      <c r="F480" s="1"/>
      <c r="G480" s="43"/>
      <c r="H480" s="43"/>
      <c r="I480" s="3"/>
      <c r="J480" s="3"/>
      <c r="K480" s="3"/>
      <c r="L480" s="3"/>
      <c r="M480" s="3"/>
      <c r="N480" s="3"/>
      <c r="O480" s="1"/>
      <c r="P480" s="1"/>
      <c r="Q480" s="1"/>
      <c r="R480" s="162"/>
      <c r="S480" s="1"/>
      <c r="T480" s="6"/>
      <c r="U480" s="6"/>
      <c r="V480" s="6"/>
      <c r="W480" s="81"/>
      <c r="X480" s="81"/>
      <c r="Y480" s="81"/>
      <c r="Z480" s="81"/>
      <c r="AA480" s="81"/>
      <c r="AB480" s="81"/>
      <c r="AC480" s="81"/>
      <c r="AD480" s="81"/>
      <c r="AE480" s="81"/>
      <c r="AF480" s="81"/>
      <c r="AG480" s="81"/>
      <c r="AH480" s="81"/>
      <c r="AI480" s="81"/>
      <c r="AJ480" s="81"/>
      <c r="AK480" s="81"/>
      <c r="AL480" s="81"/>
      <c r="AM480" s="81"/>
      <c r="AN480" s="81"/>
      <c r="AO480" s="81"/>
      <c r="AP480" s="81"/>
      <c r="AQ480" s="81"/>
      <c r="AR480" s="81"/>
      <c r="AS480" s="81"/>
      <c r="AT480" s="81"/>
      <c r="AU480" s="81"/>
      <c r="AV480" s="81"/>
      <c r="AW480" s="81"/>
      <c r="AX480" s="81"/>
      <c r="AY480" s="81"/>
      <c r="AZ480" s="81"/>
      <c r="BA480" s="81"/>
      <c r="BB480" s="81"/>
      <c r="BC480" s="81"/>
      <c r="BD480" s="81"/>
      <c r="BE480" s="81"/>
      <c r="BF480" s="81"/>
      <c r="BG480" s="81"/>
      <c r="BH480" s="81"/>
      <c r="BI480" s="81"/>
      <c r="BJ480" s="81"/>
      <c r="BK480" s="81"/>
      <c r="BL480" s="6"/>
      <c r="BM480" s="6"/>
      <c r="BN480" s="6"/>
      <c r="BO480" s="6"/>
      <c r="BP480" s="6"/>
      <c r="BQ480" s="6"/>
      <c r="BR480" s="6"/>
      <c r="BS480" s="6"/>
      <c r="BT480" s="6"/>
      <c r="BU480" s="6"/>
    </row>
    <row r="481" spans="1:73">
      <c r="A481" s="6"/>
      <c r="B481" s="108"/>
      <c r="C481" s="1"/>
      <c r="D481" s="12"/>
      <c r="E481" s="1"/>
      <c r="F481" s="1"/>
      <c r="G481" s="43"/>
      <c r="H481" s="43"/>
      <c r="I481" s="3"/>
      <c r="J481" s="3"/>
      <c r="K481" s="3"/>
      <c r="L481" s="3"/>
      <c r="M481" s="3"/>
      <c r="N481" s="3"/>
      <c r="O481" s="1"/>
      <c r="P481" s="1"/>
      <c r="Q481" s="1"/>
      <c r="R481" s="162"/>
      <c r="S481" s="1"/>
      <c r="T481" s="6"/>
      <c r="U481" s="6"/>
      <c r="V481" s="6"/>
      <c r="W481" s="81"/>
      <c r="X481" s="81"/>
      <c r="Y481" s="81"/>
      <c r="Z481" s="81"/>
      <c r="AA481" s="81"/>
      <c r="AB481" s="81"/>
      <c r="AC481" s="81"/>
      <c r="AD481" s="81"/>
      <c r="AE481" s="81"/>
      <c r="AF481" s="81"/>
      <c r="AG481" s="81"/>
      <c r="AH481" s="81"/>
      <c r="AI481" s="81"/>
      <c r="AJ481" s="81"/>
      <c r="AK481" s="81"/>
      <c r="AL481" s="81"/>
      <c r="AM481" s="81"/>
      <c r="AN481" s="81"/>
      <c r="AO481" s="81"/>
      <c r="AP481" s="81"/>
      <c r="AQ481" s="81"/>
      <c r="AR481" s="81"/>
      <c r="AS481" s="81"/>
      <c r="AT481" s="81"/>
      <c r="AU481" s="81"/>
      <c r="AV481" s="81"/>
      <c r="AW481" s="81"/>
      <c r="AX481" s="81"/>
      <c r="AY481" s="81"/>
      <c r="AZ481" s="81"/>
      <c r="BA481" s="81"/>
      <c r="BB481" s="81"/>
      <c r="BC481" s="81"/>
      <c r="BD481" s="81"/>
      <c r="BE481" s="81"/>
      <c r="BF481" s="81"/>
      <c r="BG481" s="81"/>
      <c r="BH481" s="81"/>
      <c r="BI481" s="81"/>
      <c r="BJ481" s="81"/>
      <c r="BK481" s="81"/>
      <c r="BL481" s="6"/>
      <c r="BM481" s="6"/>
      <c r="BN481" s="6"/>
      <c r="BO481" s="6"/>
      <c r="BP481" s="6"/>
      <c r="BQ481" s="6"/>
      <c r="BR481" s="6"/>
      <c r="BS481" s="6"/>
      <c r="BT481" s="6"/>
      <c r="BU481" s="6"/>
    </row>
    <row r="482" spans="1:73" ht="5.25" customHeight="1">
      <c r="A482" s="6"/>
      <c r="B482" s="97"/>
      <c r="C482" s="12"/>
      <c r="D482" s="30"/>
      <c r="E482" s="23"/>
      <c r="F482" s="23"/>
      <c r="G482" s="599"/>
      <c r="H482" s="183"/>
      <c r="I482" s="183"/>
      <c r="J482" s="183"/>
      <c r="K482" s="183"/>
      <c r="L482" s="183"/>
      <c r="M482" s="183"/>
      <c r="N482" s="183"/>
      <c r="O482" s="1"/>
      <c r="P482" s="1"/>
      <c r="Q482" s="1"/>
      <c r="R482" s="162"/>
      <c r="S482" s="1"/>
      <c r="T482" s="6"/>
      <c r="U482" s="6"/>
      <c r="V482" s="6"/>
      <c r="W482" s="81"/>
      <c r="X482" s="81"/>
      <c r="Y482" s="81"/>
      <c r="Z482" s="81"/>
      <c r="AA482" s="81"/>
      <c r="AB482" s="81"/>
      <c r="AC482" s="81"/>
      <c r="AD482" s="81"/>
      <c r="AE482" s="81"/>
      <c r="AF482" s="81"/>
      <c r="AG482" s="81"/>
      <c r="AH482" s="81"/>
      <c r="AI482" s="81"/>
      <c r="AJ482" s="81"/>
      <c r="AK482" s="81"/>
      <c r="AL482" s="81"/>
      <c r="AM482" s="81"/>
      <c r="AN482" s="81"/>
      <c r="AO482" s="81"/>
      <c r="AP482" s="81"/>
      <c r="AQ482" s="81"/>
      <c r="AR482" s="81"/>
      <c r="AS482" s="81"/>
      <c r="AT482" s="81"/>
      <c r="AU482" s="81"/>
      <c r="AV482" s="81"/>
      <c r="AW482" s="81"/>
      <c r="AX482" s="81"/>
      <c r="AY482" s="81"/>
      <c r="AZ482" s="81"/>
      <c r="BA482" s="81"/>
      <c r="BB482" s="81"/>
      <c r="BC482" s="81"/>
      <c r="BD482" s="81"/>
      <c r="BE482" s="81"/>
      <c r="BF482" s="81"/>
      <c r="BG482" s="81"/>
      <c r="BH482" s="81"/>
      <c r="BI482" s="81"/>
      <c r="BJ482" s="81"/>
      <c r="BK482" s="81"/>
      <c r="BL482" s="6"/>
      <c r="BM482" s="6"/>
      <c r="BN482" s="6"/>
      <c r="BO482" s="6"/>
      <c r="BP482" s="6"/>
      <c r="BQ482" s="6"/>
      <c r="BR482" s="6"/>
      <c r="BS482" s="6"/>
      <c r="BT482" s="6"/>
      <c r="BU482" s="6"/>
    </row>
    <row r="483" spans="1:73" ht="17.25" customHeight="1">
      <c r="A483" s="6"/>
      <c r="B483" s="554" t="s">
        <v>654</v>
      </c>
      <c r="C483" s="566"/>
      <c r="D483" s="147" t="s">
        <v>534</v>
      </c>
      <c r="E483" s="200"/>
      <c r="F483" s="200"/>
      <c r="G483" s="568">
        <f ca="1">-(IF('2.3 Input_Main_Questionnaire'!H217="YES",E475,0)+IF('2.3 Input_Main_Questionnaire'!H218="YES",E476,0)+IF('2.3 Input_Main_Questionnaire'!H219="YES",E477,0))</f>
        <v>-27543.175422526154</v>
      </c>
      <c r="H483" s="183"/>
      <c r="I483" s="183"/>
      <c r="J483" s="183"/>
      <c r="K483" s="183"/>
      <c r="L483" s="183"/>
      <c r="M483" s="183"/>
      <c r="N483" s="183"/>
      <c r="O483" s="1"/>
      <c r="P483" s="1"/>
      <c r="Q483" s="1"/>
      <c r="R483" s="162"/>
      <c r="S483" s="1"/>
      <c r="T483" s="6"/>
      <c r="U483" s="6"/>
      <c r="V483" s="6"/>
      <c r="W483" s="81"/>
      <c r="X483" s="81"/>
      <c r="Y483" s="81"/>
      <c r="Z483" s="81"/>
      <c r="AA483" s="81"/>
      <c r="AB483" s="81"/>
      <c r="AC483" s="81"/>
      <c r="AD483" s="81"/>
      <c r="AE483" s="81"/>
      <c r="AF483" s="81"/>
      <c r="AG483" s="81"/>
      <c r="AH483" s="81"/>
      <c r="AI483" s="81"/>
      <c r="AJ483" s="81"/>
      <c r="AK483" s="81"/>
      <c r="AL483" s="81"/>
      <c r="AM483" s="81"/>
      <c r="AN483" s="81"/>
      <c r="AO483" s="81"/>
      <c r="AP483" s="81"/>
      <c r="AQ483" s="81"/>
      <c r="AR483" s="81"/>
      <c r="AS483" s="81"/>
      <c r="AT483" s="81"/>
      <c r="AU483" s="81"/>
      <c r="AV483" s="81"/>
      <c r="AW483" s="81"/>
      <c r="AX483" s="81"/>
      <c r="AY483" s="81"/>
      <c r="AZ483" s="81"/>
      <c r="BA483" s="81"/>
      <c r="BB483" s="81"/>
      <c r="BC483" s="81"/>
      <c r="BD483" s="81"/>
      <c r="BE483" s="81"/>
      <c r="BF483" s="81"/>
      <c r="BG483" s="81"/>
      <c r="BH483" s="81"/>
      <c r="BI483" s="81"/>
      <c r="BJ483" s="81"/>
      <c r="BK483" s="81"/>
      <c r="BL483" s="6"/>
      <c r="BM483" s="6"/>
      <c r="BN483" s="6"/>
      <c r="BO483" s="6"/>
      <c r="BP483" s="6"/>
      <c r="BQ483" s="6"/>
      <c r="BR483" s="6"/>
      <c r="BS483" s="6"/>
      <c r="BT483" s="6"/>
      <c r="BU483" s="6"/>
    </row>
    <row r="484" spans="1:73" ht="5.25" customHeight="1">
      <c r="A484" s="6"/>
      <c r="B484" s="554"/>
      <c r="C484" s="566"/>
      <c r="D484" s="30"/>
      <c r="E484" s="23"/>
      <c r="F484" s="23"/>
      <c r="G484" s="599"/>
      <c r="H484" s="183"/>
      <c r="I484" s="183"/>
      <c r="J484" s="183"/>
      <c r="K484" s="183"/>
      <c r="L484" s="183"/>
      <c r="M484" s="183"/>
      <c r="N484" s="183"/>
      <c r="O484" s="1"/>
      <c r="P484" s="1"/>
      <c r="Q484" s="1"/>
      <c r="R484" s="162"/>
      <c r="S484" s="1"/>
      <c r="T484" s="6"/>
      <c r="U484" s="6"/>
      <c r="V484" s="6"/>
      <c r="W484" s="81"/>
      <c r="X484" s="81"/>
      <c r="Y484" s="81"/>
      <c r="Z484" s="81"/>
      <c r="AA484" s="81"/>
      <c r="AB484" s="81"/>
      <c r="AC484" s="81"/>
      <c r="AD484" s="81"/>
      <c r="AE484" s="81"/>
      <c r="AF484" s="81"/>
      <c r="AG484" s="81"/>
      <c r="AH484" s="81"/>
      <c r="AI484" s="81"/>
      <c r="AJ484" s="81"/>
      <c r="AK484" s="81"/>
      <c r="AL484" s="81"/>
      <c r="AM484" s="81"/>
      <c r="AN484" s="81"/>
      <c r="AO484" s="81"/>
      <c r="AP484" s="81"/>
      <c r="AQ484" s="81"/>
      <c r="AR484" s="81"/>
      <c r="AS484" s="81"/>
      <c r="AT484" s="81"/>
      <c r="AU484" s="81"/>
      <c r="AV484" s="81"/>
      <c r="AW484" s="81"/>
      <c r="AX484" s="81"/>
      <c r="AY484" s="81"/>
      <c r="AZ484" s="81"/>
      <c r="BA484" s="81"/>
      <c r="BB484" s="81"/>
      <c r="BC484" s="81"/>
      <c r="BD484" s="81"/>
      <c r="BE484" s="81"/>
      <c r="BF484" s="81"/>
      <c r="BG484" s="81"/>
      <c r="BH484" s="81"/>
      <c r="BI484" s="81"/>
      <c r="BJ484" s="81"/>
      <c r="BK484" s="81"/>
      <c r="BL484" s="6"/>
      <c r="BM484" s="6"/>
      <c r="BN484" s="6"/>
      <c r="BO484" s="6"/>
      <c r="BP484" s="6"/>
      <c r="BQ484" s="6"/>
      <c r="BR484" s="6"/>
      <c r="BS484" s="6"/>
      <c r="BT484" s="6"/>
      <c r="BU484" s="6"/>
    </row>
    <row r="485" spans="1:73" ht="17.25" customHeight="1">
      <c r="A485" s="6"/>
      <c r="B485" s="554" t="s">
        <v>648</v>
      </c>
      <c r="C485" s="566"/>
      <c r="D485" s="147" t="s">
        <v>1037</v>
      </c>
      <c r="E485" s="200"/>
      <c r="F485" s="200"/>
      <c r="G485" s="568">
        <f ca="1">-SUMPRODUCT(K467:K469,F475:F477)</f>
        <v>-21911.058474175385</v>
      </c>
      <c r="H485" s="183"/>
      <c r="I485" s="183"/>
      <c r="J485" s="183"/>
      <c r="K485" s="183"/>
      <c r="L485" s="183"/>
      <c r="M485" s="183"/>
      <c r="N485" s="183"/>
      <c r="O485" s="1"/>
      <c r="P485" s="1"/>
      <c r="Q485" s="1"/>
      <c r="R485" s="162"/>
      <c r="S485" s="1"/>
      <c r="T485" s="6"/>
      <c r="U485" s="6"/>
      <c r="V485" s="6"/>
      <c r="W485" s="81"/>
      <c r="X485" s="81"/>
      <c r="Y485" s="81"/>
      <c r="Z485" s="81"/>
      <c r="AA485" s="81"/>
      <c r="AB485" s="81"/>
      <c r="AC485" s="81"/>
      <c r="AD485" s="81"/>
      <c r="AE485" s="81"/>
      <c r="AF485" s="81"/>
      <c r="AG485" s="81"/>
      <c r="AH485" s="81"/>
      <c r="AI485" s="81"/>
      <c r="AJ485" s="81"/>
      <c r="AK485" s="81"/>
      <c r="AL485" s="81"/>
      <c r="AM485" s="81"/>
      <c r="AN485" s="81"/>
      <c r="AO485" s="81"/>
      <c r="AP485" s="81"/>
      <c r="AQ485" s="81"/>
      <c r="AR485" s="81"/>
      <c r="AS485" s="81"/>
      <c r="AT485" s="81"/>
      <c r="AU485" s="81"/>
      <c r="AV485" s="81"/>
      <c r="AW485" s="81"/>
      <c r="AX485" s="81"/>
      <c r="AY485" s="81"/>
      <c r="AZ485" s="81"/>
      <c r="BA485" s="81"/>
      <c r="BB485" s="81"/>
      <c r="BC485" s="81"/>
      <c r="BD485" s="81"/>
      <c r="BE485" s="81"/>
      <c r="BF485" s="81"/>
      <c r="BG485" s="81"/>
      <c r="BH485" s="81"/>
      <c r="BI485" s="81"/>
      <c r="BJ485" s="81"/>
      <c r="BK485" s="81"/>
      <c r="BL485" s="6"/>
      <c r="BM485" s="6"/>
      <c r="BN485" s="6"/>
      <c r="BO485" s="6"/>
      <c r="BP485" s="6"/>
      <c r="BQ485" s="6"/>
      <c r="BR485" s="6"/>
      <c r="BS485" s="6"/>
      <c r="BT485" s="6"/>
      <c r="BU485" s="6"/>
    </row>
    <row r="486" spans="1:73">
      <c r="A486" s="6"/>
      <c r="B486" s="108"/>
      <c r="C486" s="1"/>
      <c r="D486" s="37"/>
      <c r="E486" s="12"/>
      <c r="F486" s="1"/>
      <c r="G486" s="60"/>
      <c r="H486" s="3"/>
      <c r="I486" s="3"/>
      <c r="J486" s="3"/>
      <c r="K486" s="3"/>
      <c r="L486" s="3"/>
      <c r="M486" s="3"/>
      <c r="N486" s="3"/>
      <c r="O486" s="1"/>
      <c r="P486" s="1"/>
      <c r="Q486" s="1"/>
      <c r="R486" s="162"/>
      <c r="S486" s="1"/>
      <c r="T486" s="103"/>
      <c r="U486" s="9"/>
      <c r="V486" s="103"/>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98"/>
      <c r="BI486" s="98"/>
      <c r="BJ486" s="98"/>
      <c r="BK486" s="98"/>
      <c r="BL486" s="99"/>
      <c r="BM486" s="99"/>
      <c r="BN486" s="99"/>
      <c r="BO486" s="99"/>
      <c r="BP486" s="99"/>
      <c r="BQ486" s="99"/>
      <c r="BR486" s="99"/>
      <c r="BS486" s="99"/>
      <c r="BT486" s="99"/>
      <c r="BU486" s="99"/>
    </row>
    <row r="487" spans="1:73">
      <c r="A487" s="6"/>
      <c r="B487" s="108"/>
      <c r="C487" s="1"/>
      <c r="D487" s="44" t="str">
        <f>"Inputs on: "&amp;'2.3 Input_Main_Questionnaire'!F31</f>
        <v>Inputs on: Integration of the data</v>
      </c>
      <c r="E487" s="600"/>
      <c r="F487" s="45"/>
      <c r="G487" s="601"/>
      <c r="H487" s="142"/>
      <c r="I487" s="142"/>
      <c r="J487" s="142"/>
      <c r="K487" s="142"/>
      <c r="L487" s="142"/>
      <c r="M487" s="142"/>
      <c r="N487" s="142"/>
      <c r="O487" s="1"/>
      <c r="P487" s="1"/>
      <c r="Q487" s="1"/>
      <c r="R487" s="162"/>
      <c r="S487" s="1"/>
      <c r="T487" s="103"/>
      <c r="U487" s="103"/>
      <c r="V487" s="103"/>
      <c r="W487" s="98"/>
      <c r="X487" s="98"/>
      <c r="Y487" s="98"/>
      <c r="Z487" s="98"/>
      <c r="AA487" s="98"/>
      <c r="AB487" s="98"/>
      <c r="AC487" s="98"/>
      <c r="AD487" s="98"/>
      <c r="AE487" s="98"/>
      <c r="AF487" s="98"/>
      <c r="AG487" s="98"/>
      <c r="AH487" s="98"/>
      <c r="AI487" s="98"/>
      <c r="AJ487" s="98"/>
      <c r="AK487" s="98"/>
      <c r="AL487" s="98"/>
      <c r="AM487" s="98"/>
      <c r="AN487" s="98"/>
      <c r="AO487" s="98"/>
      <c r="AP487" s="98"/>
      <c r="AQ487" s="98"/>
      <c r="AR487" s="98"/>
      <c r="AS487" s="98"/>
      <c r="AT487" s="98"/>
      <c r="AU487" s="98"/>
      <c r="AV487" s="98"/>
      <c r="AW487" s="98"/>
      <c r="AX487" s="98"/>
      <c r="AY487" s="98"/>
      <c r="AZ487" s="98"/>
      <c r="BA487" s="98"/>
      <c r="BB487" s="98"/>
      <c r="BC487" s="98"/>
      <c r="BD487" s="98"/>
      <c r="BE487" s="98"/>
      <c r="BF487" s="98"/>
      <c r="BG487" s="98"/>
      <c r="BH487" s="98"/>
      <c r="BI487" s="98"/>
      <c r="BJ487" s="98"/>
      <c r="BK487" s="98"/>
      <c r="BL487" s="99"/>
      <c r="BM487" s="99"/>
      <c r="BN487" s="99"/>
      <c r="BO487" s="99"/>
      <c r="BP487" s="99"/>
      <c r="BQ487" s="99"/>
      <c r="BR487" s="99"/>
      <c r="BS487" s="99"/>
      <c r="BT487" s="99"/>
      <c r="BU487" s="99"/>
    </row>
    <row r="488" spans="1:73" ht="5.25" customHeight="1">
      <c r="A488" s="6"/>
      <c r="B488" s="108"/>
      <c r="C488" s="1"/>
      <c r="D488" s="12"/>
      <c r="E488" s="12"/>
      <c r="F488" s="1"/>
      <c r="G488" s="60"/>
      <c r="H488" s="53"/>
      <c r="I488" s="53"/>
      <c r="J488" s="53"/>
      <c r="K488" s="53"/>
      <c r="L488" s="43"/>
      <c r="M488" s="43"/>
      <c r="N488" s="43"/>
      <c r="O488" s="1"/>
      <c r="P488" s="1"/>
      <c r="Q488" s="12"/>
      <c r="R488" s="162"/>
      <c r="S488" s="1"/>
      <c r="T488" s="103"/>
      <c r="U488" s="103"/>
      <c r="V488" s="103"/>
      <c r="W488" s="98"/>
      <c r="X488" s="98"/>
      <c r="Y488" s="98"/>
      <c r="Z488" s="98"/>
      <c r="AA488" s="98"/>
      <c r="AB488" s="98"/>
      <c r="AC488" s="98"/>
      <c r="AD488" s="98"/>
      <c r="AE488" s="98"/>
      <c r="AF488" s="98"/>
      <c r="AG488" s="98"/>
      <c r="AH488" s="98"/>
      <c r="AI488" s="98"/>
      <c r="AJ488" s="98"/>
      <c r="AK488" s="98"/>
      <c r="AL488" s="98"/>
      <c r="AM488" s="98"/>
      <c r="AN488" s="98"/>
      <c r="AO488" s="98"/>
      <c r="AP488" s="98"/>
      <c r="AQ488" s="98"/>
      <c r="AR488" s="98"/>
      <c r="AS488" s="98"/>
      <c r="AT488" s="98"/>
      <c r="AU488" s="98"/>
      <c r="AV488" s="98"/>
      <c r="AW488" s="98"/>
      <c r="AX488" s="98"/>
      <c r="AY488" s="98"/>
      <c r="AZ488" s="98"/>
      <c r="BA488" s="98"/>
      <c r="BB488" s="98"/>
      <c r="BC488" s="98"/>
      <c r="BD488" s="98"/>
      <c r="BE488" s="98"/>
      <c r="BF488" s="98"/>
      <c r="BG488" s="98"/>
      <c r="BH488" s="98"/>
      <c r="BI488" s="98"/>
      <c r="BJ488" s="98"/>
      <c r="BK488" s="98"/>
      <c r="BL488" s="99"/>
      <c r="BM488" s="99"/>
      <c r="BN488" s="99"/>
      <c r="BO488" s="99"/>
      <c r="BP488" s="99"/>
      <c r="BQ488" s="99"/>
      <c r="BR488" s="99"/>
      <c r="BS488" s="99"/>
      <c r="BT488" s="99"/>
      <c r="BU488" s="99"/>
    </row>
    <row r="489" spans="1:73">
      <c r="A489" s="6"/>
      <c r="B489" s="108"/>
      <c r="C489" s="1"/>
      <c r="D489" s="12"/>
      <c r="E489" s="12"/>
      <c r="F489" s="1"/>
      <c r="G489" s="1175" t="s">
        <v>908</v>
      </c>
      <c r="H489" s="1174"/>
      <c r="I489" s="1175" t="s">
        <v>909</v>
      </c>
      <c r="J489" s="1174"/>
      <c r="L489" s="43"/>
      <c r="M489" s="43"/>
      <c r="N489" s="43"/>
      <c r="O489" s="1"/>
      <c r="P489" s="1"/>
      <c r="Q489" s="12"/>
      <c r="R489" s="162"/>
      <c r="S489" s="1"/>
      <c r="T489" s="103"/>
      <c r="U489" s="103"/>
      <c r="V489" s="103"/>
      <c r="W489" s="98"/>
      <c r="X489" s="98"/>
      <c r="Y489" s="98"/>
      <c r="Z489" s="98"/>
      <c r="AA489" s="98"/>
      <c r="AB489" s="98"/>
      <c r="AC489" s="98"/>
      <c r="AD489" s="98"/>
      <c r="AE489" s="98"/>
      <c r="AF489" s="98"/>
      <c r="AG489" s="98"/>
      <c r="AH489" s="98"/>
      <c r="AI489" s="98"/>
      <c r="AJ489" s="98"/>
      <c r="AK489" s="98"/>
      <c r="AL489" s="98"/>
      <c r="AM489" s="98"/>
      <c r="AN489" s="98"/>
      <c r="AO489" s="98"/>
      <c r="AP489" s="98"/>
      <c r="AQ489" s="98"/>
      <c r="AR489" s="98"/>
      <c r="AS489" s="98"/>
      <c r="AT489" s="98"/>
      <c r="AU489" s="98"/>
      <c r="AV489" s="98"/>
      <c r="AW489" s="98"/>
      <c r="AX489" s="98"/>
      <c r="AY489" s="98"/>
      <c r="AZ489" s="98"/>
      <c r="BA489" s="98"/>
      <c r="BB489" s="98"/>
      <c r="BC489" s="98"/>
      <c r="BD489" s="98"/>
      <c r="BE489" s="98"/>
      <c r="BF489" s="98"/>
      <c r="BG489" s="98"/>
      <c r="BH489" s="98"/>
      <c r="BI489" s="98"/>
      <c r="BJ489" s="98"/>
      <c r="BK489" s="98"/>
      <c r="BL489" s="99"/>
      <c r="BM489" s="99"/>
      <c r="BN489" s="99"/>
      <c r="BO489" s="99"/>
      <c r="BP489" s="99"/>
      <c r="BQ489" s="99"/>
      <c r="BR489" s="99"/>
      <c r="BS489" s="99"/>
      <c r="BT489" s="99"/>
      <c r="BU489" s="99"/>
    </row>
    <row r="490" spans="1:73">
      <c r="A490" s="6"/>
      <c r="B490" s="108"/>
      <c r="C490" s="1"/>
      <c r="D490" s="12" t="s">
        <v>1038</v>
      </c>
      <c r="E490" s="12"/>
      <c r="F490" s="1"/>
      <c r="G490" s="50" t="s">
        <v>389</v>
      </c>
      <c r="H490" s="50" t="s">
        <v>910</v>
      </c>
      <c r="I490" s="50" t="s">
        <v>389</v>
      </c>
      <c r="J490" s="50" t="s">
        <v>449</v>
      </c>
      <c r="L490" s="6"/>
      <c r="M490" s="43"/>
      <c r="N490" s="43"/>
      <c r="O490" s="1"/>
      <c r="P490" s="1"/>
      <c r="Q490" s="12"/>
      <c r="R490" s="162"/>
      <c r="S490" s="1"/>
      <c r="T490" s="103"/>
      <c r="U490" s="103"/>
      <c r="V490" s="103"/>
      <c r="W490" s="98"/>
      <c r="X490" s="98"/>
      <c r="Y490" s="98"/>
      <c r="Z490" s="98"/>
      <c r="AA490" s="98"/>
      <c r="AB490" s="98"/>
      <c r="AC490" s="98"/>
      <c r="AD490" s="98"/>
      <c r="AE490" s="98"/>
      <c r="AF490" s="98"/>
      <c r="AG490" s="98"/>
      <c r="AH490" s="98"/>
      <c r="AI490" s="98"/>
      <c r="AJ490" s="98"/>
      <c r="AK490" s="98"/>
      <c r="AL490" s="98"/>
      <c r="AM490" s="98"/>
      <c r="AN490" s="98"/>
      <c r="AO490" s="98"/>
      <c r="AP490" s="98"/>
      <c r="AQ490" s="98"/>
      <c r="AR490" s="98"/>
      <c r="AS490" s="98"/>
      <c r="AT490" s="98"/>
      <c r="AU490" s="98"/>
      <c r="AV490" s="98"/>
      <c r="AW490" s="98"/>
      <c r="AX490" s="98"/>
      <c r="AY490" s="98"/>
      <c r="AZ490" s="98"/>
      <c r="BA490" s="98"/>
      <c r="BB490" s="98"/>
      <c r="BC490" s="98"/>
      <c r="BD490" s="98"/>
      <c r="BE490" s="98"/>
      <c r="BF490" s="98"/>
      <c r="BG490" s="98"/>
      <c r="BH490" s="98"/>
      <c r="BI490" s="98"/>
      <c r="BJ490" s="98"/>
      <c r="BK490" s="98"/>
      <c r="BL490" s="99"/>
      <c r="BM490" s="99"/>
      <c r="BN490" s="99"/>
      <c r="BO490" s="99"/>
      <c r="BP490" s="99"/>
      <c r="BQ490" s="99"/>
      <c r="BR490" s="99"/>
      <c r="BS490" s="99"/>
      <c r="BT490" s="99"/>
      <c r="BU490" s="99"/>
    </row>
    <row r="491" spans="1:73">
      <c r="A491" s="6"/>
      <c r="B491" s="108"/>
      <c r="C491" s="1"/>
      <c r="D491" s="49" t="s">
        <v>289</v>
      </c>
      <c r="E491" s="12" t="str">
        <f>'2.3 Input_Main_Questionnaire'!F240</f>
        <v>machine readable data following standardised formats</v>
      </c>
      <c r="F491" s="1"/>
      <c r="G491" s="538">
        <f>'2.3 Input_Main_Questionnaire'!H240</f>
        <v>0.27</v>
      </c>
      <c r="H491" s="538">
        <f>'2.3 Input_Main_Questionnaire'!I240</f>
        <v>0.2</v>
      </c>
      <c r="I491" s="539">
        <v>1</v>
      </c>
      <c r="J491" s="602">
        <f>IF(G491=0,0,H491*I491/G491)</f>
        <v>0.7407407407407407</v>
      </c>
      <c r="L491" s="6"/>
      <c r="M491" s="183"/>
      <c r="N491" s="603"/>
      <c r="O491" s="1"/>
      <c r="P491" s="1"/>
      <c r="Q491" s="1"/>
      <c r="R491" s="162"/>
      <c r="S491" s="1"/>
      <c r="T491" s="103"/>
      <c r="U491" s="103"/>
      <c r="V491" s="103"/>
      <c r="W491" s="98"/>
      <c r="X491" s="98"/>
      <c r="Y491" s="98"/>
      <c r="Z491" s="98"/>
      <c r="AA491" s="98"/>
      <c r="AB491" s="98"/>
      <c r="AC491" s="98"/>
      <c r="AD491" s="98"/>
      <c r="AE491" s="98"/>
      <c r="AF491" s="98"/>
      <c r="AG491" s="98"/>
      <c r="AH491" s="98"/>
      <c r="AI491" s="98"/>
      <c r="AJ491" s="98"/>
      <c r="AK491" s="98"/>
      <c r="AL491" s="98"/>
      <c r="AM491" s="98"/>
      <c r="AN491" s="98"/>
      <c r="AO491" s="98"/>
      <c r="AP491" s="98"/>
      <c r="AQ491" s="98"/>
      <c r="AR491" s="98"/>
      <c r="AS491" s="98"/>
      <c r="AT491" s="98"/>
      <c r="AU491" s="98"/>
      <c r="AV491" s="98"/>
      <c r="AW491" s="98"/>
      <c r="AX491" s="98"/>
      <c r="AY491" s="98"/>
      <c r="AZ491" s="98"/>
      <c r="BA491" s="98"/>
      <c r="BB491" s="98"/>
      <c r="BC491" s="98"/>
      <c r="BD491" s="98"/>
      <c r="BE491" s="98"/>
      <c r="BF491" s="98"/>
      <c r="BG491" s="98"/>
      <c r="BH491" s="98"/>
      <c r="BI491" s="98"/>
      <c r="BJ491" s="98"/>
      <c r="BK491" s="98"/>
      <c r="BL491" s="99"/>
      <c r="BM491" s="99"/>
      <c r="BN491" s="99"/>
      <c r="BO491" s="99"/>
      <c r="BP491" s="99"/>
      <c r="BQ491" s="99"/>
      <c r="BR491" s="99"/>
      <c r="BS491" s="99"/>
      <c r="BT491" s="99"/>
      <c r="BU491" s="99"/>
    </row>
    <row r="492" spans="1:73">
      <c r="A492" s="6"/>
      <c r="B492" s="108"/>
      <c r="C492" s="1"/>
      <c r="D492" s="49" t="s">
        <v>289</v>
      </c>
      <c r="E492" s="12" t="str">
        <f>'2.3 Input_Main_Questionnaire'!F241</f>
        <v>machine readable data following proprietary formats</v>
      </c>
      <c r="F492" s="1"/>
      <c r="G492" s="538">
        <f>'2.3 Input_Main_Questionnaire'!H241</f>
        <v>0.315</v>
      </c>
      <c r="H492" s="538">
        <f>'2.3 Input_Main_Questionnaire'!I241</f>
        <v>0.3</v>
      </c>
      <c r="I492" s="542">
        <v>0</v>
      </c>
      <c r="J492" s="604">
        <f>IF(G492=0,0,H492*I492/G492)</f>
        <v>0</v>
      </c>
      <c r="L492" s="6"/>
      <c r="M492" s="183"/>
      <c r="N492" s="603"/>
      <c r="O492" s="1"/>
      <c r="P492" s="1"/>
      <c r="Q492" s="1"/>
      <c r="R492" s="162"/>
      <c r="S492" s="1"/>
      <c r="T492" s="103"/>
      <c r="U492" s="103"/>
      <c r="V492" s="103"/>
      <c r="W492" s="98"/>
      <c r="X492" s="98"/>
      <c r="Y492" s="98"/>
      <c r="Z492" s="98"/>
      <c r="AA492" s="98"/>
      <c r="AB492" s="98"/>
      <c r="AC492" s="98"/>
      <c r="AD492" s="98"/>
      <c r="AE492" s="98"/>
      <c r="AF492" s="98"/>
      <c r="AG492" s="98"/>
      <c r="AH492" s="98"/>
      <c r="AI492" s="98"/>
      <c r="AJ492" s="98"/>
      <c r="AK492" s="98"/>
      <c r="AL492" s="98"/>
      <c r="AM492" s="98"/>
      <c r="AN492" s="98"/>
      <c r="AO492" s="98"/>
      <c r="AP492" s="98"/>
      <c r="AQ492" s="98"/>
      <c r="AR492" s="98"/>
      <c r="AS492" s="98"/>
      <c r="AT492" s="98"/>
      <c r="AU492" s="98"/>
      <c r="AV492" s="98"/>
      <c r="AW492" s="98"/>
      <c r="AX492" s="98"/>
      <c r="AY492" s="98"/>
      <c r="AZ492" s="98"/>
      <c r="BA492" s="98"/>
      <c r="BB492" s="98"/>
      <c r="BC492" s="98"/>
      <c r="BD492" s="98"/>
      <c r="BE492" s="98"/>
      <c r="BF492" s="98"/>
      <c r="BG492" s="98"/>
      <c r="BH492" s="98"/>
      <c r="BI492" s="98"/>
      <c r="BJ492" s="98"/>
      <c r="BK492" s="98"/>
      <c r="BL492" s="99"/>
      <c r="BM492" s="99"/>
      <c r="BN492" s="99"/>
      <c r="BO492" s="99"/>
      <c r="BP492" s="99"/>
      <c r="BQ492" s="99"/>
      <c r="BR492" s="99"/>
      <c r="BS492" s="99"/>
      <c r="BT492" s="99"/>
      <c r="BU492" s="99"/>
    </row>
    <row r="493" spans="1:73">
      <c r="A493" s="6"/>
      <c r="B493" s="108"/>
      <c r="C493" s="1"/>
      <c r="D493" s="49" t="s">
        <v>289</v>
      </c>
      <c r="E493" s="12" t="str">
        <f>'2.3 Input_Main_Questionnaire'!F242</f>
        <v>non-machine readable data</v>
      </c>
      <c r="F493" s="1"/>
      <c r="G493" s="538">
        <f>'2.3 Input_Main_Questionnaire'!H242</f>
        <v>0.27</v>
      </c>
      <c r="H493" s="538">
        <f>'2.3 Input_Main_Questionnaire'!I242</f>
        <v>0.3</v>
      </c>
      <c r="I493" s="542">
        <v>0</v>
      </c>
      <c r="J493" s="604">
        <f>IF(G493=0,0,H493*I493/G493)</f>
        <v>0</v>
      </c>
      <c r="L493" s="6"/>
      <c r="M493" s="183"/>
      <c r="N493" s="603"/>
      <c r="O493" s="1"/>
      <c r="P493" s="1"/>
      <c r="Q493" s="1"/>
      <c r="R493" s="162"/>
      <c r="S493" s="1"/>
      <c r="T493" s="103"/>
      <c r="U493" s="103"/>
      <c r="V493" s="103"/>
      <c r="W493" s="98"/>
      <c r="X493" s="98"/>
      <c r="Y493" s="98"/>
      <c r="Z493" s="98"/>
      <c r="AA493" s="98"/>
      <c r="AB493" s="98"/>
      <c r="AC493" s="98"/>
      <c r="AD493" s="98"/>
      <c r="AE493" s="98"/>
      <c r="AF493" s="98"/>
      <c r="AG493" s="98"/>
      <c r="AH493" s="98"/>
      <c r="AI493" s="98"/>
      <c r="AJ493" s="98"/>
      <c r="AK493" s="98"/>
      <c r="AL493" s="98"/>
      <c r="AM493" s="98"/>
      <c r="AN493" s="98"/>
      <c r="AO493" s="98"/>
      <c r="AP493" s="98"/>
      <c r="AQ493" s="98"/>
      <c r="AR493" s="98"/>
      <c r="AS493" s="98"/>
      <c r="AT493" s="98"/>
      <c r="AU493" s="98"/>
      <c r="AV493" s="98"/>
      <c r="AW493" s="98"/>
      <c r="AX493" s="98"/>
      <c r="AY493" s="98"/>
      <c r="AZ493" s="98"/>
      <c r="BA493" s="98"/>
      <c r="BB493" s="98"/>
      <c r="BC493" s="98"/>
      <c r="BD493" s="98"/>
      <c r="BE493" s="98"/>
      <c r="BF493" s="98"/>
      <c r="BG493" s="98"/>
      <c r="BH493" s="98"/>
      <c r="BI493" s="98"/>
      <c r="BJ493" s="98"/>
      <c r="BK493" s="98"/>
      <c r="BL493" s="99"/>
      <c r="BM493" s="99"/>
      <c r="BN493" s="99"/>
      <c r="BO493" s="99"/>
      <c r="BP493" s="99"/>
      <c r="BQ493" s="99"/>
      <c r="BR493" s="99"/>
      <c r="BS493" s="99"/>
      <c r="BT493" s="99"/>
      <c r="BU493" s="99"/>
    </row>
    <row r="494" spans="1:73">
      <c r="A494" s="6"/>
      <c r="B494" s="108"/>
      <c r="C494" s="1"/>
      <c r="D494" s="49" t="s">
        <v>289</v>
      </c>
      <c r="E494" s="12" t="str">
        <f>'2.3 Input_Main_Questionnaire'!F243</f>
        <v>non-machine readable data in PDF or similar formats</v>
      </c>
      <c r="F494" s="1"/>
      <c r="G494" s="538">
        <f>'2.3 Input_Main_Questionnaire'!H243</f>
        <v>4.4999999999999998E-2</v>
      </c>
      <c r="H494" s="538">
        <f>'2.3 Input_Main_Questionnaire'!I243</f>
        <v>0.1</v>
      </c>
      <c r="I494" s="542">
        <v>0</v>
      </c>
      <c r="J494" s="604">
        <f t="shared" ref="J494:J495" si="76">IF(G494=0,0,H494*I494/G494)</f>
        <v>0</v>
      </c>
      <c r="L494" s="6"/>
      <c r="M494" s="183"/>
      <c r="N494" s="603"/>
      <c r="O494" s="1"/>
      <c r="P494" s="1"/>
      <c r="Q494" s="1"/>
      <c r="R494" s="162"/>
      <c r="S494" s="1"/>
      <c r="T494" s="103"/>
      <c r="U494" s="103"/>
      <c r="V494" s="103"/>
      <c r="W494" s="98"/>
      <c r="X494" s="98"/>
      <c r="Y494" s="98"/>
      <c r="Z494" s="98"/>
      <c r="AA494" s="98"/>
      <c r="AB494" s="98"/>
      <c r="AC494" s="98"/>
      <c r="AD494" s="98"/>
      <c r="AE494" s="98"/>
      <c r="AF494" s="98"/>
      <c r="AG494" s="98"/>
      <c r="AH494" s="98"/>
      <c r="AI494" s="98"/>
      <c r="AJ494" s="98"/>
      <c r="AK494" s="98"/>
      <c r="AL494" s="98"/>
      <c r="AM494" s="98"/>
      <c r="AN494" s="98"/>
      <c r="AO494" s="98"/>
      <c r="AP494" s="98"/>
      <c r="AQ494" s="98"/>
      <c r="AR494" s="98"/>
      <c r="AS494" s="98"/>
      <c r="AT494" s="98"/>
      <c r="AU494" s="98"/>
      <c r="AV494" s="98"/>
      <c r="AW494" s="98"/>
      <c r="AX494" s="98"/>
      <c r="AY494" s="98"/>
      <c r="AZ494" s="98"/>
      <c r="BA494" s="98"/>
      <c r="BB494" s="98"/>
      <c r="BC494" s="98"/>
      <c r="BD494" s="98"/>
      <c r="BE494" s="98"/>
      <c r="BF494" s="98"/>
      <c r="BG494" s="98"/>
      <c r="BH494" s="98"/>
      <c r="BI494" s="98"/>
      <c r="BJ494" s="98"/>
      <c r="BK494" s="98"/>
      <c r="BL494" s="99"/>
      <c r="BM494" s="99"/>
      <c r="BN494" s="99"/>
      <c r="BO494" s="99"/>
      <c r="BP494" s="99"/>
      <c r="BQ494" s="99"/>
      <c r="BR494" s="99"/>
      <c r="BS494" s="99"/>
      <c r="BT494" s="99"/>
      <c r="BU494" s="99"/>
    </row>
    <row r="495" spans="1:73">
      <c r="A495" s="6"/>
      <c r="B495" s="108"/>
      <c r="C495" s="1"/>
      <c r="D495" s="49" t="s">
        <v>289</v>
      </c>
      <c r="E495" s="12" t="s">
        <v>1039</v>
      </c>
      <c r="F495" s="1"/>
      <c r="G495" s="538">
        <f>'2.3 Input_Main_Questionnaire'!H246</f>
        <v>0.2</v>
      </c>
      <c r="H495" s="538">
        <f>'2.3 Input_Main_Questionnaire'!I246</f>
        <v>0.1</v>
      </c>
      <c r="I495" s="542">
        <v>0</v>
      </c>
      <c r="J495" s="604">
        <f t="shared" si="76"/>
        <v>0</v>
      </c>
      <c r="L495" s="6"/>
      <c r="M495" s="183"/>
      <c r="N495" s="603"/>
      <c r="O495" s="1"/>
      <c r="P495" s="1"/>
      <c r="Q495" s="1"/>
      <c r="R495" s="162"/>
      <c r="S495" s="1"/>
      <c r="T495" s="103"/>
      <c r="U495" s="103"/>
      <c r="V495" s="103"/>
      <c r="W495" s="98"/>
      <c r="X495" s="98"/>
      <c r="Y495" s="98"/>
      <c r="Z495" s="98"/>
      <c r="AA495" s="98"/>
      <c r="AB495" s="98"/>
      <c r="AC495" s="98"/>
      <c r="AD495" s="98"/>
      <c r="AE495" s="98"/>
      <c r="AF495" s="98"/>
      <c r="AG495" s="98"/>
      <c r="AH495" s="98"/>
      <c r="AI495" s="98"/>
      <c r="AJ495" s="98"/>
      <c r="AK495" s="98"/>
      <c r="AL495" s="98"/>
      <c r="AM495" s="98"/>
      <c r="AN495" s="98"/>
      <c r="AO495" s="98"/>
      <c r="AP495" s="98"/>
      <c r="AQ495" s="98"/>
      <c r="AR495" s="98"/>
      <c r="AS495" s="98"/>
      <c r="AT495" s="98"/>
      <c r="AU495" s="98"/>
      <c r="AV495" s="98"/>
      <c r="AW495" s="98"/>
      <c r="AX495" s="98"/>
      <c r="AY495" s="98"/>
      <c r="AZ495" s="98"/>
      <c r="BA495" s="98"/>
      <c r="BB495" s="98"/>
      <c r="BC495" s="98"/>
      <c r="BD495" s="98"/>
      <c r="BE495" s="98"/>
      <c r="BF495" s="98"/>
      <c r="BG495" s="98"/>
      <c r="BH495" s="98"/>
      <c r="BI495" s="98"/>
      <c r="BJ495" s="98"/>
      <c r="BK495" s="98"/>
      <c r="BL495" s="99"/>
      <c r="BM495" s="99"/>
      <c r="BN495" s="99"/>
      <c r="BO495" s="99"/>
      <c r="BP495" s="99"/>
      <c r="BQ495" s="99"/>
      <c r="BR495" s="99"/>
      <c r="BS495" s="99"/>
      <c r="BT495" s="99"/>
      <c r="BU495" s="99"/>
    </row>
    <row r="496" spans="1:73">
      <c r="A496" s="6"/>
      <c r="B496" s="108"/>
      <c r="C496" s="1"/>
      <c r="D496" s="12" t="s">
        <v>1040</v>
      </c>
      <c r="E496" s="12"/>
      <c r="F496" s="1"/>
      <c r="G496" s="605">
        <f>'2.3 Input_Main_Questionnaire'!H249</f>
        <v>0.39</v>
      </c>
      <c r="H496" s="538"/>
      <c r="I496" s="606"/>
      <c r="J496" s="607"/>
      <c r="L496" s="6"/>
      <c r="M496" s="3"/>
      <c r="N496" s="3"/>
      <c r="O496" s="1"/>
      <c r="P496" s="1"/>
      <c r="Q496" s="1"/>
      <c r="R496" s="162"/>
      <c r="S496" s="1"/>
      <c r="T496" s="103"/>
      <c r="U496" s="103"/>
      <c r="V496" s="103"/>
      <c r="W496" s="98"/>
      <c r="X496" s="98"/>
      <c r="Y496" s="98"/>
      <c r="Z496" s="98"/>
      <c r="AA496" s="98"/>
      <c r="AB496" s="98"/>
      <c r="AC496" s="98"/>
      <c r="AD496" s="98"/>
      <c r="AE496" s="98"/>
      <c r="AF496" s="98"/>
      <c r="AG496" s="98"/>
      <c r="AH496" s="98"/>
      <c r="AI496" s="98"/>
      <c r="AJ496" s="98"/>
      <c r="AK496" s="98"/>
      <c r="AL496" s="98"/>
      <c r="AM496" s="98"/>
      <c r="AN496" s="98"/>
      <c r="AO496" s="98"/>
      <c r="AP496" s="98"/>
      <c r="AQ496" s="98"/>
      <c r="AR496" s="98"/>
      <c r="AS496" s="98"/>
      <c r="AT496" s="98"/>
      <c r="AU496" s="98"/>
      <c r="AV496" s="98"/>
      <c r="AW496" s="98"/>
      <c r="AX496" s="98"/>
      <c r="AY496" s="98"/>
      <c r="AZ496" s="98"/>
      <c r="BA496" s="98"/>
      <c r="BB496" s="98"/>
      <c r="BC496" s="98"/>
      <c r="BD496" s="98"/>
      <c r="BE496" s="98"/>
      <c r="BF496" s="98"/>
      <c r="BG496" s="98"/>
      <c r="BH496" s="98"/>
      <c r="BI496" s="98"/>
      <c r="BJ496" s="98"/>
      <c r="BK496" s="98"/>
      <c r="BL496" s="99"/>
      <c r="BM496" s="99"/>
      <c r="BN496" s="99"/>
      <c r="BO496" s="99"/>
      <c r="BP496" s="99"/>
      <c r="BQ496" s="99"/>
      <c r="BR496" s="99"/>
      <c r="BS496" s="99"/>
      <c r="BT496" s="99"/>
      <c r="BU496" s="99"/>
    </row>
    <row r="497" spans="1:73">
      <c r="A497" s="6"/>
      <c r="B497" s="108"/>
      <c r="C497" s="1"/>
      <c r="D497" s="12"/>
      <c r="E497" s="1"/>
      <c r="F497" s="1"/>
      <c r="G497" s="3"/>
      <c r="H497" s="3"/>
      <c r="I497" s="3"/>
      <c r="J497" s="3"/>
      <c r="K497" s="3"/>
      <c r="L497" s="3"/>
      <c r="M497" s="3"/>
      <c r="N497" s="3"/>
      <c r="O497" s="1"/>
      <c r="P497" s="1"/>
      <c r="Q497" s="1"/>
      <c r="R497" s="162"/>
      <c r="S497" s="1"/>
      <c r="T497" s="103"/>
      <c r="U497" s="103"/>
      <c r="V497" s="103"/>
      <c r="W497" s="98"/>
      <c r="X497" s="98"/>
      <c r="Y497" s="98"/>
      <c r="Z497" s="98"/>
      <c r="AA497" s="98"/>
      <c r="AB497" s="98"/>
      <c r="AC497" s="98"/>
      <c r="AD497" s="98"/>
      <c r="AE497" s="98"/>
      <c r="AF497" s="98"/>
      <c r="AG497" s="98"/>
      <c r="AH497" s="98"/>
      <c r="AI497" s="98"/>
      <c r="AJ497" s="98"/>
      <c r="AK497" s="98"/>
      <c r="AL497" s="98"/>
      <c r="AM497" s="98"/>
      <c r="AN497" s="98"/>
      <c r="AO497" s="98"/>
      <c r="AP497" s="98"/>
      <c r="AQ497" s="98"/>
      <c r="AR497" s="98"/>
      <c r="AS497" s="98"/>
      <c r="AT497" s="98"/>
      <c r="AU497" s="98"/>
      <c r="AV497" s="98"/>
      <c r="AW497" s="98"/>
      <c r="AX497" s="98"/>
      <c r="AY497" s="98"/>
      <c r="AZ497" s="98"/>
      <c r="BA497" s="98"/>
      <c r="BB497" s="98"/>
      <c r="BC497" s="98"/>
      <c r="BD497" s="98"/>
      <c r="BE497" s="98"/>
      <c r="BF497" s="98"/>
      <c r="BG497" s="98"/>
      <c r="BH497" s="98"/>
      <c r="BI497" s="98"/>
      <c r="BJ497" s="98"/>
      <c r="BK497" s="98"/>
      <c r="BL497" s="99"/>
      <c r="BM497" s="99"/>
      <c r="BN497" s="99"/>
      <c r="BO497" s="99"/>
      <c r="BP497" s="99"/>
      <c r="BQ497" s="99"/>
      <c r="BR497" s="99"/>
      <c r="BS497" s="99"/>
      <c r="BT497" s="99"/>
      <c r="BU497" s="99"/>
    </row>
    <row r="498" spans="1:73">
      <c r="A498" s="6"/>
      <c r="B498" s="108"/>
      <c r="C498" s="1"/>
      <c r="D498" s="41"/>
      <c r="E498" s="46"/>
      <c r="F498" s="46"/>
      <c r="G498" s="72" t="str">
        <f t="shared" ref="G498:N498" si="77">G259</f>
        <v>PhD researcher</v>
      </c>
      <c r="H498" s="72" t="str">
        <f t="shared" si="77"/>
        <v>Lecturer assistant/Research assistant (Academic)</v>
      </c>
      <c r="I498" s="72" t="str">
        <f t="shared" si="77"/>
        <v>Lecturer/Researcher (Academic)</v>
      </c>
      <c r="J498" s="72" t="str">
        <f t="shared" si="77"/>
        <v>Other</v>
      </c>
      <c r="K498" s="72" t="str">
        <f t="shared" si="77"/>
        <v>Profile 5</v>
      </c>
      <c r="L498" s="72" t="str">
        <f t="shared" si="77"/>
        <v>Profile 6</v>
      </c>
      <c r="M498" s="72" t="str">
        <f t="shared" si="77"/>
        <v>Profile 7</v>
      </c>
      <c r="N498" s="72" t="str">
        <f t="shared" si="77"/>
        <v>Profile 8</v>
      </c>
      <c r="O498" s="1"/>
      <c r="P498" s="1"/>
      <c r="Q498" s="1"/>
      <c r="R498" s="162"/>
      <c r="S498" s="1"/>
      <c r="T498" s="103"/>
      <c r="U498" s="103"/>
      <c r="V498" s="103"/>
      <c r="W498" s="98"/>
      <c r="X498" s="98"/>
      <c r="Y498" s="98"/>
      <c r="Z498" s="98"/>
      <c r="AA498" s="98"/>
      <c r="AB498" s="98"/>
      <c r="AC498" s="98"/>
      <c r="AD498" s="98"/>
      <c r="AE498" s="98"/>
      <c r="AF498" s="98"/>
      <c r="AG498" s="98"/>
      <c r="AH498" s="98"/>
      <c r="AI498" s="98"/>
      <c r="AJ498" s="98"/>
      <c r="AK498" s="98"/>
      <c r="AL498" s="98"/>
      <c r="AM498" s="98"/>
      <c r="AN498" s="98"/>
      <c r="AO498" s="98"/>
      <c r="AP498" s="98"/>
      <c r="AQ498" s="98"/>
      <c r="AR498" s="98"/>
      <c r="AS498" s="98"/>
      <c r="AT498" s="98"/>
      <c r="AU498" s="98"/>
      <c r="AV498" s="98"/>
      <c r="AW498" s="98"/>
      <c r="AX498" s="98"/>
      <c r="AY498" s="98"/>
      <c r="AZ498" s="98"/>
      <c r="BA498" s="98"/>
      <c r="BB498" s="98"/>
      <c r="BC498" s="98"/>
      <c r="BD498" s="98"/>
      <c r="BE498" s="98"/>
      <c r="BF498" s="98"/>
      <c r="BG498" s="98"/>
      <c r="BH498" s="98"/>
      <c r="BI498" s="98"/>
      <c r="BJ498" s="98"/>
      <c r="BK498" s="98"/>
      <c r="BL498" s="99"/>
      <c r="BM498" s="99"/>
      <c r="BN498" s="99"/>
      <c r="BO498" s="99"/>
      <c r="BP498" s="99"/>
      <c r="BQ498" s="99"/>
      <c r="BR498" s="99"/>
      <c r="BS498" s="99"/>
      <c r="BT498" s="99"/>
      <c r="BU498" s="99"/>
    </row>
    <row r="499" spans="1:73" ht="5.25" customHeight="1">
      <c r="A499" s="6"/>
      <c r="B499" s="108"/>
      <c r="C499" s="1"/>
      <c r="D499" s="12"/>
      <c r="E499" s="1"/>
      <c r="F499" s="1"/>
      <c r="G499" s="3"/>
      <c r="H499" s="3"/>
      <c r="I499" s="3"/>
      <c r="J499" s="3"/>
      <c r="K499" s="3"/>
      <c r="L499" s="3"/>
      <c r="M499" s="3"/>
      <c r="N499" s="3"/>
      <c r="O499" s="1"/>
      <c r="P499" s="1"/>
      <c r="Q499" s="1"/>
      <c r="R499" s="162"/>
      <c r="S499" s="1"/>
      <c r="T499" s="103"/>
      <c r="U499" s="103"/>
      <c r="V499" s="103"/>
      <c r="W499" s="98"/>
      <c r="X499" s="98"/>
      <c r="Y499" s="98"/>
      <c r="Z499" s="98"/>
      <c r="AA499" s="98"/>
      <c r="AB499" s="98"/>
      <c r="AC499" s="98"/>
      <c r="AD499" s="98"/>
      <c r="AE499" s="98"/>
      <c r="AF499" s="98"/>
      <c r="AG499" s="98"/>
      <c r="AH499" s="98"/>
      <c r="AI499" s="98"/>
      <c r="AJ499" s="98"/>
      <c r="AK499" s="98"/>
      <c r="AL499" s="98"/>
      <c r="AM499" s="98"/>
      <c r="AN499" s="98"/>
      <c r="AO499" s="98"/>
      <c r="AP499" s="98"/>
      <c r="AQ499" s="98"/>
      <c r="AR499" s="98"/>
      <c r="AS499" s="98"/>
      <c r="AT499" s="98"/>
      <c r="AU499" s="98"/>
      <c r="AV499" s="98"/>
      <c r="AW499" s="98"/>
      <c r="AX499" s="98"/>
      <c r="AY499" s="98"/>
      <c r="AZ499" s="98"/>
      <c r="BA499" s="98"/>
      <c r="BB499" s="98"/>
      <c r="BC499" s="98"/>
      <c r="BD499" s="98"/>
      <c r="BE499" s="98"/>
      <c r="BF499" s="98"/>
      <c r="BG499" s="98"/>
      <c r="BH499" s="98"/>
      <c r="BI499" s="98"/>
      <c r="BJ499" s="98"/>
      <c r="BK499" s="98"/>
      <c r="BL499" s="99"/>
      <c r="BM499" s="99"/>
      <c r="BN499" s="99"/>
      <c r="BO499" s="99"/>
      <c r="BP499" s="99"/>
      <c r="BQ499" s="99"/>
      <c r="BR499" s="99"/>
      <c r="BS499" s="99"/>
      <c r="BT499" s="99"/>
      <c r="BU499" s="99"/>
    </row>
    <row r="500" spans="1:73">
      <c r="A500" s="6"/>
      <c r="B500" s="97" t="s">
        <v>606</v>
      </c>
      <c r="C500" s="37"/>
      <c r="D500" s="147" t="s">
        <v>1041</v>
      </c>
      <c r="E500" s="200"/>
      <c r="F500" s="200"/>
      <c r="G500" s="365">
        <f>(1-SUM($J$491:$J$495))*'2.3 Input_Main_Questionnaire'!H31</f>
        <v>7.8296296296296308E-3</v>
      </c>
      <c r="H500" s="365">
        <f>(1-SUM($J$491:$J$495))*'2.3 Input_Main_Questionnaire'!I31</f>
        <v>1.1562962962962966E-2</v>
      </c>
      <c r="I500" s="365">
        <f>(1-SUM($J$491:$J$495))*'2.3 Input_Main_Questionnaire'!J31</f>
        <v>9.3074074074074101E-3</v>
      </c>
      <c r="J500" s="365">
        <f>(1-SUM($J$491:$J$495))*'2.3 Input_Main_Questionnaire'!K31</f>
        <v>1.2392592592592596E-2</v>
      </c>
      <c r="K500" s="365">
        <f>(1-SUM($J$491:$J$495))*'2.3 Input_Main_Questionnaire'!L31</f>
        <v>1.0273148148148149E-2</v>
      </c>
      <c r="L500" s="365">
        <f>(1-SUM($J$491:$J$495))*'2.3 Input_Main_Questionnaire'!M31</f>
        <v>1.0273148148148149E-2</v>
      </c>
      <c r="M500" s="365">
        <f>(1-SUM($J$491:$J$495))*'2.3 Input_Main_Questionnaire'!N31</f>
        <v>1.0273148148148149E-2</v>
      </c>
      <c r="N500" s="365">
        <f>(1-SUM($J$491:$J$495))*'2.3 Input_Main_Questionnaire'!O31</f>
        <v>1.0273148148148149E-2</v>
      </c>
      <c r="O500" s="1173"/>
      <c r="P500" s="1174"/>
      <c r="Q500" s="10"/>
      <c r="R500" s="193"/>
      <c r="S500" s="10"/>
      <c r="T500" s="103"/>
      <c r="U500" s="103"/>
      <c r="V500" s="103"/>
      <c r="W500" s="366"/>
      <c r="X500" s="366"/>
      <c r="Y500" s="366"/>
      <c r="Z500" s="366"/>
      <c r="AA500" s="366"/>
      <c r="AB500" s="366"/>
      <c r="AC500" s="366"/>
      <c r="AD500" s="366"/>
      <c r="AE500" s="366"/>
      <c r="AF500" s="366"/>
      <c r="AG500" s="366"/>
      <c r="AH500" s="366"/>
      <c r="AI500" s="366"/>
      <c r="AJ500" s="366"/>
      <c r="AK500" s="366"/>
      <c r="AL500" s="366"/>
      <c r="AM500" s="366"/>
      <c r="AN500" s="366"/>
      <c r="AO500" s="366"/>
      <c r="AP500" s="366"/>
      <c r="AQ500" s="366"/>
      <c r="AR500" s="366"/>
      <c r="AS500" s="366"/>
      <c r="AT500" s="366"/>
      <c r="AU500" s="366"/>
      <c r="AV500" s="366"/>
      <c r="AW500" s="366"/>
      <c r="AX500" s="366"/>
      <c r="AY500" s="366"/>
      <c r="AZ500" s="366"/>
      <c r="BA500" s="366"/>
      <c r="BB500" s="366"/>
      <c r="BC500" s="366"/>
      <c r="BD500" s="366"/>
      <c r="BE500" s="366"/>
      <c r="BF500" s="366"/>
      <c r="BG500" s="366"/>
      <c r="BH500" s="366"/>
      <c r="BI500" s="366"/>
      <c r="BJ500" s="366"/>
      <c r="BK500" s="366"/>
      <c r="BL500" s="367"/>
      <c r="BM500" s="367"/>
      <c r="BN500" s="367"/>
      <c r="BO500" s="367"/>
      <c r="BP500" s="367"/>
      <c r="BQ500" s="367"/>
      <c r="BR500" s="367"/>
      <c r="BS500" s="367"/>
      <c r="BT500" s="367"/>
      <c r="BU500" s="367"/>
    </row>
    <row r="501" spans="1:73" ht="5.25" customHeight="1">
      <c r="A501" s="6"/>
      <c r="B501" s="97"/>
      <c r="C501" s="37"/>
      <c r="D501" s="30"/>
      <c r="E501" s="23"/>
      <c r="F501" s="23"/>
      <c r="G501" s="204"/>
      <c r="H501" s="204"/>
      <c r="I501" s="204"/>
      <c r="J501" s="204"/>
      <c r="K501" s="204"/>
      <c r="L501" s="204"/>
      <c r="M501" s="204"/>
      <c r="N501" s="204"/>
      <c r="O501" s="411"/>
      <c r="P501" s="411"/>
      <c r="Q501" s="10"/>
      <c r="R501" s="193"/>
      <c r="S501" s="10"/>
      <c r="T501" s="103"/>
      <c r="U501" s="103"/>
      <c r="V501" s="103"/>
      <c r="W501" s="366"/>
      <c r="X501" s="366"/>
      <c r="Y501" s="366"/>
      <c r="Z501" s="366"/>
      <c r="AA501" s="366"/>
      <c r="AB501" s="366"/>
      <c r="AC501" s="366"/>
      <c r="AD501" s="366"/>
      <c r="AE501" s="366"/>
      <c r="AF501" s="366"/>
      <c r="AG501" s="366"/>
      <c r="AH501" s="366"/>
      <c r="AI501" s="366"/>
      <c r="AJ501" s="366"/>
      <c r="AK501" s="366"/>
      <c r="AL501" s="366"/>
      <c r="AM501" s="366"/>
      <c r="AN501" s="366"/>
      <c r="AO501" s="366"/>
      <c r="AP501" s="366"/>
      <c r="AQ501" s="366"/>
      <c r="AR501" s="366"/>
      <c r="AS501" s="366"/>
      <c r="AT501" s="366"/>
      <c r="AU501" s="366"/>
      <c r="AV501" s="366"/>
      <c r="AW501" s="366"/>
      <c r="AX501" s="366"/>
      <c r="AY501" s="366"/>
      <c r="AZ501" s="366"/>
      <c r="BA501" s="366"/>
      <c r="BB501" s="366"/>
      <c r="BC501" s="366"/>
      <c r="BD501" s="366"/>
      <c r="BE501" s="366"/>
      <c r="BF501" s="366"/>
      <c r="BG501" s="366"/>
      <c r="BH501" s="366"/>
      <c r="BI501" s="366"/>
      <c r="BJ501" s="366"/>
      <c r="BK501" s="366"/>
      <c r="BL501" s="367"/>
      <c r="BM501" s="367"/>
      <c r="BN501" s="367"/>
      <c r="BO501" s="367"/>
      <c r="BP501" s="367"/>
      <c r="BQ501" s="367"/>
      <c r="BR501" s="367"/>
      <c r="BS501" s="367"/>
      <c r="BT501" s="367"/>
      <c r="BU501" s="367"/>
    </row>
    <row r="502" spans="1:73">
      <c r="A502" s="6"/>
      <c r="B502" s="97" t="s">
        <v>606</v>
      </c>
      <c r="C502" s="37"/>
      <c r="D502" s="147" t="s">
        <v>1042</v>
      </c>
      <c r="E502" s="200"/>
      <c r="F502" s="200"/>
      <c r="G502" s="365">
        <f>$G$496*$G$495*SUM('2.3 Input_Main_Questionnaire'!H27:H31)</f>
        <v>3.1613400000000007E-2</v>
      </c>
      <c r="H502" s="365">
        <f>$G$496*$G$495*SUM('2.3 Input_Main_Questionnaire'!I27:I31)</f>
        <v>4.095E-2</v>
      </c>
      <c r="I502" s="365">
        <f>$G$496*$G$495*SUM('2.3 Input_Main_Questionnaire'!J27:J31)</f>
        <v>3.7853400000000002E-2</v>
      </c>
      <c r="J502" s="365">
        <f>$G$496*$G$495*SUM('2.3 Input_Main_Questionnaire'!K27:K31)</f>
        <v>3.7440000000000008E-2</v>
      </c>
      <c r="K502" s="365">
        <f>$G$496*$G$495*SUM('2.3 Input_Main_Questionnaire'!L27:L31)</f>
        <v>3.6964200000000003E-2</v>
      </c>
      <c r="L502" s="365">
        <f>$G$496*$G$495*SUM('2.3 Input_Main_Questionnaire'!M27:M31)</f>
        <v>3.6964200000000003E-2</v>
      </c>
      <c r="M502" s="365">
        <f>$G$496*$G$495*SUM('2.3 Input_Main_Questionnaire'!N27:N31)</f>
        <v>3.6964200000000003E-2</v>
      </c>
      <c r="N502" s="365">
        <f>$G$496*$G$495*SUM('2.3 Input_Main_Questionnaire'!O27:O31)</f>
        <v>3.6964200000000003E-2</v>
      </c>
      <c r="O502" s="1173"/>
      <c r="P502" s="1174"/>
      <c r="Q502" s="10"/>
      <c r="R502" s="193"/>
      <c r="S502" s="10"/>
      <c r="T502" s="103"/>
      <c r="U502" s="103"/>
      <c r="V502" s="103"/>
      <c r="W502" s="366"/>
      <c r="X502" s="366"/>
      <c r="Y502" s="366"/>
      <c r="Z502" s="366"/>
      <c r="AA502" s="366"/>
      <c r="AB502" s="366"/>
      <c r="AC502" s="366"/>
      <c r="AD502" s="366"/>
      <c r="AE502" s="366"/>
      <c r="AF502" s="366"/>
      <c r="AG502" s="366"/>
      <c r="AH502" s="366"/>
      <c r="AI502" s="366"/>
      <c r="AJ502" s="366"/>
      <c r="AK502" s="366"/>
      <c r="AL502" s="366"/>
      <c r="AM502" s="366"/>
      <c r="AN502" s="366"/>
      <c r="AO502" s="366"/>
      <c r="AP502" s="366"/>
      <c r="AQ502" s="366"/>
      <c r="AR502" s="366"/>
      <c r="AS502" s="366"/>
      <c r="AT502" s="366"/>
      <c r="AU502" s="366"/>
      <c r="AV502" s="366"/>
      <c r="AW502" s="366"/>
      <c r="AX502" s="366"/>
      <c r="AY502" s="366"/>
      <c r="AZ502" s="366"/>
      <c r="BA502" s="366"/>
      <c r="BB502" s="366"/>
      <c r="BC502" s="366"/>
      <c r="BD502" s="366"/>
      <c r="BE502" s="366"/>
      <c r="BF502" s="366"/>
      <c r="BG502" s="366"/>
      <c r="BH502" s="366"/>
      <c r="BI502" s="366"/>
      <c r="BJ502" s="366"/>
      <c r="BK502" s="366"/>
      <c r="BL502" s="367"/>
      <c r="BM502" s="367"/>
      <c r="BN502" s="367"/>
      <c r="BO502" s="367"/>
      <c r="BP502" s="367"/>
      <c r="BQ502" s="367"/>
      <c r="BR502" s="367"/>
      <c r="BS502" s="367"/>
      <c r="BT502" s="367"/>
      <c r="BU502" s="367"/>
    </row>
    <row r="503" spans="1:73">
      <c r="A503" s="6"/>
      <c r="B503" s="108"/>
      <c r="C503" s="1"/>
      <c r="D503" s="1"/>
      <c r="E503" s="1"/>
      <c r="F503" s="12"/>
      <c r="G503" s="3"/>
      <c r="H503" s="3"/>
      <c r="I503" s="3"/>
      <c r="J503" s="3"/>
      <c r="K503" s="3"/>
      <c r="L503" s="3"/>
      <c r="M503" s="3"/>
      <c r="N503" s="3"/>
      <c r="O503" s="1"/>
      <c r="P503" s="1"/>
      <c r="Q503" s="1"/>
      <c r="R503" s="162"/>
      <c r="S503" s="1"/>
      <c r="T503" s="103"/>
      <c r="U503" s="9" t="s">
        <v>5</v>
      </c>
      <c r="V503" s="103"/>
      <c r="W503" s="98"/>
      <c r="X503" s="98"/>
      <c r="Y503" s="98"/>
      <c r="Z503" s="98"/>
      <c r="AA503" s="98"/>
      <c r="AB503" s="98"/>
      <c r="AC503" s="98"/>
      <c r="AD503" s="98"/>
      <c r="AE503" s="98"/>
      <c r="AF503" s="98"/>
      <c r="AG503" s="98"/>
      <c r="AH503" s="98"/>
      <c r="AI503" s="98"/>
      <c r="AJ503" s="98"/>
      <c r="AK503" s="98"/>
      <c r="AL503" s="98"/>
      <c r="AM503" s="98"/>
      <c r="AN503" s="98"/>
      <c r="AO503" s="98"/>
      <c r="AP503" s="98"/>
      <c r="AQ503" s="98"/>
      <c r="AR503" s="98"/>
      <c r="AS503" s="98"/>
      <c r="AT503" s="98"/>
      <c r="AU503" s="98"/>
      <c r="AV503" s="98"/>
      <c r="AW503" s="98"/>
      <c r="AX503" s="98"/>
      <c r="AY503" s="98"/>
      <c r="AZ503" s="98"/>
      <c r="BA503" s="98"/>
      <c r="BB503" s="98"/>
      <c r="BC503" s="98"/>
      <c r="BD503" s="98"/>
      <c r="BE503" s="98"/>
      <c r="BF503" s="98"/>
      <c r="BG503" s="98"/>
      <c r="BH503" s="98"/>
      <c r="BI503" s="98"/>
      <c r="BJ503" s="98"/>
      <c r="BK503" s="98"/>
      <c r="BL503" s="99"/>
      <c r="BM503" s="99"/>
      <c r="BN503" s="99"/>
      <c r="BO503" s="99"/>
      <c r="BP503" s="99"/>
      <c r="BQ503" s="99"/>
      <c r="BR503" s="99"/>
      <c r="BS503" s="99"/>
      <c r="BT503" s="99"/>
      <c r="BU503" s="99"/>
    </row>
    <row r="504" spans="1:73">
      <c r="A504" s="6"/>
      <c r="B504" s="43"/>
      <c r="C504" s="12"/>
      <c r="D504" s="12"/>
      <c r="E504" s="1"/>
      <c r="F504" s="1"/>
      <c r="G504" s="183"/>
      <c r="H504" s="183"/>
      <c r="I504" s="183"/>
      <c r="J504" s="183"/>
      <c r="K504" s="183"/>
      <c r="L504" s="183"/>
      <c r="M504" s="183"/>
      <c r="N504" s="183"/>
      <c r="O504" s="1"/>
      <c r="P504" s="1"/>
      <c r="Q504" s="1"/>
      <c r="R504" s="162"/>
      <c r="S504" s="1"/>
      <c r="T504" s="81"/>
      <c r="U504" s="81"/>
      <c r="V504" s="103" t="s">
        <v>1043</v>
      </c>
      <c r="W504" s="98">
        <f>Growth!B20</f>
        <v>2018</v>
      </c>
      <c r="X504" s="98">
        <f t="shared" ref="X504:BK504" si="78">W504+1</f>
        <v>2019</v>
      </c>
      <c r="Y504" s="98">
        <f t="shared" si="78"/>
        <v>2020</v>
      </c>
      <c r="Z504" s="98">
        <f t="shared" si="78"/>
        <v>2021</v>
      </c>
      <c r="AA504" s="98">
        <f t="shared" si="78"/>
        <v>2022</v>
      </c>
      <c r="AB504" s="98">
        <f t="shared" si="78"/>
        <v>2023</v>
      </c>
      <c r="AC504" s="98">
        <f t="shared" si="78"/>
        <v>2024</v>
      </c>
      <c r="AD504" s="98">
        <f t="shared" si="78"/>
        <v>2025</v>
      </c>
      <c r="AE504" s="98">
        <f t="shared" si="78"/>
        <v>2026</v>
      </c>
      <c r="AF504" s="98">
        <f t="shared" si="78"/>
        <v>2027</v>
      </c>
      <c r="AG504" s="98">
        <f t="shared" si="78"/>
        <v>2028</v>
      </c>
      <c r="AH504" s="98">
        <f t="shared" si="78"/>
        <v>2029</v>
      </c>
      <c r="AI504" s="98">
        <f t="shared" si="78"/>
        <v>2030</v>
      </c>
      <c r="AJ504" s="98">
        <f t="shared" si="78"/>
        <v>2031</v>
      </c>
      <c r="AK504" s="98">
        <f t="shared" si="78"/>
        <v>2032</v>
      </c>
      <c r="AL504" s="98">
        <f t="shared" si="78"/>
        <v>2033</v>
      </c>
      <c r="AM504" s="98">
        <f t="shared" si="78"/>
        <v>2034</v>
      </c>
      <c r="AN504" s="98">
        <f t="shared" si="78"/>
        <v>2035</v>
      </c>
      <c r="AO504" s="98">
        <f t="shared" si="78"/>
        <v>2036</v>
      </c>
      <c r="AP504" s="98">
        <f t="shared" si="78"/>
        <v>2037</v>
      </c>
      <c r="AQ504" s="98">
        <f t="shared" si="78"/>
        <v>2038</v>
      </c>
      <c r="AR504" s="98">
        <f t="shared" si="78"/>
        <v>2039</v>
      </c>
      <c r="AS504" s="98">
        <f t="shared" si="78"/>
        <v>2040</v>
      </c>
      <c r="AT504" s="98">
        <f t="shared" si="78"/>
        <v>2041</v>
      </c>
      <c r="AU504" s="98">
        <f t="shared" si="78"/>
        <v>2042</v>
      </c>
      <c r="AV504" s="98">
        <f t="shared" si="78"/>
        <v>2043</v>
      </c>
      <c r="AW504" s="98">
        <f t="shared" si="78"/>
        <v>2044</v>
      </c>
      <c r="AX504" s="98">
        <f t="shared" si="78"/>
        <v>2045</v>
      </c>
      <c r="AY504" s="98">
        <f t="shared" si="78"/>
        <v>2046</v>
      </c>
      <c r="AZ504" s="98">
        <f t="shared" si="78"/>
        <v>2047</v>
      </c>
      <c r="BA504" s="98">
        <f t="shared" si="78"/>
        <v>2048</v>
      </c>
      <c r="BB504" s="98">
        <f t="shared" si="78"/>
        <v>2049</v>
      </c>
      <c r="BC504" s="98">
        <f t="shared" si="78"/>
        <v>2050</v>
      </c>
      <c r="BD504" s="98">
        <f t="shared" si="78"/>
        <v>2051</v>
      </c>
      <c r="BE504" s="98">
        <f t="shared" si="78"/>
        <v>2052</v>
      </c>
      <c r="BF504" s="98">
        <f t="shared" si="78"/>
        <v>2053</v>
      </c>
      <c r="BG504" s="98">
        <f t="shared" si="78"/>
        <v>2054</v>
      </c>
      <c r="BH504" s="98">
        <f t="shared" si="78"/>
        <v>2055</v>
      </c>
      <c r="BI504" s="98">
        <f t="shared" si="78"/>
        <v>2056</v>
      </c>
      <c r="BJ504" s="98">
        <f t="shared" si="78"/>
        <v>2057</v>
      </c>
      <c r="BK504" s="98">
        <f t="shared" si="78"/>
        <v>2058</v>
      </c>
      <c r="BL504" s="98"/>
      <c r="BM504" s="98"/>
      <c r="BN504" s="98"/>
      <c r="BO504" s="98"/>
      <c r="BP504" s="98"/>
      <c r="BQ504" s="98"/>
      <c r="BR504" s="98"/>
      <c r="BS504" s="98"/>
      <c r="BT504" s="98"/>
      <c r="BU504" s="98"/>
    </row>
    <row r="505" spans="1:73">
      <c r="A505" s="6"/>
      <c r="B505" s="97"/>
      <c r="C505" s="37"/>
      <c r="D505" s="37"/>
      <c r="E505" s="10"/>
      <c r="F505" s="10"/>
      <c r="G505" s="244"/>
      <c r="H505" s="244"/>
      <c r="I505" s="244"/>
      <c r="J505" s="244"/>
      <c r="K505" s="244"/>
      <c r="L505" s="244"/>
      <c r="M505" s="244"/>
      <c r="N505" s="244"/>
      <c r="O505" s="10"/>
      <c r="P505" s="10"/>
      <c r="Q505" s="10"/>
      <c r="R505" s="193"/>
      <c r="S505" s="10"/>
      <c r="T505" s="101" t="s">
        <v>200</v>
      </c>
      <c r="U505" s="608" t="s">
        <v>866</v>
      </c>
      <c r="V505" s="103" t="str">
        <f t="shared" ref="V505:V509" si="79">E491</f>
        <v>machine readable data following standardised formats</v>
      </c>
      <c r="W505" s="416">
        <f ca="1">IF(W$504&gt;='2.2 Input_General_Information'!$H$20,HLOOKUP(Growth!$K$188,Growth!$K$195:$K$237,W393,FALSE),)</f>
        <v>0.27000000000000141</v>
      </c>
      <c r="X505" s="469">
        <f ca="1">IF(X$504&gt;='2.2 Input_General_Information'!$H$20,HLOOKUP(Growth!$K$188,Growth!$K$195:$K$237,X393,FALSE),)</f>
        <v>0.32311327061042144</v>
      </c>
      <c r="Y505" s="469">
        <f ca="1">IF(Y$504&gt;='2.2 Input_General_Information'!$H$20,HLOOKUP(Growth!$K$188,Growth!$K$195:$K$237,Y393,FALSE),)</f>
        <v>0.38121852172145976</v>
      </c>
      <c r="Z505" s="469">
        <f ca="1">IF(Z$504&gt;='2.2 Input_General_Information'!$H$20,HLOOKUP(Growth!$K$188,Growth!$K$195:$K$237,Z393,FALSE),)</f>
        <v>0.44293525730552008</v>
      </c>
      <c r="AA505" s="469">
        <f ca="1">IF(AA$504&gt;='2.2 Input_General_Information'!$H$20,HLOOKUP(Growth!$K$188,Growth!$K$195:$K$237,AA393,FALSE),)</f>
        <v>0.50646556935218923</v>
      </c>
      <c r="AB505" s="469">
        <f ca="1">IF(AB$504&gt;='2.2 Input_General_Information'!$H$20,HLOOKUP(Growth!$K$188,Growth!$K$195:$K$237,AB393,FALSE),)</f>
        <v>0.56978776498132011</v>
      </c>
      <c r="AC505" s="469">
        <f ca="1">IF(AC$504&gt;='2.2 Input_General_Information'!$H$20,HLOOKUP(Growth!$K$188,Growth!$K$195:$K$237,AC393,FALSE),)</f>
        <v>0.63090631174974887</v>
      </c>
      <c r="AD505" s="469">
        <f ca="1">IF(AD$504&gt;='2.2 Input_General_Information'!$H$20,HLOOKUP(Growth!$K$188,Growth!$K$195:$K$237,AD393,FALSE),)</f>
        <v>0.68809503953200146</v>
      </c>
      <c r="AE505" s="469">
        <f ca="1">IF(AE$504&gt;='2.2 Input_General_Information'!$H$20,HLOOKUP(Growth!$K$188,Growth!$K$195:$K$237,AE393,FALSE),)</f>
        <v>0.74007338581858351</v>
      </c>
      <c r="AF505" s="469">
        <f ca="1">IF(AF$504&gt;='2.2 Input_General_Information'!$H$20,HLOOKUP(Growth!$K$188,Growth!$K$195:$K$237,AF393,FALSE),)</f>
        <v>0.78608254452009507</v>
      </c>
      <c r="AG505" s="469">
        <f ca="1">IF(AG$504&gt;='2.2 Input_General_Information'!$H$20,HLOOKUP(Growth!$K$188,Growth!$K$195:$K$237,AG393,FALSE),)</f>
        <v>0.82586395001707535</v>
      </c>
      <c r="AH505" s="469">
        <f ca="1">IF(AH$504&gt;='2.2 Input_General_Information'!$H$20,HLOOKUP(Growth!$K$188,Growth!$K$195:$K$237,AH393,FALSE),)</f>
        <v>0.85956898769319301</v>
      </c>
      <c r="AI505" s="469">
        <f ca="1">IF(AI$504&gt;='2.2 Input_General_Information'!$H$20,HLOOKUP(Growth!$K$188,Growth!$K$195:$K$237,AI393,FALSE),)</f>
        <v>0.88763781122596708</v>
      </c>
      <c r="AJ505" s="469">
        <f ca="1">IF(AJ$504&gt;='2.2 Input_General_Information'!$H$20,HLOOKUP(Growth!$K$188,Growth!$K$195:$K$237,AJ393,FALSE),)</f>
        <v>0.91067932769141891</v>
      </c>
      <c r="AK505" s="469">
        <f ca="1">IF(AK$504&gt;='2.2 Input_General_Information'!$H$20,HLOOKUP(Growth!$K$188,Growth!$K$195:$K$237,AK393,FALSE),)</f>
        <v>0.92937180516838702</v>
      </c>
      <c r="AL505" s="469">
        <f ca="1">IF(AL$504&gt;='2.2 Input_General_Information'!$H$20,HLOOKUP(Growth!$K$188,Growth!$K$195:$K$237,AL393,FALSE),)</f>
        <v>0.94439130519997627</v>
      </c>
      <c r="AM505" s="469">
        <f ca="1">IF(AM$504&gt;='2.2 Input_General_Information'!$H$20,HLOOKUP(Growth!$K$188,Growth!$K$195:$K$237,AM393,FALSE),)</f>
        <v>0.95636677532572056</v>
      </c>
      <c r="AN505" s="469">
        <f ca="1">IF(AN$504&gt;='2.2 Input_General_Information'!$H$20,HLOOKUP(Growth!$K$188,Growth!$K$195:$K$237,AN393,FALSE),)</f>
        <v>0.96585653739523092</v>
      </c>
      <c r="AO505" s="469">
        <f ca="1">IF(AO$504&gt;='2.2 Input_General_Information'!$H$20,HLOOKUP(Growth!$K$188,Growth!$K$195:$K$237,AO393,FALSE),)</f>
        <v>0.97333991197158831</v>
      </c>
      <c r="AP505" s="469">
        <f ca="1">IF(AP$504&gt;='2.2 Input_General_Information'!$H$20,HLOOKUP(Growth!$K$188,Growth!$K$195:$K$237,AP393,FALSE),)</f>
        <v>0.97921841220477812</v>
      </c>
      <c r="AQ505" s="469">
        <f ca="1">IF(AQ$504&gt;='2.2 Input_General_Information'!$H$20,HLOOKUP(Growth!$K$188,Growth!$K$195:$K$237,AQ393,FALSE),)</f>
        <v>0.98382225790735756</v>
      </c>
      <c r="AR505" s="469">
        <f ca="1">IF(AR$504&gt;='2.2 Input_General_Information'!$H$20,HLOOKUP(Growth!$K$188,Growth!$K$195:$K$237,AR393,FALSE),)</f>
        <v>0.98741929492116254</v>
      </c>
      <c r="AS505" s="469">
        <f ca="1">IF(AS$504&gt;='2.2 Input_General_Information'!$H$20,HLOOKUP(Growth!$K$188,Growth!$K$195:$K$237,AS393,FALSE),)</f>
        <v>0.99022449625757269</v>
      </c>
      <c r="AT505" s="469">
        <f ca="1">IF(AT$504&gt;='2.2 Input_General_Information'!$H$20,HLOOKUP(Growth!$K$188,Growth!$K$195:$K$237,AT393,FALSE),)</f>
        <v>0.99240901228624701</v>
      </c>
      <c r="AU505" s="469">
        <f ca="1">IF(AU$504&gt;='2.2 Input_General_Information'!$H$20,HLOOKUP(Growth!$K$188,Growth!$K$195:$K$237,AU393,FALSE),)</f>
        <v>0.99410826261175123</v>
      </c>
      <c r="AV505" s="469">
        <f ca="1">IF(AV$504&gt;='2.2 Input_General_Information'!$H$20,HLOOKUP(Growth!$K$188,Growth!$K$195:$K$237,AV393,FALSE),)</f>
        <v>0.9954288860776499</v>
      </c>
      <c r="AW505" s="469">
        <f ca="1">IF(AW$504&gt;='2.2 Input_General_Information'!$H$20,HLOOKUP(Growth!$K$188,Growth!$K$195:$K$237,AW393,FALSE),)</f>
        <v>0.99645454964506774</v>
      </c>
      <c r="AX505" s="469">
        <f ca="1">IF(AX$504&gt;='2.2 Input_General_Information'!$H$20,HLOOKUP(Growth!$K$188,Growth!$K$195:$K$237,AX393,FALSE),)</f>
        <v>0.99725071110922192</v>
      </c>
      <c r="AY505" s="469">
        <f ca="1">IF(AY$504&gt;='2.2 Input_General_Information'!$H$20,HLOOKUP(Growth!$K$188,Growth!$K$195:$K$237,AY393,FALSE),)</f>
        <v>0.99786847008937851</v>
      </c>
      <c r="AZ505" s="469">
        <f ca="1">IF(AZ$504&gt;='2.2 Input_General_Information'!$H$20,HLOOKUP(Growth!$K$188,Growth!$K$195:$K$237,AZ393,FALSE),)</f>
        <v>0.99834765002080617</v>
      </c>
      <c r="BA505" s="469">
        <f ca="1">IF(BA$504&gt;='2.2 Input_General_Information'!$H$20,HLOOKUP(Growth!$K$188,Growth!$K$195:$K$237,BA393,FALSE),)</f>
        <v>0.99871924586483996</v>
      </c>
      <c r="BB505" s="469">
        <f ca="1">IF(BB$504&gt;='2.2 Input_General_Information'!$H$20,HLOOKUP(Growth!$K$188,Growth!$K$195:$K$237,BB393,FALSE),)</f>
        <v>0.99900735686693831</v>
      </c>
      <c r="BC505" s="469">
        <f ca="1">IF(BC$504&gt;='2.2 Input_General_Information'!$H$20,HLOOKUP(Growth!$K$188,Growth!$K$195:$K$237,BC393,FALSE),)</f>
        <v>0.99923070601674469</v>
      </c>
      <c r="BD505" s="469">
        <f ca="1">IF(BD$504&gt;='2.2 Input_General_Information'!$H$20,HLOOKUP(Growth!$K$188,Growth!$K$195:$K$237,BD393,FALSE),)</f>
        <v>0.9994038305977293</v>
      </c>
      <c r="BE505" s="469">
        <f ca="1">IF(BE$504&gt;='2.2 Input_General_Information'!$H$20,HLOOKUP(Growth!$K$188,Growth!$K$195:$K$237,BE393,FALSE),)</f>
        <v>0.99953801263686148</v>
      </c>
      <c r="BF505" s="469">
        <f ca="1">IF(BF$504&gt;='2.2 Input_General_Information'!$H$20,HLOOKUP(Growth!$K$188,Growth!$K$195:$K$237,BF393,FALSE),)</f>
        <v>0.99964200464934949</v>
      </c>
      <c r="BG505" s="469">
        <f ca="1">IF(BG$504&gt;='2.2 Input_General_Information'!$H$20,HLOOKUP(Growth!$K$188,Growth!$K$195:$K$237,BG393,FALSE),)</f>
        <v>0.99972259485870574</v>
      </c>
      <c r="BH505" s="469">
        <f ca="1">IF(BH$504&gt;='2.2 Input_General_Information'!$H$20,HLOOKUP(Growth!$K$188,Growth!$K$195:$K$237,BH393,FALSE),)</f>
        <v>0.99978504688481817</v>
      </c>
      <c r="BI505" s="469">
        <f ca="1">IF(BI$504&gt;='2.2 Input_General_Information'!$H$20,HLOOKUP(Growth!$K$188,Growth!$K$195:$K$237,BI393,FALSE),)</f>
        <v>0.99983344147224607</v>
      </c>
      <c r="BJ505" s="469">
        <f ca="1">IF(BJ$504&gt;='2.2 Input_General_Information'!$H$20,HLOOKUP(Growth!$K$188,Growth!$K$195:$K$237,BJ393,FALSE),)</f>
        <v>0.99987094189902614</v>
      </c>
      <c r="BK505" s="469">
        <f ca="1">IF(BK$504&gt;='2.2 Input_General_Information'!$H$20,HLOOKUP(Growth!$K$188,Growth!$K$195:$K$237,BK393,FALSE),)</f>
        <v>0.99990000000000012</v>
      </c>
      <c r="BL505" s="416"/>
      <c r="BM505" s="416"/>
      <c r="BN505" s="416"/>
      <c r="BO505" s="416"/>
      <c r="BP505" s="416"/>
      <c r="BQ505" s="416"/>
      <c r="BR505" s="416"/>
      <c r="BS505" s="416"/>
      <c r="BT505" s="416"/>
      <c r="BU505" s="416"/>
    </row>
    <row r="506" spans="1:73">
      <c r="A506" s="6"/>
      <c r="B506" s="97"/>
      <c r="C506" s="37"/>
      <c r="D506" s="37"/>
      <c r="E506" s="10"/>
      <c r="F506" s="10"/>
      <c r="G506" s="244"/>
      <c r="H506" s="244"/>
      <c r="I506" s="244"/>
      <c r="J506" s="244"/>
      <c r="K506" s="244"/>
      <c r="L506" s="244"/>
      <c r="M506" s="244"/>
      <c r="N506" s="244"/>
      <c r="O506" s="10"/>
      <c r="P506" s="10"/>
      <c r="Q506" s="10"/>
      <c r="R506" s="193"/>
      <c r="S506" s="10"/>
      <c r="T506" s="101" t="s">
        <v>200</v>
      </c>
      <c r="U506" s="608" t="s">
        <v>289</v>
      </c>
      <c r="V506" s="103" t="str">
        <f t="shared" si="79"/>
        <v>machine readable data following proprietary formats</v>
      </c>
      <c r="W506" s="416">
        <f ca="1">IF(W$504&gt;='2.2 Input_General_Information'!$H$20,$G$492 * VLOOKUP(W504,Growth!$B$128:$L$170, 11, FALSE),)</f>
        <v>0.31496849999999998</v>
      </c>
      <c r="X506" s="416">
        <f ca="1">IF(X$504&gt;='2.2 Input_General_Information'!$H$20,$G$492 * VLOOKUP(X504,Growth!$B$128:$L$170, 11, FALSE),)</f>
        <v>0.31495007903387379</v>
      </c>
      <c r="Y506" s="416">
        <f ca="1">IF(Y$504&gt;='2.2 Input_General_Information'!$H$20,$G$492 * VLOOKUP(Y504,Growth!$B$128:$L$170, 11, FALSE),)</f>
        <v>0.31492088832927473</v>
      </c>
      <c r="Z506" s="416">
        <f ca="1">IF(Z$504&gt;='2.2 Input_General_Information'!$H$20,$G$492 * VLOOKUP(Z504,Growth!$B$128:$L$170, 11, FALSE),)</f>
        <v>0.31487463549372158</v>
      </c>
      <c r="AA506" s="416">
        <f ca="1">IF(AA$504&gt;='2.2 Input_General_Information'!$H$20,$G$492 * VLOOKUP(AA504,Growth!$B$128:$L$170, 11, FALSE),)</f>
        <v>0.3148013578796649</v>
      </c>
      <c r="AB506" s="416">
        <f ca="1">IF(AB$504&gt;='2.2 Input_General_Information'!$H$20,$G$492 * VLOOKUP(AB504,Growth!$B$128:$L$170, 11, FALSE),)</f>
        <v>0.31468529110543242</v>
      </c>
      <c r="AC506" s="416">
        <f ca="1">IF(AC$504&gt;='2.2 Input_General_Information'!$H$20,$G$492 * VLOOKUP(AC504,Growth!$B$128:$L$170, 11, FALSE),)</f>
        <v>0.31450151379720642</v>
      </c>
      <c r="AD506" s="416">
        <f ca="1">IF(AD$504&gt;='2.2 Input_General_Information'!$H$20,$G$492 * VLOOKUP(AD504,Growth!$B$128:$L$170, 11, FALSE),)</f>
        <v>0.31421068713212308</v>
      </c>
      <c r="AE506" s="416">
        <f ca="1">IF(AE$504&gt;='2.2 Input_General_Information'!$H$20,$G$492 * VLOOKUP(AE504,Growth!$B$128:$L$170, 11, FALSE),)</f>
        <v>0.31375086037728811</v>
      </c>
      <c r="AF506" s="416">
        <f ca="1">IF(AF$504&gt;='2.2 Input_General_Information'!$H$20,$G$492 * VLOOKUP(AF504,Growth!$B$128:$L$170, 11, FALSE),)</f>
        <v>0.31302483815725346</v>
      </c>
      <c r="AG506" s="416">
        <f ca="1">IF(AG$504&gt;='2.2 Input_General_Information'!$H$20,$G$492 * VLOOKUP(AG504,Growth!$B$128:$L$170, 11, FALSE),)</f>
        <v>0.31188103371067916</v>
      </c>
      <c r="AH506" s="416">
        <f ca="1">IF(AH$504&gt;='2.2 Input_General_Information'!$H$20,$G$492 * VLOOKUP(AH504,Growth!$B$128:$L$170, 11, FALSE),)</f>
        <v>0.31008525867499154</v>
      </c>
      <c r="AI506" s="416">
        <f ca="1">IF(AI$504&gt;='2.2 Input_General_Information'!$H$20,$G$492 * VLOOKUP(AI504,Growth!$B$128:$L$170, 11, FALSE),)</f>
        <v>0.30728113802365153</v>
      </c>
      <c r="AJ506" s="416">
        <f ca="1">IF(AJ$504&gt;='2.2 Input_General_Information'!$H$20,$G$492 * VLOOKUP(AJ504,Growth!$B$128:$L$170, 11, FALSE),)</f>
        <v>0.30293934530258831</v>
      </c>
      <c r="AK506" s="416">
        <f ca="1">IF(AK$504&gt;='2.2 Input_General_Information'!$H$20,$G$492 * VLOOKUP(AK504,Growth!$B$128:$L$170, 11, FALSE),)</f>
        <v>0.29630392531080552</v>
      </c>
      <c r="AL506" s="416">
        <f ca="1">IF(AL$504&gt;='2.2 Input_General_Information'!$H$20,$G$492 * VLOOKUP(AL504,Growth!$B$128:$L$170, 11, FALSE),)</f>
        <v>0.2863629854979815</v>
      </c>
      <c r="AM506" s="416">
        <f ca="1">IF(AM$504&gt;='2.2 Input_General_Information'!$H$20,$G$492 * VLOOKUP(AM504,Growth!$B$128:$L$170, 11, FALSE),)</f>
        <v>0.27190508607555847</v>
      </c>
      <c r="AN506" s="416">
        <f ca="1">IF(AN$504&gt;='2.2 Input_General_Information'!$H$20,$G$492 * VLOOKUP(AN504,Growth!$B$128:$L$170, 11, FALSE),)</f>
        <v>0.25175983899914539</v>
      </c>
      <c r="AO506" s="416">
        <f ca="1">IF(AO$504&gt;='2.2 Input_General_Information'!$H$20,$G$492 * VLOOKUP(AO504,Growth!$B$128:$L$170, 11, FALSE),)</f>
        <v>0.22530397499831523</v>
      </c>
      <c r="AP506" s="416">
        <f ca="1">IF(AP$504&gt;='2.2 Input_General_Information'!$H$20,$G$492 * VLOOKUP(AP504,Growth!$B$128:$L$170, 11, FALSE),)</f>
        <v>0.19313772473922383</v>
      </c>
      <c r="AQ506" s="416">
        <f ca="1">IF(AQ$504&gt;='2.2 Input_General_Information'!$H$20,$G$492 * VLOOKUP(AQ504,Growth!$B$128:$L$170, 11, FALSE),)</f>
        <v>0.15749999999996703</v>
      </c>
      <c r="AR506" s="416">
        <f ca="1">IF(AR$504&gt;='2.2 Input_General_Information'!$H$20,$G$492 * VLOOKUP(AR504,Growth!$B$128:$L$170, 11, FALSE),)</f>
        <v>0.12186227526071358</v>
      </c>
      <c r="AS506" s="416">
        <f ca="1">IF(AS$504&gt;='2.2 Input_General_Information'!$H$20,$G$492 * VLOOKUP(AS504,Growth!$B$128:$L$170, 11, FALSE),)</f>
        <v>8.9696025001631027E-2</v>
      </c>
      <c r="AT506" s="416">
        <f ca="1">IF(AT$504&gt;='2.2 Input_General_Information'!$H$20,$G$492 * VLOOKUP(AT504,Growth!$B$128:$L$170, 11, FALSE),)</f>
        <v>6.324016100081227E-2</v>
      </c>
      <c r="AU506" s="416">
        <f ca="1">IF(AU$504&gt;='2.2 Input_General_Information'!$H$20,$G$492 * VLOOKUP(AU504,Growth!$B$128:$L$170, 11, FALSE),)</f>
        <v>4.3094913924410352E-2</v>
      </c>
      <c r="AV506" s="416">
        <f ca="1">IF(AV$504&gt;='2.2 Input_General_Information'!$H$20,$G$492 * VLOOKUP(AV504,Growth!$B$128:$L$170, 11, FALSE),)</f>
        <v>2.863701450199669E-2</v>
      </c>
      <c r="AW506" s="416">
        <f ca="1">IF(AW$504&gt;='2.2 Input_General_Information'!$H$20,$G$492 * VLOOKUP(AW504,Growth!$B$128:$L$170, 11, FALSE),)</f>
        <v>1.8696074689179751E-2</v>
      </c>
      <c r="AX506" s="416">
        <f ca="1">IF(AX$504&gt;='2.2 Input_General_Information'!$H$20,$G$492 * VLOOKUP(AX504,Growth!$B$128:$L$170, 11, FALSE),)</f>
        <v>1.2060654697401982E-2</v>
      </c>
      <c r="AY506" s="416">
        <f ca="1">IF(AY$504&gt;='2.2 Input_General_Information'!$H$20,$G$492 * VLOOKUP(AY504,Growth!$B$128:$L$170, 11, FALSE),)</f>
        <v>7.7188619763421309E-3</v>
      </c>
      <c r="AZ506" s="416">
        <f ca="1">IF(AZ$504&gt;='2.2 Input_General_Information'!$H$20,$G$492 * VLOOKUP(AZ504,Growth!$B$128:$L$170, 11, FALSE),)</f>
        <v>4.9147413250043813E-3</v>
      </c>
      <c r="BA506" s="416">
        <f ca="1">IF(BA$504&gt;='2.2 Input_General_Information'!$H$20,$G$492 * VLOOKUP(BA504,Growth!$B$128:$L$170, 11, FALSE),)</f>
        <v>3.1189662893182086E-3</v>
      </c>
      <c r="BB506" s="416">
        <f ca="1">IF(BB$504&gt;='2.2 Input_General_Information'!$H$20,$G$492 * VLOOKUP(BB504,Growth!$B$128:$L$170, 11, FALSE),)</f>
        <v>1.9751618427448947E-3</v>
      </c>
      <c r="BC506" s="416">
        <f ca="1">IF(BC$504&gt;='2.2 Input_General_Information'!$H$20,$G$492 * VLOOKUP(BC504,Growth!$B$128:$L$170, 11, FALSE),)</f>
        <v>1.2491396227108621E-3</v>
      </c>
      <c r="BD506" s="416">
        <f ca="1">IF(BD$504&gt;='2.2 Input_General_Information'!$H$20,$G$492 * VLOOKUP(BD504,Growth!$B$128:$L$170, 11, FALSE),)</f>
        <v>7.8931286787620961E-4</v>
      </c>
      <c r="BE506" s="416">
        <f ca="1">IF(BE$504&gt;='2.2 Input_General_Information'!$H$20,$G$492 * VLOOKUP(BE504,Growth!$B$128:$L$170, 11, FALSE),)</f>
        <v>4.9848620279313637E-4</v>
      </c>
      <c r="BF506" s="416">
        <f ca="1">IF(BF$504&gt;='2.2 Input_General_Information'!$H$20,$G$492 * VLOOKUP(BF504,Growth!$B$128:$L$170, 11, FALSE),)</f>
        <v>3.1470889456736595E-4</v>
      </c>
      <c r="BG506" s="416">
        <f ca="1">IF(BG$504&gt;='2.2 Input_General_Information'!$H$20,$G$492 * VLOOKUP(BG504,Growth!$B$128:$L$170, 11, FALSE),)</f>
        <v>1.9864212033493699E-4</v>
      </c>
      <c r="BH506" s="416">
        <f ca="1">IF(BH$504&gt;='2.2 Input_General_Information'!$H$20,$G$492 * VLOOKUP(BH504,Growth!$B$128:$L$170, 11, FALSE),)</f>
        <v>1.253645062783354E-4</v>
      </c>
      <c r="BI506" s="416">
        <f ca="1">IF(BI$504&gt;='2.2 Input_General_Information'!$H$20,$G$492 * VLOOKUP(BI504,Growth!$B$128:$L$170, 11, FALSE),)</f>
        <v>7.9111670725254819E-5</v>
      </c>
      <c r="BJ506" s="416">
        <f ca="1">IF(BJ$504&gt;='2.2 Input_General_Information'!$H$20,$G$492 * VLOOKUP(BJ504,Growth!$B$128:$L$170, 11, FALSE),)</f>
        <v>4.9920966126177361E-5</v>
      </c>
      <c r="BK506" s="416">
        <f ca="1">IF(BK$504&gt;='2.2 Input_General_Information'!$H$20,$G$492 * VLOOKUP(BK504,Growth!$B$128:$L$170, 11, FALSE),)</f>
        <v>3.1499999999961558E-5</v>
      </c>
      <c r="BL506" s="416"/>
      <c r="BM506" s="416"/>
      <c r="BN506" s="416"/>
      <c r="BO506" s="416"/>
      <c r="BP506" s="416"/>
      <c r="BQ506" s="416"/>
      <c r="BR506" s="416"/>
      <c r="BS506" s="416"/>
      <c r="BT506" s="416"/>
      <c r="BU506" s="416"/>
    </row>
    <row r="507" spans="1:73">
      <c r="A507" s="6"/>
      <c r="B507" s="97"/>
      <c r="C507" s="37"/>
      <c r="D507" s="37"/>
      <c r="E507" s="10"/>
      <c r="F507" s="10"/>
      <c r="G507" s="244"/>
      <c r="H507" s="244"/>
      <c r="I507" s="244"/>
      <c r="J507" s="244"/>
      <c r="K507" s="244"/>
      <c r="L507" s="244"/>
      <c r="M507" s="244"/>
      <c r="N507" s="244"/>
      <c r="O507" s="10"/>
      <c r="P507" s="10"/>
      <c r="Q507" s="10"/>
      <c r="R507" s="193"/>
      <c r="S507" s="10"/>
      <c r="T507" s="101" t="s">
        <v>200</v>
      </c>
      <c r="U507" s="61" t="s">
        <v>289</v>
      </c>
      <c r="V507" s="103" t="str">
        <f t="shared" si="79"/>
        <v>non-machine readable data</v>
      </c>
      <c r="W507" s="416">
        <f ca="1">IF(W$504&gt;='2.2 Input_General_Information'!$H$20,$G$493 * VLOOKUP(W$504,Growth!$B$128:$L$170, 11, FALSE),)</f>
        <v>0.26997300000000002</v>
      </c>
      <c r="X507" s="416">
        <f ca="1">IF(X$504&gt;='2.2 Input_General_Information'!$H$20,$G$493 * VLOOKUP(X$504,Growth!$B$128:$L$170, 11, FALSE),)</f>
        <v>0.26995721060046324</v>
      </c>
      <c r="Y507" s="416">
        <f ca="1">IF(Y$504&gt;='2.2 Input_General_Information'!$H$20,$G$493 * VLOOKUP(Y$504,Growth!$B$128:$L$170, 11, FALSE),)</f>
        <v>0.26993218999652119</v>
      </c>
      <c r="Z507" s="416">
        <f ca="1">IF(Z$504&gt;='2.2 Input_General_Information'!$H$20,$G$493 * VLOOKUP(Z$504,Growth!$B$128:$L$170, 11, FALSE),)</f>
        <v>0.26989254470890423</v>
      </c>
      <c r="AA507" s="416">
        <f ca="1">IF(AA$504&gt;='2.2 Input_General_Information'!$H$20,$G$493 * VLOOKUP(AA$504,Growth!$B$128:$L$170, 11, FALSE),)</f>
        <v>0.26982973532542709</v>
      </c>
      <c r="AB507" s="416">
        <f ca="1">IF(AB$504&gt;='2.2 Input_General_Information'!$H$20,$G$493 * VLOOKUP(AB$504,Growth!$B$128:$L$170, 11, FALSE),)</f>
        <v>0.26973024951894209</v>
      </c>
      <c r="AC507" s="416">
        <f ca="1">IF(AC$504&gt;='2.2 Input_General_Information'!$H$20,$G$493 * VLOOKUP(AC$504,Growth!$B$128:$L$170, 11, FALSE),)</f>
        <v>0.2695727261118912</v>
      </c>
      <c r="AD507" s="416">
        <f ca="1">IF(AD$504&gt;='2.2 Input_General_Information'!$H$20,$G$493 * VLOOKUP(AD$504,Growth!$B$128:$L$170, 11, FALSE),)</f>
        <v>0.26932344611324838</v>
      </c>
      <c r="AE507" s="416">
        <f ca="1">IF(AE$504&gt;='2.2 Input_General_Information'!$H$20,$G$493 * VLOOKUP(AE$504,Growth!$B$128:$L$170, 11, FALSE),)</f>
        <v>0.26892930889481842</v>
      </c>
      <c r="AF507" s="416">
        <f ca="1">IF(AF$504&gt;='2.2 Input_General_Information'!$H$20,$G$493 * VLOOKUP(AF$504,Growth!$B$128:$L$170, 11, FALSE),)</f>
        <v>0.2683070041347887</v>
      </c>
      <c r="AG507" s="416">
        <f ca="1">IF(AG$504&gt;='2.2 Input_General_Information'!$H$20,$G$493 * VLOOKUP(AG$504,Growth!$B$128:$L$170, 11, FALSE),)</f>
        <v>0.2673266003234393</v>
      </c>
      <c r="AH507" s="416">
        <f ca="1">IF(AH$504&gt;='2.2 Input_General_Information'!$H$20,$G$493 * VLOOKUP(AH$504,Growth!$B$128:$L$170, 11, FALSE),)</f>
        <v>0.26578736457856422</v>
      </c>
      <c r="AI507" s="416">
        <f ca="1">IF(AI$504&gt;='2.2 Input_General_Information'!$H$20,$G$493 * VLOOKUP(AI$504,Growth!$B$128:$L$170, 11, FALSE),)</f>
        <v>0.26338383259170134</v>
      </c>
      <c r="AJ507" s="416">
        <f ca="1">IF(AJ$504&gt;='2.2 Input_General_Information'!$H$20,$G$493 * VLOOKUP(AJ$504,Growth!$B$128:$L$170, 11, FALSE),)</f>
        <v>0.25966229597364715</v>
      </c>
      <c r="AK507" s="416">
        <f ca="1">IF(AK$504&gt;='2.2 Input_General_Information'!$H$20,$G$493 * VLOOKUP(AK$504,Growth!$B$128:$L$170, 11, FALSE),)</f>
        <v>0.25397479312354759</v>
      </c>
      <c r="AL507" s="416">
        <f ca="1">IF(AL$504&gt;='2.2 Input_General_Information'!$H$20,$G$493 * VLOOKUP(AL$504,Growth!$B$128:$L$170, 11, FALSE),)</f>
        <v>0.24545398756969847</v>
      </c>
      <c r="AM507" s="416">
        <f ca="1">IF(AM$504&gt;='2.2 Input_General_Information'!$H$20,$G$493 * VLOOKUP(AM$504,Growth!$B$128:$L$170, 11, FALSE),)</f>
        <v>0.23306150235047873</v>
      </c>
      <c r="AN507" s="416">
        <f ca="1">IF(AN$504&gt;='2.2 Input_General_Information'!$H$20,$G$493 * VLOOKUP(AN$504,Growth!$B$128:$L$170, 11, FALSE),)</f>
        <v>0.21579414771355321</v>
      </c>
      <c r="AO507" s="416">
        <f ca="1">IF(AO$504&gt;='2.2 Input_General_Information'!$H$20,$G$493 * VLOOKUP(AO$504,Growth!$B$128:$L$170, 11, FALSE),)</f>
        <v>0.19311769285569877</v>
      </c>
      <c r="AP507" s="416">
        <f ca="1">IF(AP$504&gt;='2.2 Input_General_Information'!$H$20,$G$493 * VLOOKUP(AP$504,Growth!$B$128:$L$170, 11, FALSE),)</f>
        <v>0.16554662120504901</v>
      </c>
      <c r="AQ507" s="416">
        <f ca="1">IF(AQ$504&gt;='2.2 Input_General_Information'!$H$20,$G$493 * VLOOKUP(AQ$504,Growth!$B$128:$L$170, 11, FALSE),)</f>
        <v>0.13499999999997175</v>
      </c>
      <c r="AR507" s="416">
        <f ca="1">IF(AR$504&gt;='2.2 Input_General_Information'!$H$20,$G$493 * VLOOKUP(AR$504,Growth!$B$128:$L$170, 11, FALSE),)</f>
        <v>0.10445337879489736</v>
      </c>
      <c r="AS507" s="416">
        <f ca="1">IF(AS$504&gt;='2.2 Input_General_Information'!$H$20,$G$493 * VLOOKUP(AS$504,Growth!$B$128:$L$170, 11, FALSE),)</f>
        <v>7.688230714425516E-2</v>
      </c>
      <c r="AT507" s="416">
        <f ca="1">IF(AT$504&gt;='2.2 Input_General_Information'!$H$20,$G$493 * VLOOKUP(AT$504,Growth!$B$128:$L$170, 11, FALSE),)</f>
        <v>5.4205852286410519E-2</v>
      </c>
      <c r="AU507" s="416">
        <f ca="1">IF(AU$504&gt;='2.2 Input_General_Information'!$H$20,$G$493 * VLOOKUP(AU$504,Growth!$B$128:$L$170, 11, FALSE),)</f>
        <v>3.6938497649494591E-2</v>
      </c>
      <c r="AV507" s="416">
        <f ca="1">IF(AV$504&gt;='2.2 Input_General_Information'!$H$20,$G$493 * VLOOKUP(AV$504,Growth!$B$128:$L$170, 11, FALSE),)</f>
        <v>2.4546012430282878E-2</v>
      </c>
      <c r="AW507" s="416">
        <f ca="1">IF(AW$504&gt;='2.2 Input_General_Information'!$H$20,$G$493 * VLOOKUP(AW$504,Growth!$B$128:$L$170, 11, FALSE),)</f>
        <v>1.6025206876439786E-2</v>
      </c>
      <c r="AX507" s="416">
        <f ca="1">IF(AX$504&gt;='2.2 Input_General_Information'!$H$20,$G$493 * VLOOKUP(AX$504,Growth!$B$128:$L$170, 11, FALSE),)</f>
        <v>1.0337704026344556E-2</v>
      </c>
      <c r="AY507" s="416">
        <f ca="1">IF(AY$504&gt;='2.2 Input_General_Information'!$H$20,$G$493 * VLOOKUP(AY$504,Growth!$B$128:$L$170, 11, FALSE),)</f>
        <v>6.616167408293256E-3</v>
      </c>
      <c r="AZ507" s="416">
        <f ca="1">IF(AZ$504&gt;='2.2 Input_General_Information'!$H$20,$G$493 * VLOOKUP(AZ$504,Growth!$B$128:$L$170, 11, FALSE),)</f>
        <v>4.2126354214323276E-3</v>
      </c>
      <c r="BA507" s="416">
        <f ca="1">IF(BA$504&gt;='2.2 Input_General_Information'!$H$20,$G$493 * VLOOKUP(BA$504,Growth!$B$128:$L$170, 11, FALSE),)</f>
        <v>2.6733996765584645E-3</v>
      </c>
      <c r="BB507" s="416">
        <f ca="1">IF(BB$504&gt;='2.2 Input_General_Information'!$H$20,$G$493 * VLOOKUP(BB$504,Growth!$B$128:$L$170, 11, FALSE),)</f>
        <v>1.6929958652099099E-3</v>
      </c>
      <c r="BC507" s="416">
        <f ca="1">IF(BC$504&gt;='2.2 Input_General_Information'!$H$20,$G$493 * VLOOKUP(BC$504,Growth!$B$128:$L$170, 11, FALSE),)</f>
        <v>1.0706911051807388E-3</v>
      </c>
      <c r="BD507" s="416">
        <f ca="1">IF(BD$504&gt;='2.2 Input_General_Information'!$H$20,$G$493 * VLOOKUP(BD$504,Growth!$B$128:$L$170, 11, FALSE),)</f>
        <v>6.7655388675103684E-4</v>
      </c>
      <c r="BE507" s="416">
        <f ca="1">IF(BE$504&gt;='2.2 Input_General_Information'!$H$20,$G$493 * VLOOKUP(BE$504,Growth!$B$128:$L$170, 11, FALSE),)</f>
        <v>4.2727388810840262E-4</v>
      </c>
      <c r="BF507" s="416">
        <f ca="1">IF(BF$504&gt;='2.2 Input_General_Information'!$H$20,$G$493 * VLOOKUP(BF$504,Growth!$B$128:$L$170, 11, FALSE),)</f>
        <v>2.6975048105774228E-4</v>
      </c>
      <c r="BG507" s="416">
        <f ca="1">IF(BG$504&gt;='2.2 Input_General_Information'!$H$20,$G$493 * VLOOKUP(BG$504,Growth!$B$128:$L$170, 11, FALSE),)</f>
        <v>1.7026467457280316E-4</v>
      </c>
      <c r="BH507" s="416">
        <f ca="1">IF(BH$504&gt;='2.2 Input_General_Information'!$H$20,$G$493 * VLOOKUP(BH$504,Growth!$B$128:$L$170, 11, FALSE),)</f>
        <v>1.0745529109571606E-4</v>
      </c>
      <c r="BI507" s="416">
        <f ca="1">IF(BI$504&gt;='2.2 Input_General_Information'!$H$20,$G$493 * VLOOKUP(BI$504,Growth!$B$128:$L$170, 11, FALSE),)</f>
        <v>6.781000347878985E-5</v>
      </c>
      <c r="BJ507" s="416">
        <f ca="1">IF(BJ$504&gt;='2.2 Input_General_Information'!$H$20,$G$493 * VLOOKUP(BJ$504,Growth!$B$128:$L$170, 11, FALSE),)</f>
        <v>4.2789399536723455E-5</v>
      </c>
      <c r="BK507" s="416">
        <f ca="1">IF(BK$504&gt;='2.2 Input_General_Information'!$H$20,$G$493 * VLOOKUP(BK$504,Growth!$B$128:$L$170, 11, FALSE),)</f>
        <v>2.6999999999967053E-5</v>
      </c>
      <c r="BL507" s="416"/>
      <c r="BM507" s="416"/>
      <c r="BN507" s="416"/>
      <c r="BO507" s="416"/>
      <c r="BP507" s="416"/>
      <c r="BQ507" s="416"/>
      <c r="BR507" s="416"/>
      <c r="BS507" s="416"/>
      <c r="BT507" s="416"/>
      <c r="BU507" s="416"/>
    </row>
    <row r="508" spans="1:73">
      <c r="A508" s="6"/>
      <c r="B508" s="97"/>
      <c r="C508" s="37"/>
      <c r="D508" s="37"/>
      <c r="E508" s="10"/>
      <c r="F508" s="10"/>
      <c r="G508" s="244"/>
      <c r="H508" s="244"/>
      <c r="I508" s="244"/>
      <c r="J508" s="244"/>
      <c r="K508" s="244"/>
      <c r="L508" s="244"/>
      <c r="M508" s="244"/>
      <c r="N508" s="244"/>
      <c r="O508" s="10"/>
      <c r="P508" s="10"/>
      <c r="Q508" s="10"/>
      <c r="R508" s="193"/>
      <c r="S508" s="10"/>
      <c r="T508" s="101" t="s">
        <v>200</v>
      </c>
      <c r="U508" s="61" t="s">
        <v>289</v>
      </c>
      <c r="V508" s="103" t="str">
        <f t="shared" si="79"/>
        <v>non-machine readable data in PDF or similar formats</v>
      </c>
      <c r="W508" s="416">
        <f ca="1">IF(W$504&gt;='2.2 Input_General_Information'!$H$20,$G$494 * VLOOKUP(W$504,Growth!$B$128:$L$170, 11, FALSE),)</f>
        <v>4.4995500000000001E-2</v>
      </c>
      <c r="X508" s="416">
        <f ca="1">IF(X$504&gt;='2.2 Input_General_Information'!$H$20,$G$494 * VLOOKUP(X$504,Growth!$B$128:$L$170, 11, FALSE),)</f>
        <v>4.4992868433410542E-2</v>
      </c>
      <c r="Y508" s="416">
        <f ca="1">IF(Y$504&gt;='2.2 Input_General_Information'!$H$20,$G$494 * VLOOKUP(Y$504,Growth!$B$128:$L$170, 11, FALSE),)</f>
        <v>4.4988698332753527E-2</v>
      </c>
      <c r="Z508" s="416">
        <f ca="1">IF(Z$504&gt;='2.2 Input_General_Information'!$H$20,$G$494 * VLOOKUP(Z$504,Growth!$B$128:$L$170, 11, FALSE),)</f>
        <v>4.4982090784817366E-2</v>
      </c>
      <c r="AA508" s="416">
        <f ca="1">IF(AA$504&gt;='2.2 Input_General_Information'!$H$20,$G$494 * VLOOKUP(AA$504,Growth!$B$128:$L$170, 11, FALSE),)</f>
        <v>4.4971622554237846E-2</v>
      </c>
      <c r="AB508" s="416">
        <f ca="1">IF(AB$504&gt;='2.2 Input_General_Information'!$H$20,$G$494 * VLOOKUP(AB$504,Growth!$B$128:$L$170, 11, FALSE),)</f>
        <v>4.4955041586490337E-2</v>
      </c>
      <c r="AC508" s="416">
        <f ca="1">IF(AC$504&gt;='2.2 Input_General_Information'!$H$20,$G$494 * VLOOKUP(AC$504,Growth!$B$128:$L$170, 11, FALSE),)</f>
        <v>4.4928787685315198E-2</v>
      </c>
      <c r="AD508" s="416">
        <f ca="1">IF(AD$504&gt;='2.2 Input_General_Information'!$H$20,$G$494 * VLOOKUP(AD$504,Growth!$B$128:$L$170, 11, FALSE),)</f>
        <v>4.4887241018874723E-2</v>
      </c>
      <c r="AE508" s="416">
        <f ca="1">IF(AE$504&gt;='2.2 Input_General_Information'!$H$20,$G$494 * VLOOKUP(AE$504,Growth!$B$128:$L$170, 11, FALSE),)</f>
        <v>4.4821551482469732E-2</v>
      </c>
      <c r="AF508" s="416">
        <f ca="1">IF(AF$504&gt;='2.2 Input_General_Information'!$H$20,$G$494 * VLOOKUP(AF$504,Growth!$B$128:$L$170, 11, FALSE),)</f>
        <v>4.4717834022464778E-2</v>
      </c>
      <c r="AG508" s="416">
        <f ca="1">IF(AG$504&gt;='2.2 Input_General_Information'!$H$20,$G$494 * VLOOKUP(AG$504,Growth!$B$128:$L$170, 11, FALSE),)</f>
        <v>4.4554433387239877E-2</v>
      </c>
      <c r="AH508" s="416">
        <f ca="1">IF(AH$504&gt;='2.2 Input_General_Information'!$H$20,$G$494 * VLOOKUP(AH$504,Growth!$B$128:$L$170, 11, FALSE),)</f>
        <v>4.4297894096427363E-2</v>
      </c>
      <c r="AI508" s="416">
        <f ca="1">IF(AI$504&gt;='2.2 Input_General_Information'!$H$20,$G$494 * VLOOKUP(AI$504,Growth!$B$128:$L$170, 11, FALSE),)</f>
        <v>4.3897305431950216E-2</v>
      </c>
      <c r="AJ508" s="416">
        <f ca="1">IF(AJ$504&gt;='2.2 Input_General_Information'!$H$20,$G$494 * VLOOKUP(AJ$504,Growth!$B$128:$L$170, 11, FALSE),)</f>
        <v>4.3277049328941192E-2</v>
      </c>
      <c r="AK508" s="416">
        <f ca="1">IF(AK$504&gt;='2.2 Input_General_Information'!$H$20,$G$494 * VLOOKUP(AK$504,Growth!$B$128:$L$170, 11, FALSE),)</f>
        <v>4.2329132187257923E-2</v>
      </c>
      <c r="AL508" s="416">
        <f ca="1">IF(AL$504&gt;='2.2 Input_General_Information'!$H$20,$G$494 * VLOOKUP(AL$504,Growth!$B$128:$L$170, 11, FALSE),)</f>
        <v>4.0908997928283071E-2</v>
      </c>
      <c r="AM508" s="416">
        <f ca="1">IF(AM$504&gt;='2.2 Input_General_Information'!$H$20,$G$494 * VLOOKUP(AM$504,Growth!$B$128:$L$170, 11, FALSE),)</f>
        <v>3.8843583725079782E-2</v>
      </c>
      <c r="AN508" s="416">
        <f ca="1">IF(AN$504&gt;='2.2 Input_General_Information'!$H$20,$G$494 * VLOOKUP(AN$504,Growth!$B$128:$L$170, 11, FALSE),)</f>
        <v>3.5965691285592197E-2</v>
      </c>
      <c r="AO508" s="416">
        <f ca="1">IF(AO$504&gt;='2.2 Input_General_Information'!$H$20,$G$494 * VLOOKUP(AO$504,Growth!$B$128:$L$170, 11, FALSE),)</f>
        <v>3.2186282142616457E-2</v>
      </c>
      <c r="AP508" s="416">
        <f ca="1">IF(AP$504&gt;='2.2 Input_General_Information'!$H$20,$G$494 * VLOOKUP(AP$504,Growth!$B$128:$L$170, 11, FALSE),)</f>
        <v>2.7591103534174832E-2</v>
      </c>
      <c r="AQ508" s="416">
        <f ca="1">IF(AQ$504&gt;='2.2 Input_General_Information'!$H$20,$G$494 * VLOOKUP(AQ$504,Growth!$B$128:$L$170, 11, FALSE),)</f>
        <v>2.2499999999995288E-2</v>
      </c>
      <c r="AR508" s="416">
        <f ca="1">IF(AR$504&gt;='2.2 Input_General_Information'!$H$20,$G$494 * VLOOKUP(AR$504,Growth!$B$128:$L$170, 11, FALSE),)</f>
        <v>1.7408896465816222E-2</v>
      </c>
      <c r="AS508" s="416">
        <f ca="1">IF(AS$504&gt;='2.2 Input_General_Information'!$H$20,$G$494 * VLOOKUP(AS$504,Growth!$B$128:$L$170, 11, FALSE),)</f>
        <v>1.281371785737586E-2</v>
      </c>
      <c r="AT508" s="416">
        <f ca="1">IF(AT$504&gt;='2.2 Input_General_Information'!$H$20,$G$494 * VLOOKUP(AT$504,Growth!$B$128:$L$170, 11, FALSE),)</f>
        <v>9.0343087144017526E-3</v>
      </c>
      <c r="AU508" s="416">
        <f ca="1">IF(AU$504&gt;='2.2 Input_General_Information'!$H$20,$G$494 * VLOOKUP(AU$504,Growth!$B$128:$L$170, 11, FALSE),)</f>
        <v>6.1564162749157643E-3</v>
      </c>
      <c r="AV508" s="416">
        <f ca="1">IF(AV$504&gt;='2.2 Input_General_Information'!$H$20,$G$494 * VLOOKUP(AV$504,Growth!$B$128:$L$170, 11, FALSE),)</f>
        <v>4.0910020717138127E-3</v>
      </c>
      <c r="AW508" s="416">
        <f ca="1">IF(AW$504&gt;='2.2 Input_General_Information'!$H$20,$G$494 * VLOOKUP(AW$504,Growth!$B$128:$L$170, 11, FALSE),)</f>
        <v>2.6708678127399643E-3</v>
      </c>
      <c r="AX508" s="416">
        <f ca="1">IF(AX$504&gt;='2.2 Input_General_Information'!$H$20,$G$494 * VLOOKUP(AX$504,Growth!$B$128:$L$170, 11, FALSE),)</f>
        <v>1.722950671057426E-3</v>
      </c>
      <c r="AY508" s="416">
        <f ca="1">IF(AY$504&gt;='2.2 Input_General_Information'!$H$20,$G$494 * VLOOKUP(AY$504,Growth!$B$128:$L$170, 11, FALSE),)</f>
        <v>1.1026945680488759E-3</v>
      </c>
      <c r="AZ508" s="416">
        <f ca="1">IF(AZ$504&gt;='2.2 Input_General_Information'!$H$20,$G$494 * VLOOKUP(AZ$504,Growth!$B$128:$L$170, 11, FALSE),)</f>
        <v>7.0210590357205449E-4</v>
      </c>
      <c r="BA508" s="416">
        <f ca="1">IF(BA$504&gt;='2.2 Input_General_Information'!$H$20,$G$494 * VLOOKUP(BA$504,Growth!$B$128:$L$170, 11, FALSE),)</f>
        <v>4.4556661275974404E-4</v>
      </c>
      <c r="BB508" s="416">
        <f ca="1">IF(BB$504&gt;='2.2 Input_General_Information'!$H$20,$G$494 * VLOOKUP(BB$504,Growth!$B$128:$L$170, 11, FALSE),)</f>
        <v>2.8216597753498494E-4</v>
      </c>
      <c r="BC508" s="416">
        <f ca="1">IF(BC$504&gt;='2.2 Input_General_Information'!$H$20,$G$494 * VLOOKUP(BC$504,Growth!$B$128:$L$170, 11, FALSE),)</f>
        <v>1.7844851753012314E-4</v>
      </c>
      <c r="BD508" s="416">
        <f ca="1">IF(BD$504&gt;='2.2 Input_General_Information'!$H$20,$G$494 * VLOOKUP(BD$504,Growth!$B$128:$L$170, 11, FALSE),)</f>
        <v>1.127589811251728E-4</v>
      </c>
      <c r="BE508" s="416">
        <f ca="1">IF(BE$504&gt;='2.2 Input_General_Information'!$H$20,$G$494 * VLOOKUP(BE$504,Growth!$B$128:$L$170, 11, FALSE),)</f>
        <v>7.1212314684733765E-5</v>
      </c>
      <c r="BF508" s="416">
        <f ca="1">IF(BF$504&gt;='2.2 Input_General_Information'!$H$20,$G$494 * VLOOKUP(BF$504,Growth!$B$128:$L$170, 11, FALSE),)</f>
        <v>4.4958413509623704E-5</v>
      </c>
      <c r="BG508" s="416">
        <f ca="1">IF(BG$504&gt;='2.2 Input_General_Information'!$H$20,$G$494 * VLOOKUP(BG$504,Growth!$B$128:$L$170, 11, FALSE),)</f>
        <v>2.8377445762133856E-5</v>
      </c>
      <c r="BH508" s="416">
        <f ca="1">IF(BH$504&gt;='2.2 Input_General_Information'!$H$20,$G$494 * VLOOKUP(BH$504,Growth!$B$128:$L$170, 11, FALSE),)</f>
        <v>1.790921518261934E-5</v>
      </c>
      <c r="BI508" s="416">
        <f ca="1">IF(BI$504&gt;='2.2 Input_General_Information'!$H$20,$G$494 * VLOOKUP(BI$504,Growth!$B$128:$L$170, 11, FALSE),)</f>
        <v>1.1301667246464975E-5</v>
      </c>
      <c r="BJ508" s="416">
        <f ca="1">IF(BJ$504&gt;='2.2 Input_General_Information'!$H$20,$G$494 * VLOOKUP(BJ$504,Growth!$B$128:$L$170, 11, FALSE),)</f>
        <v>7.1315665894539083E-6</v>
      </c>
      <c r="BK508" s="416">
        <f ca="1">IF(BK$504&gt;='2.2 Input_General_Information'!$H$20,$G$494 * VLOOKUP(BK$504,Growth!$B$128:$L$170, 11, FALSE),)</f>
        <v>4.499999999994508E-6</v>
      </c>
      <c r="BL508" s="416"/>
      <c r="BM508" s="416"/>
      <c r="BN508" s="416"/>
      <c r="BO508" s="416"/>
      <c r="BP508" s="416"/>
      <c r="BQ508" s="416"/>
      <c r="BR508" s="416"/>
      <c r="BS508" s="416"/>
      <c r="BT508" s="416"/>
      <c r="BU508" s="416"/>
    </row>
    <row r="509" spans="1:73">
      <c r="A509" s="6"/>
      <c r="B509" s="97"/>
      <c r="C509" s="37"/>
      <c r="D509" s="37"/>
      <c r="E509" s="10"/>
      <c r="F509" s="10"/>
      <c r="G509" s="244"/>
      <c r="H509" s="244"/>
      <c r="I509" s="244"/>
      <c r="J509" s="244"/>
      <c r="K509" s="244"/>
      <c r="L509" s="244"/>
      <c r="M509" s="244"/>
      <c r="N509" s="244"/>
      <c r="O509" s="10"/>
      <c r="P509" s="10"/>
      <c r="Q509" s="10"/>
      <c r="R509" s="193"/>
      <c r="S509" s="101"/>
      <c r="T509" s="101" t="s">
        <v>200</v>
      </c>
      <c r="U509" s="61" t="s">
        <v>289</v>
      </c>
      <c r="V509" s="103" t="str">
        <f t="shared" si="79"/>
        <v>repairing bad quality data</v>
      </c>
      <c r="W509" s="416">
        <f ca="1">IF(W$504&gt;='2.2 Input_General_Information'!$H$20,$G$495 * VLOOKUP(W$504,Growth!$B$128:$L$170, 11, FALSE),)</f>
        <v>0.19998000000000002</v>
      </c>
      <c r="X509" s="416">
        <f ca="1">IF(X$504&gt;='2.2 Input_General_Information'!$H$20,$G$495 * VLOOKUP(X$504,Growth!$B$128:$L$170, 11, FALSE),)</f>
        <v>0.19996830414849132</v>
      </c>
      <c r="Y509" s="416">
        <f ca="1">IF(Y$504&gt;='2.2 Input_General_Information'!$H$20,$G$495 * VLOOKUP(Y$504,Growth!$B$128:$L$170, 11, FALSE),)</f>
        <v>0.19994977036779349</v>
      </c>
      <c r="Z509" s="416">
        <f ca="1">IF(Z$504&gt;='2.2 Input_General_Information'!$H$20,$G$495 * VLOOKUP(Z$504,Growth!$B$128:$L$170, 11, FALSE),)</f>
        <v>0.19992040348807719</v>
      </c>
      <c r="AA509" s="416">
        <f ca="1">IF(AA$504&gt;='2.2 Input_General_Information'!$H$20,$G$495 * VLOOKUP(AA$504,Growth!$B$128:$L$170, 11, FALSE),)</f>
        <v>0.19987387801883488</v>
      </c>
      <c r="AB509" s="416">
        <f ca="1">IF(AB$504&gt;='2.2 Input_General_Information'!$H$20,$G$495 * VLOOKUP(AB$504,Growth!$B$128:$L$170, 11, FALSE),)</f>
        <v>0.19980018482884598</v>
      </c>
      <c r="AC509" s="416">
        <f ca="1">IF(AC$504&gt;='2.2 Input_General_Information'!$H$20,$G$495 * VLOOKUP(AC$504,Growth!$B$128:$L$170, 11, FALSE),)</f>
        <v>0.19968350082362313</v>
      </c>
      <c r="AD509" s="416">
        <f ca="1">IF(AD$504&gt;='2.2 Input_General_Information'!$H$20,$G$495 * VLOOKUP(AD$504,Growth!$B$128:$L$170, 11, FALSE),)</f>
        <v>0.19949884897277659</v>
      </c>
      <c r="AE509" s="416">
        <f ca="1">IF(AE$504&gt;='2.2 Input_General_Information'!$H$20,$G$495 * VLOOKUP(AE$504,Growth!$B$128:$L$170, 11, FALSE),)</f>
        <v>0.19920689547764325</v>
      </c>
      <c r="AF509" s="416">
        <f ca="1">IF(AF$504&gt;='2.2 Input_General_Information'!$H$20,$G$495 * VLOOKUP(AF$504,Growth!$B$128:$L$170, 11, FALSE),)</f>
        <v>0.19874592898873236</v>
      </c>
      <c r="AG509" s="416">
        <f ca="1">IF(AG$504&gt;='2.2 Input_General_Information'!$H$20,$G$495 * VLOOKUP(AG$504,Growth!$B$128:$L$170, 11, FALSE),)</f>
        <v>0.19801970394328838</v>
      </c>
      <c r="AH509" s="416">
        <f ca="1">IF(AH$504&gt;='2.2 Input_General_Information'!$H$20,$G$495 * VLOOKUP(AH$504,Growth!$B$128:$L$170, 11, FALSE),)</f>
        <v>0.19687952931745498</v>
      </c>
      <c r="AI509" s="416">
        <f ca="1">IF(AI$504&gt;='2.2 Input_General_Information'!$H$20,$G$495 * VLOOKUP(AI$504,Growth!$B$128:$L$170, 11, FALSE),)</f>
        <v>0.19509913525311209</v>
      </c>
      <c r="AJ509" s="416">
        <f ca="1">IF(AJ$504&gt;='2.2 Input_General_Information'!$H$20,$G$495 * VLOOKUP(AJ$504,Growth!$B$128:$L$170, 11, FALSE),)</f>
        <v>0.19234244146196086</v>
      </c>
      <c r="AK509" s="416">
        <f ca="1">IF(AK$504&gt;='2.2 Input_General_Information'!$H$20,$G$495 * VLOOKUP(AK$504,Growth!$B$128:$L$170, 11, FALSE),)</f>
        <v>0.18812947638781302</v>
      </c>
      <c r="AL509" s="416">
        <f ca="1">IF(AL$504&gt;='2.2 Input_General_Information'!$H$20,$G$495 * VLOOKUP(AL$504,Growth!$B$128:$L$170, 11, FALSE),)</f>
        <v>0.181817768570147</v>
      </c>
      <c r="AM509" s="416">
        <f ca="1">IF(AM$504&gt;='2.2 Input_General_Information'!$H$20,$G$495 * VLOOKUP(AM$504,Growth!$B$128:$L$170, 11, FALSE),)</f>
        <v>0.1726381498892435</v>
      </c>
      <c r="AN509" s="416">
        <f ca="1">IF(AN$504&gt;='2.2 Input_General_Information'!$H$20,$G$495 * VLOOKUP(AN$504,Growth!$B$128:$L$170, 11, FALSE),)</f>
        <v>0.15984751682485421</v>
      </c>
      <c r="AO509" s="416">
        <f ca="1">IF(AO$504&gt;='2.2 Input_General_Information'!$H$20,$G$495 * VLOOKUP(AO$504,Growth!$B$128:$L$170, 11, FALSE),)</f>
        <v>0.14305014285607318</v>
      </c>
      <c r="AP509" s="416">
        <f ca="1">IF(AP$504&gt;='2.2 Input_General_Information'!$H$20,$G$495 * VLOOKUP(AP$504,Growth!$B$128:$L$170, 11, FALSE),)</f>
        <v>0.12262712681855481</v>
      </c>
      <c r="AQ509" s="416">
        <f ca="1">IF(AQ$504&gt;='2.2 Input_General_Information'!$H$20,$G$495 * VLOOKUP(AQ$504,Growth!$B$128:$L$170, 11, FALSE),)</f>
        <v>9.9999999999979064E-2</v>
      </c>
      <c r="AR509" s="416">
        <f ca="1">IF(AR$504&gt;='2.2 Input_General_Information'!$H$20,$G$495 * VLOOKUP(AR$504,Growth!$B$128:$L$170, 11, FALSE),)</f>
        <v>7.7372873181405455E-2</v>
      </c>
      <c r="AS509" s="416">
        <f ca="1">IF(AS$504&gt;='2.2 Input_General_Information'!$H$20,$G$495 * VLOOKUP(AS$504,Growth!$B$128:$L$170, 11, FALSE),)</f>
        <v>5.6949857143892717E-2</v>
      </c>
      <c r="AT509" s="416">
        <f ca="1">IF(AT$504&gt;='2.2 Input_General_Information'!$H$20,$G$495 * VLOOKUP(AT$504,Growth!$B$128:$L$170, 11, FALSE),)</f>
        <v>4.0152483175118908E-2</v>
      </c>
      <c r="AU509" s="416">
        <f ca="1">IF(AU$504&gt;='2.2 Input_General_Information'!$H$20,$G$495 * VLOOKUP(AU$504,Growth!$B$128:$L$170, 11, FALSE),)</f>
        <v>2.7361850110736732E-2</v>
      </c>
      <c r="AV509" s="416">
        <f ca="1">IF(AV$504&gt;='2.2 Input_General_Information'!$H$20,$G$495 * VLOOKUP(AV$504,Growth!$B$128:$L$170, 11, FALSE),)</f>
        <v>1.8182231429839168E-2</v>
      </c>
      <c r="AW509" s="416">
        <f ca="1">IF(AW$504&gt;='2.2 Input_General_Information'!$H$20,$G$495 * VLOOKUP(AW$504,Growth!$B$128:$L$170, 11, FALSE),)</f>
        <v>1.187052361217762E-2</v>
      </c>
      <c r="AX509" s="416">
        <f ca="1">IF(AX$504&gt;='2.2 Input_General_Information'!$H$20,$G$495 * VLOOKUP(AX$504,Growth!$B$128:$L$170, 11, FALSE),)</f>
        <v>7.6575585380330054E-3</v>
      </c>
      <c r="AY509" s="416">
        <f ca="1">IF(AY$504&gt;='2.2 Input_General_Information'!$H$20,$G$495 * VLOOKUP(AY$504,Growth!$B$128:$L$170, 11, FALSE),)</f>
        <v>4.9008647468838928E-3</v>
      </c>
      <c r="AZ509" s="416">
        <f ca="1">IF(AZ$504&gt;='2.2 Input_General_Information'!$H$20,$G$495 * VLOOKUP(AZ$504,Growth!$B$128:$L$170, 11, FALSE),)</f>
        <v>3.1204706825424646E-3</v>
      </c>
      <c r="BA509" s="416">
        <f ca="1">IF(BA$504&gt;='2.2 Input_General_Information'!$H$20,$G$495 * VLOOKUP(BA$504,Growth!$B$128:$L$170, 11, FALSE),)</f>
        <v>1.9802960567099738E-3</v>
      </c>
      <c r="BB509" s="416">
        <f ca="1">IF(BB$504&gt;='2.2 Input_General_Information'!$H$20,$G$495 * VLOOKUP(BB$504,Growth!$B$128:$L$170, 11, FALSE),)</f>
        <v>1.2540710112665999E-3</v>
      </c>
      <c r="BC509" s="416">
        <f ca="1">IF(BC$504&gt;='2.2 Input_General_Information'!$H$20,$G$495 * VLOOKUP(BC$504,Growth!$B$128:$L$170, 11, FALSE),)</f>
        <v>7.9310452235610291E-4</v>
      </c>
      <c r="BD509" s="416">
        <f ca="1">IF(BD$504&gt;='2.2 Input_General_Information'!$H$20,$G$495 * VLOOKUP(BD$504,Growth!$B$128:$L$170, 11, FALSE),)</f>
        <v>5.0115102722299027E-4</v>
      </c>
      <c r="BE509" s="416">
        <f ca="1">IF(BE$504&gt;='2.2 Input_General_Information'!$H$20,$G$495 * VLOOKUP(BE$504,Growth!$B$128:$L$170, 11, FALSE),)</f>
        <v>3.1649917637659457E-4</v>
      </c>
      <c r="BF509" s="416">
        <f ca="1">IF(BF$504&gt;='2.2 Input_General_Information'!$H$20,$G$495 * VLOOKUP(BF$504,Growth!$B$128:$L$170, 11, FALSE),)</f>
        <v>1.9981517115388316E-4</v>
      </c>
      <c r="BG509" s="416">
        <f ca="1">IF(BG$504&gt;='2.2 Input_General_Information'!$H$20,$G$495 * VLOOKUP(BG$504,Growth!$B$128:$L$170, 11, FALSE),)</f>
        <v>1.2612198116503936E-4</v>
      </c>
      <c r="BH509" s="416">
        <f ca="1">IF(BH$504&gt;='2.2 Input_General_Information'!$H$20,$G$495 * VLOOKUP(BH$504,Growth!$B$128:$L$170, 11, FALSE),)</f>
        <v>7.9596511922752644E-5</v>
      </c>
      <c r="BI509" s="416">
        <f ca="1">IF(BI$504&gt;='2.2 Input_General_Information'!$H$20,$G$495 * VLOOKUP(BI$504,Growth!$B$128:$L$170, 11, FALSE),)</f>
        <v>5.0229632206511002E-5</v>
      </c>
      <c r="BJ509" s="416">
        <f ca="1">IF(BJ$504&gt;='2.2 Input_General_Information'!$H$20,$G$495 * VLOOKUP(BJ$504,Growth!$B$128:$L$170, 11, FALSE),)</f>
        <v>3.1695851508684039E-5</v>
      </c>
      <c r="BK509" s="416">
        <f ca="1">IF(BK$504&gt;='2.2 Input_General_Information'!$H$20,$G$495 * VLOOKUP(BK$504,Growth!$B$128:$L$170, 11, FALSE),)</f>
        <v>1.9999999999975594E-5</v>
      </c>
      <c r="BL509" s="416"/>
      <c r="BM509" s="416"/>
      <c r="BN509" s="416"/>
      <c r="BO509" s="416"/>
      <c r="BP509" s="416"/>
      <c r="BQ509" s="416"/>
      <c r="BR509" s="416"/>
      <c r="BS509" s="416"/>
      <c r="BT509" s="416"/>
      <c r="BU509" s="416"/>
    </row>
    <row r="510" spans="1:73">
      <c r="A510" s="6"/>
      <c r="B510" s="97"/>
      <c r="C510" s="37"/>
      <c r="D510" s="37"/>
      <c r="E510" s="10"/>
      <c r="F510" s="10"/>
      <c r="G510" s="244"/>
      <c r="H510" s="244"/>
      <c r="I510" s="244"/>
      <c r="J510" s="244"/>
      <c r="K510" s="244"/>
      <c r="L510" s="244"/>
      <c r="M510" s="244"/>
      <c r="N510" s="244"/>
      <c r="O510" s="10"/>
      <c r="P510" s="10"/>
      <c r="Q510" s="10"/>
      <c r="R510" s="193"/>
      <c r="S510" s="10"/>
      <c r="T510" s="81"/>
      <c r="U510" s="81"/>
      <c r="V510" s="103"/>
      <c r="W510" s="416"/>
      <c r="X510" s="469"/>
      <c r="Y510" s="469"/>
      <c r="Z510" s="469"/>
      <c r="AA510" s="469"/>
      <c r="AB510" s="469"/>
      <c r="AC510" s="469"/>
      <c r="AD510" s="469"/>
      <c r="AE510" s="469"/>
      <c r="AF510" s="469"/>
      <c r="AG510" s="469"/>
      <c r="AH510" s="469"/>
      <c r="AI510" s="469"/>
      <c r="AJ510" s="469"/>
      <c r="AK510" s="469"/>
      <c r="AL510" s="469"/>
      <c r="AM510" s="469"/>
      <c r="AN510" s="469"/>
      <c r="AO510" s="469"/>
      <c r="AP510" s="469"/>
      <c r="AQ510" s="469"/>
      <c r="AR510" s="469"/>
      <c r="AS510" s="469"/>
      <c r="AT510" s="469"/>
      <c r="AU510" s="469"/>
      <c r="AV510" s="469"/>
      <c r="AW510" s="469"/>
      <c r="AX510" s="469"/>
      <c r="AY510" s="469"/>
      <c r="AZ510" s="469"/>
      <c r="BA510" s="469"/>
      <c r="BB510" s="469"/>
      <c r="BC510" s="469"/>
      <c r="BD510" s="469"/>
      <c r="BE510" s="469"/>
      <c r="BF510" s="469"/>
      <c r="BG510" s="469"/>
      <c r="BH510" s="469"/>
      <c r="BI510" s="469"/>
      <c r="BJ510" s="469"/>
      <c r="BK510" s="469"/>
      <c r="BL510" s="469"/>
      <c r="BM510" s="469"/>
      <c r="BN510" s="469"/>
      <c r="BO510" s="469"/>
      <c r="BP510" s="469"/>
      <c r="BQ510" s="469"/>
      <c r="BR510" s="469"/>
      <c r="BS510" s="469"/>
      <c r="BT510" s="469"/>
      <c r="BU510" s="469"/>
    </row>
    <row r="511" spans="1:73">
      <c r="A511" s="6"/>
      <c r="B511" s="97"/>
      <c r="C511" s="37"/>
      <c r="D511" s="37"/>
      <c r="E511" s="10"/>
      <c r="F511" s="10"/>
      <c r="G511" s="244"/>
      <c r="H511" s="244"/>
      <c r="I511" s="244"/>
      <c r="J511" s="244"/>
      <c r="K511" s="244"/>
      <c r="L511" s="244"/>
      <c r="M511" s="244"/>
      <c r="N511" s="244"/>
      <c r="O511" s="10"/>
      <c r="P511" s="10"/>
      <c r="Q511" s="10"/>
      <c r="R511" s="193"/>
      <c r="S511" s="10"/>
      <c r="T511" s="81"/>
      <c r="U511" s="81"/>
      <c r="V511" s="101" t="s">
        <v>932</v>
      </c>
      <c r="W511" s="416">
        <f ca="1">IF(W$504&gt;='2.2 Input_General_Information'!$H$20,SUM(W505:W509),)</f>
        <v>1.0999170000000014</v>
      </c>
      <c r="X511" s="416">
        <f ca="1">IF(X$504&gt;='2.2 Input_General_Information'!$H$20,SUM(X505:X509),)</f>
        <v>1.1529817328266603</v>
      </c>
      <c r="Y511" s="416">
        <f ca="1">IF(Y$504&gt;='2.2 Input_General_Information'!$H$20,SUM(Y505:Y509),)</f>
        <v>1.2110100687478027</v>
      </c>
      <c r="Z511" s="416">
        <f ca="1">IF(Z$504&gt;='2.2 Input_General_Information'!$H$20,SUM(Z505:Z509),)</f>
        <v>1.2726049317810404</v>
      </c>
      <c r="AA511" s="416">
        <f ca="1">IF(AA$504&gt;='2.2 Input_General_Information'!$H$20,SUM(AA505:AA509),)</f>
        <v>1.3359421631303541</v>
      </c>
      <c r="AB511" s="416">
        <f ca="1">IF(AB$504&gt;='2.2 Input_General_Information'!$H$20,SUM(AB505:AB509),)</f>
        <v>1.3989585320210309</v>
      </c>
      <c r="AC511" s="416">
        <f ca="1">IF(AC$504&gt;='2.2 Input_General_Information'!$H$20,SUM(AC505:AC509),)</f>
        <v>1.4595928401677849</v>
      </c>
      <c r="AD511" s="416">
        <f ca="1">IF(AD$504&gt;='2.2 Input_General_Information'!$H$20,SUM(AD505:AD509),)</f>
        <v>1.5160152627690242</v>
      </c>
      <c r="AE511" s="416">
        <f ca="1">IF(AE$504&gt;='2.2 Input_General_Information'!$H$20,SUM(AE505:AE509),)</f>
        <v>1.566782002050803</v>
      </c>
      <c r="AF511" s="416">
        <f ca="1">IF(AF$504&gt;='2.2 Input_General_Information'!$H$20,SUM(AF505:AF509),)</f>
        <v>1.6108781498233342</v>
      </c>
      <c r="AG511" s="416">
        <f ca="1">IF(AG$504&gt;='2.2 Input_General_Information'!$H$20,SUM(AG505:AG509),)</f>
        <v>1.6476457213817222</v>
      </c>
      <c r="AH511" s="416">
        <f ca="1">IF(AH$504&gt;='2.2 Input_General_Information'!$H$20,SUM(AH505:AH509),)</f>
        <v>1.6766190343606311</v>
      </c>
      <c r="AI511" s="416">
        <f ca="1">IF(AI$504&gt;='2.2 Input_General_Information'!$H$20,SUM(AI505:AI509),)</f>
        <v>1.6972992225263823</v>
      </c>
      <c r="AJ511" s="416">
        <f ca="1">IF(AJ$504&gt;='2.2 Input_General_Information'!$H$20,SUM(AJ505:AJ509),)</f>
        <v>1.7089004597585564</v>
      </c>
      <c r="AK511" s="416">
        <f ca="1">IF(AK$504&gt;='2.2 Input_General_Information'!$H$20,SUM(AK505:AK509),)</f>
        <v>1.710109132177811</v>
      </c>
      <c r="AL511" s="416">
        <f ca="1">IF(AL$504&gt;='2.2 Input_General_Information'!$H$20,SUM(AL505:AL509),)</f>
        <v>1.6989350447660863</v>
      </c>
      <c r="AM511" s="416">
        <f ca="1">IF(AM$504&gt;='2.2 Input_General_Information'!$H$20,SUM(AM505:AM509),)</f>
        <v>1.6728150973660811</v>
      </c>
      <c r="AN511" s="416">
        <f ca="1">IF(AN$504&gt;='2.2 Input_General_Information'!$H$20,SUM(AN505:AN509),)</f>
        <v>1.6292237322183758</v>
      </c>
      <c r="AO511" s="416">
        <f ca="1">IF(AO$504&gt;='2.2 Input_General_Information'!$H$20,SUM(AO505:AO509),)</f>
        <v>1.5669980048242917</v>
      </c>
      <c r="AP511" s="416">
        <f ca="1">IF(AP$504&gt;='2.2 Input_General_Information'!$H$20,SUM(AP505:AP509),)</f>
        <v>1.4881209885017805</v>
      </c>
      <c r="AQ511" s="416">
        <f ca="1">IF(AQ$504&gt;='2.2 Input_General_Information'!$H$20,SUM(AQ505:AQ509),)</f>
        <v>1.3988222579072707</v>
      </c>
      <c r="AR511" s="416">
        <f ca="1">IF(AR$504&gt;='2.2 Input_General_Information'!$H$20,SUM(AR505:AR509),)</f>
        <v>1.308516718623995</v>
      </c>
      <c r="AS511" s="416">
        <f ca="1">IF(AS$504&gt;='2.2 Input_General_Information'!$H$20,SUM(AS505:AS509),)</f>
        <v>1.2265664034047277</v>
      </c>
      <c r="AT511" s="416">
        <f ca="1">IF(AT$504&gt;='2.2 Input_General_Information'!$H$20,SUM(AT505:AT509),)</f>
        <v>1.1590418174629906</v>
      </c>
      <c r="AU511" s="416">
        <f ca="1">IF(AU$504&gt;='2.2 Input_General_Information'!$H$20,SUM(AU505:AU509),)</f>
        <v>1.1076599405713086</v>
      </c>
      <c r="AV511" s="416">
        <f ca="1">IF(AV$504&gt;='2.2 Input_General_Information'!$H$20,SUM(AV505:AV509),)</f>
        <v>1.0708851465114826</v>
      </c>
      <c r="AW511" s="416">
        <f ca="1">IF(AW$504&gt;='2.2 Input_General_Information'!$H$20,SUM(AW505:AW509),)</f>
        <v>1.0457172226356048</v>
      </c>
      <c r="AX511" s="416">
        <f ca="1">IF(AX$504&gt;='2.2 Input_General_Information'!$H$20,SUM(AX505:AX509),)</f>
        <v>1.0290295790420589</v>
      </c>
      <c r="AY511" s="416">
        <f ca="1">IF(AY$504&gt;='2.2 Input_General_Information'!$H$20,SUM(AY505:AY509),)</f>
        <v>1.0182070587889465</v>
      </c>
      <c r="AZ511" s="416">
        <f ca="1">IF(AZ$504&gt;='2.2 Input_General_Information'!$H$20,SUM(AZ505:AZ509),)</f>
        <v>1.0112976033533574</v>
      </c>
      <c r="BA511" s="416">
        <f ca="1">IF(BA$504&gt;='2.2 Input_General_Information'!$H$20,SUM(BA505:BA509),)</f>
        <v>1.0069374745001864</v>
      </c>
      <c r="BB511" s="416">
        <f ca="1">IF(BB$504&gt;='2.2 Input_General_Information'!$H$20,SUM(BB505:BB509),)</f>
        <v>1.0042117515636946</v>
      </c>
      <c r="BC511" s="416">
        <f ca="1">IF(BC$504&gt;='2.2 Input_General_Information'!$H$20,SUM(BC505:BC509),)</f>
        <v>1.0025220897845224</v>
      </c>
      <c r="BD511" s="416">
        <f ca="1">IF(BD$504&gt;='2.2 Input_General_Information'!$H$20,SUM(BD505:BD509),)</f>
        <v>1.0014836073607047</v>
      </c>
      <c r="BE511" s="416">
        <f ca="1">IF(BE$504&gt;='2.2 Input_General_Information'!$H$20,SUM(BE505:BE509),)</f>
        <v>1.0008514842188243</v>
      </c>
      <c r="BF511" s="416">
        <f ca="1">IF(BF$504&gt;='2.2 Input_General_Information'!$H$20,SUM(BF505:BF509),)</f>
        <v>1.0004712376096383</v>
      </c>
      <c r="BG511" s="416">
        <f ca="1">IF(BG$504&gt;='2.2 Input_General_Information'!$H$20,SUM(BG505:BG509),)</f>
        <v>1.0002460010805405</v>
      </c>
      <c r="BH511" s="416">
        <f ca="1">IF(BH$504&gt;='2.2 Input_General_Information'!$H$20,SUM(BH505:BH509),)</f>
        <v>1.0001153724092975</v>
      </c>
      <c r="BI511" s="416">
        <f ca="1">IF(BI$504&gt;='2.2 Input_General_Information'!$H$20,SUM(BI505:BI509),)</f>
        <v>1.0000418944459031</v>
      </c>
      <c r="BJ511" s="416">
        <f ca="1">IF(BJ$504&gt;='2.2 Input_General_Information'!$H$20,SUM(BJ505:BJ509),)</f>
        <v>1.0000024796827873</v>
      </c>
      <c r="BK511" s="416">
        <f ca="1">IF(BK$504&gt;='2.2 Input_General_Information'!$H$20,SUM(BK505:BK509),)</f>
        <v>0.99998300000000007</v>
      </c>
      <c r="BL511" s="469"/>
      <c r="BM511" s="469"/>
      <c r="BN511" s="469"/>
      <c r="BO511" s="469"/>
      <c r="BP511" s="469"/>
      <c r="BQ511" s="469"/>
      <c r="BR511" s="469"/>
      <c r="BS511" s="469"/>
      <c r="BT511" s="469"/>
      <c r="BU511" s="469"/>
    </row>
    <row r="512" spans="1:73">
      <c r="A512" s="6"/>
      <c r="B512" s="97"/>
      <c r="C512" s="37"/>
      <c r="D512" s="37"/>
      <c r="E512" s="10"/>
      <c r="F512" s="10"/>
      <c r="G512" s="244"/>
      <c r="H512" s="244"/>
      <c r="I512" s="244"/>
      <c r="J512" s="244"/>
      <c r="K512" s="244"/>
      <c r="L512" s="244"/>
      <c r="M512" s="244"/>
      <c r="N512" s="244"/>
      <c r="O512" s="10"/>
      <c r="P512" s="10"/>
      <c r="Q512" s="10"/>
      <c r="R512" s="193"/>
      <c r="S512" s="10"/>
      <c r="T512" s="101" t="s">
        <v>936</v>
      </c>
      <c r="U512" s="6"/>
      <c r="V512" s="609" t="str">
        <f t="shared" ref="V512:V515" si="80">V505</f>
        <v>machine readable data following standardised formats</v>
      </c>
      <c r="W512" s="416">
        <f ca="1">IF(W$504&gt;='2.2 Input_General_Information'!$H$20,W$505/W$511,)</f>
        <v>0.24547306751327697</v>
      </c>
      <c r="X512" s="416">
        <f ca="1">IF(X$504&gt;='2.2 Input_General_Information'!$H$20,X$505/X$511,)</f>
        <v>0.28024144824764402</v>
      </c>
      <c r="Y512" s="416">
        <f ca="1">IF(Y$504&gt;='2.2 Input_General_Information'!$H$20,Y$505/Y$511,)</f>
        <v>0.31479384982789099</v>
      </c>
      <c r="Z512" s="416">
        <f ca="1">IF(Z$504&gt;='2.2 Input_General_Information'!$H$20,Z$505/Z$511,)</f>
        <v>0.34805401601392649</v>
      </c>
      <c r="AA512" s="416">
        <f ca="1">IF(AA$504&gt;='2.2 Input_General_Information'!$H$20,AA$505/AA$511,)</f>
        <v>0.37910740698942297</v>
      </c>
      <c r="AB512" s="416">
        <f ca="1">IF(AB$504&gt;='2.2 Input_General_Information'!$H$20,AB$505/AB$511,)</f>
        <v>0.4072942492142107</v>
      </c>
      <c r="AC512" s="416">
        <f ca="1">IF(AC$504&gt;='2.2 Input_General_Information'!$H$20,AC$505/AC$511,)</f>
        <v>0.4322481546821127</v>
      </c>
      <c r="AD512" s="416">
        <f ca="1">IF(AD$504&gt;='2.2 Input_General_Information'!$H$20,AD$505/AD$511,)</f>
        <v>0.4538839788955592</v>
      </c>
      <c r="AE512" s="416">
        <f ca="1">IF(AE$504&gt;='2.2 Input_General_Information'!$H$20,AE$505/AE$511,)</f>
        <v>0.47235249374187449</v>
      </c>
      <c r="AF512" s="416">
        <f ca="1">IF(AF$504&gt;='2.2 Input_General_Information'!$H$20,AF$505/AF$511,)</f>
        <v>0.48798386433282065</v>
      </c>
      <c r="AG512" s="416">
        <f ca="1">IF(AG$504&gt;='2.2 Input_General_Information'!$H$20,AG$505/AG$511,)</f>
        <v>0.50123879138562788</v>
      </c>
      <c r="AH512" s="416">
        <f ca="1">IF(AH$504&gt;='2.2 Input_General_Information'!$H$20,AH$505/AH$511,)</f>
        <v>0.51267996490388446</v>
      </c>
      <c r="AI512" s="416">
        <f ca="1">IF(AI$504&gt;='2.2 Input_General_Information'!$H$20,AI$505/AI$511,)</f>
        <v>0.52297072869964734</v>
      </c>
      <c r="AJ512" s="416">
        <f ca="1">IF(AJ$504&gt;='2.2 Input_General_Information'!$H$20,AJ$505/AJ$511,)</f>
        <v>0.53290367059769239</v>
      </c>
      <c r="AK512" s="416">
        <f ca="1">IF(AK$504&gt;='2.2 Input_General_Information'!$H$20,AK$505/AK$511,)</f>
        <v>0.5434576002672058</v>
      </c>
      <c r="AL512" s="416">
        <f ca="1">IF(AL$504&gt;='2.2 Input_General_Information'!$H$20,AL$505/AL$511,)</f>
        <v>0.55587252032346091</v>
      </c>
      <c r="AM512" s="416">
        <f ca="1">IF(AM$504&gt;='2.2 Input_General_Information'!$H$20,AM$505/AM$511,)</f>
        <v>0.57171098995433556</v>
      </c>
      <c r="AN512" s="416">
        <f ca="1">IF(AN$504&gt;='2.2 Input_General_Information'!$H$20,AN$505/AN$511,)</f>
        <v>0.59283235217799457</v>
      </c>
      <c r="AO512" s="416">
        <f ca="1">IF(AO$504&gt;='2.2 Input_General_Information'!$H$20,AO$505/AO$511,)</f>
        <v>0.62114942646702953</v>
      </c>
      <c r="AP512" s="416">
        <f ca="1">IF(AP$504&gt;='2.2 Input_General_Information'!$H$20,AP$505/AP$511,)</f>
        <v>0.65802338638516322</v>
      </c>
      <c r="AQ512" s="416">
        <f ca="1">IF(AQ$504&gt;='2.2 Input_General_Information'!$H$20,AQ$505/AQ$511,)</f>
        <v>0.70332184975324874</v>
      </c>
      <c r="AR512" s="416">
        <f ca="1">IF(AR$504&gt;='2.2 Input_General_Information'!$H$20,AR$505/AR$511,)</f>
        <v>0.75460961321113962</v>
      </c>
      <c r="AS512" s="416">
        <f ca="1">IF(AS$504&gt;='2.2 Input_General_Information'!$H$20,AS$505/AS$511,)</f>
        <v>0.80731421756611599</v>
      </c>
      <c r="AT512" s="416">
        <f ca="1">IF(AT$504&gt;='2.2 Input_General_Information'!$H$20,AT$505/AT$511,)</f>
        <v>0.85623227508608479</v>
      </c>
      <c r="AU512" s="416">
        <f ca="1">IF(AU$504&gt;='2.2 Input_General_Information'!$H$20,AU$505/AU$511,)</f>
        <v>0.89748507299001024</v>
      </c>
      <c r="AV512" s="416">
        <f ca="1">IF(AV$504&gt;='2.2 Input_General_Information'!$H$20,AV$505/AV$511,)</f>
        <v>0.92953841905489198</v>
      </c>
      <c r="AW512" s="416">
        <f ca="1">IF(AW$504&gt;='2.2 Input_General_Information'!$H$20,AW$505/AW$511,)</f>
        <v>0.95289101879150806</v>
      </c>
      <c r="AX512" s="416">
        <f ca="1">IF(AX$504&gt;='2.2 Input_General_Information'!$H$20,AX$505/AX$511,)</f>
        <v>0.96911763414767871</v>
      </c>
      <c r="AY512" s="416">
        <f ca="1">IF(AY$504&gt;='2.2 Input_General_Information'!$H$20,AY$505/AY$511,)</f>
        <v>0.98002509555987694</v>
      </c>
      <c r="AZ512" s="416">
        <f ca="1">IF(AZ$504&gt;='2.2 Input_General_Information'!$H$20,AZ$505/AZ$511,)</f>
        <v>0.98719471569040551</v>
      </c>
      <c r="BA512" s="416">
        <f ca="1">IF(BA$504&gt;='2.2 Input_General_Information'!$H$20,BA$505/BA$511,)</f>
        <v>0.99183839230988424</v>
      </c>
      <c r="BB512" s="416">
        <f ca="1">IF(BB$504&gt;='2.2 Input_General_Information'!$H$20,BB$505/BB$511,)</f>
        <v>0.99481743298796066</v>
      </c>
      <c r="BC512" s="416">
        <f ca="1">IF(BC$504&gt;='2.2 Input_General_Information'!$H$20,BC$505/BC$511,)</f>
        <v>0.99671689651398587</v>
      </c>
      <c r="BD512" s="416">
        <f ca="1">IF(BD$504&gt;='2.2 Input_General_Information'!$H$20,BD$505/BD$511,)</f>
        <v>0.99792330423814279</v>
      </c>
      <c r="BE512" s="416">
        <f ca="1">IF(BE$504&gt;='2.2 Input_General_Information'!$H$20,BE$505/BE$511,)</f>
        <v>0.99868764586687109</v>
      </c>
      <c r="BF512" s="416">
        <f ca="1">IF(BF$504&gt;='2.2 Input_General_Information'!$H$20,BF$505/BF$511,)</f>
        <v>0.9991711576214124</v>
      </c>
      <c r="BG512" s="416">
        <f ca="1">IF(BG$504&gt;='2.2 Input_General_Information'!$H$20,BG$505/BG$511,)</f>
        <v>0.99947672250499442</v>
      </c>
      <c r="BH512" s="416">
        <f ca="1">IF(BH$504&gt;='2.2 Input_General_Information'!$H$20,BH$505/BH$511,)</f>
        <v>0.99966971258157589</v>
      </c>
      <c r="BI512" s="416">
        <f ca="1">IF(BI$504&gt;='2.2 Input_General_Information'!$H$20,BI$505/BI$511,)</f>
        <v>0.99979155575899892</v>
      </c>
      <c r="BJ512" s="416">
        <f ca="1">IF(BJ$504&gt;='2.2 Input_General_Information'!$H$20,BJ$505/BJ$511,)</f>
        <v>0.99986846254241002</v>
      </c>
      <c r="BK512" s="416">
        <f ca="1">IF(BK$504&gt;='2.2 Input_General_Information'!$H$20,BK$505/BK$511,)</f>
        <v>0.99991699858897609</v>
      </c>
      <c r="BL512" s="469"/>
      <c r="BM512" s="469"/>
      <c r="BN512" s="469"/>
      <c r="BO512" s="469"/>
      <c r="BP512" s="469"/>
      <c r="BQ512" s="469"/>
      <c r="BR512" s="469"/>
      <c r="BS512" s="469"/>
      <c r="BT512" s="469"/>
      <c r="BU512" s="469"/>
    </row>
    <row r="513" spans="1:73">
      <c r="A513" s="6"/>
      <c r="B513" s="97"/>
      <c r="C513" s="37"/>
      <c r="D513" s="37"/>
      <c r="E513" s="10"/>
      <c r="F513" s="10"/>
      <c r="G513" s="244"/>
      <c r="H513" s="244"/>
      <c r="I513" s="244"/>
      <c r="J513" s="244"/>
      <c r="K513" s="244"/>
      <c r="L513" s="244"/>
      <c r="M513" s="244"/>
      <c r="N513" s="244"/>
      <c r="O513" s="10"/>
      <c r="P513" s="10"/>
      <c r="Q513" s="10"/>
      <c r="R513" s="193"/>
      <c r="S513" s="10"/>
      <c r="T513" s="101" t="s">
        <v>936</v>
      </c>
      <c r="U513" s="81"/>
      <c r="V513" s="609" t="str">
        <f t="shared" si="80"/>
        <v>machine readable data following proprietary formats</v>
      </c>
      <c r="W513" s="416">
        <f ca="1">IF(W$504&gt;='2.2 Input_General_Information'!$H$20,W$506/W$511,)</f>
        <v>0.28635660690761178</v>
      </c>
      <c r="X513" s="416">
        <f ca="1">IF(X$504&gt;='2.2 Input_General_Information'!$H$20,X$506/X$511,)</f>
        <v>0.27316137807468932</v>
      </c>
      <c r="Y513" s="416">
        <f ca="1">IF(Y$504&gt;='2.2 Input_General_Information'!$H$20,Y$506/Y$511,)</f>
        <v>0.26004811723399318</v>
      </c>
      <c r="Z513" s="416">
        <f ca="1">IF(Z$504&gt;='2.2 Input_General_Information'!$H$20,Z$506/Z$511,)</f>
        <v>0.24742528307905201</v>
      </c>
      <c r="AA513" s="416">
        <f ca="1">IF(AA$504&gt;='2.2 Input_General_Information'!$H$20,AA$506/AA$511,)</f>
        <v>0.23563995999799003</v>
      </c>
      <c r="AB513" s="416">
        <f ca="1">IF(AB$504&gt;='2.2 Input_General_Information'!$H$20,AB$506/AB$511,)</f>
        <v>0.22494254397292004</v>
      </c>
      <c r="AC513" s="416">
        <f ca="1">IF(AC$504&gt;='2.2 Input_General_Information'!$H$20,AC$506/AC$511,)</f>
        <v>0.21547208587365602</v>
      </c>
      <c r="AD513" s="416">
        <f ca="1">IF(AD$504&gt;='2.2 Input_General_Information'!$H$20,AD$506/AD$511,)</f>
        <v>0.20726089957578173</v>
      </c>
      <c r="AE513" s="416">
        <f ca="1">IF(AE$504&gt;='2.2 Input_General_Information'!$H$20,AE$506/AE$511,)</f>
        <v>0.20025176442326451</v>
      </c>
      <c r="AF513" s="416">
        <f ca="1">IF(AF$504&gt;='2.2 Input_General_Information'!$H$20,AF$506/AF$511,)</f>
        <v>0.19431937678935124</v>
      </c>
      <c r="AG513" s="416">
        <f ca="1">IF(AG$504&gt;='2.2 Input_General_Information'!$H$20,AG$506/AG$511,)</f>
        <v>0.18928889242593638</v>
      </c>
      <c r="AH513" s="416">
        <f ca="1">IF(AH$504&gt;='2.2 Input_General_Information'!$H$20,AH$506/AH$511,)</f>
        <v>0.18494676030756191</v>
      </c>
      <c r="AI513" s="416">
        <f ca="1">IF(AI$504&gt;='2.2 Input_General_Information'!$H$20,AI$506/AI$511,)</f>
        <v>0.18104122946941092</v>
      </c>
      <c r="AJ513" s="416">
        <f ca="1">IF(AJ$504&gt;='2.2 Input_General_Information'!$H$20,AJ$506/AJ$511,)</f>
        <v>0.17727149850810467</v>
      </c>
      <c r="AK513" s="416">
        <f ca="1">IF(AK$504&gt;='2.2 Input_General_Information'!$H$20,AK$506/AK$511,)</f>
        <v>0.17326609146485564</v>
      </c>
      <c r="AL513" s="416">
        <f ca="1">IF(AL$504&gt;='2.2 Input_General_Information'!$H$20,AL$506/AL$511,)</f>
        <v>0.16855440493748169</v>
      </c>
      <c r="AM513" s="416">
        <f ca="1">IF(AM$504&gt;='2.2 Input_General_Information'!$H$20,AM$506/AM$511,)</f>
        <v>0.16254341947516174</v>
      </c>
      <c r="AN513" s="416">
        <f ca="1">IF(AN$504&gt;='2.2 Input_General_Information'!$H$20,AN$506/AN$511,)</f>
        <v>0.15452748079991774</v>
      </c>
      <c r="AO513" s="416">
        <f ca="1">IF(AO$504&gt;='2.2 Input_General_Information'!$H$20,AO$506/AO$511,)</f>
        <v>0.14378063935287438</v>
      </c>
      <c r="AP513" s="416">
        <f ca="1">IF(AP$504&gt;='2.2 Input_General_Information'!$H$20,AP$506/AP$511,)</f>
        <v>0.12978630516707665</v>
      </c>
      <c r="AQ513" s="416">
        <f ca="1">IF(AQ$504&gt;='2.2 Input_General_Information'!$H$20,AQ$506/AQ$511,)</f>
        <v>0.11259471967195983</v>
      </c>
      <c r="AR513" s="416">
        <f ca="1">IF(AR$504&gt;='2.2 Input_General_Information'!$H$20,AR$506/AR$511,)</f>
        <v>9.313008655239885E-2</v>
      </c>
      <c r="AS513" s="416">
        <f ca="1">IF(AS$504&gt;='2.2 Input_General_Information'!$H$20,AS$506/AS$511,)</f>
        <v>7.3127736706835436E-2</v>
      </c>
      <c r="AT513" s="416">
        <f ca="1">IF(AT$504&gt;='2.2 Input_General_Information'!$H$20,AT$506/AT$511,)</f>
        <v>5.4562449816726817E-2</v>
      </c>
      <c r="AU513" s="416">
        <f ca="1">IF(AU$504&gt;='2.2 Input_General_Information'!$H$20,AU$506/AU$511,)</f>
        <v>3.8906267479694959E-2</v>
      </c>
      <c r="AV513" s="416">
        <f ca="1">IF(AV$504&gt;='2.2 Input_General_Information'!$H$20,AV$506/AV$511,)</f>
        <v>2.6741443370733715E-2</v>
      </c>
      <c r="AW513" s="416">
        <f ca="1">IF(AW$504&gt;='2.2 Input_General_Information'!$H$20,AW$506/AW$511,)</f>
        <v>1.7878709735752975E-2</v>
      </c>
      <c r="AX513" s="416">
        <f ca="1">IF(AX$504&gt;='2.2 Input_General_Information'!$H$20,AX$506/AX$511,)</f>
        <v>1.172041595600143E-2</v>
      </c>
      <c r="AY513" s="416">
        <f ca="1">IF(AY$504&gt;='2.2 Input_General_Information'!$H$20,AY$506/AY$511,)</f>
        <v>7.5808372272756887E-3</v>
      </c>
      <c r="AZ513" s="416">
        <f ca="1">IF(AZ$504&gt;='2.2 Input_General_Information'!$H$20,AZ$506/AZ$511,)</f>
        <v>4.8598368162918728E-3</v>
      </c>
      <c r="BA513" s="416">
        <f ca="1">IF(BA$504&gt;='2.2 Input_General_Information'!$H$20,BA$506/BA$511,)</f>
        <v>3.0974776173330622E-3</v>
      </c>
      <c r="BB513" s="416">
        <f ca="1">IF(BB$504&gt;='2.2 Input_General_Information'!$H$20,BB$506/BB$511,)</f>
        <v>1.9668778419185979E-3</v>
      </c>
      <c r="BC513" s="416">
        <f ca="1">IF(BC$504&gt;='2.2 Input_General_Information'!$H$20,BC$506/BC$511,)</f>
        <v>1.2459971061379272E-3</v>
      </c>
      <c r="BD513" s="416">
        <f ca="1">IF(BD$504&gt;='2.2 Input_General_Information'!$H$20,BD$506/BD$511,)</f>
        <v>7.8814357227109612E-4</v>
      </c>
      <c r="BE513" s="416">
        <f ca="1">IF(BE$504&gt;='2.2 Input_General_Information'!$H$20,BE$506/BE$511,)</f>
        <v>4.9806211076582497E-4</v>
      </c>
      <c r="BF513" s="416">
        <f ca="1">IF(BF$504&gt;='2.2 Input_General_Information'!$H$20,BF$506/BF$511,)</f>
        <v>3.1456066175303521E-4</v>
      </c>
      <c r="BG513" s="416">
        <f ca="1">IF(BG$504&gt;='2.2 Input_General_Information'!$H$20,BG$506/BG$511,)</f>
        <v>1.9859326617686942E-4</v>
      </c>
      <c r="BH513" s="416">
        <f ca="1">IF(BH$504&gt;='2.2 Input_General_Information'!$H$20,BH$506/BH$511,)</f>
        <v>1.2535004434171415E-4</v>
      </c>
      <c r="BI513" s="416">
        <f ca="1">IF(BI$504&gt;='2.2 Input_General_Information'!$H$20,BI$506/BI$511,)</f>
        <v>7.9108356524491925E-5</v>
      </c>
      <c r="BJ513" s="416">
        <f ca="1">IF(BJ$504&gt;='2.2 Input_General_Information'!$H$20,BJ$506/BJ$511,)</f>
        <v>4.9920842338323885E-5</v>
      </c>
      <c r="BK513" s="416">
        <f ca="1">IF(BK$504&gt;='2.2 Input_General_Information'!$H$20,BK$506/BK$511,)</f>
        <v>3.1500535509065212E-5</v>
      </c>
      <c r="BL513" s="469"/>
      <c r="BM513" s="469"/>
      <c r="BN513" s="469"/>
      <c r="BO513" s="469"/>
      <c r="BP513" s="469"/>
      <c r="BQ513" s="469"/>
      <c r="BR513" s="469"/>
      <c r="BS513" s="469"/>
      <c r="BT513" s="469"/>
      <c r="BU513" s="469"/>
    </row>
    <row r="514" spans="1:73">
      <c r="A514" s="6"/>
      <c r="B514" s="97"/>
      <c r="C514" s="37"/>
      <c r="D514" s="37"/>
      <c r="E514" s="10"/>
      <c r="F514" s="10"/>
      <c r="G514" s="244"/>
      <c r="H514" s="244"/>
      <c r="I514" s="244"/>
      <c r="J514" s="244"/>
      <c r="K514" s="244"/>
      <c r="L514" s="244"/>
      <c r="M514" s="244"/>
      <c r="N514" s="244"/>
      <c r="O514" s="10"/>
      <c r="P514" s="10"/>
      <c r="Q514" s="10"/>
      <c r="R514" s="193"/>
      <c r="S514" s="10"/>
      <c r="T514" s="101" t="s">
        <v>936</v>
      </c>
      <c r="U514" s="81"/>
      <c r="V514" s="609" t="str">
        <f t="shared" si="80"/>
        <v>non-machine readable data</v>
      </c>
      <c r="W514" s="416">
        <f ca="1">IF(W$504&gt;='2.2 Input_General_Information'!$H$20,W$507/W$511,)</f>
        <v>0.24544852020652438</v>
      </c>
      <c r="X514" s="416">
        <f ca="1">IF(X$504&gt;='2.2 Input_General_Information'!$H$20,X$507/X$511,)</f>
        <v>0.23413832406401941</v>
      </c>
      <c r="Y514" s="416">
        <f ca="1">IF(Y$504&gt;='2.2 Input_General_Information'!$H$20,Y$507/Y$511,)</f>
        <v>0.22289838620056557</v>
      </c>
      <c r="Z514" s="416">
        <f ca="1">IF(Z$504&gt;='2.2 Input_General_Information'!$H$20,Z$507/Z$511,)</f>
        <v>0.21207881406775886</v>
      </c>
      <c r="AA514" s="416">
        <f ca="1">IF(AA$504&gt;='2.2 Input_General_Information'!$H$20,AA$507/AA$511,)</f>
        <v>0.20197710856970577</v>
      </c>
      <c r="AB514" s="416">
        <f ca="1">IF(AB$504&gt;='2.2 Input_General_Information'!$H$20,AB$507/AB$511,)</f>
        <v>0.19280789483393149</v>
      </c>
      <c r="AC514" s="416">
        <f ca="1">IF(AC$504&gt;='2.2 Input_General_Information'!$H$20,AC$507/AC$511,)</f>
        <v>0.18469035932027658</v>
      </c>
      <c r="AD514" s="416">
        <f ca="1">IF(AD$504&gt;='2.2 Input_General_Information'!$H$20,AD$507/AD$511,)</f>
        <v>0.17765219963638434</v>
      </c>
      <c r="AE514" s="416">
        <f ca="1">IF(AE$504&gt;='2.2 Input_General_Information'!$H$20,AE$507/AE$511,)</f>
        <v>0.17164436950565531</v>
      </c>
      <c r="AF514" s="416">
        <f ca="1">IF(AF$504&gt;='2.2 Input_General_Information'!$H$20,AF$507/AF$511,)</f>
        <v>0.16655946581944392</v>
      </c>
      <c r="AG514" s="416">
        <f ca="1">IF(AG$504&gt;='2.2 Input_General_Information'!$H$20,AG$507/AG$511,)</f>
        <v>0.16224762207937407</v>
      </c>
      <c r="AH514" s="416">
        <f ca="1">IF(AH$504&gt;='2.2 Input_General_Information'!$H$20,AH$507/AH$511,)</f>
        <v>0.15852579454933879</v>
      </c>
      <c r="AI514" s="416">
        <f ca="1">IF(AI$504&gt;='2.2 Input_General_Information'!$H$20,AI$507/AI$511,)</f>
        <v>0.15517819668806651</v>
      </c>
      <c r="AJ514" s="416">
        <f ca="1">IF(AJ$504&gt;='2.2 Input_General_Information'!$H$20,AJ$507/AJ$511,)</f>
        <v>0.15194699872123257</v>
      </c>
      <c r="AK514" s="416">
        <f ca="1">IF(AK$504&gt;='2.2 Input_General_Information'!$H$20,AK$507/AK$511,)</f>
        <v>0.14851379268416198</v>
      </c>
      <c r="AL514" s="416">
        <f ca="1">IF(AL$504&gt;='2.2 Input_General_Information'!$H$20,AL$507/AL$511,)</f>
        <v>0.1444752042321272</v>
      </c>
      <c r="AM514" s="416">
        <f ca="1">IF(AM$504&gt;='2.2 Input_General_Information'!$H$20,AM$507/AM$511,)</f>
        <v>0.1393229309787101</v>
      </c>
      <c r="AN514" s="416">
        <f ca="1">IF(AN$504&gt;='2.2 Input_General_Information'!$H$20,AN$507/AN$511,)</f>
        <v>0.13245212639992951</v>
      </c>
      <c r="AO514" s="416">
        <f ca="1">IF(AO$504&gt;='2.2 Input_General_Information'!$H$20,AO$507/AO$511,)</f>
        <v>0.12324054801674948</v>
      </c>
      <c r="AP514" s="416">
        <f ca="1">IF(AP$504&gt;='2.2 Input_General_Information'!$H$20,AP$507/AP$511,)</f>
        <v>0.11124540442892283</v>
      </c>
      <c r="AQ514" s="416">
        <f ca="1">IF(AQ$504&gt;='2.2 Input_General_Information'!$H$20,AQ$507/AQ$511,)</f>
        <v>9.6509759718822724E-2</v>
      </c>
      <c r="AR514" s="416">
        <f ca="1">IF(AR$504&gt;='2.2 Input_General_Information'!$H$20,AR$507/AR$511,)</f>
        <v>7.9825788473484732E-2</v>
      </c>
      <c r="AS514" s="416">
        <f ca="1">IF(AS$504&gt;='2.2 Input_General_Information'!$H$20,AS$507/AS$511,)</f>
        <v>6.2680917177287507E-2</v>
      </c>
      <c r="AT514" s="416">
        <f ca="1">IF(AT$504&gt;='2.2 Input_General_Information'!$H$20,AT$507/AT$511,)</f>
        <v>4.6767814128622985E-2</v>
      </c>
      <c r="AU514" s="416">
        <f ca="1">IF(AU$504&gt;='2.2 Input_General_Information'!$H$20,AU$507/AU$511,)</f>
        <v>3.3348229268309965E-2</v>
      </c>
      <c r="AV514" s="416">
        <f ca="1">IF(AV$504&gt;='2.2 Input_General_Information'!$H$20,AV$507/AV$511,)</f>
        <v>2.2921237174914615E-2</v>
      </c>
      <c r="AW514" s="416">
        <f ca="1">IF(AW$504&gt;='2.2 Input_General_Information'!$H$20,AW$507/AW$511,)</f>
        <v>1.5324608344931122E-2</v>
      </c>
      <c r="AX514" s="416">
        <f ca="1">IF(AX$504&gt;='2.2 Input_General_Information'!$H$20,AX$507/AX$511,)</f>
        <v>1.0046070819429797E-2</v>
      </c>
      <c r="AY514" s="416">
        <f ca="1">IF(AY$504&gt;='2.2 Input_General_Information'!$H$20,AY$507/AY$511,)</f>
        <v>6.49786048052202E-3</v>
      </c>
      <c r="AZ514" s="416">
        <f ca="1">IF(AZ$504&gt;='2.2 Input_General_Information'!$H$20,AZ$507/AZ$511,)</f>
        <v>4.1655744139644625E-3</v>
      </c>
      <c r="BA514" s="416">
        <f ca="1">IF(BA$504&gt;='2.2 Input_General_Information'!$H$20,BA$507/BA$511,)</f>
        <v>2.6549808148569106E-3</v>
      </c>
      <c r="BB514" s="416">
        <f ca="1">IF(BB$504&gt;='2.2 Input_General_Information'!$H$20,BB$507/BB$511,)</f>
        <v>1.685895293073084E-3</v>
      </c>
      <c r="BC514" s="416">
        <f ca="1">IF(BC$504&gt;='2.2 Input_General_Information'!$H$20,BC$507/BC$511,)</f>
        <v>1.0679975195467947E-3</v>
      </c>
      <c r="BD514" s="416">
        <f ca="1">IF(BD$504&gt;='2.2 Input_General_Information'!$H$20,BD$507/BD$511,)</f>
        <v>6.7555163337522524E-4</v>
      </c>
      <c r="BE514" s="416">
        <f ca="1">IF(BE$504&gt;='2.2 Input_General_Information'!$H$20,BE$507/BE$511,)</f>
        <v>4.2691038065642139E-4</v>
      </c>
      <c r="BF514" s="416">
        <f ca="1">IF(BF$504&gt;='2.2 Input_General_Information'!$H$20,BF$507/BF$511,)</f>
        <v>2.6962342435974448E-4</v>
      </c>
      <c r="BG514" s="416">
        <f ca="1">IF(BG$504&gt;='2.2 Input_General_Information'!$H$20,BG$507/BG$511,)</f>
        <v>1.7022279958017381E-4</v>
      </c>
      <c r="BH514" s="416">
        <f ca="1">IF(BH$504&gt;='2.2 Input_General_Information'!$H$20,BH$507/BH$511,)</f>
        <v>1.074428951500407E-4</v>
      </c>
      <c r="BI514" s="416">
        <f ca="1">IF(BI$504&gt;='2.2 Input_General_Information'!$H$20,BI$507/BI$511,)</f>
        <v>6.7807162735278794E-5</v>
      </c>
      <c r="BJ514" s="416">
        <f ca="1">IF(BJ$504&gt;='2.2 Input_General_Information'!$H$20,BJ$507/BJ$511,)</f>
        <v>4.278929343284905E-5</v>
      </c>
      <c r="BK514" s="416">
        <f ca="1">IF(BK$504&gt;='2.2 Input_General_Information'!$H$20,BK$507/BK$511,)</f>
        <v>2.7000459007770183E-5</v>
      </c>
      <c r="BL514" s="469"/>
      <c r="BM514" s="469"/>
      <c r="BN514" s="469"/>
      <c r="BO514" s="469"/>
      <c r="BP514" s="469"/>
      <c r="BQ514" s="469"/>
      <c r="BR514" s="469"/>
      <c r="BS514" s="469"/>
      <c r="BT514" s="469"/>
      <c r="BU514" s="469"/>
    </row>
    <row r="515" spans="1:73">
      <c r="A515" s="6"/>
      <c r="B515" s="97"/>
      <c r="C515" s="37"/>
      <c r="D515" s="37"/>
      <c r="E515" s="10"/>
      <c r="F515" s="10"/>
      <c r="G515" s="244"/>
      <c r="H515" s="244"/>
      <c r="I515" s="244"/>
      <c r="J515" s="244"/>
      <c r="K515" s="244"/>
      <c r="L515" s="244"/>
      <c r="M515" s="244"/>
      <c r="N515" s="244"/>
      <c r="O515" s="10"/>
      <c r="P515" s="10"/>
      <c r="Q515" s="10"/>
      <c r="R515" s="193"/>
      <c r="S515" s="10"/>
      <c r="T515" s="81"/>
      <c r="U515" s="81"/>
      <c r="V515" s="609" t="str">
        <f t="shared" si="80"/>
        <v>non-machine readable data in PDF or similar formats</v>
      </c>
      <c r="W515" s="416">
        <f ca="1">IF(W$504&gt;='2.2 Input_General_Information'!$H$20,W508/W$511,)</f>
        <v>4.0908086701087393E-2</v>
      </c>
      <c r="X515" s="416">
        <f ca="1">IF(X$504&gt;='2.2 Input_General_Information'!$H$20,X508/X$511,)</f>
        <v>3.9023054010669904E-2</v>
      </c>
      <c r="Y515" s="416">
        <f ca="1">IF(Y$504&gt;='2.2 Input_General_Information'!$H$20,Y508/Y$511,)</f>
        <v>3.7149731033427592E-2</v>
      </c>
      <c r="Z515" s="416">
        <f ca="1">IF(Z$504&gt;='2.2 Input_General_Information'!$H$20,Z508/Z$511,)</f>
        <v>3.5346469011293138E-2</v>
      </c>
      <c r="AA515" s="416">
        <f ca="1">IF(AA$504&gt;='2.2 Input_General_Information'!$H$20,AA508/AA$511,)</f>
        <v>3.3662851428284291E-2</v>
      </c>
      <c r="AB515" s="416">
        <f ca="1">IF(AB$504&gt;='2.2 Input_General_Information'!$H$20,AB508/AB$511,)</f>
        <v>3.2134649138988572E-2</v>
      </c>
      <c r="AC515" s="416">
        <f ca="1">IF(AC$504&gt;='2.2 Input_General_Information'!$H$20,AC508/AC$511,)</f>
        <v>3.0781726553379428E-2</v>
      </c>
      <c r="AD515" s="416">
        <f ca="1">IF(AD$504&gt;='2.2 Input_General_Information'!$H$20,AD508/AD$511,)</f>
        <v>2.9608699939397388E-2</v>
      </c>
      <c r="AE515" s="416">
        <f ca="1">IF(AE$504&gt;='2.2 Input_General_Information'!$H$20,AE508/AE$511,)</f>
        <v>2.8607394917609216E-2</v>
      </c>
      <c r="AF515" s="416">
        <f ca="1">IF(AF$504&gt;='2.2 Input_General_Information'!$H$20,AF508/AF$511,)</f>
        <v>2.7759910969907316E-2</v>
      </c>
      <c r="AG515" s="416">
        <f ca="1">IF(AG$504&gt;='2.2 Input_General_Information'!$H$20,AG508/AG$511,)</f>
        <v>2.7041270346562337E-2</v>
      </c>
      <c r="AH515" s="416">
        <f ca="1">IF(AH$504&gt;='2.2 Input_General_Information'!$H$20,AH508/AH$511,)</f>
        <v>2.6420965758223131E-2</v>
      </c>
      <c r="AI515" s="416">
        <f ca="1">IF(AI$504&gt;='2.2 Input_General_Information'!$H$20,AI508/AI$511,)</f>
        <v>2.5863032781344417E-2</v>
      </c>
      <c r="AJ515" s="416">
        <f ca="1">IF(AJ$504&gt;='2.2 Input_General_Information'!$H$20,AJ508/AJ$511,)</f>
        <v>2.5324499786872099E-2</v>
      </c>
      <c r="AK515" s="416">
        <f ca="1">IF(AK$504&gt;='2.2 Input_General_Information'!$H$20,AK508/AK$511,)</f>
        <v>2.4752298780693658E-2</v>
      </c>
      <c r="AL515" s="416">
        <f ca="1">IF(AL$504&gt;='2.2 Input_General_Information'!$H$20,AL508/AL$511,)</f>
        <v>2.4079200705354527E-2</v>
      </c>
      <c r="AM515" s="416">
        <f ca="1">IF(AM$504&gt;='2.2 Input_General_Information'!$H$20,AM508/AM$511,)</f>
        <v>2.3220488496451679E-2</v>
      </c>
      <c r="AN515" s="416">
        <f ca="1">IF(AN$504&gt;='2.2 Input_General_Information'!$H$20,AN508/AN$511,)</f>
        <v>2.2075354399988249E-2</v>
      </c>
      <c r="AO515" s="416">
        <f ca="1">IF(AO$504&gt;='2.2 Input_General_Information'!$H$20,AO508/AO$511,)</f>
        <v>2.0540091336124913E-2</v>
      </c>
      <c r="AP515" s="416">
        <f ca="1">IF(AP$504&gt;='2.2 Input_General_Information'!$H$20,AP508/AP$511,)</f>
        <v>1.8540900738153804E-2</v>
      </c>
      <c r="AQ515" s="416">
        <f ca="1">IF(AQ$504&gt;='2.2 Input_General_Information'!$H$20,AQ508/AQ$511,)</f>
        <v>1.6084959953137117E-2</v>
      </c>
      <c r="AR515" s="416">
        <f ca="1">IF(AR$504&gt;='2.2 Input_General_Information'!$H$20,AR508/AR$511,)</f>
        <v>1.3304298078914119E-2</v>
      </c>
      <c r="AS515" s="416">
        <f ca="1">IF(AS$504&gt;='2.2 Input_General_Information'!$H$20,AS508/AS$511,)</f>
        <v>1.0446819529547919E-2</v>
      </c>
      <c r="AT515" s="416">
        <f ca="1">IF(AT$504&gt;='2.2 Input_General_Information'!$H$20,AT508/AT$511,)</f>
        <v>7.7946356881038311E-3</v>
      </c>
      <c r="AU515" s="416">
        <f ca="1">IF(AU$504&gt;='2.2 Input_General_Information'!$H$20,AU508/AU$511,)</f>
        <v>5.5580382113849941E-3</v>
      </c>
      <c r="AV515" s="416">
        <f ca="1">IF(AV$504&gt;='2.2 Input_General_Information'!$H$20,AV508/AV$511,)</f>
        <v>3.8202061958191023E-3</v>
      </c>
      <c r="AW515" s="416">
        <f ca="1">IF(AW$504&gt;='2.2 Input_General_Information'!$H$20,AW508/AW$511,)</f>
        <v>2.5541013908218536E-3</v>
      </c>
      <c r="AX515" s="416">
        <f ca="1">IF(AX$504&gt;='2.2 Input_General_Information'!$H$20,AX508/AX$511,)</f>
        <v>1.6743451365716327E-3</v>
      </c>
      <c r="AY515" s="416">
        <f ca="1">IF(AY$504&gt;='2.2 Input_General_Information'!$H$20,AY508/AY$511,)</f>
        <v>1.0829767467536698E-3</v>
      </c>
      <c r="AZ515" s="416">
        <f ca="1">IF(AZ$504&gt;='2.2 Input_General_Information'!$H$20,AZ508/AZ$511,)</f>
        <v>6.9426240232741039E-4</v>
      </c>
      <c r="BA515" s="416">
        <f ca="1">IF(BA$504&gt;='2.2 Input_General_Information'!$H$20,BA508/BA$511,)</f>
        <v>4.4249680247615168E-4</v>
      </c>
      <c r="BB515" s="416">
        <f ca="1">IF(BB$504&gt;='2.2 Input_General_Information'!$H$20,BB508/BB$511,)</f>
        <v>2.8098254884551395E-4</v>
      </c>
      <c r="BC515" s="416">
        <f ca="1">IF(BC$504&gt;='2.2 Input_General_Information'!$H$20,BC508/BC$511,)</f>
        <v>1.7799958659113244E-4</v>
      </c>
      <c r="BD515" s="416">
        <f ca="1">IF(BD$504&gt;='2.2 Input_General_Information'!$H$20,BD508/BD$511,)</f>
        <v>1.1259193889587086E-4</v>
      </c>
      <c r="BE515" s="416">
        <f ca="1">IF(BE$504&gt;='2.2 Input_General_Information'!$H$20,BE508/BE$511,)</f>
        <v>7.1151730109403555E-5</v>
      </c>
      <c r="BF515" s="416">
        <f ca="1">IF(BF$504&gt;='2.2 Input_General_Information'!$H$20,BF508/BF$511,)</f>
        <v>4.4937237393290742E-5</v>
      </c>
      <c r="BG515" s="416">
        <f ca="1">IF(BG$504&gt;='2.2 Input_General_Information'!$H$20,BG508/BG$511,)</f>
        <v>2.8370466596695632E-5</v>
      </c>
      <c r="BH515" s="416">
        <f ca="1">IF(BH$504&gt;='2.2 Input_General_Information'!$H$20,BH508/BH$511,)</f>
        <v>1.7907149191673447E-5</v>
      </c>
      <c r="BI515" s="416">
        <f ca="1">IF(BI$504&gt;='2.2 Input_General_Information'!$H$20,BI508/BI$511,)</f>
        <v>1.1301193789213132E-5</v>
      </c>
      <c r="BJ515" s="416">
        <f ca="1">IF(BJ$504&gt;='2.2 Input_General_Information'!$H$20,BJ508/BJ$511,)</f>
        <v>7.1315489054748408E-6</v>
      </c>
      <c r="BK515" s="416">
        <f ca="1">IF(BK$504&gt;='2.2 Input_General_Information'!$H$20,BK508/BK$511,)</f>
        <v>4.5000765012950297E-6</v>
      </c>
      <c r="BL515" s="469"/>
      <c r="BM515" s="469"/>
      <c r="BN515" s="469"/>
      <c r="BO515" s="469"/>
      <c r="BP515" s="469"/>
      <c r="BQ515" s="469"/>
      <c r="BR515" s="469"/>
      <c r="BS515" s="469"/>
      <c r="BT515" s="469"/>
      <c r="BU515" s="469"/>
    </row>
    <row r="516" spans="1:73">
      <c r="A516" s="6"/>
      <c r="B516" s="97"/>
      <c r="C516" s="37"/>
      <c r="D516" s="37"/>
      <c r="E516" s="10"/>
      <c r="F516" s="10"/>
      <c r="G516" s="244"/>
      <c r="H516" s="244"/>
      <c r="I516" s="244"/>
      <c r="J516" s="244"/>
      <c r="K516" s="244"/>
      <c r="L516" s="244"/>
      <c r="M516" s="244"/>
      <c r="N516" s="244"/>
      <c r="O516" s="10"/>
      <c r="P516" s="10"/>
      <c r="Q516" s="10"/>
      <c r="R516" s="193"/>
      <c r="S516" s="10"/>
      <c r="T516" s="81"/>
      <c r="U516" s="81"/>
      <c r="V516" s="101"/>
      <c r="W516" s="416"/>
      <c r="X516" s="469"/>
      <c r="Y516" s="469"/>
      <c r="Z516" s="469"/>
      <c r="AA516" s="469"/>
      <c r="AB516" s="469"/>
      <c r="AC516" s="469"/>
      <c r="AD516" s="469"/>
      <c r="AE516" s="469"/>
      <c r="AF516" s="469"/>
      <c r="AG516" s="469"/>
      <c r="AH516" s="469"/>
      <c r="AI516" s="469"/>
      <c r="AJ516" s="469"/>
      <c r="AK516" s="469"/>
      <c r="AL516" s="469"/>
      <c r="AM516" s="469"/>
      <c r="AN516" s="469"/>
      <c r="AO516" s="469"/>
      <c r="AP516" s="469"/>
      <c r="AQ516" s="469"/>
      <c r="AR516" s="469"/>
      <c r="AS516" s="469"/>
      <c r="AT516" s="469"/>
      <c r="AU516" s="469"/>
      <c r="AV516" s="469"/>
      <c r="AW516" s="469"/>
      <c r="AX516" s="469"/>
      <c r="AY516" s="469"/>
      <c r="AZ516" s="469"/>
      <c r="BA516" s="469"/>
      <c r="BB516" s="469"/>
      <c r="BC516" s="469"/>
      <c r="BD516" s="469"/>
      <c r="BE516" s="469"/>
      <c r="BF516" s="469"/>
      <c r="BG516" s="469"/>
      <c r="BH516" s="469"/>
      <c r="BI516" s="469"/>
      <c r="BJ516" s="469"/>
      <c r="BK516" s="469"/>
      <c r="BL516" s="469"/>
      <c r="BM516" s="469"/>
      <c r="BN516" s="469"/>
      <c r="BO516" s="469"/>
      <c r="BP516" s="469"/>
      <c r="BQ516" s="469"/>
      <c r="BR516" s="469"/>
      <c r="BS516" s="469"/>
      <c r="BT516" s="469"/>
      <c r="BU516" s="469"/>
    </row>
    <row r="517" spans="1:73">
      <c r="A517" s="6"/>
      <c r="B517" s="97"/>
      <c r="C517" s="37"/>
      <c r="D517" s="37"/>
      <c r="E517" s="10"/>
      <c r="F517" s="10"/>
      <c r="G517" s="244"/>
      <c r="H517" s="244"/>
      <c r="I517" s="244"/>
      <c r="J517" s="244"/>
      <c r="K517" s="244"/>
      <c r="L517" s="244"/>
      <c r="M517" s="244"/>
      <c r="N517" s="244"/>
      <c r="O517" s="10"/>
      <c r="P517" s="10"/>
      <c r="Q517" s="10"/>
      <c r="R517" s="193"/>
      <c r="S517" s="10"/>
      <c r="T517" s="101" t="s">
        <v>449</v>
      </c>
      <c r="U517" s="81"/>
      <c r="V517" s="103" t="str">
        <f t="shared" ref="V517:V520" si="81">V512</f>
        <v>machine readable data following standardised formats</v>
      </c>
      <c r="W517" s="469">
        <f ca="1">IF($G$491=0,0,IF(W$504&lt;'2.2 Input_General_Information'!$H$20, ,IF(W$504='2.2 Input_General_Information'!$H$20,$H$491,V517/V512*W512)))</f>
        <v>0.2</v>
      </c>
      <c r="X517" s="469">
        <f ca="1">IF($G$491=0,0,IF(X$504&lt;'2.2 Input_General_Information'!$H$20, ,IF(X$504='2.2 Input_General_Information'!$H$20,$H$491,W517/W512*X512)))</f>
        <v>0.22832765409792791</v>
      </c>
      <c r="Y517" s="469">
        <f ca="1">IF($G$491=0,0,IF(Y$504&lt;'2.2 Input_General_Information'!$H$20, ,IF(Y$504='2.2 Input_General_Information'!$H$20,$H$491,X517/X512*Y512)))</f>
        <v>0.25647933846010595</v>
      </c>
      <c r="Z517" s="469">
        <f ca="1">IF($G$491=0,0,IF(Z$504&lt;'2.2 Input_General_Information'!$H$20, ,IF(Z$504='2.2 Input_General_Information'!$H$20,$H$491,Y517/Y512*Z512)))</f>
        <v>0.28357816972739891</v>
      </c>
      <c r="AA517" s="469">
        <f ca="1">IF($G$491=0,0,IF(AA$504&lt;'2.2 Input_General_Information'!$H$20, ,IF(AA$504='2.2 Input_General_Information'!$H$20,$H$491,Z517/Z512*AA512)))</f>
        <v>0.30887902353598784</v>
      </c>
      <c r="AB517" s="469">
        <f ca="1">IF($G$491=0,0,IF(AB$504&lt;'2.2 Input_General_Information'!$H$20, ,IF(AB$504='2.2 Input_General_Information'!$H$20,$H$491,AA517/AA512*AB512)))</f>
        <v>0.33184434719477435</v>
      </c>
      <c r="AC517" s="469">
        <f ca="1">IF($G$491=0,0,IF(AC$504&lt;'2.2 Input_General_Information'!$H$20, ,IF(AC$504='2.2 Input_General_Information'!$H$20,$H$491,AB517/AB512*AC512)))</f>
        <v>0.35217562485443227</v>
      </c>
      <c r="AD517" s="469">
        <f ca="1">IF($G$491=0,0,IF(AD$504&lt;'2.2 Input_General_Information'!$H$20, ,IF(AD$504='2.2 Input_General_Information'!$H$20,$H$491,AC517/AC512*AD512)))</f>
        <v>0.36980348475175179</v>
      </c>
      <c r="AE517" s="469">
        <f ca="1">IF($G$491=0,0,IF(AE$504&lt;'2.2 Input_General_Information'!$H$20, ,IF(AE$504='2.2 Input_General_Information'!$H$20,$H$491,AD517/AD512*AE512)))</f>
        <v>0.38485076878450325</v>
      </c>
      <c r="AF517" s="469">
        <f ca="1">IF($G$491=0,0,IF(AF$504&lt;'2.2 Input_General_Information'!$H$20, ,IF(AF$504='2.2 Input_General_Information'!$H$20,$H$491,AE517/AE512*AF512)))</f>
        <v>0.3975864800780452</v>
      </c>
      <c r="AG517" s="469">
        <f ca="1">IF($G$491=0,0,IF(AG$504&lt;'2.2 Input_General_Information'!$H$20, ,IF(AG$504='2.2 Input_General_Information'!$H$20,$H$491,AF517/AF512*AG512)))</f>
        <v>0.40838597607741006</v>
      </c>
      <c r="AH517" s="469">
        <f ca="1">IF($G$491=0,0,IF(AH$504&lt;'2.2 Input_General_Information'!$H$20, ,IF(AH$504='2.2 Input_General_Information'!$H$20,$H$491,AG517/AG512*AH512)))</f>
        <v>0.41770771033865461</v>
      </c>
      <c r="AI517" s="469">
        <f ca="1">IF($G$491=0,0,IF(AI$504&lt;'2.2 Input_General_Information'!$H$20, ,IF(AI$504='2.2 Input_General_Information'!$H$20,$H$491,AH517/AH512*AI512)))</f>
        <v>0.42609214444379839</v>
      </c>
      <c r="AJ517" s="469">
        <f ca="1">IF($G$491=0,0,IF(AJ$504&lt;'2.2 Input_General_Information'!$H$20, ,IF(AJ$504='2.2 Input_General_Information'!$H$20,$H$491,AI517/AI512*AJ512)))</f>
        <v>0.43418504196503688</v>
      </c>
      <c r="AK517" s="469">
        <f ca="1">IF($G$491=0,0,IF(AK$504&lt;'2.2 Input_General_Information'!$H$20, ,IF(AK$504='2.2 Input_General_Information'!$H$20,$H$491,AJ517/AJ512*AK512)))</f>
        <v>0.44278389134303847</v>
      </c>
      <c r="AL517" s="469">
        <f ca="1">IF($G$491=0,0,IF(AL$504&lt;'2.2 Input_General_Information'!$H$20, ,IF(AL$504='2.2 Input_General_Information'!$H$20,$H$491,AK517/AK512*AL512)))</f>
        <v>0.45289898884193913</v>
      </c>
      <c r="AM517" s="469">
        <f ca="1">IF($G$491=0,0,IF(AM$504&lt;'2.2 Input_General_Information'!$H$20, ,IF(AM$504='2.2 Input_General_Information'!$H$20,$H$491,AL517/AL512*AM512)))</f>
        <v>0.46580343476859298</v>
      </c>
      <c r="AN517" s="469">
        <f ca="1">IF($G$491=0,0,IF(AN$504&lt;'2.2 Input_General_Information'!$H$20, ,IF(AN$504='2.2 Input_General_Information'!$H$20,$H$491,AM517/AM512*AN512)))</f>
        <v>0.48301213504485985</v>
      </c>
      <c r="AO517" s="469">
        <f ca="1">IF($G$491=0,0,IF(AO$504&lt;'2.2 Input_General_Information'!$H$20, ,IF(AO$504='2.2 Input_General_Information'!$H$20,$H$491,AN517/AN512*AO512)))</f>
        <v>0.50608356571209856</v>
      </c>
      <c r="AP517" s="469">
        <f ca="1">IF($G$491=0,0,IF(AP$504&lt;'2.2 Input_General_Information'!$H$20, ,IF(AP$504='2.2 Input_General_Information'!$H$20,$H$491,AO517/AO512*AP512)))</f>
        <v>0.53612674746859756</v>
      </c>
      <c r="AQ517" s="469">
        <f ca="1">IF($G$491=0,0,IF(AQ$504&lt;'2.2 Input_General_Information'!$H$20, ,IF(AQ$504='2.2 Input_General_Information'!$H$20,$H$491,AP517/AP512*AQ512)))</f>
        <v>0.57303382149262294</v>
      </c>
      <c r="AR517" s="469">
        <f ca="1">IF($G$491=0,0,IF(AR$504&lt;'2.2 Input_General_Information'!$H$20, ,IF(AR$504='2.2 Input_General_Information'!$H$20,$H$491,AQ517/AQ512*AR512)))</f>
        <v>0.61482069772915082</v>
      </c>
      <c r="AS517" s="469">
        <f ca="1">IF($G$491=0,0,IF(AS$504&lt;'2.2 Input_General_Information'!$H$20, ,IF(AS$504='2.2 Input_General_Information'!$H$20,$H$491,AR517/AR512*AS512)))</f>
        <v>0.65776194980938218</v>
      </c>
      <c r="AT517" s="469">
        <f ca="1">IF($G$491=0,0,IF(AT$504&lt;'2.2 Input_General_Information'!$H$20, ,IF(AT$504='2.2 Input_General_Information'!$H$20,$H$491,AS517/AS512*AT512)))</f>
        <v>0.69761810023396831</v>
      </c>
      <c r="AU517" s="469">
        <f ca="1">IF($G$491=0,0,IF(AU$504&lt;'2.2 Input_General_Information'!$H$20, ,IF(AU$504='2.2 Input_General_Information'!$H$20,$H$491,AT517/AT512*AU512)))</f>
        <v>0.73122895483551786</v>
      </c>
      <c r="AV517" s="469">
        <f ca="1">IF($G$491=0,0,IF(AV$504&lt;'2.2 Input_General_Information'!$H$20, ,IF(AV$504='2.2 Input_General_Information'!$H$20,$H$491,AU517/AU512*AV512)))</f>
        <v>0.7573445253863671</v>
      </c>
      <c r="AW517" s="469">
        <f ca="1">IF($G$491=0,0,IF(AW$504&lt;'2.2 Input_General_Information'!$H$20, ,IF(AW$504='2.2 Input_General_Information'!$H$20,$H$491,AV517/AV512*AW512)))</f>
        <v>0.7763711338637741</v>
      </c>
      <c r="AX517" s="469">
        <f ca="1">IF($G$491=0,0,IF(AX$504&lt;'2.2 Input_General_Information'!$H$20, ,IF(AX$504='2.2 Input_General_Information'!$H$20,$H$491,AW517/AW512*AX512)))</f>
        <v>0.78959182281393192</v>
      </c>
      <c r="AY517" s="469">
        <f ca="1">IF($G$491=0,0,IF(AY$504&lt;'2.2 Input_General_Information'!$H$20, ,IF(AY$504='2.2 Input_General_Information'!$H$20,$H$491,AX517/AX512*AY512)))</f>
        <v>0.79847871335772513</v>
      </c>
      <c r="AZ517" s="469">
        <f ca="1">IF($G$491=0,0,IF(AZ$504&lt;'2.2 Input_General_Information'!$H$20, ,IF(AZ$504='2.2 Input_General_Information'!$H$20,$H$491,AY517/AY512*AZ512)))</f>
        <v>0.80432018525780702</v>
      </c>
      <c r="BA517" s="469">
        <f ca="1">IF($G$491=0,0,IF(BA$504&lt;'2.2 Input_General_Information'!$H$20, ,IF(BA$504='2.2 Input_General_Information'!$H$20,$H$491,AZ517/AZ512*BA512)))</f>
        <v>0.80810363626244941</v>
      </c>
      <c r="BB517" s="469">
        <f ca="1">IF($G$491=0,0,IF(BB$504&lt;'2.2 Input_General_Information'!$H$20, ,IF(BB$504='2.2 Input_General_Information'!$H$20,$H$491,BA517/BA512*BB512)))</f>
        <v>0.81053081958504769</v>
      </c>
      <c r="BC517" s="469">
        <f ca="1">IF($G$491=0,0,IF(BC$504&lt;'2.2 Input_General_Information'!$H$20, ,IF(BC$504='2.2 Input_General_Information'!$H$20,$H$491,BB517/BB512*BC512)))</f>
        <v>0.81207841382442181</v>
      </c>
      <c r="BD517" s="469">
        <f ca="1">IF($G$491=0,0,IF(BD$504&lt;'2.2 Input_General_Information'!$H$20, ,IF(BD$504='2.2 Input_General_Information'!$H$20,$H$491,BC517/BC512*BD512)))</f>
        <v>0.81306133853903773</v>
      </c>
      <c r="BE517" s="469">
        <f ca="1">IF($G$491=0,0,IF(BE$504&lt;'2.2 Input_General_Information'!$H$20, ,IF(BE$504='2.2 Input_General_Information'!$H$20,$H$491,BD517/BD512*BE512)))</f>
        <v>0.81368408842884954</v>
      </c>
      <c r="BF517" s="469">
        <f ca="1">IF($G$491=0,0,IF(BF$504&lt;'2.2 Input_General_Information'!$H$20, ,IF(BF$504='2.2 Input_General_Information'!$H$20,$H$491,BE517/BE512*BF512)))</f>
        <v>0.81407803124256795</v>
      </c>
      <c r="BG517" s="469">
        <f ca="1">IF($G$491=0,0,IF(BG$504&lt;'2.2 Input_General_Information'!$H$20, ,IF(BG$504='2.2 Input_General_Information'!$H$20,$H$491,BF517/BF512*BG512)))</f>
        <v>0.81432699125001595</v>
      </c>
      <c r="BH517" s="469">
        <f ca="1">IF($G$491=0,0,IF(BH$504&lt;'2.2 Input_General_Information'!$H$20, ,IF(BH$504='2.2 Input_General_Information'!$H$20,$H$491,BG517/BG512*BH512)))</f>
        <v>0.81448423055821095</v>
      </c>
      <c r="BI517" s="469">
        <f ca="1">IF($G$491=0,0,IF(BI$504&lt;'2.2 Input_General_Information'!$H$20, ,IF(BI$504='2.2 Input_General_Information'!$H$20,$H$491,BH517/BH512*BI512)))</f>
        <v>0.81458350269316038</v>
      </c>
      <c r="BJ517" s="469">
        <f ca="1">IF($G$491=0,0,IF(BJ$504&lt;'2.2 Input_General_Information'!$H$20, ,IF(BJ$504='2.2 Input_General_Information'!$H$20,$H$491,BI517/BI512*BJ512)))</f>
        <v>0.81464616275130053</v>
      </c>
      <c r="BK517" s="469">
        <f ca="1">IF($G$491=0,0,IF(BK$504&lt;'2.2 Input_General_Information'!$H$20, ,IF(BK$504='2.2 Input_General_Information'!$H$20,$H$491,BJ517/BJ512*BK512)))</f>
        <v>0.81468570765702697</v>
      </c>
      <c r="BL517" s="469"/>
      <c r="BM517" s="469"/>
      <c r="BN517" s="469"/>
      <c r="BO517" s="469"/>
      <c r="BP517" s="469"/>
      <c r="BQ517" s="469"/>
      <c r="BR517" s="469"/>
      <c r="BS517" s="469"/>
      <c r="BT517" s="469"/>
      <c r="BU517" s="469"/>
    </row>
    <row r="518" spans="1:73">
      <c r="A518" s="6"/>
      <c r="B518" s="97"/>
      <c r="C518" s="37"/>
      <c r="D518" s="37"/>
      <c r="E518" s="10"/>
      <c r="F518" s="10"/>
      <c r="G518" s="244"/>
      <c r="H518" s="244"/>
      <c r="I518" s="244"/>
      <c r="J518" s="244"/>
      <c r="K518" s="244"/>
      <c r="L518" s="244"/>
      <c r="M518" s="244"/>
      <c r="N518" s="244"/>
      <c r="O518" s="10"/>
      <c r="P518" s="10"/>
      <c r="Q518" s="10"/>
      <c r="R518" s="193"/>
      <c r="S518" s="10"/>
      <c r="T518" s="101" t="s">
        <v>449</v>
      </c>
      <c r="U518" s="81"/>
      <c r="V518" s="103" t="str">
        <f t="shared" si="81"/>
        <v>machine readable data following proprietary formats</v>
      </c>
      <c r="W518" s="469">
        <f ca="1">IF($G$492=0,0,IF(W$504&lt;'2.2 Input_General_Information'!$H$20, ,IF(W$504='2.2 Input_General_Information'!$H$20,$H$492,V518/V513*W513)))</f>
        <v>0.3</v>
      </c>
      <c r="X518" s="469">
        <f ca="1">IF($G$492=0,0,IF(X$504&lt;'2.2 Input_General_Information'!$H$20, ,IF(X$504='2.2 Input_General_Information'!$H$20,$H$492,W518/W513*X513)))</f>
        <v>0.2861760875971201</v>
      </c>
      <c r="Y518" s="469">
        <f ca="1">IF($G$492=0,0,IF(Y$504&lt;'2.2 Input_General_Information'!$H$20, ,IF(Y$504='2.2 Input_General_Information'!$H$20,$H$492,X518/X513*Y513)))</f>
        <v>0.27243804853215076</v>
      </c>
      <c r="Z518" s="469">
        <f ca="1">IF($G$492=0,0,IF(Z$504&lt;'2.2 Input_General_Information'!$H$20, ,IF(Z$504='2.2 Input_General_Information'!$H$20,$H$492,Y518/Y513*Z513)))</f>
        <v>0.25921380241687214</v>
      </c>
      <c r="AA518" s="469">
        <f ca="1">IF($G$492=0,0,IF(AA$504&lt;'2.2 Input_General_Information'!$H$20, ,IF(AA$504='2.2 Input_General_Information'!$H$20,$H$492,Z518/Z513*AA513)))</f>
        <v>0.24686697039333411</v>
      </c>
      <c r="AB518" s="469">
        <f ca="1">IF($G$492=0,0,IF(AB$504&lt;'2.2 Input_General_Information'!$H$20, ,IF(AB$504='2.2 Input_General_Information'!$H$20,$H$492,AA518/AA513*AB513)))</f>
        <v>0.23565987850124306</v>
      </c>
      <c r="AC518" s="469">
        <f ca="1">IF($G$492=0,0,IF(AC$504&lt;'2.2 Input_General_Information'!$H$20, ,IF(AC$504='2.2 Input_General_Information'!$H$20,$H$492,AB518/AB513*AC513)))</f>
        <v>0.22573820265635552</v>
      </c>
      <c r="AD518" s="469">
        <f ca="1">IF($G$492=0,0,IF(AD$504&lt;'2.2 Input_General_Information'!$H$20, ,IF(AD$504='2.2 Input_General_Information'!$H$20,$H$492,AC518/AC513*AD513)))</f>
        <v>0.21713579632124677</v>
      </c>
      <c r="AE518" s="469">
        <f ca="1">IF($G$492=0,0,IF(AE$504&lt;'2.2 Input_General_Information'!$H$20, ,IF(AE$504='2.2 Input_General_Information'!$H$20,$H$492,AD518/AD513*AE513)))</f>
        <v>0.20979271257520427</v>
      </c>
      <c r="AF518" s="469">
        <f ca="1">IF($G$492=0,0,IF(AF$504&lt;'2.2 Input_General_Information'!$H$20, ,IF(AF$504='2.2 Input_General_Information'!$H$20,$H$492,AE518/AE513*AF513)))</f>
        <v>0.20357767772969021</v>
      </c>
      <c r="AG518" s="469">
        <f ca="1">IF($G$492=0,0,IF(AG$504&lt;'2.2 Input_General_Information'!$H$20, ,IF(AG$504='2.2 Input_General_Information'!$H$20,$H$492,AF518/AF513*AG513)))</f>
        <v>0.19830751712357797</v>
      </c>
      <c r="AH518" s="469">
        <f ca="1">IF($G$492=0,0,IF(AH$504&lt;'2.2 Input_General_Information'!$H$20, ,IF(AH$504='2.2 Input_General_Information'!$H$20,$H$492,AG518/AG513*AH513)))</f>
        <v>0.19375850514309792</v>
      </c>
      <c r="AI518" s="469">
        <f ca="1">IF($G$492=0,0,IF(AI$504&lt;'2.2 Input_General_Information'!$H$20, ,IF(AI$504='2.2 Input_General_Information'!$H$20,$H$492,AH518/AH513*AI513)))</f>
        <v>0.18966689620800772</v>
      </c>
      <c r="AJ518" s="469">
        <f ca="1">IF($G$492=0,0,IF(AJ$504&lt;'2.2 Input_General_Information'!$H$20, ,IF(AJ$504='2.2 Input_General_Information'!$H$20,$H$492,AI518/AI513*AJ513)))</f>
        <v>0.18571755730291048</v>
      </c>
      <c r="AK518" s="469">
        <f ca="1">IF($G$492=0,0,IF(AK$504&lt;'2.2 Input_General_Information'!$H$20, ,IF(AK$504='2.2 Input_General_Information'!$H$20,$H$492,AJ518/AJ513*AK513)))</f>
        <v>0.18152131358445353</v>
      </c>
      <c r="AL518" s="469">
        <f ca="1">IF($G$492=0,0,IF(AL$504&lt;'2.2 Input_General_Information'!$H$20, ,IF(AL$504='2.2 Input_General_Information'!$H$20,$H$492,AK518/AK513*AL513)))</f>
        <v>0.17658513986219598</v>
      </c>
      <c r="AM518" s="469">
        <f ca="1">IF($G$492=0,0,IF(AM$504&lt;'2.2 Input_General_Information'!$H$20, ,IF(AM$504='2.2 Input_General_Information'!$H$20,$H$492,AL518/AL513*AM513)))</f>
        <v>0.17028776241325244</v>
      </c>
      <c r="AN518" s="469">
        <f ca="1">IF($G$492=0,0,IF(AN$504&lt;'2.2 Input_General_Information'!$H$20, ,IF(AN$504='2.2 Input_General_Information'!$H$20,$H$492,AM518/AM513*AN513)))</f>
        <v>0.16188990622776878</v>
      </c>
      <c r="AO518" s="469">
        <f ca="1">IF($G$492=0,0,IF(AO$504&lt;'2.2 Input_General_Information'!$H$20, ,IF(AO$504='2.2 Input_General_Information'!$H$20,$H$492,AN518/AN513*AO513)))</f>
        <v>0.1506310340511153</v>
      </c>
      <c r="AP518" s="469">
        <f ca="1">IF($G$492=0,0,IF(AP$504&lt;'2.2 Input_General_Information'!$H$20, ,IF(AP$504='2.2 Input_General_Information'!$H$20,$H$492,AO518/AO513*AP513)))</f>
        <v>0.13596994310903052</v>
      </c>
      <c r="AQ518" s="469">
        <f ca="1">IF($G$492=0,0,IF(AQ$504&lt;'2.2 Input_General_Information'!$H$20, ,IF(AQ$504='2.2 Input_General_Information'!$H$20,$H$492,AP518/AP513*AQ513)))</f>
        <v>0.11795926857202213</v>
      </c>
      <c r="AR518" s="469">
        <f ca="1">IF($G$492=0,0,IF(AR$504&lt;'2.2 Input_General_Information'!$H$20, ,IF(AR$504='2.2 Input_General_Information'!$H$20,$H$492,AQ518/AQ513*AR513)))</f>
        <v>9.7567247591859182E-2</v>
      </c>
      <c r="AS518" s="469">
        <f ca="1">IF($G$492=0,0,IF(AS$504&lt;'2.2 Input_General_Information'!$H$20, ,IF(AS$504='2.2 Input_General_Information'!$H$20,$H$492,AR518/AR513*AS513)))</f>
        <v>7.6611890498928373E-2</v>
      </c>
      <c r="AT518" s="469">
        <f ca="1">IF($G$492=0,0,IF(AT$504&lt;'2.2 Input_General_Information'!$H$20, ,IF(AT$504='2.2 Input_General_Information'!$H$20,$H$492,AS518/AS513*AT513)))</f>
        <v>5.7162064887502827E-2</v>
      </c>
      <c r="AU518" s="469">
        <f ca="1">IF($G$492=0,0,IF(AU$504&lt;'2.2 Input_General_Information'!$H$20, ,IF(AU$504='2.2 Input_General_Information'!$H$20,$H$492,AT518/AT513*AU513)))</f>
        <v>4.0759947430422744E-2</v>
      </c>
      <c r="AV518" s="469">
        <f ca="1">IF($G$492=0,0,IF(AV$504&lt;'2.2 Input_General_Information'!$H$20, ,IF(AV$504='2.2 Input_General_Information'!$H$20,$H$492,AU518/AU513*AV513)))</f>
        <v>2.8015533141892618E-2</v>
      </c>
      <c r="AW518" s="469">
        <f ca="1">IF($G$492=0,0,IF(AW$504&lt;'2.2 Input_General_Information'!$H$20, ,IF(AW$504='2.2 Input_General_Information'!$H$20,$H$492,AV518/AV513*AW513)))</f>
        <v>1.873053665025572E-2</v>
      </c>
      <c r="AX518" s="469">
        <f ca="1">IF($G$492=0,0,IF(AX$504&lt;'2.2 Input_General_Information'!$H$20, ,IF(AX$504='2.2 Input_General_Information'!$H$20,$H$492,AW518/AW513*AX513)))</f>
        <v>1.2278832413791132E-2</v>
      </c>
      <c r="AY518" s="469">
        <f ca="1">IF($G$492=0,0,IF(AY$504&lt;'2.2 Input_General_Information'!$H$20, ,IF(AY$504='2.2 Input_General_Information'!$H$20,$H$492,AX518/AX513*AY513)))</f>
        <v>7.9420244315035349E-3</v>
      </c>
      <c r="AZ518" s="469">
        <f ca="1">IF($G$492=0,0,IF(AZ$504&lt;'2.2 Input_General_Information'!$H$20, ,IF(AZ$504='2.2 Input_General_Information'!$H$20,$H$492,AY518/AY513*AZ513)))</f>
        <v>5.0913825967980738E-3</v>
      </c>
      <c r="BA518" s="469">
        <f ca="1">IF($G$492=0,0,IF(BA$504&lt;'2.2 Input_General_Information'!$H$20, ,IF(BA$504='2.2 Input_General_Information'!$H$20,$H$492,AZ518/AZ513*BA513)))</f>
        <v>3.2450562088819678E-3</v>
      </c>
      <c r="BB518" s="469">
        <f ca="1">IF($G$492=0,0,IF(BB$504&lt;'2.2 Input_General_Information'!$H$20, ,IF(BB$504='2.2 Input_General_Information'!$H$20,$H$492,BA518/BA513*BB513)))</f>
        <v>2.0605892734507554E-3</v>
      </c>
      <c r="BC518" s="469">
        <f ca="1">IF($G$492=0,0,IF(BC$504&lt;'2.2 Input_General_Information'!$H$20, ,IF(BC$504='2.2 Input_General_Information'!$H$20,$H$492,BB518/BB513*BC513)))</f>
        <v>1.3053623447982056E-3</v>
      </c>
      <c r="BD518" s="469">
        <f ca="1">IF($G$492=0,0,IF(BD$504&lt;'2.2 Input_General_Information'!$H$20, ,IF(BD$504='2.2 Input_General_Information'!$H$20,$H$492,BC518/BC513*BD513)))</f>
        <v>8.2569448714557949E-4</v>
      </c>
      <c r="BE518" s="469">
        <f ca="1">IF($G$492=0,0,IF(BE$504&lt;'2.2 Input_General_Information'!$H$20, ,IF(BE$504='2.2 Input_General_Information'!$H$20,$H$492,BD518/BD513*BE513)))</f>
        <v>5.2179216272790568E-4</v>
      </c>
      <c r="BF518" s="469">
        <f ca="1">IF($G$492=0,0,IF(BF$504&lt;'2.2 Input_General_Information'!$H$20, ,IF(BF$504='2.2 Input_General_Information'!$H$20,$H$492,BE518/BE513*BF513)))</f>
        <v>3.2954783039581447E-4</v>
      </c>
      <c r="BG518" s="469">
        <f ca="1">IF($G$492=0,0,IF(BG$504&lt;'2.2 Input_General_Information'!$H$20, ,IF(BG$504='2.2 Input_General_Information'!$H$20,$H$492,BF518/BF513*BG513)))</f>
        <v>2.0805519557047508E-4</v>
      </c>
      <c r="BH518" s="469">
        <f ca="1">IF($G$492=0,0,IF(BH$504&lt;'2.2 Input_General_Information'!$H$20, ,IF(BH$504='2.2 Input_General_Information'!$H$20,$H$492,BG518/BG513*BH513)))</f>
        <v>1.3132231768148755E-4</v>
      </c>
      <c r="BI518" s="469">
        <f ca="1">IF($G$492=0,0,IF(BI$504&lt;'2.2 Input_General_Information'!$H$20, ,IF(BI$504='2.2 Input_General_Information'!$H$20,$H$492,BH518/BH513*BI513)))</f>
        <v>8.2877455539220291E-5</v>
      </c>
      <c r="BJ518" s="469">
        <f ca="1">IF($G$492=0,0,IF(BJ$504&lt;'2.2 Input_General_Information'!$H$20, ,IF(BJ$504='2.2 Input_General_Information'!$H$20,$H$492,BI518/BI513*BJ513)))</f>
        <v>5.2299309113999265E-5</v>
      </c>
      <c r="BK518" s="469">
        <f ca="1">IF($G$492=0,0,IF(BK$504&lt;'2.2 Input_General_Information'!$H$20, ,IF(BK$504='2.2 Input_General_Information'!$H$20,$H$492,BJ518/BJ513*BK513)))</f>
        <v>3.300137110427664E-5</v>
      </c>
      <c r="BL518" s="469"/>
      <c r="BM518" s="469"/>
      <c r="BN518" s="469"/>
      <c r="BO518" s="469"/>
      <c r="BP518" s="469"/>
      <c r="BQ518" s="469"/>
      <c r="BR518" s="469"/>
      <c r="BS518" s="469"/>
      <c r="BT518" s="469"/>
      <c r="BU518" s="469"/>
    </row>
    <row r="519" spans="1:73">
      <c r="A519" s="6"/>
      <c r="B519" s="97"/>
      <c r="C519" s="37"/>
      <c r="D519" s="37"/>
      <c r="E519" s="10"/>
      <c r="F519" s="10"/>
      <c r="G519" s="244"/>
      <c r="H519" s="244"/>
      <c r="I519" s="244"/>
      <c r="J519" s="244"/>
      <c r="K519" s="244"/>
      <c r="L519" s="244"/>
      <c r="M519" s="244"/>
      <c r="N519" s="244"/>
      <c r="O519" s="10"/>
      <c r="P519" s="10"/>
      <c r="Q519" s="10"/>
      <c r="R519" s="193"/>
      <c r="S519" s="10"/>
      <c r="T519" s="101" t="s">
        <v>449</v>
      </c>
      <c r="U519" s="81"/>
      <c r="V519" s="103" t="str">
        <f t="shared" si="81"/>
        <v>non-machine readable data</v>
      </c>
      <c r="W519" s="469">
        <f ca="1">IF($G$493=0,0,IF(W$504&lt;'2.2 Input_General_Information'!$H$20, ,IF(W$504='2.2 Input_General_Information'!$H$20,$H$493,V519/V514*W514)))</f>
        <v>0.3</v>
      </c>
      <c r="X519" s="469">
        <f ca="1">IF($G$493=0,0,IF(X$504&lt;'2.2 Input_General_Information'!$H$20, ,IF(X$504='2.2 Input_General_Information'!$H$20,$H$493,W519/W514*X514)))</f>
        <v>0.2861760875971201</v>
      </c>
      <c r="Y519" s="469">
        <f ca="1">IF($G$493=0,0,IF(Y$504&lt;'2.2 Input_General_Information'!$H$20, ,IF(Y$504='2.2 Input_General_Information'!$H$20,$H$493,X519/X514*Y514)))</f>
        <v>0.2724380485321507</v>
      </c>
      <c r="Z519" s="469">
        <f ca="1">IF($G$493=0,0,IF(Z$504&lt;'2.2 Input_General_Information'!$H$20, ,IF(Z$504='2.2 Input_General_Information'!$H$20,$H$493,Y519/Y514*Z514)))</f>
        <v>0.25921380241687214</v>
      </c>
      <c r="AA519" s="469">
        <f ca="1">IF($G$493=0,0,IF(AA$504&lt;'2.2 Input_General_Information'!$H$20, ,IF(AA$504='2.2 Input_General_Information'!$H$20,$H$493,Z519/Z514*AA514)))</f>
        <v>0.24686697039333416</v>
      </c>
      <c r="AB519" s="469">
        <f ca="1">IF($G$493=0,0,IF(AB$504&lt;'2.2 Input_General_Information'!$H$20, ,IF(AB$504='2.2 Input_General_Information'!$H$20,$H$493,AA519/AA514*AB514)))</f>
        <v>0.23565987850124312</v>
      </c>
      <c r="AC519" s="469">
        <f ca="1">IF($G$493=0,0,IF(AC$504&lt;'2.2 Input_General_Information'!$H$20, ,IF(AC$504='2.2 Input_General_Information'!$H$20,$H$493,AB519/AB514*AC514)))</f>
        <v>0.22573820265635555</v>
      </c>
      <c r="AD519" s="469">
        <f ca="1">IF($G$493=0,0,IF(AD$504&lt;'2.2 Input_General_Information'!$H$20, ,IF(AD$504='2.2 Input_General_Information'!$H$20,$H$493,AC519/AC514*AD514)))</f>
        <v>0.2171357963212468</v>
      </c>
      <c r="AE519" s="469">
        <f ca="1">IF($G$493=0,0,IF(AE$504&lt;'2.2 Input_General_Information'!$H$20, ,IF(AE$504='2.2 Input_General_Information'!$H$20,$H$493,AD519/AD514*AE514)))</f>
        <v>0.20979271257520432</v>
      </c>
      <c r="AF519" s="469">
        <f ca="1">IF($G$493=0,0,IF(AF$504&lt;'2.2 Input_General_Information'!$H$20, ,IF(AF$504='2.2 Input_General_Information'!$H$20,$H$493,AE519/AE514*AF514)))</f>
        <v>0.20357767772969024</v>
      </c>
      <c r="AG519" s="469">
        <f ca="1">IF($G$493=0,0,IF(AG$504&lt;'2.2 Input_General_Information'!$H$20, ,IF(AG$504='2.2 Input_General_Information'!$H$20,$H$493,AF519/AF514*AG514)))</f>
        <v>0.19830751712357805</v>
      </c>
      <c r="AH519" s="469">
        <f ca="1">IF($G$493=0,0,IF(AH$504&lt;'2.2 Input_General_Information'!$H$20, ,IF(AH$504='2.2 Input_General_Information'!$H$20,$H$493,AG519/AG514*AH514)))</f>
        <v>0.19375850514309798</v>
      </c>
      <c r="AI519" s="469">
        <f ca="1">IF($G$493=0,0,IF(AI$504&lt;'2.2 Input_General_Information'!$H$20, ,IF(AI$504='2.2 Input_General_Information'!$H$20,$H$493,AH519/AH514*AI514)))</f>
        <v>0.18966689620800778</v>
      </c>
      <c r="AJ519" s="469">
        <f ca="1">IF($G$493=0,0,IF(AJ$504&lt;'2.2 Input_General_Information'!$H$20, ,IF(AJ$504='2.2 Input_General_Information'!$H$20,$H$493,AI519/AI514*AJ514)))</f>
        <v>0.18571755730291051</v>
      </c>
      <c r="AK519" s="469">
        <f ca="1">IF($G$493=0,0,IF(AK$504&lt;'2.2 Input_General_Information'!$H$20, ,IF(AK$504='2.2 Input_General_Information'!$H$20,$H$493,AJ519/AJ514*AK514)))</f>
        <v>0.18152131358445356</v>
      </c>
      <c r="AL519" s="469">
        <f ca="1">IF($G$493=0,0,IF(AL$504&lt;'2.2 Input_General_Information'!$H$20, ,IF(AL$504='2.2 Input_General_Information'!$H$20,$H$493,AK519/AK514*AL514)))</f>
        <v>0.17658513986219607</v>
      </c>
      <c r="AM519" s="469">
        <f ca="1">IF($G$493=0,0,IF(AM$504&lt;'2.2 Input_General_Information'!$H$20, ,IF(AM$504='2.2 Input_General_Information'!$H$20,$H$493,AL519/AL514*AM514)))</f>
        <v>0.17028776241325252</v>
      </c>
      <c r="AN519" s="469">
        <f ca="1">IF($G$493=0,0,IF(AN$504&lt;'2.2 Input_General_Information'!$H$20, ,IF(AN$504='2.2 Input_General_Information'!$H$20,$H$493,AM519/AM514*AN514)))</f>
        <v>0.16188990622776883</v>
      </c>
      <c r="AO519" s="469">
        <f ca="1">IF($G$493=0,0,IF(AO$504&lt;'2.2 Input_General_Information'!$H$20, ,IF(AO$504='2.2 Input_General_Information'!$H$20,$H$493,AN519/AN514*AO514)))</f>
        <v>0.15063103405111536</v>
      </c>
      <c r="AP519" s="469">
        <f ca="1">IF($G$493=0,0,IF(AP$504&lt;'2.2 Input_General_Information'!$H$20, ,IF(AP$504='2.2 Input_General_Information'!$H$20,$H$493,AO519/AO514*AP514)))</f>
        <v>0.13596994310903054</v>
      </c>
      <c r="AQ519" s="469">
        <f ca="1">IF($G$493=0,0,IF(AQ$504&lt;'2.2 Input_General_Information'!$H$20, ,IF(AQ$504='2.2 Input_General_Information'!$H$20,$H$493,AP519/AP514*AQ514)))</f>
        <v>0.11795926857202217</v>
      </c>
      <c r="AR519" s="469">
        <f ca="1">IF($G$493=0,0,IF(AR$504&lt;'2.2 Input_General_Information'!$H$20, ,IF(AR$504='2.2 Input_General_Information'!$H$20,$H$493,AQ519/AQ514*AR514)))</f>
        <v>9.756724759185921E-2</v>
      </c>
      <c r="AS519" s="469">
        <f ca="1">IF($G$493=0,0,IF(AS$504&lt;'2.2 Input_General_Information'!$H$20, ,IF(AS$504='2.2 Input_General_Information'!$H$20,$H$493,AR519/AR514*AS514)))</f>
        <v>7.6611890498928373E-2</v>
      </c>
      <c r="AT519" s="469">
        <f ca="1">IF($G$493=0,0,IF(AT$504&lt;'2.2 Input_General_Information'!$H$20, ,IF(AT$504='2.2 Input_General_Information'!$H$20,$H$493,AS519/AS514*AT514)))</f>
        <v>5.7162064887502834E-2</v>
      </c>
      <c r="AU519" s="469">
        <f ca="1">IF($G$493=0,0,IF(AU$504&lt;'2.2 Input_General_Information'!$H$20, ,IF(AU$504='2.2 Input_General_Information'!$H$20,$H$493,AT519/AT514*AU514)))</f>
        <v>4.0759947430422751E-2</v>
      </c>
      <c r="AV519" s="469">
        <f ca="1">IF($G$493=0,0,IF(AV$504&lt;'2.2 Input_General_Information'!$H$20, ,IF(AV$504='2.2 Input_General_Information'!$H$20,$H$493,AU519/AU514*AV514)))</f>
        <v>2.8015533141892625E-2</v>
      </c>
      <c r="AW519" s="469">
        <f ca="1">IF($G$493=0,0,IF(AW$504&lt;'2.2 Input_General_Information'!$H$20, ,IF(AW$504='2.2 Input_General_Information'!$H$20,$H$493,AV519/AV514*AW514)))</f>
        <v>1.8730536650255723E-2</v>
      </c>
      <c r="AX519" s="469">
        <f ca="1">IF($G$493=0,0,IF(AX$504&lt;'2.2 Input_General_Information'!$H$20, ,IF(AX$504='2.2 Input_General_Information'!$H$20,$H$493,AW519/AW514*AX514)))</f>
        <v>1.2278832413791133E-2</v>
      </c>
      <c r="AY519" s="469">
        <f ca="1">IF($G$493=0,0,IF(AY$504&lt;'2.2 Input_General_Information'!$H$20, ,IF(AY$504='2.2 Input_General_Information'!$H$20,$H$493,AX519/AX514*AY514)))</f>
        <v>7.9420244315035367E-3</v>
      </c>
      <c r="AZ519" s="469">
        <f ca="1">IF($G$493=0,0,IF(AZ$504&lt;'2.2 Input_General_Information'!$H$20, ,IF(AZ$504='2.2 Input_General_Information'!$H$20,$H$493,AY519/AY514*AZ514)))</f>
        <v>5.0913825967980747E-3</v>
      </c>
      <c r="BA519" s="469">
        <f ca="1">IF($G$493=0,0,IF(BA$504&lt;'2.2 Input_General_Information'!$H$20, ,IF(BA$504='2.2 Input_General_Information'!$H$20,$H$493,AZ519/AZ514*BA514)))</f>
        <v>3.2450562088819686E-3</v>
      </c>
      <c r="BB519" s="469">
        <f ca="1">IF($G$493=0,0,IF(BB$504&lt;'2.2 Input_General_Information'!$H$20, ,IF(BB$504='2.2 Input_General_Information'!$H$20,$H$493,BA519/BA514*BB514)))</f>
        <v>2.0605892734507558E-3</v>
      </c>
      <c r="BC519" s="469">
        <f ca="1">IF($G$493=0,0,IF(BC$504&lt;'2.2 Input_General_Information'!$H$20, ,IF(BC$504='2.2 Input_General_Information'!$H$20,$H$493,BB519/BB514*BC514)))</f>
        <v>1.3053623447982056E-3</v>
      </c>
      <c r="BD519" s="469">
        <f ca="1">IF($G$493=0,0,IF(BD$504&lt;'2.2 Input_General_Information'!$H$20, ,IF(BD$504='2.2 Input_General_Information'!$H$20,$H$493,BC519/BC514*BD514)))</f>
        <v>8.2569448714557971E-4</v>
      </c>
      <c r="BE519" s="469">
        <f ca="1">IF($G$493=0,0,IF(BE$504&lt;'2.2 Input_General_Information'!$H$20, ,IF(BE$504='2.2 Input_General_Information'!$H$20,$H$493,BD519/BD514*BE514)))</f>
        <v>5.2179216272790578E-4</v>
      </c>
      <c r="BF519" s="469">
        <f ca="1">IF($G$493=0,0,IF(BF$504&lt;'2.2 Input_General_Information'!$H$20, ,IF(BF$504='2.2 Input_General_Information'!$H$20,$H$493,BE519/BE514*BF514)))</f>
        <v>3.2954783039581452E-4</v>
      </c>
      <c r="BG519" s="469">
        <f ca="1">IF($G$493=0,0,IF(BG$504&lt;'2.2 Input_General_Information'!$H$20, ,IF(BG$504='2.2 Input_General_Information'!$H$20,$H$493,BF519/BF514*BG514)))</f>
        <v>2.0805519557047514E-4</v>
      </c>
      <c r="BH519" s="469">
        <f ca="1">IF($G$493=0,0,IF(BH$504&lt;'2.2 Input_General_Information'!$H$20, ,IF(BH$504='2.2 Input_General_Information'!$H$20,$H$493,BG519/BG514*BH514)))</f>
        <v>1.3132231768148755E-4</v>
      </c>
      <c r="BI519" s="469">
        <f ca="1">IF($G$493=0,0,IF(BI$504&lt;'2.2 Input_General_Information'!$H$20, ,IF(BI$504='2.2 Input_General_Information'!$H$20,$H$493,BH519/BH514*BI514)))</f>
        <v>8.2877455539220291E-5</v>
      </c>
      <c r="BJ519" s="469">
        <f ca="1">IF($G$493=0,0,IF(BJ$504&lt;'2.2 Input_General_Information'!$H$20, ,IF(BJ$504='2.2 Input_General_Information'!$H$20,$H$493,BI519/BI514*BJ514)))</f>
        <v>5.2299309113999271E-5</v>
      </c>
      <c r="BK519" s="469">
        <f ca="1">IF($G$493=0,0,IF(BK$504&lt;'2.2 Input_General_Information'!$H$20, ,IF(BK$504='2.2 Input_General_Information'!$H$20,$H$493,BJ519/BJ514*BK514)))</f>
        <v>3.300137110427664E-5</v>
      </c>
      <c r="BL519" s="416"/>
      <c r="BM519" s="416"/>
      <c r="BN519" s="416"/>
      <c r="BO519" s="416"/>
      <c r="BP519" s="416"/>
      <c r="BQ519" s="416"/>
      <c r="BR519" s="416"/>
      <c r="BS519" s="416"/>
      <c r="BT519" s="416"/>
      <c r="BU519" s="416"/>
    </row>
    <row r="520" spans="1:73">
      <c r="A520" s="6"/>
      <c r="B520" s="97"/>
      <c r="C520" s="37"/>
      <c r="D520" s="37"/>
      <c r="E520" s="10"/>
      <c r="F520" s="10"/>
      <c r="G520" s="244"/>
      <c r="H520" s="244"/>
      <c r="I520" s="244"/>
      <c r="J520" s="244"/>
      <c r="K520" s="244"/>
      <c r="L520" s="244"/>
      <c r="M520" s="244"/>
      <c r="N520" s="244"/>
      <c r="O520" s="10"/>
      <c r="P520" s="10"/>
      <c r="Q520" s="10"/>
      <c r="R520" s="193"/>
      <c r="S520" s="10"/>
      <c r="T520" s="101" t="s">
        <v>449</v>
      </c>
      <c r="U520" s="81"/>
      <c r="V520" s="103" t="str">
        <f t="shared" si="81"/>
        <v>non-machine readable data in PDF or similar formats</v>
      </c>
      <c r="W520" s="469">
        <f ca="1">IF($G$494=0,0,IF(W$504&lt;'2.2 Input_General_Information'!$H$20, ,IF(W$504='2.2 Input_General_Information'!$H$20,$H$494,V520/V515*W515)))</f>
        <v>0.1</v>
      </c>
      <c r="X520" s="469">
        <f ca="1">IF($G$494=0,0,IF(X$504&lt;'2.2 Input_General_Information'!$H$20, ,IF(X$504='2.2 Input_General_Information'!$H$20,$H$494,W520/W515*X515)))</f>
        <v>9.5392029199040052E-2</v>
      </c>
      <c r="Y520" s="469">
        <f ca="1">IF($G$494=0,0,IF(Y$504&lt;'2.2 Input_General_Information'!$H$20, ,IF(Y$504='2.2 Input_General_Information'!$H$20,$H$494,X520/X515*Y515)))</f>
        <v>9.0812682844050252E-2</v>
      </c>
      <c r="Z520" s="469">
        <f ca="1">IF($G$494=0,0,IF(Z$504&lt;'2.2 Input_General_Information'!$H$20, ,IF(Z$504='2.2 Input_General_Information'!$H$20,$H$494,Y520/Y515*Z515)))</f>
        <v>8.6404600805624038E-2</v>
      </c>
      <c r="AA520" s="469">
        <f ca="1">IF($G$494=0,0,IF(AA$504&lt;'2.2 Input_General_Information'!$H$20, ,IF(AA$504='2.2 Input_General_Information'!$H$20,$H$494,Z520/Z515*AA515)))</f>
        <v>8.2288990131111378E-2</v>
      </c>
      <c r="AB520" s="469">
        <f ca="1">IF($G$494=0,0,IF(AB$504&lt;'2.2 Input_General_Information'!$H$20, ,IF(AB$504='2.2 Input_General_Information'!$H$20,$H$494,AA520/AA515*AB515)))</f>
        <v>7.8553292833747679E-2</v>
      </c>
      <c r="AC520" s="469">
        <f ca="1">IF($G$494=0,0,IF(AC$504&lt;'2.2 Input_General_Information'!$H$20, ,IF(AC$504='2.2 Input_General_Information'!$H$20,$H$494,AB520/AB515*AC515)))</f>
        <v>7.5246067552118517E-2</v>
      </c>
      <c r="AD520" s="469">
        <f ca="1">IF($G$494=0,0,IF(AD$504&lt;'2.2 Input_General_Information'!$H$20, ,IF(AD$504='2.2 Input_General_Information'!$H$20,$H$494,AC520/AC515*AD515)))</f>
        <v>7.2378598773748928E-2</v>
      </c>
      <c r="AE520" s="469">
        <f ca="1">IF($G$494=0,0,IF(AE$504&lt;'2.2 Input_General_Information'!$H$20, ,IF(AE$504='2.2 Input_General_Information'!$H$20,$H$494,AD520/AD515*AE515)))</f>
        <v>6.9930904191734769E-2</v>
      </c>
      <c r="AF520" s="469">
        <f ca="1">IF($G$494=0,0,IF(AF$504&lt;'2.2 Input_General_Information'!$H$20, ,IF(AF$504='2.2 Input_General_Information'!$H$20,$H$494,AE520/AE515*AF515)))</f>
        <v>6.7859225909896737E-2</v>
      </c>
      <c r="AG520" s="469">
        <f ca="1">IF($G$494=0,0,IF(AG$504&lt;'2.2 Input_General_Information'!$H$20, ,IF(AG$504='2.2 Input_General_Information'!$H$20,$H$494,AF520/AF515*AG515)))</f>
        <v>6.6102505707859333E-2</v>
      </c>
      <c r="AH520" s="469">
        <f ca="1">IF($G$494=0,0,IF(AH$504&lt;'2.2 Input_General_Information'!$H$20, ,IF(AH$504='2.2 Input_General_Information'!$H$20,$H$494,AG520/AG515*AH515)))</f>
        <v>6.4586168381032663E-2</v>
      </c>
      <c r="AI520" s="469">
        <f ca="1">IF($G$494=0,0,IF(AI$504&lt;'2.2 Input_General_Information'!$H$20, ,IF(AI$504='2.2 Input_General_Information'!$H$20,$H$494,AH520/AH515*AI515)))</f>
        <v>6.3222298736002588E-2</v>
      </c>
      <c r="AJ520" s="469">
        <f ca="1">IF($G$494=0,0,IF(AJ$504&lt;'2.2 Input_General_Information'!$H$20, ,IF(AJ$504='2.2 Input_General_Information'!$H$20,$H$494,AI520/AI515*AJ515)))</f>
        <v>6.1905852434303507E-2</v>
      </c>
      <c r="AK520" s="469">
        <f ca="1">IF($G$494=0,0,IF(AK$504&lt;'2.2 Input_General_Information'!$H$20, ,IF(AK$504='2.2 Input_General_Information'!$H$20,$H$494,AJ520/AJ515*AK515)))</f>
        <v>6.0507104528151175E-2</v>
      </c>
      <c r="AL520" s="469">
        <f ca="1">IF($G$494=0,0,IF(AL$504&lt;'2.2 Input_General_Information'!$H$20, ,IF(AL$504='2.2 Input_General_Information'!$H$20,$H$494,AK520/AK515*AL515)))</f>
        <v>5.886171328739867E-2</v>
      </c>
      <c r="AM520" s="469">
        <f ca="1">IF($G$494=0,0,IF(AM$504&lt;'2.2 Input_General_Information'!$H$20, ,IF(AM$504='2.2 Input_General_Information'!$H$20,$H$494,AL520/AL515*AM515)))</f>
        <v>5.6762587471084168E-2</v>
      </c>
      <c r="AN520" s="469">
        <f ca="1">IF($G$494=0,0,IF(AN$504&lt;'2.2 Input_General_Information'!$H$20, ,IF(AN$504='2.2 Input_General_Information'!$H$20,$H$494,AM520/AM515*AN515)))</f>
        <v>5.3963302075922939E-2</v>
      </c>
      <c r="AO520" s="469">
        <f ca="1">IF($G$494=0,0,IF(AO$504&lt;'2.2 Input_General_Information'!$H$20, ,IF(AO$504='2.2 Input_General_Information'!$H$20,$H$494,AN520/AN515*AO515)))</f>
        <v>5.0210344683705117E-2</v>
      </c>
      <c r="AP520" s="469">
        <f ca="1">IF($G$494=0,0,IF(AP$504&lt;'2.2 Input_General_Information'!$H$20, ,IF(AP$504='2.2 Input_General_Information'!$H$20,$H$494,AO520/AO515*AP515)))</f>
        <v>4.5323314369676848E-2</v>
      </c>
      <c r="AQ520" s="469">
        <f ca="1">IF($G$494=0,0,IF(AQ$504&lt;'2.2 Input_General_Information'!$H$20, ,IF(AQ$504='2.2 Input_General_Information'!$H$20,$H$494,AP520/AP515*AQ515)))</f>
        <v>3.931975619067405E-2</v>
      </c>
      <c r="AR520" s="469">
        <f ca="1">IF($G$494=0,0,IF(AR$504&lt;'2.2 Input_General_Information'!$H$20, ,IF(AR$504='2.2 Input_General_Information'!$H$20,$H$494,AQ520/AQ515*AR515)))</f>
        <v>3.2522415863953061E-2</v>
      </c>
      <c r="AS520" s="469">
        <f ca="1">IF($G$494=0,0,IF(AS$504&lt;'2.2 Input_General_Information'!$H$20, ,IF(AS$504='2.2 Input_General_Information'!$H$20,$H$494,AR520/AR515*AS515)))</f>
        <v>2.5537296832976127E-2</v>
      </c>
      <c r="AT520" s="469">
        <f ca="1">IF($G$494=0,0,IF(AT$504&lt;'2.2 Input_General_Information'!$H$20, ,IF(AT$504='2.2 Input_General_Information'!$H$20,$H$494,AS520/AS515*AT515)))</f>
        <v>1.9054021629167611E-2</v>
      </c>
      <c r="AU520" s="469">
        <f ca="1">IF($G$494=0,0,IF(AU$504&lt;'2.2 Input_General_Information'!$H$20, ,IF(AU$504='2.2 Input_General_Information'!$H$20,$H$494,AT520/AT515*AU515)))</f>
        <v>1.3586649143474251E-2</v>
      </c>
      <c r="AV520" s="469">
        <f ca="1">IF($G$494=0,0,IF(AV$504&lt;'2.2 Input_General_Information'!$H$20, ,IF(AV$504='2.2 Input_General_Information'!$H$20,$H$494,AU520/AU515*AV515)))</f>
        <v>9.3385110472975416E-3</v>
      </c>
      <c r="AW520" s="469">
        <f ca="1">IF($G$494=0,0,IF(AW$504&lt;'2.2 Input_General_Information'!$H$20, ,IF(AW$504='2.2 Input_General_Information'!$H$20,$H$494,AV520/AV515*AW515)))</f>
        <v>6.2435122167519078E-3</v>
      </c>
      <c r="AX520" s="469">
        <f ca="1">IF($G$494=0,0,IF(AX$504&lt;'2.2 Input_General_Information'!$H$20, ,IF(AX$504='2.2 Input_General_Information'!$H$20,$H$494,AW520/AW515*AX515)))</f>
        <v>4.0929441379303775E-3</v>
      </c>
      <c r="AY520" s="469">
        <f ca="1">IF($G$494=0,0,IF(AY$504&lt;'2.2 Input_General_Information'!$H$20, ,IF(AY$504='2.2 Input_General_Information'!$H$20,$H$494,AX520/AX515*AY515)))</f>
        <v>2.6473414771678453E-3</v>
      </c>
      <c r="AZ520" s="469">
        <f ca="1">IF($G$494=0,0,IF(AZ$504&lt;'2.2 Input_General_Information'!$H$20, ,IF(AZ$504='2.2 Input_General_Information'!$H$20,$H$494,AY520/AY515*AZ515)))</f>
        <v>1.697127532266025E-3</v>
      </c>
      <c r="BA520" s="469">
        <f ca="1">IF($G$494=0,0,IF(BA$504&lt;'2.2 Input_General_Information'!$H$20, ,IF(BA$504='2.2 Input_General_Information'!$H$20,$H$494,AZ520/AZ515*BA515)))</f>
        <v>1.0816854029606559E-3</v>
      </c>
      <c r="BB520" s="469">
        <f ca="1">IF($G$494=0,0,IF(BB$504&lt;'2.2 Input_General_Information'!$H$20, ,IF(BB$504='2.2 Input_General_Information'!$H$20,$H$494,BA520/BA515*BB515)))</f>
        <v>6.8686309115025186E-4</v>
      </c>
      <c r="BC520" s="469">
        <f ca="1">IF($G$494=0,0,IF(BC$504&lt;'2.2 Input_General_Information'!$H$20, ,IF(BC$504='2.2 Input_General_Information'!$H$20,$H$494,BB520/BB515*BC515)))</f>
        <v>4.3512078159940189E-4</v>
      </c>
      <c r="BD520" s="469">
        <f ca="1">IF($G$494=0,0,IF(BD$504&lt;'2.2 Input_General_Information'!$H$20, ,IF(BD$504='2.2 Input_General_Information'!$H$20,$H$494,BC520/BC515*BD515)))</f>
        <v>2.752314957151932E-4</v>
      </c>
      <c r="BE520" s="469">
        <f ca="1">IF($G$494=0,0,IF(BE$504&lt;'2.2 Input_General_Information'!$H$20, ,IF(BE$504='2.2 Input_General_Information'!$H$20,$H$494,BD520/BD515*BE515)))</f>
        <v>1.7393072090930188E-4</v>
      </c>
      <c r="BF520" s="469">
        <f ca="1">IF($G$494=0,0,IF(BF$504&lt;'2.2 Input_General_Information'!$H$20, ,IF(BF$504='2.2 Input_General_Information'!$H$20,$H$494,BE520/BE515*BF515)))</f>
        <v>1.0984927679860483E-4</v>
      </c>
      <c r="BG520" s="469">
        <f ca="1">IF($G$494=0,0,IF(BG$504&lt;'2.2 Input_General_Information'!$H$20, ,IF(BG$504='2.2 Input_General_Information'!$H$20,$H$494,BF520/BF515*BG515)))</f>
        <v>6.9351731856825041E-5</v>
      </c>
      <c r="BH520" s="469">
        <f ca="1">IF($G$494=0,0,IF(BH$504&lt;'2.2 Input_General_Information'!$H$20, ,IF(BH$504='2.2 Input_General_Information'!$H$20,$H$494,BG520/BG515*BH515)))</f>
        <v>4.3774105893829178E-5</v>
      </c>
      <c r="BI520" s="469">
        <f ca="1">IF($G$494=0,0,IF(BI$504&lt;'2.2 Input_General_Information'!$H$20, ,IF(BI$504='2.2 Input_General_Information'!$H$20,$H$494,BH520/BH515*BI515)))</f>
        <v>2.7625818513073435E-5</v>
      </c>
      <c r="BJ520" s="469">
        <f ca="1">IF($G$494=0,0,IF(BJ$504&lt;'2.2 Input_General_Information'!$H$20, ,IF(BJ$504='2.2 Input_General_Information'!$H$20,$H$494,BI520/BI515*BJ515)))</f>
        <v>1.7433103037999757E-5</v>
      </c>
      <c r="BK520" s="469">
        <f ca="1">IF($G$494=0,0,IF(BK$504&lt;'2.2 Input_General_Information'!$H$20, ,IF(BK$504='2.2 Input_General_Information'!$H$20,$H$494,BJ520/BJ515*BK515)))</f>
        <v>1.1000457034758879E-5</v>
      </c>
      <c r="BL520" s="416"/>
      <c r="BM520" s="416"/>
      <c r="BN520" s="416"/>
      <c r="BO520" s="416"/>
      <c r="BP520" s="416"/>
      <c r="BQ520" s="416"/>
      <c r="BR520" s="416"/>
      <c r="BS520" s="416"/>
      <c r="BT520" s="416"/>
      <c r="BU520" s="416"/>
    </row>
    <row r="521" spans="1:73">
      <c r="A521" s="610"/>
      <c r="B521" s="611"/>
      <c r="C521" s="612"/>
      <c r="D521" s="612"/>
      <c r="E521" s="613"/>
      <c r="F521" s="613"/>
      <c r="G521" s="614"/>
      <c r="H521" s="614"/>
      <c r="I521" s="614"/>
      <c r="J521" s="614"/>
      <c r="K521" s="614"/>
      <c r="L521" s="614"/>
      <c r="M521" s="614"/>
      <c r="N521" s="614"/>
      <c r="O521" s="613"/>
      <c r="P521" s="613"/>
      <c r="Q521" s="613"/>
      <c r="R521" s="615"/>
      <c r="S521" s="613"/>
      <c r="T521" s="101" t="s">
        <v>449</v>
      </c>
      <c r="U521" s="616"/>
      <c r="V521" s="617" t="str">
        <f>V509</f>
        <v>repairing bad quality data</v>
      </c>
      <c r="W521" s="469">
        <f ca="1">IF($G$495=0,0,IF(W$504&lt;'2.2 Input_General_Information'!$H$20, ,IF(W$504='2.2 Input_General_Information'!$H$20,$H$495,V521/V509*W509)))</f>
        <v>0.1</v>
      </c>
      <c r="X521" s="469">
        <f ca="1">IF($G$495=0,0,IF(X$504&lt;'2.2 Input_General_Information'!$H$20, ,IF(X$504='2.2 Input_General_Information'!$H$20,$H$495,W521/W509*X509)))</f>
        <v>9.9994151489394584E-2</v>
      </c>
      <c r="Y521" s="469">
        <f ca="1">IF($G$495=0,0,IF(Y$504&lt;'2.2 Input_General_Information'!$H$20, ,IF(Y$504='2.2 Input_General_Information'!$H$20,$H$495,X521/X509*Y509)))</f>
        <v>9.9984883672263963E-2</v>
      </c>
      <c r="Z521" s="469">
        <f ca="1">IF($G$495=0,0,IF(Z$504&lt;'2.2 Input_General_Information'!$H$20, ,IF(Z$504='2.2 Input_General_Information'!$H$20,$H$495,Y521/Y509*Z509)))</f>
        <v>9.9970198763914983E-2</v>
      </c>
      <c r="AA521" s="469">
        <f ca="1">IF($G$495=0,0,IF(AA$504&lt;'2.2 Input_General_Information'!$H$20, ,IF(AA$504='2.2 Input_General_Information'!$H$20,$H$495,Z521/Z509*AA509)))</f>
        <v>9.9946933702787719E-2</v>
      </c>
      <c r="AB521" s="469">
        <f ca="1">IF($G$495=0,0,IF(AB$504&lt;'2.2 Input_General_Information'!$H$20, ,IF(AB$504='2.2 Input_General_Information'!$H$20,$H$495,AA521/AA509*AB509)))</f>
        <v>9.9910083422765264E-2</v>
      </c>
      <c r="AC521" s="469">
        <f ca="1">IF($G$495=0,0,IF(AC$504&lt;'2.2 Input_General_Information'!$H$20, ,IF(AC$504='2.2 Input_General_Information'!$H$20,$H$495,AB521/AB509*AC509)))</f>
        <v>9.9851735585370097E-2</v>
      </c>
      <c r="AD521" s="469">
        <f ca="1">IF($G$495=0,0,IF(AD$504&lt;'2.2 Input_General_Information'!$H$20, ,IF(AD$504='2.2 Input_General_Information'!$H$20,$H$495,AC521/AC509*AD509)))</f>
        <v>9.975940042643093E-2</v>
      </c>
      <c r="AE521" s="469">
        <f ca="1">IF($G$495=0,0,IF(AE$504&lt;'2.2 Input_General_Information'!$H$20, ,IF(AE$504='2.2 Input_General_Information'!$H$20,$H$495,AD521/AD509*AE509)))</f>
        <v>9.9613409079729598E-2</v>
      </c>
      <c r="AF521" s="469">
        <f ca="1">IF($G$495=0,0,IF(AF$504&lt;'2.2 Input_General_Information'!$H$20, ,IF(AF$504='2.2 Input_General_Information'!$H$20,$H$495,AE521/AE509*AF509)))</f>
        <v>9.9382902784644636E-2</v>
      </c>
      <c r="AG521" s="469">
        <f ca="1">IF($G$495=0,0,IF(AG$504&lt;'2.2 Input_General_Information'!$H$20, ,IF(AG$504='2.2 Input_General_Information'!$H$20,$H$495,AF521/AF509*AG509)))</f>
        <v>9.9019753947038894E-2</v>
      </c>
      <c r="AH521" s="469">
        <f ca="1">IF($G$495=0,0,IF(AH$504&lt;'2.2 Input_General_Information'!$H$20, ,IF(AH$504='2.2 Input_General_Information'!$H$20,$H$495,AG521/AG509*AH509)))</f>
        <v>9.8449609619689446E-2</v>
      </c>
      <c r="AI521" s="469">
        <f ca="1">IF($G$495=0,0,IF(AI$504&lt;'2.2 Input_General_Information'!$H$20, ,IF(AI$504='2.2 Input_General_Information'!$H$20,$H$495,AH521/AH509*AI509)))</f>
        <v>9.7559323558911934E-2</v>
      </c>
      <c r="AJ521" s="469">
        <f ca="1">IF($G$495=0,0,IF(AJ$504&lt;'2.2 Input_General_Information'!$H$20, ,IF(AJ$504='2.2 Input_General_Information'!$H$20,$H$495,AI521/AI509*AJ509)))</f>
        <v>9.6180838814861905E-2</v>
      </c>
      <c r="AK521" s="469">
        <f ca="1">IF($G$495=0,0,IF(AK$504&lt;'2.2 Input_General_Information'!$H$20, ,IF(AK$504='2.2 Input_General_Information'!$H$20,$H$495,AJ521/AJ509*AK509)))</f>
        <v>9.4074145608467344E-2</v>
      </c>
      <c r="AL521" s="469">
        <f ca="1">IF($G$495=0,0,IF(AL$504&lt;'2.2 Input_General_Information'!$H$20, ,IF(AL$504='2.2 Input_General_Information'!$H$20,$H$495,AK521/AK509*AL509)))</f>
        <v>9.0917976082681762E-2</v>
      </c>
      <c r="AM521" s="469">
        <f ca="1">IF($G$495=0,0,IF(AM$504&lt;'2.2 Input_General_Information'!$H$20, ,IF(AM$504='2.2 Input_General_Information'!$H$20,$H$495,AL521/AL509*AM509)))</f>
        <v>8.632770771539329E-2</v>
      </c>
      <c r="AN521" s="469">
        <f ca="1">IF($G$495=0,0,IF(AN$504&lt;'2.2 Input_General_Information'!$H$20, ,IF(AN$504='2.2 Input_General_Information'!$H$20,$H$495,AM521/AM509*AN509)))</f>
        <v>7.993175158758585E-2</v>
      </c>
      <c r="AO521" s="469">
        <f ca="1">IF($G$495=0,0,IF(AO$504&lt;'2.2 Input_General_Information'!$H$20, ,IF(AO$504='2.2 Input_General_Information'!$H$20,$H$495,AN521/AN509*AO509)))</f>
        <v>7.153222465050163E-2</v>
      </c>
      <c r="AP521" s="469">
        <f ca="1">IF($G$495=0,0,IF(AP$504&lt;'2.2 Input_General_Information'!$H$20, ,IF(AP$504='2.2 Input_General_Information'!$H$20,$H$495,AO521/AO509*AP509)))</f>
        <v>6.1319695378815278E-2</v>
      </c>
      <c r="AQ521" s="469">
        <f ca="1">IF($G$495=0,0,IF(AQ$504&lt;'2.2 Input_General_Information'!$H$20, ,IF(AQ$504='2.2 Input_General_Information'!$H$20,$H$495,AP521/AP509*AQ509)))</f>
        <v>5.0005000500039531E-2</v>
      </c>
      <c r="AR521" s="469">
        <f ca="1">IF($G$495=0,0,IF(AR$504&lt;'2.2 Input_General_Information'!$H$20, ,IF(AR$504='2.2 Input_General_Information'!$H$20,$H$495,AQ521/AQ509*AR509)))</f>
        <v>3.8690305621264853E-2</v>
      </c>
      <c r="AS521" s="469">
        <f ca="1">IF($G$495=0,0,IF(AS$504&lt;'2.2 Input_General_Information'!$H$20, ,IF(AS$504='2.2 Input_General_Information'!$H$20,$H$495,AR521/AR509*AS509)))</f>
        <v>2.8477776349581315E-2</v>
      </c>
      <c r="AT521" s="469">
        <f ca="1">IF($G$495=0,0,IF(AT$504&lt;'2.2 Input_General_Information'!$H$20, ,IF(AT$504='2.2 Input_General_Information'!$H$20,$H$495,AS521/AS509*AT509)))</f>
        <v>2.0078249412500703E-2</v>
      </c>
      <c r="AU521" s="469">
        <f ca="1">IF($G$495=0,0,IF(AU$504&lt;'2.2 Input_General_Information'!$H$20, ,IF(AU$504='2.2 Input_General_Information'!$H$20,$H$495,AT521/AT509*AU509)))</f>
        <v>1.3682293284696835E-2</v>
      </c>
      <c r="AV521" s="469">
        <f ca="1">IF($G$495=0,0,IF(AV$504&lt;'2.2 Input_General_Information'!$H$20, ,IF(AV$504='2.2 Input_General_Information'!$H$20,$H$495,AU521/AU509*AV509)))</f>
        <v>9.0920249174113246E-3</v>
      </c>
      <c r="AW521" s="469">
        <f ca="1">IF($G$495=0,0,IF(AW$504&lt;'2.2 Input_General_Information'!$H$20, ,IF(AW$504='2.2 Input_General_Information'!$H$20,$H$495,AV521/AV509*AW509)))</f>
        <v>5.9358553916279725E-3</v>
      </c>
      <c r="AX521" s="469">
        <f ca="1">IF($G$495=0,0,IF(AX$504&lt;'2.2 Input_General_Information'!$H$20, ,IF(AX$504='2.2 Input_General_Information'!$H$20,$H$495,AW521/AW509*AX509)))</f>
        <v>3.8291621852350258E-3</v>
      </c>
      <c r="AY521" s="469">
        <f ca="1">IF($G$495=0,0,IF(AY$504&lt;'2.2 Input_General_Information'!$H$20, ,IF(AY$504='2.2 Input_General_Information'!$H$20,$H$495,AX521/AX509*AY509)))</f>
        <v>2.4506774411860647E-3</v>
      </c>
      <c r="AZ521" s="469">
        <f ca="1">IF($G$495=0,0,IF(AZ$504&lt;'2.2 Input_General_Information'!$H$20, ,IF(AZ$504='2.2 Input_General_Information'!$H$20,$H$495,AY521/AY509*AZ509)))</f>
        <v>1.560391380409273E-3</v>
      </c>
      <c r="BA521" s="469">
        <f ca="1">IF($G$495=0,0,IF(BA$504&lt;'2.2 Input_General_Information'!$H$20, ,IF(BA$504='2.2 Input_General_Information'!$H$20,$H$495,AZ521/AZ509*BA509)))</f>
        <v>9.9024705306029279E-4</v>
      </c>
      <c r="BB521" s="469">
        <f ca="1">IF($G$495=0,0,IF(BB$504&lt;'2.2 Input_General_Information'!$H$20, ,IF(BB$504='2.2 Input_General_Information'!$H$20,$H$495,BA521/BA509*BB509)))</f>
        <v>6.2709821545484535E-4</v>
      </c>
      <c r="BC521" s="469">
        <f ca="1">IF($G$495=0,0,IF(BC$504&lt;'2.2 Input_General_Information'!$H$20, ,IF(BC$504='2.2 Input_General_Information'!$H$20,$H$495,BB521/BB509*BC509)))</f>
        <v>3.9659192037008842E-4</v>
      </c>
      <c r="BD521" s="469">
        <f ca="1">IF($G$495=0,0,IF(BD$504&lt;'2.2 Input_General_Information'!$H$20, ,IF(BD$504='2.2 Input_General_Information'!$H$20,$H$495,BC521/BC509*BD509)))</f>
        <v>2.50600573668862E-4</v>
      </c>
      <c r="BE521" s="469">
        <f ca="1">IF($G$495=0,0,IF(BE$504&lt;'2.2 Input_General_Information'!$H$20, ,IF(BE$504='2.2 Input_General_Information'!$H$20,$H$495,BD521/BD509*BE509)))</f>
        <v>1.5826541472977024E-4</v>
      </c>
      <c r="BF521" s="469">
        <f ca="1">IF($G$495=0,0,IF(BF$504&lt;'2.2 Input_General_Information'!$H$20, ,IF(BF$504='2.2 Input_General_Information'!$H$20,$H$495,BE521/BE509*BF509)))</f>
        <v>9.9917577334675048E-5</v>
      </c>
      <c r="BG521" s="469">
        <f ca="1">IF($G$495=0,0,IF(BG$504&lt;'2.2 Input_General_Information'!$H$20, ,IF(BG$504='2.2 Input_General_Information'!$H$20,$H$495,BF521/BF509*BG509)))</f>
        <v>6.3067297312250893E-5</v>
      </c>
      <c r="BH521" s="469">
        <f ca="1">IF($G$495=0,0,IF(BH$504&lt;'2.2 Input_General_Information'!$H$20, ,IF(BH$504='2.2 Input_General_Information'!$H$20,$H$495,BG521/BG509*BH509)))</f>
        <v>3.9802236184994816E-5</v>
      </c>
      <c r="BI521" s="469">
        <f ca="1">IF($G$495=0,0,IF(BI$504&lt;'2.2 Input_General_Information'!$H$20, ,IF(BI$504='2.2 Input_General_Information'!$H$20,$H$495,BH521/BH509*BI509)))</f>
        <v>2.5117327836039101E-5</v>
      </c>
      <c r="BJ521" s="469">
        <f ca="1">IF($G$495=0,0,IF(BJ$504&lt;'2.2 Input_General_Information'!$H$20, ,IF(BJ$504='2.2 Input_General_Information'!$H$20,$H$495,BI521/BI509*BJ509)))</f>
        <v>1.5849510705412561E-5</v>
      </c>
      <c r="BK521" s="469">
        <f ca="1">IF($G$495=0,0,IF(BK$504&lt;'2.2 Input_General_Information'!$H$20, ,IF(BK$504='2.2 Input_General_Information'!$H$20,$H$495,BJ521/BJ509*BK509)))</f>
        <v>1.0001000099997796E-5</v>
      </c>
      <c r="BL521" s="618"/>
      <c r="BM521" s="618"/>
      <c r="BN521" s="618"/>
      <c r="BO521" s="618"/>
      <c r="BP521" s="618"/>
      <c r="BQ521" s="618"/>
      <c r="BR521" s="618"/>
      <c r="BS521" s="618"/>
      <c r="BT521" s="618"/>
      <c r="BU521" s="618"/>
    </row>
    <row r="522" spans="1:73">
      <c r="A522" s="6"/>
      <c r="B522" s="97"/>
      <c r="C522" s="37"/>
      <c r="D522" s="37"/>
      <c r="E522" s="10"/>
      <c r="F522" s="10"/>
      <c r="G522" s="244"/>
      <c r="H522" s="244"/>
      <c r="I522" s="244"/>
      <c r="J522" s="244"/>
      <c r="K522" s="244"/>
      <c r="L522" s="244"/>
      <c r="M522" s="244"/>
      <c r="N522" s="244"/>
      <c r="O522" s="10"/>
      <c r="P522" s="10"/>
      <c r="Q522" s="10"/>
      <c r="R522" s="193"/>
      <c r="S522" s="10"/>
      <c r="T522" s="81"/>
      <c r="U522" s="81"/>
      <c r="V522" s="81"/>
      <c r="W522" s="366"/>
      <c r="X522" s="366"/>
      <c r="Y522" s="366"/>
      <c r="Z522" s="366"/>
      <c r="AA522" s="366"/>
      <c r="AB522" s="366"/>
      <c r="AC522" s="366"/>
      <c r="AD522" s="366"/>
      <c r="AE522" s="366"/>
      <c r="AF522" s="366"/>
      <c r="AG522" s="366"/>
      <c r="AH522" s="366"/>
      <c r="AI522" s="366"/>
      <c r="AJ522" s="366"/>
      <c r="AK522" s="366"/>
      <c r="AL522" s="366"/>
      <c r="AM522" s="366"/>
      <c r="AN522" s="366"/>
      <c r="AO522" s="366"/>
      <c r="AP522" s="366"/>
      <c r="AQ522" s="366"/>
      <c r="AR522" s="366"/>
      <c r="AS522" s="366"/>
      <c r="AT522" s="366"/>
      <c r="AU522" s="366"/>
      <c r="AV522" s="366"/>
      <c r="AW522" s="366"/>
      <c r="AX522" s="366"/>
      <c r="AY522" s="366"/>
      <c r="AZ522" s="366"/>
      <c r="BA522" s="366"/>
      <c r="BB522" s="366"/>
      <c r="BC522" s="366"/>
      <c r="BD522" s="366"/>
      <c r="BE522" s="366"/>
      <c r="BF522" s="366"/>
      <c r="BG522" s="366"/>
      <c r="BH522" s="366"/>
      <c r="BI522" s="366"/>
      <c r="BJ522" s="366"/>
      <c r="BK522" s="366"/>
      <c r="BL522" s="367"/>
      <c r="BM522" s="367"/>
      <c r="BN522" s="367"/>
      <c r="BO522" s="367"/>
      <c r="BP522" s="367"/>
      <c r="BQ522" s="367"/>
      <c r="BR522" s="367"/>
      <c r="BS522" s="367"/>
      <c r="BT522" s="367"/>
      <c r="BU522" s="367"/>
    </row>
    <row r="523" spans="1:73">
      <c r="A523" s="619"/>
      <c r="B523" s="620"/>
      <c r="C523" s="621"/>
      <c r="D523" s="621"/>
      <c r="E523" s="622"/>
      <c r="F523" s="622"/>
      <c r="G523" s="623"/>
      <c r="H523" s="623"/>
      <c r="I523" s="623"/>
      <c r="J523" s="623"/>
      <c r="K523" s="623"/>
      <c r="L523" s="623"/>
      <c r="M523" s="623"/>
      <c r="N523" s="623"/>
      <c r="O523" s="622"/>
      <c r="P523" s="622"/>
      <c r="Q523" s="622"/>
      <c r="R523" s="624"/>
      <c r="S523" s="622"/>
      <c r="T523" s="625"/>
      <c r="U523" s="625"/>
      <c r="V523" s="101" t="s">
        <v>1019</v>
      </c>
      <c r="W523" s="495">
        <f ca="1">IF(W$504&lt;'2.2 Input_General_Information'!$H$20, ,IF(W$504='2.2 Input_General_Information'!$H$20,0,SUM(V517:V521)-SUM(W517:W521)))</f>
        <v>0</v>
      </c>
      <c r="X523" s="495">
        <f ca="1">IF(X$504&lt;'2.2 Input_General_Information'!$H$20, ,IF(X$504='2.2 Input_General_Information'!$H$20,0,SUM(W517:W521)-SUM(X517:X521)))</f>
        <v>3.9339900193972044E-3</v>
      </c>
      <c r="Y523" s="495">
        <f ca="1">IF(Y$504&lt;'2.2 Input_General_Information'!$H$20, ,IF(Y$504='2.2 Input_General_Information'!$H$20,0,SUM(X517:X521)-SUM(Y517:Y521)))</f>
        <v>3.9130079398810302E-3</v>
      </c>
      <c r="Z523" s="495">
        <f ca="1">IF(Z$504&lt;'2.2 Input_General_Information'!$H$20, ,IF(Z$504='2.2 Input_General_Information'!$H$20,0,SUM(Y517:Y521)-SUM(Z517:Z521)))</f>
        <v>3.7724279100393998E-3</v>
      </c>
      <c r="AA523" s="495">
        <f ca="1">IF(AA$504&lt;'2.2 Input_General_Information'!$H$20, ,IF(AA$504='2.2 Input_General_Information'!$H$20,0,SUM(Z517:Z521)-SUM(AA517:AA521)))</f>
        <v>3.53168597412723E-3</v>
      </c>
      <c r="AB523" s="495">
        <f ca="1">IF(AB$504&lt;'2.2 Input_General_Information'!$H$20, ,IF(AB$504='2.2 Input_General_Information'!$H$20,0,SUM(AA517:AA521)-SUM(AB517:AB521)))</f>
        <v>3.2214077027815646E-3</v>
      </c>
      <c r="AC523" s="495">
        <f ca="1">IF(AC$504&lt;'2.2 Input_General_Information'!$H$20, ,IF(AC$504='2.2 Input_General_Information'!$H$20,0,SUM(AB517:AB521)-SUM(AC517:AC521)))</f>
        <v>2.8776471491416267E-3</v>
      </c>
      <c r="AD523" s="495">
        <f ca="1">IF(AD$504&lt;'2.2 Input_General_Information'!$H$20, ,IF(AD$504='2.2 Input_General_Information'!$H$20,0,SUM(AC517:AC521)-SUM(AD517:AD521)))</f>
        <v>2.5367567102067001E-3</v>
      </c>
      <c r="AE523" s="495">
        <f ca="1">IF(AE$504&lt;'2.2 Input_General_Information'!$H$20, ,IF(AE$504='2.2 Input_General_Information'!$H$20,0,SUM(AD517:AD521)-SUM(AE517:AE521)))</f>
        <v>2.2325693880490549E-3</v>
      </c>
      <c r="AF523" s="495">
        <f ca="1">IF(AF$504&lt;'2.2 Input_General_Information'!$H$20, ,IF(AF$504='2.2 Input_General_Information'!$H$20,0,SUM(AE517:AE521)-SUM(AF517:AF521)))</f>
        <v>1.99654297440921E-3</v>
      </c>
      <c r="AG523" s="495">
        <f ca="1">IF(AG$504&lt;'2.2 Input_General_Information'!$H$20, ,IF(AG$504='2.2 Input_General_Information'!$H$20,0,SUM(AF517:AF521)-SUM(AG517:AG521)))</f>
        <v>1.8606942525026815E-3</v>
      </c>
      <c r="AH523" s="495">
        <f ca="1">IF(AH$504&lt;'2.2 Input_General_Information'!$H$20, ,IF(AH$504='2.2 Input_General_Information'!$H$20,0,SUM(AG517:AG521)-SUM(AH517:AH521)))</f>
        <v>1.862771353891679E-3</v>
      </c>
      <c r="AI523" s="495">
        <f ca="1">IF(AI$504&lt;'2.2 Input_General_Information'!$H$20, ,IF(AI$504='2.2 Input_General_Information'!$H$20,0,SUM(AH517:AH521)-SUM(AI517:AI521)))</f>
        <v>2.0529394708441728E-3</v>
      </c>
      <c r="AJ523" s="495">
        <f ca="1">IF(AJ$504&lt;'2.2 Input_General_Information'!$H$20, ,IF(AJ$504='2.2 Input_General_Information'!$H$20,0,SUM(AI517:AI521)-SUM(AJ517:AJ521)))</f>
        <v>2.5007113347051968E-3</v>
      </c>
      <c r="AK523" s="495">
        <f ca="1">IF(AK$504&lt;'2.2 Input_General_Information'!$H$20, ,IF(AK$504='2.2 Input_General_Information'!$H$20,0,SUM(AJ517:AJ521)-SUM(AK517:AK521)))</f>
        <v>3.2990791714591072E-3</v>
      </c>
      <c r="AL523" s="495">
        <f ca="1">IF(AL$504&lt;'2.2 Input_General_Information'!$H$20, ,IF(AL$504='2.2 Input_General_Information'!$H$20,0,SUM(AK517:AK521)-SUM(AL517:AL521)))</f>
        <v>4.5588107121525834E-3</v>
      </c>
      <c r="AM523" s="495">
        <f ca="1">IF(AM$504&lt;'2.2 Input_General_Information'!$H$20, ,IF(AM$504='2.2 Input_General_Information'!$H$20,0,SUM(AL517:AL521)-SUM(AM517:AM521)))</f>
        <v>6.3797031548360472E-3</v>
      </c>
      <c r="AN523" s="495">
        <f ca="1">IF(AN$504&lt;'2.2 Input_General_Information'!$H$20, ,IF(AN$504='2.2 Input_General_Information'!$H$20,0,SUM(AM517:AM521)-SUM(AN517:AN521)))</f>
        <v>8.7822536176692667E-3</v>
      </c>
      <c r="AO523" s="495">
        <f ca="1">IF(AO$504&lt;'2.2 Input_General_Information'!$H$20, ,IF(AO$504='2.2 Input_General_Information'!$H$20,0,SUM(AN517:AN521)-SUM(AO517:AO521)))</f>
        <v>1.1598798015370337E-2</v>
      </c>
      <c r="AP523" s="495">
        <f ca="1">IF(AP$504&lt;'2.2 Input_General_Information'!$H$20, ,IF(AP$504='2.2 Input_General_Information'!$H$20,0,SUM(AO517:AO521)-SUM(AP517:AP521)))</f>
        <v>1.4378559713385086E-2</v>
      </c>
      <c r="AQ523" s="495">
        <f ca="1">IF(AQ$504&lt;'2.2 Input_General_Information'!$H$20, ,IF(AQ$504='2.2 Input_General_Information'!$H$20,0,SUM(AP517:AP521)-SUM(AQ517:AQ521)))</f>
        <v>1.6432528107769961E-2</v>
      </c>
      <c r="AR523" s="495">
        <f ca="1">IF(AR$504&lt;'2.2 Input_General_Information'!$H$20, ,IF(AR$504='2.2 Input_General_Information'!$H$20,0,SUM(AQ517:AQ521)-SUM(AR517:AR521)))</f>
        <v>1.7109200929293689E-2</v>
      </c>
      <c r="AS523" s="495">
        <f ca="1">IF(AS$504&lt;'2.2 Input_General_Information'!$H$20, ,IF(AS$504='2.2 Input_General_Information'!$H$20,0,SUM(AR517:AR521)-SUM(AS517:AS521)))</f>
        <v>1.6167110408290886E-2</v>
      </c>
      <c r="AT523" s="495">
        <f ca="1">IF(AT$504&lt;'2.2 Input_General_Information'!$H$20, ,IF(AT$504='2.2 Input_General_Information'!$H$20,0,SUM(AS517:AS521)-SUM(AT517:AT521)))</f>
        <v>1.3926302939153978E-2</v>
      </c>
      <c r="AU523" s="495">
        <f ca="1">IF(AU$504&lt;'2.2 Input_General_Information'!$H$20, ,IF(AU$504='2.2 Input_General_Information'!$H$20,0,SUM(AT517:AT521)-SUM(AU517:AU521)))</f>
        <v>1.1056708926107772E-2</v>
      </c>
      <c r="AV523" s="495">
        <f ca="1">IF(AV$504&lt;'2.2 Input_General_Information'!$H$20, ,IF(AV$504='2.2 Input_General_Information'!$H$20,0,SUM(AU517:AU521)-SUM(AV517:AV521)))</f>
        <v>8.2116644896732538E-3</v>
      </c>
      <c r="AW523" s="495">
        <f ca="1">IF(AW$504&lt;'2.2 Input_General_Information'!$H$20, ,IF(AW$504='2.2 Input_General_Information'!$H$20,0,SUM(AV517:AV521)-SUM(AW517:AW521)))</f>
        <v>5.7945528621958786E-3</v>
      </c>
      <c r="AX523" s="495">
        <f ca="1">IF(AX$504&lt;'2.2 Input_General_Information'!$H$20, ,IF(AX$504='2.2 Input_General_Information'!$H$20,0,SUM(AW517:AW521)-SUM(AX517:AX521)))</f>
        <v>3.9399808079858545E-3</v>
      </c>
      <c r="AY523" s="495">
        <f ca="1">IF(AY$504&lt;'2.2 Input_General_Information'!$H$20, ,IF(AY$504='2.2 Input_General_Information'!$H$20,0,SUM(AX517:AX521)-SUM(AY517:AY521)))</f>
        <v>2.6108128255935004E-3</v>
      </c>
      <c r="AZ523" s="495">
        <f ca="1">IF(AZ$504&lt;'2.2 Input_General_Information'!$H$20, ,IF(AZ$504='2.2 Input_General_Information'!$H$20,0,SUM(AY517:AY521)-SUM(AZ517:AZ521)))</f>
        <v>1.7003117750075125E-3</v>
      </c>
      <c r="BA523" s="495">
        <f ca="1">IF(BA$504&lt;'2.2 Input_General_Information'!$H$20, ,IF(BA$504='2.2 Input_General_Information'!$H$20,0,SUM(AZ517:AZ521)-SUM(BA517:BA521)))</f>
        <v>1.0947882278443677E-3</v>
      </c>
      <c r="BB523" s="495">
        <f ca="1">IF(BB$504&lt;'2.2 Input_General_Information'!$H$20, ,IF(BB$504='2.2 Input_General_Information'!$H$20,0,SUM(BA517:BA521)-SUM(BB517:BB521)))</f>
        <v>6.9972169767984482E-4</v>
      </c>
      <c r="BC523" s="495">
        <f ca="1">IF(BC$504&lt;'2.2 Input_General_Information'!$H$20, ,IF(BC$504='2.2 Input_General_Information'!$H$20,0,SUM(BB517:BB521)-SUM(BC517:BC521)))</f>
        <v>4.4510822256671467E-4</v>
      </c>
      <c r="BD523" s="495">
        <f ca="1">IF(BD$504&lt;'2.2 Input_General_Information'!$H$20, ,IF(BD$504='2.2 Input_General_Information'!$H$20,0,SUM(BC517:BC521)-SUM(BD517:BD521)))</f>
        <v>2.8229163327475604E-4</v>
      </c>
      <c r="BE523" s="495">
        <f ca="1">IF(BE$504&lt;'2.2 Input_General_Information'!$H$20, ,IF(BE$504='2.2 Input_General_Information'!$H$20,0,SUM(BD517:BD521)-SUM(BE517:BE521)))</f>
        <v>1.786906927685461E-4</v>
      </c>
      <c r="BF523" s="495">
        <f ca="1">IF(BF$504&lt;'2.2 Input_General_Information'!$H$20, ,IF(BF$504='2.2 Input_General_Information'!$H$20,0,SUM(BE517:BE521)-SUM(BF517:BF521)))</f>
        <v>1.1297513245145385E-4</v>
      </c>
      <c r="BG523" s="495">
        <f ca="1">IF(BG$504&lt;'2.2 Input_General_Information'!$H$20, ,IF(BG$504='2.2 Input_General_Information'!$H$20,0,SUM(BF517:BF521)-SUM(BG517:BG521)))</f>
        <v>7.1373087166981541E-5</v>
      </c>
      <c r="BH523" s="495">
        <f ca="1">IF(BH$504&lt;'2.2 Input_General_Information'!$H$20, ,IF(BH$504='2.2 Input_General_Information'!$H$20,0,SUM(BG517:BG521)-SUM(BH517:BH521)))</f>
        <v>4.5069134672948152E-5</v>
      </c>
      <c r="BI523" s="495">
        <f ca="1">IF(BI$504&lt;'2.2 Input_General_Information'!$H$20, ,IF(BI$504='2.2 Input_General_Information'!$H$20,0,SUM(BH517:BH521)-SUM(BI517:BI521)))</f>
        <v>2.8450785064859652E-5</v>
      </c>
      <c r="BJ523" s="495">
        <f ca="1">IF(BJ$504&lt;'2.2 Input_General_Information'!$H$20, ,IF(BJ$504='2.2 Input_General_Information'!$H$20,0,SUM(BI517:BI521)-SUM(BJ517:BJ521)))</f>
        <v>1.7956767316085198E-5</v>
      </c>
      <c r="BK523" s="495">
        <f ca="1">IF(BK$504&lt;'2.2 Input_General_Information'!$H$20, ,IF(BK$504='2.2 Input_General_Information'!$H$20,0,SUM(BJ517:BJ521)-SUM(BK517:BK521)))</f>
        <v>1.1332126901741901E-5</v>
      </c>
      <c r="BL523" s="626"/>
      <c r="BM523" s="626"/>
      <c r="BN523" s="626"/>
      <c r="BO523" s="626"/>
      <c r="BP523" s="626"/>
      <c r="BQ523" s="626"/>
      <c r="BR523" s="626"/>
      <c r="BS523" s="626"/>
      <c r="BT523" s="626"/>
      <c r="BU523" s="626"/>
    </row>
    <row r="524" spans="1:73">
      <c r="A524" s="6"/>
      <c r="B524" s="97"/>
      <c r="C524" s="37"/>
      <c r="D524" s="37"/>
      <c r="E524" s="10"/>
      <c r="F524" s="10"/>
      <c r="G524" s="244"/>
      <c r="H524" s="244"/>
      <c r="I524" s="244"/>
      <c r="J524" s="244"/>
      <c r="K524" s="244"/>
      <c r="L524" s="244"/>
      <c r="M524" s="244"/>
      <c r="N524" s="244"/>
      <c r="O524" s="10"/>
      <c r="P524" s="10"/>
      <c r="Q524" s="10"/>
      <c r="R524" s="193"/>
      <c r="S524" s="10"/>
      <c r="T524" s="101"/>
      <c r="U524" s="101"/>
      <c r="V524" s="103"/>
      <c r="W524" s="366"/>
      <c r="X524" s="366"/>
      <c r="Y524" s="627">
        <f ca="1">SUM(W517:W521)-SUM(Y517:Y521)</f>
        <v>7.8469979592782346E-3</v>
      </c>
      <c r="Z524" s="366"/>
      <c r="AA524" s="366"/>
      <c r="AB524" s="366"/>
      <c r="AC524" s="366"/>
      <c r="AD524" s="366"/>
      <c r="AE524" s="366"/>
      <c r="AF524" s="366"/>
      <c r="AG524" s="366"/>
      <c r="AH524" s="366"/>
      <c r="AI524" s="366"/>
      <c r="AJ524" s="366"/>
      <c r="AK524" s="366"/>
      <c r="AL524" s="366"/>
      <c r="AM524" s="366"/>
      <c r="AN524" s="366"/>
      <c r="AO524" s="366"/>
      <c r="AP524" s="366"/>
      <c r="AQ524" s="366"/>
      <c r="AR524" s="366"/>
      <c r="AS524" s="366"/>
      <c r="AT524" s="366"/>
      <c r="AU524" s="366"/>
      <c r="AV524" s="366"/>
      <c r="AW524" s="366"/>
      <c r="AX524" s="366"/>
      <c r="AY524" s="366"/>
      <c r="AZ524" s="366"/>
      <c r="BA524" s="366"/>
      <c r="BB524" s="366"/>
      <c r="BC524" s="366"/>
      <c r="BD524" s="366"/>
      <c r="BE524" s="366"/>
      <c r="BF524" s="366"/>
      <c r="BG524" s="366"/>
      <c r="BH524" s="366"/>
      <c r="BI524" s="366"/>
      <c r="BJ524" s="366"/>
      <c r="BK524" s="366"/>
      <c r="BL524" s="367"/>
      <c r="BM524" s="367"/>
      <c r="BN524" s="367"/>
      <c r="BO524" s="367"/>
      <c r="BP524" s="367"/>
      <c r="BQ524" s="367"/>
      <c r="BR524" s="367"/>
      <c r="BS524" s="367"/>
      <c r="BT524" s="367"/>
      <c r="BU524" s="367"/>
    </row>
    <row r="525" spans="1:73">
      <c r="A525" s="6"/>
      <c r="B525" s="97"/>
      <c r="C525" s="37"/>
      <c r="D525" s="37"/>
      <c r="E525" s="10"/>
      <c r="F525" s="10"/>
      <c r="G525" s="244"/>
      <c r="H525" s="244"/>
      <c r="I525" s="244"/>
      <c r="J525" s="244"/>
      <c r="K525" s="244"/>
      <c r="L525" s="244"/>
      <c r="M525" s="244"/>
      <c r="N525" s="244"/>
      <c r="O525" s="10"/>
      <c r="P525" s="10"/>
      <c r="Q525" s="10"/>
      <c r="R525" s="193"/>
      <c r="S525" s="10"/>
      <c r="T525" s="101"/>
      <c r="U525" s="101"/>
      <c r="V525" s="103" t="str">
        <f>D500</f>
        <v>Time saved due to changing types, formats and quality of datasets</v>
      </c>
      <c r="W525" s="366"/>
      <c r="X525" s="366"/>
      <c r="Y525" s="366"/>
      <c r="Z525" s="366"/>
      <c r="AA525" s="366"/>
      <c r="AB525" s="366"/>
      <c r="AC525" s="366"/>
      <c r="AD525" s="366"/>
      <c r="AE525" s="366"/>
      <c r="AF525" s="366"/>
      <c r="AG525" s="366"/>
      <c r="AH525" s="366"/>
      <c r="AI525" s="366"/>
      <c r="AJ525" s="366"/>
      <c r="AK525" s="366"/>
      <c r="AL525" s="366"/>
      <c r="AM525" s="366"/>
      <c r="AN525" s="366"/>
      <c r="AO525" s="366"/>
      <c r="AP525" s="366"/>
      <c r="AQ525" s="366"/>
      <c r="AR525" s="366"/>
      <c r="AS525" s="366"/>
      <c r="AT525" s="366"/>
      <c r="AU525" s="366"/>
      <c r="AV525" s="366"/>
      <c r="AW525" s="366"/>
      <c r="AX525" s="366"/>
      <c r="AY525" s="366"/>
      <c r="AZ525" s="366"/>
      <c r="BA525" s="366"/>
      <c r="BB525" s="366"/>
      <c r="BC525" s="366"/>
      <c r="BD525" s="366"/>
      <c r="BE525" s="366"/>
      <c r="BF525" s="366"/>
      <c r="BG525" s="366"/>
      <c r="BH525" s="366"/>
      <c r="BI525" s="366"/>
      <c r="BJ525" s="366"/>
      <c r="BK525" s="366"/>
      <c r="BL525" s="367"/>
      <c r="BM525" s="367"/>
      <c r="BN525" s="367"/>
      <c r="BO525" s="367"/>
      <c r="BP525" s="367"/>
      <c r="BQ525" s="367"/>
      <c r="BR525" s="367"/>
      <c r="BS525" s="367"/>
      <c r="BT525" s="367"/>
      <c r="BU525" s="367"/>
    </row>
    <row r="526" spans="1:73">
      <c r="A526" s="6"/>
      <c r="B526" s="108"/>
      <c r="C526" s="1"/>
      <c r="D526" s="37"/>
      <c r="E526" s="1"/>
      <c r="F526" s="1"/>
      <c r="G526" s="183"/>
      <c r="H526" s="3"/>
      <c r="I526" s="3"/>
      <c r="J526" s="3"/>
      <c r="K526" s="3"/>
      <c r="L526" s="3"/>
      <c r="M526" s="3"/>
      <c r="N526" s="3"/>
      <c r="O526" s="1"/>
      <c r="P526" s="1"/>
      <c r="Q526" s="1"/>
      <c r="R526" s="162"/>
      <c r="S526" s="1"/>
      <c r="T526" s="103"/>
      <c r="U526" s="103"/>
      <c r="V526" s="103" t="str">
        <f>G$10</f>
        <v>PhD researcher</v>
      </c>
      <c r="W526" s="373">
        <f ca="1">IF(W$504&gt;='2.2 Input_General_Information'!$H$20,W$523*'2.3 Input_Main_Questionnaire'!$H$31,)</f>
        <v>0</v>
      </c>
      <c r="X526" s="373">
        <f ca="1">IF(X$504&gt;='2.2 Input_General_Information'!$H$20,X$523*'2.3 Input_Main_Questionnaire'!$H$31,)</f>
        <v>1.1880649858579558E-4</v>
      </c>
      <c r="Y526" s="373">
        <f ca="1">IF(Y$504&gt;='2.2 Input_General_Information'!$H$20,Y$523*'2.3 Input_Main_Questionnaire'!$H$31,)</f>
        <v>1.1817283978440711E-4</v>
      </c>
      <c r="Z526" s="373">
        <f ca="1">IF(Z$504&gt;='2.2 Input_General_Information'!$H$20,Z$523*'2.3 Input_Main_Questionnaire'!$H$31,)</f>
        <v>1.1392732288318988E-4</v>
      </c>
      <c r="AA526" s="373">
        <f ca="1">IF(AA$504&gt;='2.2 Input_General_Information'!$H$20,AA$523*'2.3 Input_Main_Questionnaire'!$H$31,)</f>
        <v>1.0665691641864235E-4</v>
      </c>
      <c r="AB526" s="373">
        <f ca="1">IF(AB$504&gt;='2.2 Input_General_Information'!$H$20,AB$523*'2.3 Input_Main_Questionnaire'!$H$31,)</f>
        <v>9.7286512624003254E-5</v>
      </c>
      <c r="AC526" s="373">
        <f ca="1">IF(AC$504&gt;='2.2 Input_General_Information'!$H$20,AC$523*'2.3 Input_Main_Questionnaire'!$H$31,)</f>
        <v>8.6904943904077126E-5</v>
      </c>
      <c r="AD526" s="373">
        <f ca="1">IF(AD$504&gt;='2.2 Input_General_Information'!$H$20,AD$523*'2.3 Input_Main_Questionnaire'!$H$31,)</f>
        <v>7.6610052648242347E-5</v>
      </c>
      <c r="AE526" s="373">
        <f ca="1">IF(AE$504&gt;='2.2 Input_General_Information'!$H$20,AE$523*'2.3 Input_Main_Questionnaire'!$H$31,)</f>
        <v>6.7423595519081457E-5</v>
      </c>
      <c r="AF526" s="373">
        <f ca="1">IF(AF$504&gt;='2.2 Input_General_Information'!$H$20,AF$523*'2.3 Input_Main_Questionnaire'!$H$31,)</f>
        <v>6.0295597827158143E-5</v>
      </c>
      <c r="AG526" s="373">
        <f ca="1">IF(AG$504&gt;='2.2 Input_General_Information'!$H$20,AG$523*'2.3 Input_Main_Questionnaire'!$H$31,)</f>
        <v>5.619296642558098E-5</v>
      </c>
      <c r="AH526" s="373">
        <f ca="1">IF(AH$504&gt;='2.2 Input_General_Information'!$H$20,AH$523*'2.3 Input_Main_Questionnaire'!$H$31,)</f>
        <v>5.6255694887528706E-5</v>
      </c>
      <c r="AI526" s="373">
        <f ca="1">IF(AI$504&gt;='2.2 Input_General_Information'!$H$20,AI$523*'2.3 Input_Main_Questionnaire'!$H$31,)</f>
        <v>6.1998772019494026E-5</v>
      </c>
      <c r="AJ526" s="373">
        <f ca="1">IF(AJ$504&gt;='2.2 Input_General_Information'!$H$20,AJ$523*'2.3 Input_Main_Questionnaire'!$H$31,)</f>
        <v>7.5521482308096941E-5</v>
      </c>
      <c r="AK526" s="373">
        <f ca="1">IF(AK$504&gt;='2.2 Input_General_Information'!$H$20,AK$523*'2.3 Input_Main_Questionnaire'!$H$31,)</f>
        <v>9.9632190978065038E-5</v>
      </c>
      <c r="AL526" s="373">
        <f ca="1">IF(AL$504&gt;='2.2 Input_General_Information'!$H$20,AL$523*'2.3 Input_Main_Questionnaire'!$H$31,)</f>
        <v>1.3767608350700802E-4</v>
      </c>
      <c r="AM526" s="373">
        <f ca="1">IF(AM$504&gt;='2.2 Input_General_Information'!$H$20,AM$523*'2.3 Input_Main_Questionnaire'!$H$31,)</f>
        <v>1.9266703527604865E-4</v>
      </c>
      <c r="AN526" s="373">
        <f ca="1">IF(AN$504&gt;='2.2 Input_General_Information'!$H$20,AN$523*'2.3 Input_Main_Questionnaire'!$H$31,)</f>
        <v>2.6522405925361188E-4</v>
      </c>
      <c r="AO526" s="373">
        <f ca="1">IF(AO$504&gt;='2.2 Input_General_Information'!$H$20,AO$523*'2.3 Input_Main_Questionnaire'!$H$31,)</f>
        <v>3.502837000641842E-4</v>
      </c>
      <c r="AP526" s="373">
        <f ca="1">IF(AP$504&gt;='2.2 Input_General_Information'!$H$20,AP$523*'2.3 Input_Main_Questionnaire'!$H$31,)</f>
        <v>4.3423250334422963E-4</v>
      </c>
      <c r="AQ526" s="373">
        <f ca="1">IF(AQ$504&gt;='2.2 Input_General_Information'!$H$20,AQ$523*'2.3 Input_Main_Questionnaire'!$H$31,)</f>
        <v>4.9626234885465287E-4</v>
      </c>
      <c r="AR526" s="373">
        <f ca="1">IF(AR$504&gt;='2.2 Input_General_Information'!$H$20,AR$523*'2.3 Input_Main_Questionnaire'!$H$31,)</f>
        <v>5.166978680646694E-4</v>
      </c>
      <c r="AS526" s="373">
        <f ca="1">IF(AS$504&gt;='2.2 Input_General_Information'!$H$20,AS$523*'2.3 Input_Main_Questionnaire'!$H$31,)</f>
        <v>4.8824673433038476E-4</v>
      </c>
      <c r="AT526" s="373">
        <f ca="1">IF(AT$504&gt;='2.2 Input_General_Information'!$H$20,AT$523*'2.3 Input_Main_Questionnaire'!$H$31,)</f>
        <v>4.2057434876245018E-4</v>
      </c>
      <c r="AU526" s="373">
        <f ca="1">IF(AU$504&gt;='2.2 Input_General_Information'!$H$20,AU$523*'2.3 Input_Main_Questionnaire'!$H$31,)</f>
        <v>3.3391260956845475E-4</v>
      </c>
      <c r="AV526" s="373">
        <f ca="1">IF(AV$504&gt;='2.2 Input_General_Information'!$H$20,AV$523*'2.3 Input_Main_Questionnaire'!$H$31,)</f>
        <v>2.4799226758813226E-4</v>
      </c>
      <c r="AW526" s="373">
        <f ca="1">IF(AW$504&gt;='2.2 Input_General_Information'!$H$20,AW$523*'2.3 Input_Main_Questionnaire'!$H$31,)</f>
        <v>1.7499549643831553E-4</v>
      </c>
      <c r="AX526" s="373">
        <f ca="1">IF(AX$504&gt;='2.2 Input_General_Information'!$H$20,AX$523*'2.3 Input_Main_Questionnaire'!$H$31,)</f>
        <v>1.1898742040117281E-4</v>
      </c>
      <c r="AY526" s="373">
        <f ca="1">IF(AY$504&gt;='2.2 Input_General_Information'!$H$20,AY$523*'2.3 Input_Main_Questionnaire'!$H$31,)</f>
        <v>7.8846547332923718E-5</v>
      </c>
      <c r="AZ526" s="373">
        <f ca="1">IF(AZ$504&gt;='2.2 Input_General_Information'!$H$20,AZ$523*'2.3 Input_Main_Questionnaire'!$H$31,)</f>
        <v>5.1349415605226882E-5</v>
      </c>
      <c r="BA526" s="373">
        <f ca="1">IF(BA$504&gt;='2.2 Input_General_Information'!$H$20,BA$523*'2.3 Input_Main_Questionnaire'!$H$31,)</f>
        <v>3.3062604480899908E-5</v>
      </c>
      <c r="BB526" s="373">
        <f ca="1">IF(BB$504&gt;='2.2 Input_General_Information'!$H$20,BB$523*'2.3 Input_Main_Questionnaire'!$H$31,)</f>
        <v>2.1131595269931314E-5</v>
      </c>
      <c r="BC526" s="373">
        <f ca="1">IF(BC$504&gt;='2.2 Input_General_Information'!$H$20,BC$523*'2.3 Input_Main_Questionnaire'!$H$31,)</f>
        <v>1.3442268321514783E-5</v>
      </c>
      <c r="BD526" s="373">
        <f ca="1">IF(BD$504&gt;='2.2 Input_General_Information'!$H$20,BD$523*'2.3 Input_Main_Questionnaire'!$H$31,)</f>
        <v>8.5252073248976322E-6</v>
      </c>
      <c r="BE526" s="373">
        <f ca="1">IF(BE$504&gt;='2.2 Input_General_Information'!$H$20,BE$523*'2.3 Input_Main_Questionnaire'!$H$31,)</f>
        <v>5.3964589216100927E-6</v>
      </c>
      <c r="BF526" s="373">
        <f ca="1">IF(BF$504&gt;='2.2 Input_General_Information'!$H$20,BF$523*'2.3 Input_Main_Questionnaire'!$H$31,)</f>
        <v>3.4118490000339063E-6</v>
      </c>
      <c r="BG526" s="373">
        <f ca="1">IF(BG$504&gt;='2.2 Input_General_Information'!$H$20,BG$523*'2.3 Input_Main_Questionnaire'!$H$31,)</f>
        <v>2.1554672324428425E-6</v>
      </c>
      <c r="BH526" s="373">
        <f ca="1">IF(BH$504&gt;='2.2 Input_General_Information'!$H$20,BH$523*'2.3 Input_Main_Questionnaire'!$H$31,)</f>
        <v>1.3610878671230342E-6</v>
      </c>
      <c r="BI526" s="373">
        <f ca="1">IF(BI$504&gt;='2.2 Input_General_Information'!$H$20,BI$523*'2.3 Input_Main_Questionnaire'!$H$31,)</f>
        <v>8.592137089587615E-7</v>
      </c>
      <c r="BJ526" s="373">
        <f ca="1">IF(BJ$504&gt;='2.2 Input_General_Information'!$H$20,BJ$523*'2.3 Input_Main_Questionnaire'!$H$31,)</f>
        <v>5.4229437294577295E-7</v>
      </c>
      <c r="BK526" s="373">
        <f ca="1">IF(BK$504&gt;='2.2 Input_General_Information'!$H$20,BK$523*'2.3 Input_Main_Questionnaire'!$H$31,)</f>
        <v>3.4223023243260541E-7</v>
      </c>
      <c r="BL526" s="381"/>
      <c r="BM526" s="381"/>
      <c r="BN526" s="381"/>
      <c r="BO526" s="381"/>
      <c r="BP526" s="381"/>
      <c r="BQ526" s="381"/>
      <c r="BR526" s="381"/>
      <c r="BS526" s="381"/>
      <c r="BT526" s="381"/>
      <c r="BU526" s="381"/>
    </row>
    <row r="527" spans="1:73">
      <c r="A527" s="6"/>
      <c r="B527" s="108"/>
      <c r="C527" s="1"/>
      <c r="D527" s="37"/>
      <c r="E527" s="1"/>
      <c r="F527" s="1"/>
      <c r="G527" s="3"/>
      <c r="H527" s="3"/>
      <c r="I527" s="3"/>
      <c r="J527" s="3"/>
      <c r="K527" s="3"/>
      <c r="L527" s="3"/>
      <c r="M527" s="3"/>
      <c r="N527" s="3"/>
      <c r="O527" s="1"/>
      <c r="P527" s="1"/>
      <c r="Q527" s="1"/>
      <c r="R527" s="162"/>
      <c r="S527" s="1"/>
      <c r="T527" s="103"/>
      <c r="U527" s="103"/>
      <c r="V527" s="103" t="str">
        <f>$H$10</f>
        <v>Lecturer assistant/Research assistant (Academic)</v>
      </c>
      <c r="W527" s="373">
        <f ca="1">IF(W$504&gt;='2.2 Input_General_Information'!$H$20,W$523*'2.3 Input_Main_Questionnaire'!$I$31,)</f>
        <v>0</v>
      </c>
      <c r="X527" s="373">
        <f ca="1">IF(X$504&gt;='2.2 Input_General_Information'!$H$20,X$523*'2.3 Input_Main_Questionnaire'!$I$31,)</f>
        <v>1.7545595486511531E-4</v>
      </c>
      <c r="Y527" s="373">
        <f ca="1">IF(Y$504&gt;='2.2 Input_General_Information'!$H$20,Y$523*'2.3 Input_Main_Questionnaire'!$I$31,)</f>
        <v>1.7452015411869394E-4</v>
      </c>
      <c r="Z527" s="373">
        <f ca="1">IF(Z$504&gt;='2.2 Input_General_Information'!$H$20,Z$523*'2.3 Input_Main_Questionnaire'!$I$31,)</f>
        <v>1.6825028478775723E-4</v>
      </c>
      <c r="AA527" s="373">
        <f ca="1">IF(AA$504&gt;='2.2 Input_General_Information'!$H$20,AA$523*'2.3 Input_Main_Questionnaire'!$I$31,)</f>
        <v>1.5751319444607447E-4</v>
      </c>
      <c r="AB527" s="373">
        <f ca="1">IF(AB$504&gt;='2.2 Input_General_Information'!$H$20,AB$523*'2.3 Input_Main_Questionnaire'!$I$31,)</f>
        <v>1.4367478354405778E-4</v>
      </c>
      <c r="AC527" s="373">
        <f ca="1">IF(AC$504&gt;='2.2 Input_General_Information'!$H$20,AC$523*'2.3 Input_Main_Questionnaire'!$I$31,)</f>
        <v>1.2834306285171656E-4</v>
      </c>
      <c r="AD527" s="373">
        <f ca="1">IF(AD$504&gt;='2.2 Input_General_Information'!$H$20,AD$523*'2.3 Input_Main_Questionnaire'!$I$31,)</f>
        <v>1.1313934927521883E-4</v>
      </c>
      <c r="AE527" s="373">
        <f ca="1">IF(AE$504&gt;='2.2 Input_General_Information'!$H$20,AE$523*'2.3 Input_Main_Questionnaire'!$I$31,)</f>
        <v>9.9572594706987853E-5</v>
      </c>
      <c r="AF527" s="373">
        <f ca="1">IF(AF$504&gt;='2.2 Input_General_Information'!$H$20,AF$523*'2.3 Input_Main_Questionnaire'!$I$31,)</f>
        <v>8.9045816658650764E-5</v>
      </c>
      <c r="AG527" s="373">
        <f ca="1">IF(AG$504&gt;='2.2 Input_General_Information'!$H$20,AG$523*'2.3 Input_Main_Questionnaire'!$I$31,)</f>
        <v>8.2986963661619599E-5</v>
      </c>
      <c r="AH527" s="373">
        <f ca="1">IF(AH$504&gt;='2.2 Input_General_Information'!$H$20,AH$523*'2.3 Input_Main_Questionnaire'!$I$31,)</f>
        <v>8.3079602383568884E-5</v>
      </c>
      <c r="AI527" s="373">
        <f ca="1">IF(AI$504&gt;='2.2 Input_General_Information'!$H$20,AI$523*'2.3 Input_Main_Questionnaire'!$I$31,)</f>
        <v>9.1561100399650114E-5</v>
      </c>
      <c r="AJ527" s="373">
        <f ca="1">IF(AJ$504&gt;='2.2 Input_General_Information'!$H$20,AJ$523*'2.3 Input_Main_Questionnaire'!$I$31,)</f>
        <v>1.1153172552785177E-4</v>
      </c>
      <c r="AK527" s="373">
        <f ca="1">IF(AK$504&gt;='2.2 Input_General_Information'!$H$20,AK$523*'2.3 Input_Main_Questionnaire'!$I$31,)</f>
        <v>1.4713893104707619E-4</v>
      </c>
      <c r="AL527" s="373">
        <f ca="1">IF(AL$504&gt;='2.2 Input_General_Information'!$H$20,AL$523*'2.3 Input_Main_Questionnaire'!$I$31,)</f>
        <v>2.0332295776200523E-4</v>
      </c>
      <c r="AM527" s="373">
        <f ca="1">IF(AM$504&gt;='2.2 Input_General_Information'!$H$20,AM$523*'2.3 Input_Main_Questionnaire'!$I$31,)</f>
        <v>2.845347607056877E-4</v>
      </c>
      <c r="AN527" s="373">
        <f ca="1">IF(AN$504&gt;='2.2 Input_General_Information'!$H$20,AN$523*'2.3 Input_Main_Questionnaire'!$I$31,)</f>
        <v>3.9168851134804931E-4</v>
      </c>
      <c r="AO527" s="373">
        <f ca="1">IF(AO$504&gt;='2.2 Input_General_Information'!$H$20,AO$523*'2.3 Input_Main_Questionnaire'!$I$31,)</f>
        <v>5.1730639148551711E-4</v>
      </c>
      <c r="AP527" s="373">
        <f ca="1">IF(AP$504&gt;='2.2 Input_General_Information'!$H$20,AP$523*'2.3 Input_Main_Questionnaire'!$I$31,)</f>
        <v>6.4128376321697484E-4</v>
      </c>
      <c r="AQ527" s="373">
        <f ca="1">IF(AQ$504&gt;='2.2 Input_General_Information'!$H$20,AQ$523*'2.3 Input_Main_Questionnaire'!$I$31,)</f>
        <v>7.3289075360654027E-4</v>
      </c>
      <c r="AR527" s="373">
        <f ca="1">IF(AR$504&gt;='2.2 Input_General_Information'!$H$20,AR$523*'2.3 Input_Main_Questionnaire'!$I$31,)</f>
        <v>7.6307036144649852E-4</v>
      </c>
      <c r="AS527" s="373">
        <f ca="1">IF(AS$504&gt;='2.2 Input_General_Information'!$H$20,AS$523*'2.3 Input_Main_Questionnaire'!$I$31,)</f>
        <v>7.2105312420977347E-4</v>
      </c>
      <c r="AT527" s="373">
        <f ca="1">IF(AT$504&gt;='2.2 Input_General_Information'!$H$20,AT$523*'2.3 Input_Main_Questionnaire'!$I$31,)</f>
        <v>6.2111311108626742E-4</v>
      </c>
      <c r="AU527" s="373">
        <f ca="1">IF(AU$504&gt;='2.2 Input_General_Information'!$H$20,AU$523*'2.3 Input_Main_Questionnaire'!$I$31,)</f>
        <v>4.9312921810440663E-4</v>
      </c>
      <c r="AV527" s="373">
        <f ca="1">IF(AV$504&gt;='2.2 Input_General_Information'!$H$20,AV$523*'2.3 Input_Main_Questionnaire'!$I$31,)</f>
        <v>3.662402362394271E-4</v>
      </c>
      <c r="AW527" s="373">
        <f ca="1">IF(AW$504&gt;='2.2 Input_General_Information'!$H$20,AW$523*'2.3 Input_Main_Questionnaire'!$I$31,)</f>
        <v>2.5843705765393618E-4</v>
      </c>
      <c r="AX527" s="373">
        <f ca="1">IF(AX$504&gt;='2.2 Input_General_Information'!$H$20,AX$523*'2.3 Input_Main_Questionnaire'!$I$31,)</f>
        <v>1.7572314403616911E-4</v>
      </c>
      <c r="AY527" s="373">
        <f ca="1">IF(AY$504&gt;='2.2 Input_General_Information'!$H$20,AY$523*'2.3 Input_Main_Questionnaire'!$I$31,)</f>
        <v>1.1644225202147012E-4</v>
      </c>
      <c r="AZ527" s="373">
        <f ca="1">IF(AZ$504&gt;='2.2 Input_General_Information'!$H$20,AZ$523*'2.3 Input_Main_Questionnaire'!$I$31,)</f>
        <v>7.5833905165335064E-5</v>
      </c>
      <c r="BA527" s="373">
        <f ca="1">IF(BA$504&gt;='2.2 Input_General_Information'!$H$20,BA$523*'2.3 Input_Main_Questionnaire'!$I$31,)</f>
        <v>4.8827554961858801E-5</v>
      </c>
      <c r="BB527" s="373">
        <f ca="1">IF(BB$504&gt;='2.2 Input_General_Information'!$H$20,BB$523*'2.3 Input_Main_Questionnaire'!$I$31,)</f>
        <v>3.1207587716521081E-5</v>
      </c>
      <c r="BC527" s="373">
        <f ca="1">IF(BC$504&gt;='2.2 Input_General_Information'!$H$20,BC$523*'2.3 Input_Main_Questionnaire'!$I$31,)</f>
        <v>1.9851826726475476E-5</v>
      </c>
      <c r="BD527" s="373">
        <f ca="1">IF(BD$504&gt;='2.2 Input_General_Information'!$H$20,BD$523*'2.3 Input_Main_Questionnaire'!$I$31,)</f>
        <v>1.2590206844054119E-5</v>
      </c>
      <c r="BE527" s="373">
        <f ca="1">IF(BE$504&gt;='2.2 Input_General_Information'!$H$20,BE$523*'2.3 Input_Main_Questionnaire'!$I$31,)</f>
        <v>7.9696048974771559E-6</v>
      </c>
      <c r="BF527" s="373">
        <f ca="1">IF(BF$504&gt;='2.2 Input_General_Information'!$H$20,BF$523*'2.3 Input_Main_Questionnaire'!$I$31,)</f>
        <v>5.0386909073348422E-6</v>
      </c>
      <c r="BG527" s="373">
        <f ca="1">IF(BG$504&gt;='2.2 Input_General_Information'!$H$20,BG$523*'2.3 Input_Main_Questionnaire'!$I$31,)</f>
        <v>3.1832396876473766E-6</v>
      </c>
      <c r="BH527" s="373">
        <f ca="1">IF(BH$504&gt;='2.2 Input_General_Information'!$H$20,BH$523*'2.3 Input_Main_Questionnaire'!$I$31,)</f>
        <v>2.0100834064134878E-6</v>
      </c>
      <c r="BI527" s="373">
        <f ca="1">IF(BI$504&gt;='2.2 Input_General_Information'!$H$20,BI$523*'2.3 Input_Main_Questionnaire'!$I$31,)</f>
        <v>1.2689050138927404E-6</v>
      </c>
      <c r="BJ527" s="373">
        <f ca="1">IF(BJ$504&gt;='2.2 Input_General_Information'!$H$20,BJ$523*'2.3 Input_Main_Questionnaire'!$I$31,)</f>
        <v>8.0087182229739982E-7</v>
      </c>
      <c r="BK527" s="373">
        <f ca="1">IF(BK$504&gt;='2.2 Input_General_Information'!$H$20,BK$523*'2.3 Input_Main_Questionnaire'!$I$31,)</f>
        <v>5.0541285981768878E-7</v>
      </c>
      <c r="BL527" s="381"/>
      <c r="BM527" s="381"/>
      <c r="BN527" s="381"/>
      <c r="BO527" s="381"/>
      <c r="BP527" s="381"/>
      <c r="BQ527" s="381"/>
      <c r="BR527" s="381"/>
      <c r="BS527" s="381"/>
      <c r="BT527" s="381"/>
      <c r="BU527" s="381"/>
    </row>
    <row r="528" spans="1:73">
      <c r="A528" s="6"/>
      <c r="B528" s="108"/>
      <c r="C528" s="1"/>
      <c r="D528" s="37"/>
      <c r="E528" s="1"/>
      <c r="F528" s="1"/>
      <c r="G528" s="3"/>
      <c r="H528" s="3"/>
      <c r="I528" s="3"/>
      <c r="J528" s="3"/>
      <c r="K528" s="3"/>
      <c r="L528" s="3"/>
      <c r="M528" s="3"/>
      <c r="N528" s="3"/>
      <c r="O528" s="1"/>
      <c r="P528" s="1"/>
      <c r="Q528" s="1"/>
      <c r="R528" s="162"/>
      <c r="S528" s="1"/>
      <c r="T528" s="103"/>
      <c r="U528" s="103"/>
      <c r="V528" s="103" t="str">
        <f>$I$10</f>
        <v>Lecturer/Researcher (Academic)</v>
      </c>
      <c r="W528" s="373">
        <f ca="1">IF(W$504&gt;='2.2 Input_General_Information'!$H$20,W$523*'2.3 Input_Main_Questionnaire'!$J$31,)</f>
        <v>0</v>
      </c>
      <c r="X528" s="373">
        <f ca="1">IF(X$504&gt;='2.2 Input_General_Information'!$H$20,X$523*'2.3 Input_Main_Questionnaire'!$J$31,)</f>
        <v>1.4123024169635965E-4</v>
      </c>
      <c r="Y528" s="373">
        <f ca="1">IF(Y$504&gt;='2.2 Input_General_Information'!$H$20,Y$523*'2.3 Input_Main_Questionnaire'!$J$31,)</f>
        <v>1.4047698504172899E-4</v>
      </c>
      <c r="Z528" s="373">
        <f ca="1">IF(Z$504&gt;='2.2 Input_General_Information'!$H$20,Z$523*'2.3 Input_Main_Questionnaire'!$J$31,)</f>
        <v>1.3543016197041445E-4</v>
      </c>
      <c r="AA528" s="373">
        <f ca="1">IF(AA$504&gt;='2.2 Input_General_Information'!$H$20,AA$523*'2.3 Input_Main_Questionnaire'!$J$31,)</f>
        <v>1.2678752647116756E-4</v>
      </c>
      <c r="AB528" s="373">
        <f ca="1">IF(AB$504&gt;='2.2 Input_General_Information'!$H$20,AB$523*'2.3 Input_Main_Questionnaire'!$J$31,)</f>
        <v>1.1564853652985818E-4</v>
      </c>
      <c r="AC528" s="373">
        <f ca="1">IF(AC$504&gt;='2.2 Input_General_Information'!$H$20,AC$523*'2.3 Input_Main_Questionnaire'!$J$31,)</f>
        <v>1.033075326541844E-4</v>
      </c>
      <c r="AD528" s="373">
        <f ca="1">IF(AD$504&gt;='2.2 Input_General_Information'!$H$20,AD$523*'2.3 Input_Main_Questionnaire'!$J$31,)</f>
        <v>9.1069565896420535E-5</v>
      </c>
      <c r="AE528" s="373">
        <f ca="1">IF(AE$504&gt;='2.2 Input_General_Information'!$H$20,AE$523*'2.3 Input_Main_Questionnaire'!$J$31,)</f>
        <v>8.0149241030961081E-5</v>
      </c>
      <c r="AF528" s="373">
        <f ca="1">IF(AF$504&gt;='2.2 Input_General_Information'!$H$20,AF$523*'2.3 Input_Main_Questionnaire'!$J$31,)</f>
        <v>7.1675892781290648E-5</v>
      </c>
      <c r="AG528" s="373">
        <f ca="1">IF(AG$504&gt;='2.2 Input_General_Information'!$H$20,AG$523*'2.3 Input_Main_Questionnaire'!$J$31,)</f>
        <v>6.6798923664846262E-5</v>
      </c>
      <c r="AH528" s="373">
        <f ca="1">IF(AH$504&gt;='2.2 Input_General_Information'!$H$20,AH$523*'2.3 Input_Main_Questionnaire'!$J$31,)</f>
        <v>6.687349160471128E-5</v>
      </c>
      <c r="AI528" s="373">
        <f ca="1">IF(AI$504&gt;='2.2 Input_General_Information'!$H$20,AI$523*'2.3 Input_Main_Questionnaire'!$J$31,)</f>
        <v>7.3700527003305811E-5</v>
      </c>
      <c r="AJ528" s="373">
        <f ca="1">IF(AJ$504&gt;='2.2 Input_General_Information'!$H$20,AJ$523*'2.3 Input_Main_Questionnaire'!$J$31,)</f>
        <v>8.9775536915916567E-5</v>
      </c>
      <c r="AK528" s="373">
        <f ca="1">IF(AK$504&gt;='2.2 Input_General_Information'!$H$20,AK$523*'2.3 Input_Main_Questionnaire'!$J$31,)</f>
        <v>1.1843694225538196E-4</v>
      </c>
      <c r="AL528" s="373">
        <f ca="1">IF(AL$504&gt;='2.2 Input_General_Information'!$H$20,AL$523*'2.3 Input_Main_Questionnaire'!$J$31,)</f>
        <v>1.6366130456627775E-4</v>
      </c>
      <c r="AM528" s="373">
        <f ca="1">IF(AM$504&gt;='2.2 Input_General_Information'!$H$20,AM$523*'2.3 Input_Main_Questionnaire'!$J$31,)</f>
        <v>2.2903134325861412E-4</v>
      </c>
      <c r="AN528" s="373">
        <f ca="1">IF(AN$504&gt;='2.2 Input_General_Information'!$H$20,AN$523*'2.3 Input_Main_Questionnaire'!$J$31,)</f>
        <v>3.1528290487432668E-4</v>
      </c>
      <c r="AO528" s="373">
        <f ca="1">IF(AO$504&gt;='2.2 Input_General_Information'!$H$20,AO$523*'2.3 Input_Main_Questionnaire'!$J$31,)</f>
        <v>4.1639684875179511E-4</v>
      </c>
      <c r="AP528" s="373">
        <f ca="1">IF(AP$504&gt;='2.2 Input_General_Information'!$H$20,AP$523*'2.3 Input_Main_Questionnaire'!$J$31,)</f>
        <v>5.1619029371052457E-4</v>
      </c>
      <c r="AQ528" s="373">
        <f ca="1">IF(AQ$504&gt;='2.2 Input_General_Information'!$H$20,AQ$523*'2.3 Input_Main_Questionnaire'!$J$31,)</f>
        <v>5.8992775906894167E-4</v>
      </c>
      <c r="AR528" s="373">
        <f ca="1">IF(AR$504&gt;='2.2 Input_General_Information'!$H$20,AR$523*'2.3 Input_Main_Questionnaire'!$J$31,)</f>
        <v>6.1422031336164345E-4</v>
      </c>
      <c r="AS528" s="373">
        <f ca="1">IF(AS$504&gt;='2.2 Input_General_Information'!$H$20,AS$523*'2.3 Input_Main_Questionnaire'!$J$31,)</f>
        <v>5.8039926365764281E-4</v>
      </c>
      <c r="AT528" s="373">
        <f ca="1">IF(AT$504&gt;='2.2 Input_General_Information'!$H$20,AT$523*'2.3 Input_Main_Questionnaire'!$J$31,)</f>
        <v>4.9995427551562783E-4</v>
      </c>
      <c r="AU528" s="373">
        <f ca="1">IF(AU$504&gt;='2.2 Input_General_Information'!$H$20,AU$523*'2.3 Input_Main_Questionnaire'!$J$31,)</f>
        <v>3.9693585044726904E-4</v>
      </c>
      <c r="AV528" s="373">
        <f ca="1">IF(AV$504&gt;='2.2 Input_General_Information'!$H$20,AV$523*'2.3 Input_Main_Questionnaire'!$J$31,)</f>
        <v>2.9479875517926985E-4</v>
      </c>
      <c r="AW528" s="373">
        <f ca="1">IF(AW$504&gt;='2.2 Input_General_Information'!$H$20,AW$523*'2.3 Input_Main_Questionnaire'!$J$31,)</f>
        <v>2.0802444775283206E-4</v>
      </c>
      <c r="AX528" s="373">
        <f ca="1">IF(AX$504&gt;='2.2 Input_General_Information'!$H$20,AX$523*'2.3 Input_Main_Questionnaire'!$J$31,)</f>
        <v>1.4144531100669219E-4</v>
      </c>
      <c r="AY528" s="373">
        <f ca="1">IF(AY$504&gt;='2.2 Input_General_Information'!$H$20,AY$523*'2.3 Input_Main_Questionnaire'!$J$31,)</f>
        <v>9.3728180438806672E-5</v>
      </c>
      <c r="AZ528" s="373">
        <f ca="1">IF(AZ$504&gt;='2.2 Input_General_Information'!$H$20,AZ$523*'2.3 Input_Main_Questionnaire'!$J$31,)</f>
        <v>6.1041192722769696E-5</v>
      </c>
      <c r="BA528" s="373">
        <f ca="1">IF(BA$504&gt;='2.2 Input_General_Information'!$H$20,BA$523*'2.3 Input_Main_Questionnaire'!$J$31,)</f>
        <v>3.9302897379612802E-5</v>
      </c>
      <c r="BB528" s="373">
        <f ca="1">IF(BB$504&gt;='2.2 Input_General_Information'!$H$20,BB$523*'2.3 Input_Main_Questionnaire'!$J$31,)</f>
        <v>2.512000894670643E-5</v>
      </c>
      <c r="BC528" s="373">
        <f ca="1">IF(BC$504&gt;='2.2 Input_General_Information'!$H$20,BC$523*'2.3 Input_Main_Questionnaire'!$J$31,)</f>
        <v>1.5979385190145057E-5</v>
      </c>
      <c r="BD528" s="373">
        <f ca="1">IF(BD$504&gt;='2.2 Input_General_Information'!$H$20,BD$523*'2.3 Input_Main_Questionnaire'!$J$31,)</f>
        <v>1.0134269634563742E-5</v>
      </c>
      <c r="BE528" s="373">
        <f ca="1">IF(BE$504&gt;='2.2 Input_General_Information'!$H$20,BE$523*'2.3 Input_Main_Questionnaire'!$J$31,)</f>
        <v>6.414995870390805E-6</v>
      </c>
      <c r="BF528" s="373">
        <f ca="1">IF(BF$504&gt;='2.2 Input_General_Information'!$H$20,BF$523*'2.3 Input_Main_Questionnaire'!$J$31,)</f>
        <v>4.0558072550071938E-6</v>
      </c>
      <c r="BG528" s="373">
        <f ca="1">IF(BG$504&gt;='2.2 Input_General_Information'!$H$20,BG$523*'2.3 Input_Main_Questionnaire'!$J$31,)</f>
        <v>2.5622938292946374E-6</v>
      </c>
      <c r="BH528" s="373">
        <f ca="1">IF(BH$504&gt;='2.2 Input_General_Information'!$H$20,BH$523*'2.3 Input_Main_Questionnaire'!$J$31,)</f>
        <v>1.6179819347588387E-6</v>
      </c>
      <c r="BI528" s="373">
        <f ca="1">IF(BI$504&gt;='2.2 Input_General_Information'!$H$20,BI$523*'2.3 Input_Main_Questionnaire'!$J$31,)</f>
        <v>1.0213831838284615E-6</v>
      </c>
      <c r="BJ528" s="373">
        <f ca="1">IF(BJ$504&gt;='2.2 Input_General_Information'!$H$20,BJ$523*'2.3 Input_Main_Questionnaire'!$J$31,)</f>
        <v>6.4464794664745865E-7</v>
      </c>
      <c r="BK528" s="373">
        <f ca="1">IF(BK$504&gt;='2.2 Input_General_Information'!$H$20,BK$523*'2.3 Input_Main_Questionnaire'!$J$31,)</f>
        <v>4.0682335577253426E-7</v>
      </c>
      <c r="BL528" s="381"/>
      <c r="BM528" s="381"/>
      <c r="BN528" s="381"/>
      <c r="BO528" s="381"/>
      <c r="BP528" s="381"/>
      <c r="BQ528" s="381"/>
      <c r="BR528" s="381"/>
      <c r="BS528" s="381"/>
      <c r="BT528" s="381"/>
      <c r="BU528" s="381"/>
    </row>
    <row r="529" spans="1:73">
      <c r="A529" s="6"/>
      <c r="B529" s="108"/>
      <c r="C529" s="1"/>
      <c r="D529" s="37"/>
      <c r="E529" s="1"/>
      <c r="F529" s="1"/>
      <c r="G529" s="3"/>
      <c r="H529" s="3"/>
      <c r="I529" s="3"/>
      <c r="J529" s="3"/>
      <c r="K529" s="3"/>
      <c r="L529" s="3"/>
      <c r="M529" s="3"/>
      <c r="N529" s="3"/>
      <c r="O529" s="1"/>
      <c r="P529" s="1"/>
      <c r="Q529" s="1"/>
      <c r="R529" s="162"/>
      <c r="S529" s="1"/>
      <c r="T529" s="103"/>
      <c r="U529" s="103"/>
      <c r="V529" s="103" t="str">
        <f>$J$10</f>
        <v>Other</v>
      </c>
      <c r="W529" s="373">
        <f ca="1">IF(W$504&gt;='2.2 Input_General_Information'!$H$20,W$523*'2.3 Input_Main_Questionnaire'!$K$31,)</f>
        <v>0</v>
      </c>
      <c r="X529" s="373">
        <f ca="1">IF(X$504&gt;='2.2 Input_General_Information'!$H$20,X$523*'2.3 Input_Main_Questionnaire'!$K$31,)</f>
        <v>1.8804472292718638E-4</v>
      </c>
      <c r="Y529" s="373">
        <f ca="1">IF(Y$504&gt;='2.2 Input_General_Information'!$H$20,Y$523*'2.3 Input_Main_Questionnaire'!$K$31,)</f>
        <v>1.8704177952631325E-4</v>
      </c>
      <c r="Z529" s="373">
        <f ca="1">IF(Z$504&gt;='2.2 Input_General_Information'!$H$20,Z$523*'2.3 Input_Main_Questionnaire'!$K$31,)</f>
        <v>1.8032205409988333E-4</v>
      </c>
      <c r="AA529" s="373">
        <f ca="1">IF(AA$504&gt;='2.2 Input_General_Information'!$H$20,AA$523*'2.3 Input_Main_Questionnaire'!$K$31,)</f>
        <v>1.6881458956328159E-4</v>
      </c>
      <c r="AB529" s="373">
        <f ca="1">IF(AB$504&gt;='2.2 Input_General_Information'!$H$20,AB$523*'2.3 Input_Main_Questionnaire'!$K$31,)</f>
        <v>1.5398328819295879E-4</v>
      </c>
      <c r="AC529" s="373">
        <f ca="1">IF(AC$504&gt;='2.2 Input_General_Information'!$H$20,AC$523*'2.3 Input_Main_Questionnaire'!$K$31,)</f>
        <v>1.3755153372896976E-4</v>
      </c>
      <c r="AD529" s="373">
        <f ca="1">IF(AD$504&gt;='2.2 Input_General_Information'!$H$20,AD$523*'2.3 Input_Main_Questionnaire'!$K$31,)</f>
        <v>1.2125697074788027E-4</v>
      </c>
      <c r="AE529" s="373">
        <f ca="1">IF(AE$504&gt;='2.2 Input_General_Information'!$H$20,AE$523*'2.3 Input_Main_Questionnaire'!$K$31,)</f>
        <v>1.0671681674874483E-4</v>
      </c>
      <c r="AF529" s="373">
        <f ca="1">IF(AF$504&gt;='2.2 Input_General_Information'!$H$20,AF$523*'2.3 Input_Main_Questionnaire'!$K$31,)</f>
        <v>9.5434754176760249E-5</v>
      </c>
      <c r="AG529" s="373">
        <f ca="1">IF(AG$504&gt;='2.2 Input_General_Information'!$H$20,AG$523*'2.3 Input_Main_Questionnaire'!$K$31,)</f>
        <v>8.8941185269628186E-5</v>
      </c>
      <c r="AH529" s="373">
        <f ca="1">IF(AH$504&gt;='2.2 Input_General_Information'!$H$20,AH$523*'2.3 Input_Main_Questionnaire'!$K$31,)</f>
        <v>8.904047071602226E-5</v>
      </c>
      <c r="AI529" s="373">
        <f ca="1">IF(AI$504&gt;='2.2 Input_General_Information'!$H$20,AI$523*'2.3 Input_Main_Questionnaire'!$K$31,)</f>
        <v>9.8130506706351462E-5</v>
      </c>
      <c r="AJ529" s="373">
        <f ca="1">IF(AJ$504&gt;='2.2 Input_General_Information'!$H$20,AJ$523*'2.3 Input_Main_Questionnaire'!$K$31,)</f>
        <v>1.1953400179890842E-4</v>
      </c>
      <c r="AK529" s="373">
        <f ca="1">IF(AK$504&gt;='2.2 Input_General_Information'!$H$20,AK$523*'2.3 Input_Main_Questionnaire'!$K$31,)</f>
        <v>1.5769598439574532E-4</v>
      </c>
      <c r="AL529" s="373">
        <f ca="1">IF(AL$504&gt;='2.2 Input_General_Information'!$H$20,AL$523*'2.3 Input_Main_Questionnaire'!$K$31,)</f>
        <v>2.1791115204089349E-4</v>
      </c>
      <c r="AM529" s="373">
        <f ca="1">IF(AM$504&gt;='2.2 Input_General_Information'!$H$20,AM$523*'2.3 Input_Main_Questionnaire'!$K$31,)</f>
        <v>3.0494981080116308E-4</v>
      </c>
      <c r="AN529" s="373">
        <f ca="1">IF(AN$504&gt;='2.2 Input_General_Information'!$H$20,AN$523*'2.3 Input_Main_Questionnaire'!$K$31,)</f>
        <v>4.1979172292459099E-4</v>
      </c>
      <c r="AO529" s="373">
        <f ca="1">IF(AO$504&gt;='2.2 Input_General_Information'!$H$20,AO$523*'2.3 Input_Main_Questionnaire'!$K$31,)</f>
        <v>5.5442254513470219E-4</v>
      </c>
      <c r="AP529" s="373">
        <f ca="1">IF(AP$504&gt;='2.2 Input_General_Information'!$H$20,AP$523*'2.3 Input_Main_Questionnaire'!$K$31,)</f>
        <v>6.8729515429980718E-4</v>
      </c>
      <c r="AQ529" s="373">
        <f ca="1">IF(AQ$504&gt;='2.2 Input_General_Information'!$H$20,AQ$523*'2.3 Input_Main_Questionnaire'!$K$31,)</f>
        <v>7.8547484355140417E-4</v>
      </c>
      <c r="AR529" s="373">
        <f ca="1">IF(AR$504&gt;='2.2 Input_General_Information'!$H$20,AR$523*'2.3 Input_Main_Questionnaire'!$K$31,)</f>
        <v>8.1781980442023833E-4</v>
      </c>
      <c r="AS529" s="373">
        <f ca="1">IF(AS$504&gt;='2.2 Input_General_Information'!$H$20,AS$523*'2.3 Input_Main_Questionnaire'!$K$31,)</f>
        <v>7.7278787751630434E-4</v>
      </c>
      <c r="AT529" s="373">
        <f ca="1">IF(AT$504&gt;='2.2 Input_General_Information'!$H$20,AT$523*'2.3 Input_Main_Questionnaire'!$K$31,)</f>
        <v>6.6567728049156014E-4</v>
      </c>
      <c r="AU529" s="373">
        <f ca="1">IF(AU$504&gt;='2.2 Input_General_Information'!$H$20,AU$523*'2.3 Input_Main_Questionnaire'!$K$31,)</f>
        <v>5.285106866679515E-4</v>
      </c>
      <c r="AV529" s="373">
        <f ca="1">IF(AV$504&gt;='2.2 Input_General_Information'!$H$20,AV$523*'2.3 Input_Main_Questionnaire'!$K$31,)</f>
        <v>3.9251756260638156E-4</v>
      </c>
      <c r="AW529" s="373">
        <f ca="1">IF(AW$504&gt;='2.2 Input_General_Information'!$H$20,AW$523*'2.3 Input_Main_Questionnaire'!$K$31,)</f>
        <v>2.7697962681296303E-4</v>
      </c>
      <c r="AX529" s="373">
        <f ca="1">IF(AX$504&gt;='2.2 Input_General_Information'!$H$20,AX$523*'2.3 Input_Main_Questionnaire'!$K$31,)</f>
        <v>1.8833108262172386E-4</v>
      </c>
      <c r="AY529" s="373">
        <f ca="1">IF(AY$504&gt;='2.2 Input_General_Information'!$H$20,AY$523*'2.3 Input_Main_Questionnaire'!$K$31,)</f>
        <v>1.2479685306336934E-4</v>
      </c>
      <c r="AZ529" s="373">
        <f ca="1">IF(AZ$504&gt;='2.2 Input_General_Information'!$H$20,AZ$523*'2.3 Input_Main_Questionnaire'!$K$31,)</f>
        <v>8.1274902845359097E-5</v>
      </c>
      <c r="BA529" s="373">
        <f ca="1">IF(BA$504&gt;='2.2 Input_General_Information'!$H$20,BA$523*'2.3 Input_Main_Questionnaire'!$K$31,)</f>
        <v>5.2330877290960779E-5</v>
      </c>
      <c r="BB529" s="373">
        <f ca="1">IF(BB$504&gt;='2.2 Input_General_Information'!$H$20,BB$523*'2.3 Input_Main_Questionnaire'!$K$31,)</f>
        <v>3.3446697149096587E-5</v>
      </c>
      <c r="BC529" s="373">
        <f ca="1">IF(BC$504&gt;='2.2 Input_General_Information'!$H$20,BC$523*'2.3 Input_Main_Questionnaire'!$K$31,)</f>
        <v>2.1276173038688963E-5</v>
      </c>
      <c r="BD529" s="373">
        <f ca="1">IF(BD$504&gt;='2.2 Input_General_Information'!$H$20,BD$523*'2.3 Input_Main_Questionnaire'!$K$31,)</f>
        <v>1.349354007053334E-5</v>
      </c>
      <c r="BE529" s="373">
        <f ca="1">IF(BE$504&gt;='2.2 Input_General_Information'!$H$20,BE$523*'2.3 Input_Main_Questionnaire'!$K$31,)</f>
        <v>8.5414151143365038E-6</v>
      </c>
      <c r="BF529" s="373">
        <f ca="1">IF(BF$504&gt;='2.2 Input_General_Information'!$H$20,BF$523*'2.3 Input_Main_Questionnaire'!$K$31,)</f>
        <v>5.400211331179494E-6</v>
      </c>
      <c r="BG529" s="373">
        <f ca="1">IF(BG$504&gt;='2.2 Input_General_Information'!$H$20,BG$523*'2.3 Input_Main_Questionnaire'!$K$31,)</f>
        <v>3.4116335665817177E-6</v>
      </c>
      <c r="BH529" s="373">
        <f ca="1">IF(BH$504&gt;='2.2 Input_General_Information'!$H$20,BH$523*'2.3 Input_Main_Questionnaire'!$K$31,)</f>
        <v>2.1543046373669216E-6</v>
      </c>
      <c r="BI529" s="373">
        <f ca="1">IF(BI$504&gt;='2.2 Input_General_Information'!$H$20,BI$523*'2.3 Input_Main_Questionnaire'!$K$31,)</f>
        <v>1.3599475261002914E-6</v>
      </c>
      <c r="BJ529" s="373">
        <f ca="1">IF(BJ$504&gt;='2.2 Input_General_Information'!$H$20,BJ$523*'2.3 Input_Main_Questionnaire'!$K$31,)</f>
        <v>8.5833347770887255E-7</v>
      </c>
      <c r="BK529" s="373">
        <f ca="1">IF(BK$504&gt;='2.2 Input_General_Information'!$H$20,BK$523*'2.3 Input_Main_Questionnaire'!$K$31,)</f>
        <v>5.4167566590326287E-7</v>
      </c>
      <c r="BL529" s="381"/>
      <c r="BM529" s="381"/>
      <c r="BN529" s="381"/>
      <c r="BO529" s="381"/>
      <c r="BP529" s="381"/>
      <c r="BQ529" s="381"/>
      <c r="BR529" s="381"/>
      <c r="BS529" s="381"/>
      <c r="BT529" s="381"/>
      <c r="BU529" s="381"/>
    </row>
    <row r="530" spans="1:73">
      <c r="A530" s="6"/>
      <c r="B530" s="108"/>
      <c r="C530" s="1"/>
      <c r="D530" s="37"/>
      <c r="E530" s="1"/>
      <c r="F530" s="1"/>
      <c r="G530" s="3"/>
      <c r="H530" s="3"/>
      <c r="I530" s="3"/>
      <c r="J530" s="3"/>
      <c r="K530" s="3"/>
      <c r="L530" s="3"/>
      <c r="M530" s="3"/>
      <c r="N530" s="3"/>
      <c r="O530" s="1"/>
      <c r="P530" s="1"/>
      <c r="Q530" s="1"/>
      <c r="R530" s="162"/>
      <c r="S530" s="1"/>
      <c r="T530" s="103"/>
      <c r="U530" s="103"/>
      <c r="V530" s="103" t="str">
        <f>$K$10</f>
        <v>Profile 5</v>
      </c>
      <c r="W530" s="373">
        <f ca="1">IF(W$504&gt;='2.2 Input_General_Information'!$H$20,W$523*'2.3 Input_Main_Questionnaire'!$L$31,)</f>
        <v>0</v>
      </c>
      <c r="X530" s="373">
        <f ca="1">IF(X$504&gt;='2.2 Input_General_Information'!$H$20,X$523*'2.3 Input_Main_Questionnaire'!$L$31,)</f>
        <v>1.5588435451861421E-4</v>
      </c>
      <c r="Y530" s="373">
        <f ca="1">IF(Y$504&gt;='2.2 Input_General_Information'!$H$20,Y$523*'2.3 Input_Main_Questionnaire'!$L$31,)</f>
        <v>1.5505293961778582E-4</v>
      </c>
      <c r="Z530" s="373">
        <f ca="1">IF(Z$504&gt;='2.2 Input_General_Information'!$H$20,Z$523*'2.3 Input_Main_Questionnaire'!$L$31,)</f>
        <v>1.4948245593531122E-4</v>
      </c>
      <c r="AA530" s="373">
        <f ca="1">IF(AA$504&gt;='2.2 Input_General_Information'!$H$20,AA$523*'2.3 Input_Main_Questionnaire'!$L$31,)</f>
        <v>1.3994305672479149E-4</v>
      </c>
      <c r="AB530" s="373">
        <f ca="1">IF(AB$504&gt;='2.2 Input_General_Information'!$H$20,AB$523*'2.3 Input_Main_Questionnaire'!$L$31,)</f>
        <v>1.2764828022271949E-4</v>
      </c>
      <c r="AC530" s="373">
        <f ca="1">IF(AC$504&gt;='2.2 Input_General_Information'!$H$20,AC$523*'2.3 Input_Main_Questionnaire'!$L$31,)</f>
        <v>1.1402676828473696E-4</v>
      </c>
      <c r="AD530" s="373">
        <f ca="1">IF(AD$504&gt;='2.2 Input_General_Information'!$H$20,AD$523*'2.3 Input_Main_Questionnaire'!$L$31,)</f>
        <v>1.0051898464194049E-4</v>
      </c>
      <c r="AE530" s="373">
        <f ca="1">IF(AE$504&gt;='2.2 Input_General_Information'!$H$20,AE$523*'2.3 Input_Main_Questionnaire'!$L$31,)</f>
        <v>8.8465562001443796E-5</v>
      </c>
      <c r="AF530" s="373">
        <f ca="1">IF(AF$504&gt;='2.2 Input_General_Information'!$H$20,AF$523*'2.3 Input_Main_Questionnaire'!$L$31,)</f>
        <v>7.9113015360964955E-5</v>
      </c>
      <c r="AG530" s="373">
        <f ca="1">IF(AG$504&gt;='2.2 Input_General_Information'!$H$20,AG$523*'2.3 Input_Main_Questionnaire'!$L$31,)</f>
        <v>7.373000975541875E-5</v>
      </c>
      <c r="AH530" s="373">
        <f ca="1">IF(AH$504&gt;='2.2 Input_General_Information'!$H$20,AH$523*'2.3 Input_Main_Questionnaire'!$L$31,)</f>
        <v>7.3812314897957784E-5</v>
      </c>
      <c r="AI530" s="373">
        <f ca="1">IF(AI$504&gt;='2.2 Input_General_Information'!$H$20,AI$523*'2.3 Input_Main_Questionnaire'!$L$31,)</f>
        <v>8.1347726532200347E-5</v>
      </c>
      <c r="AJ530" s="373">
        <f ca="1">IF(AJ$504&gt;='2.2 Input_General_Information'!$H$20,AJ$523*'2.3 Input_Main_Questionnaire'!$L$31,)</f>
        <v>9.9090686637693428E-5</v>
      </c>
      <c r="AK530" s="373">
        <f ca="1">IF(AK$504&gt;='2.2 Input_General_Information'!$H$20,AK$523*'2.3 Input_Main_Questionnaire'!$L$31,)</f>
        <v>1.3072601216906711E-4</v>
      </c>
      <c r="AL530" s="373">
        <f ca="1">IF(AL$504&gt;='2.2 Input_General_Information'!$H$20,AL$523*'2.3 Input_Main_Questionnaire'!$L$31,)</f>
        <v>1.8064287446904612E-4</v>
      </c>
      <c r="AM530" s="373">
        <f ca="1">IF(AM$504&gt;='2.2 Input_General_Information'!$H$20,AM$523*'2.3 Input_Main_Questionnaire'!$L$31,)</f>
        <v>2.5279573751037839E-4</v>
      </c>
      <c r="AN530" s="373">
        <f ca="1">IF(AN$504&gt;='2.2 Input_General_Information'!$H$20,AN$523*'2.3 Input_Main_Questionnaire'!$L$31,)</f>
        <v>3.4799679960014472E-4</v>
      </c>
      <c r="AO530" s="373">
        <f ca="1">IF(AO$504&gt;='2.2 Input_General_Information'!$H$20,AO$523*'2.3 Input_Main_Questionnaire'!$L$31,)</f>
        <v>4.5960237135904961E-4</v>
      </c>
      <c r="AP530" s="373">
        <f ca="1">IF(AP$504&gt;='2.2 Input_General_Information'!$H$20,AP$523*'2.3 Input_Main_Questionnaire'!$L$31,)</f>
        <v>5.6975042864288404E-4</v>
      </c>
      <c r="AQ530" s="373">
        <f ca="1">IF(AQ$504&gt;='2.2 Input_General_Information'!$H$20,AQ$523*'2.3 Input_Main_Questionnaire'!$L$31,)</f>
        <v>6.5113892627038472E-4</v>
      </c>
      <c r="AR530" s="373">
        <f ca="1">IF(AR$504&gt;='2.2 Input_General_Information'!$H$20,AR$523*'2.3 Input_Main_Questionnaire'!$L$31,)</f>
        <v>6.7795208682326245E-4</v>
      </c>
      <c r="AS530" s="373">
        <f ca="1">IF(AS$504&gt;='2.2 Input_General_Information'!$H$20,AS$523*'2.3 Input_Main_Questionnaire'!$L$31,)</f>
        <v>6.4062174992852636E-4</v>
      </c>
      <c r="AT530" s="373">
        <f ca="1">IF(AT$504&gt;='2.2 Input_General_Information'!$H$20,AT$523*'2.3 Input_Main_Questionnaire'!$L$31,)</f>
        <v>5.5182975396397642E-4</v>
      </c>
      <c r="AU530" s="373">
        <f ca="1">IF(AU$504&gt;='2.2 Input_General_Information'!$H$20,AU$523*'2.3 Input_Main_Questionnaire'!$L$31,)</f>
        <v>4.3812209119702047E-4</v>
      </c>
      <c r="AV530" s="373">
        <f ca="1">IF(AV$504&gt;='2.2 Input_General_Information'!$H$20,AV$523*'2.3 Input_Main_Questionnaire'!$L$31,)</f>
        <v>3.2538720540330266E-4</v>
      </c>
      <c r="AW530" s="373">
        <f ca="1">IF(AW$504&gt;='2.2 Input_General_Information'!$H$20,AW$523*'2.3 Input_Main_Questionnaire'!$L$31,)</f>
        <v>2.2960915716451169E-4</v>
      </c>
      <c r="AX530" s="373">
        <f ca="1">IF(AX$504&gt;='2.2 Input_General_Information'!$H$20,AX$523*'2.3 Input_Main_Questionnaire'!$L$31,)</f>
        <v>1.5612173951643949E-4</v>
      </c>
      <c r="AY530" s="373">
        <f ca="1">IF(AY$504&gt;='2.2 Input_General_Information'!$H$20,AY$523*'2.3 Input_Main_Questionnaire'!$L$31,)</f>
        <v>1.0345345821414245E-4</v>
      </c>
      <c r="AZ530" s="373">
        <f ca="1">IF(AZ$504&gt;='2.2 Input_General_Information'!$H$20,AZ$523*'2.3 Input_Main_Questionnaire'!$L$31,)</f>
        <v>6.7374854084672678E-5</v>
      </c>
      <c r="BA530" s="373">
        <f ca="1">IF(BA$504&gt;='2.2 Input_General_Information'!$H$20,BA$523*'2.3 Input_Main_Questionnaire'!$L$31,)</f>
        <v>4.3380983528333071E-5</v>
      </c>
      <c r="BB530" s="373">
        <f ca="1">IF(BB$504&gt;='2.2 Input_General_Information'!$H$20,BB$523*'2.3 Input_Main_Questionnaire'!$L$31,)</f>
        <v>2.7726472270563851E-5</v>
      </c>
      <c r="BC530" s="373">
        <f ca="1">IF(BC$504&gt;='2.2 Input_General_Information'!$H$20,BC$523*'2.3 Input_Main_Questionnaire'!$L$31,)</f>
        <v>1.7637413319206067E-5</v>
      </c>
      <c r="BD530" s="373">
        <f ca="1">IF(BD$504&gt;='2.2 Input_General_Information'!$H$20,BD$523*'2.3 Input_Main_Questionnaire'!$L$31,)</f>
        <v>1.1185805968512208E-5</v>
      </c>
      <c r="BE530" s="373">
        <f ca="1">IF(BE$504&gt;='2.2 Input_General_Information'!$H$20,BE$523*'2.3 Input_Main_Questionnaire'!$L$31,)</f>
        <v>7.0806187009536389E-6</v>
      </c>
      <c r="BF530" s="373">
        <f ca="1">IF(BF$504&gt;='2.2 Input_General_Information'!$H$20,BF$523*'2.3 Input_Main_Questionnaire'!$L$31,)</f>
        <v>4.4766396233888592E-6</v>
      </c>
      <c r="BG530" s="373">
        <f ca="1">IF(BG$504&gt;='2.2 Input_General_Information'!$H$20,BG$523*'2.3 Input_Main_Questionnaire'!$L$31,)</f>
        <v>2.8281585789916437E-6</v>
      </c>
      <c r="BH530" s="373">
        <f ca="1">IF(BH$504&gt;='2.2 Input_General_Information'!$H$20,BH$523*'2.3 Input_Main_Questionnaire'!$L$31,)</f>
        <v>1.7858644614155705E-6</v>
      </c>
      <c r="BI530" s="373">
        <f ca="1">IF(BI$504&gt;='2.2 Input_General_Information'!$H$20,BI$523*'2.3 Input_Main_Questionnaire'!$L$31,)</f>
        <v>1.1273623581950637E-6</v>
      </c>
      <c r="BJ530" s="373">
        <f ca="1">IF(BJ$504&gt;='2.2 Input_General_Information'!$H$20,BJ$523*'2.3 Input_Main_Questionnaire'!$L$31,)</f>
        <v>7.1153690489987597E-7</v>
      </c>
      <c r="BK530" s="373">
        <f ca="1">IF(BK$504&gt;='2.2 Input_General_Information'!$H$20,BK$523*'2.3 Input_Main_Questionnaire'!$L$31,)</f>
        <v>4.4903552848152286E-7</v>
      </c>
      <c r="BL530" s="381"/>
      <c r="BM530" s="381"/>
      <c r="BN530" s="381"/>
      <c r="BO530" s="381"/>
      <c r="BP530" s="381"/>
      <c r="BQ530" s="381"/>
      <c r="BR530" s="381"/>
      <c r="BS530" s="381"/>
      <c r="BT530" s="381"/>
      <c r="BU530" s="381"/>
    </row>
    <row r="531" spans="1:73">
      <c r="A531" s="6"/>
      <c r="B531" s="108"/>
      <c r="C531" s="1"/>
      <c r="D531" s="37"/>
      <c r="E531" s="1"/>
      <c r="F531" s="1"/>
      <c r="G531" s="3"/>
      <c r="H531" s="3"/>
      <c r="I531" s="3"/>
      <c r="J531" s="3"/>
      <c r="K531" s="3"/>
      <c r="L531" s="3"/>
      <c r="M531" s="3"/>
      <c r="N531" s="3"/>
      <c r="O531" s="1"/>
      <c r="P531" s="1"/>
      <c r="Q531" s="1"/>
      <c r="R531" s="162"/>
      <c r="S531" s="1"/>
      <c r="T531" s="103"/>
      <c r="U531" s="103"/>
      <c r="V531" s="103" t="str">
        <f>$L$10</f>
        <v>Profile 6</v>
      </c>
      <c r="W531" s="373">
        <f ca="1">IF(W$504&gt;='2.2 Input_General_Information'!$H$20,W$523*'2.3 Input_Main_Questionnaire'!$M$31,)</f>
        <v>0</v>
      </c>
      <c r="X531" s="373">
        <f ca="1">IF(X$504&gt;='2.2 Input_General_Information'!$H$20,X$523*'2.3 Input_Main_Questionnaire'!$M$31,)</f>
        <v>1.5588435451861421E-4</v>
      </c>
      <c r="Y531" s="373">
        <f ca="1">IF(Y$504&gt;='2.2 Input_General_Information'!$H$20,Y$523*'2.3 Input_Main_Questionnaire'!$M$31,)</f>
        <v>1.5505293961778582E-4</v>
      </c>
      <c r="Z531" s="373">
        <f ca="1">IF(Z$504&gt;='2.2 Input_General_Information'!$H$20,Z$523*'2.3 Input_Main_Questionnaire'!$M$31,)</f>
        <v>1.4948245593531122E-4</v>
      </c>
      <c r="AA531" s="373">
        <f ca="1">IF(AA$504&gt;='2.2 Input_General_Information'!$H$20,AA$523*'2.3 Input_Main_Questionnaire'!$M$31,)</f>
        <v>1.3994305672479149E-4</v>
      </c>
      <c r="AB531" s="373">
        <f ca="1">IF(AB$504&gt;='2.2 Input_General_Information'!$H$20,AB$523*'2.3 Input_Main_Questionnaire'!$M$31,)</f>
        <v>1.2764828022271949E-4</v>
      </c>
      <c r="AC531" s="373">
        <f ca="1">IF(AC$504&gt;='2.2 Input_General_Information'!$H$20,AC$523*'2.3 Input_Main_Questionnaire'!$M$31,)</f>
        <v>1.1402676828473696E-4</v>
      </c>
      <c r="AD531" s="373">
        <f ca="1">IF(AD$504&gt;='2.2 Input_General_Information'!$H$20,AD$523*'2.3 Input_Main_Questionnaire'!$M$31,)</f>
        <v>1.0051898464194049E-4</v>
      </c>
      <c r="AE531" s="373">
        <f ca="1">IF(AE$504&gt;='2.2 Input_General_Information'!$H$20,AE$523*'2.3 Input_Main_Questionnaire'!$M$31,)</f>
        <v>8.8465562001443796E-5</v>
      </c>
      <c r="AF531" s="373">
        <f ca="1">IF(AF$504&gt;='2.2 Input_General_Information'!$H$20,AF$523*'2.3 Input_Main_Questionnaire'!$M$31,)</f>
        <v>7.9113015360964955E-5</v>
      </c>
      <c r="AG531" s="373">
        <f ca="1">IF(AG$504&gt;='2.2 Input_General_Information'!$H$20,AG$523*'2.3 Input_Main_Questionnaire'!$M$31,)</f>
        <v>7.373000975541875E-5</v>
      </c>
      <c r="AH531" s="373">
        <f ca="1">IF(AH$504&gt;='2.2 Input_General_Information'!$H$20,AH$523*'2.3 Input_Main_Questionnaire'!$M$31,)</f>
        <v>7.3812314897957784E-5</v>
      </c>
      <c r="AI531" s="373">
        <f ca="1">IF(AI$504&gt;='2.2 Input_General_Information'!$H$20,AI$523*'2.3 Input_Main_Questionnaire'!$M$31,)</f>
        <v>8.1347726532200347E-5</v>
      </c>
      <c r="AJ531" s="373">
        <f ca="1">IF(AJ$504&gt;='2.2 Input_General_Information'!$H$20,AJ$523*'2.3 Input_Main_Questionnaire'!$M$31,)</f>
        <v>9.9090686637693428E-5</v>
      </c>
      <c r="AK531" s="373">
        <f ca="1">IF(AK$504&gt;='2.2 Input_General_Information'!$H$20,AK$523*'2.3 Input_Main_Questionnaire'!$M$31,)</f>
        <v>1.3072601216906711E-4</v>
      </c>
      <c r="AL531" s="373">
        <f ca="1">IF(AL$504&gt;='2.2 Input_General_Information'!$H$20,AL$523*'2.3 Input_Main_Questionnaire'!$M$31,)</f>
        <v>1.8064287446904612E-4</v>
      </c>
      <c r="AM531" s="373">
        <f ca="1">IF(AM$504&gt;='2.2 Input_General_Information'!$H$20,AM$523*'2.3 Input_Main_Questionnaire'!$M$31,)</f>
        <v>2.5279573751037839E-4</v>
      </c>
      <c r="AN531" s="373">
        <f ca="1">IF(AN$504&gt;='2.2 Input_General_Information'!$H$20,AN$523*'2.3 Input_Main_Questionnaire'!$M$31,)</f>
        <v>3.4799679960014472E-4</v>
      </c>
      <c r="AO531" s="373">
        <f ca="1">IF(AO$504&gt;='2.2 Input_General_Information'!$H$20,AO$523*'2.3 Input_Main_Questionnaire'!$M$31,)</f>
        <v>4.5960237135904961E-4</v>
      </c>
      <c r="AP531" s="373">
        <f ca="1">IF(AP$504&gt;='2.2 Input_General_Information'!$H$20,AP$523*'2.3 Input_Main_Questionnaire'!$M$31,)</f>
        <v>5.6975042864288404E-4</v>
      </c>
      <c r="AQ531" s="373">
        <f ca="1">IF(AQ$504&gt;='2.2 Input_General_Information'!$H$20,AQ$523*'2.3 Input_Main_Questionnaire'!$M$31,)</f>
        <v>6.5113892627038472E-4</v>
      </c>
      <c r="AR531" s="373">
        <f ca="1">IF(AR$504&gt;='2.2 Input_General_Information'!$H$20,AR$523*'2.3 Input_Main_Questionnaire'!$M$31,)</f>
        <v>6.7795208682326245E-4</v>
      </c>
      <c r="AS531" s="373">
        <f ca="1">IF(AS$504&gt;='2.2 Input_General_Information'!$H$20,AS$523*'2.3 Input_Main_Questionnaire'!$M$31,)</f>
        <v>6.4062174992852636E-4</v>
      </c>
      <c r="AT531" s="373">
        <f ca="1">IF(AT$504&gt;='2.2 Input_General_Information'!$H$20,AT$523*'2.3 Input_Main_Questionnaire'!$M$31,)</f>
        <v>5.5182975396397642E-4</v>
      </c>
      <c r="AU531" s="373">
        <f ca="1">IF(AU$504&gt;='2.2 Input_General_Information'!$H$20,AU$523*'2.3 Input_Main_Questionnaire'!$M$31,)</f>
        <v>4.3812209119702047E-4</v>
      </c>
      <c r="AV531" s="373">
        <f ca="1">IF(AV$504&gt;='2.2 Input_General_Information'!$H$20,AV$523*'2.3 Input_Main_Questionnaire'!$M$31,)</f>
        <v>3.2538720540330266E-4</v>
      </c>
      <c r="AW531" s="373">
        <f ca="1">IF(AW$504&gt;='2.2 Input_General_Information'!$H$20,AW$523*'2.3 Input_Main_Questionnaire'!$M$31,)</f>
        <v>2.2960915716451169E-4</v>
      </c>
      <c r="AX531" s="373">
        <f ca="1">IF(AX$504&gt;='2.2 Input_General_Information'!$H$20,AX$523*'2.3 Input_Main_Questionnaire'!$M$31,)</f>
        <v>1.5612173951643949E-4</v>
      </c>
      <c r="AY531" s="373">
        <f ca="1">IF(AY$504&gt;='2.2 Input_General_Information'!$H$20,AY$523*'2.3 Input_Main_Questionnaire'!$M$31,)</f>
        <v>1.0345345821414245E-4</v>
      </c>
      <c r="AZ531" s="373">
        <f ca="1">IF(AZ$504&gt;='2.2 Input_General_Information'!$H$20,AZ$523*'2.3 Input_Main_Questionnaire'!$M$31,)</f>
        <v>6.7374854084672678E-5</v>
      </c>
      <c r="BA531" s="373">
        <f ca="1">IF(BA$504&gt;='2.2 Input_General_Information'!$H$20,BA$523*'2.3 Input_Main_Questionnaire'!$M$31,)</f>
        <v>4.3380983528333071E-5</v>
      </c>
      <c r="BB531" s="373">
        <f ca="1">IF(BB$504&gt;='2.2 Input_General_Information'!$H$20,BB$523*'2.3 Input_Main_Questionnaire'!$M$31,)</f>
        <v>2.7726472270563851E-5</v>
      </c>
      <c r="BC531" s="373">
        <f ca="1">IF(BC$504&gt;='2.2 Input_General_Information'!$H$20,BC$523*'2.3 Input_Main_Questionnaire'!$M$31,)</f>
        <v>1.7637413319206067E-5</v>
      </c>
      <c r="BD531" s="373">
        <f ca="1">IF(BD$504&gt;='2.2 Input_General_Information'!$H$20,BD$523*'2.3 Input_Main_Questionnaire'!$M$31,)</f>
        <v>1.1185805968512208E-5</v>
      </c>
      <c r="BE531" s="373">
        <f ca="1">IF(BE$504&gt;='2.2 Input_General_Information'!$H$20,BE$523*'2.3 Input_Main_Questionnaire'!$M$31,)</f>
        <v>7.0806187009536389E-6</v>
      </c>
      <c r="BF531" s="373">
        <f ca="1">IF(BF$504&gt;='2.2 Input_General_Information'!$H$20,BF$523*'2.3 Input_Main_Questionnaire'!$M$31,)</f>
        <v>4.4766396233888592E-6</v>
      </c>
      <c r="BG531" s="373">
        <f ca="1">IF(BG$504&gt;='2.2 Input_General_Information'!$H$20,BG$523*'2.3 Input_Main_Questionnaire'!$M$31,)</f>
        <v>2.8281585789916437E-6</v>
      </c>
      <c r="BH531" s="373">
        <f ca="1">IF(BH$504&gt;='2.2 Input_General_Information'!$H$20,BH$523*'2.3 Input_Main_Questionnaire'!$M$31,)</f>
        <v>1.7858644614155705E-6</v>
      </c>
      <c r="BI531" s="373">
        <f ca="1">IF(BI$504&gt;='2.2 Input_General_Information'!$H$20,BI$523*'2.3 Input_Main_Questionnaire'!$M$31,)</f>
        <v>1.1273623581950637E-6</v>
      </c>
      <c r="BJ531" s="373">
        <f ca="1">IF(BJ$504&gt;='2.2 Input_General_Information'!$H$20,BJ$523*'2.3 Input_Main_Questionnaire'!$M$31,)</f>
        <v>7.1153690489987597E-7</v>
      </c>
      <c r="BK531" s="373">
        <f ca="1">IF(BK$504&gt;='2.2 Input_General_Information'!$H$20,BK$523*'2.3 Input_Main_Questionnaire'!$M$31,)</f>
        <v>4.4903552848152286E-7</v>
      </c>
      <c r="BL531" s="381"/>
      <c r="BM531" s="381"/>
      <c r="BN531" s="381"/>
      <c r="BO531" s="381"/>
      <c r="BP531" s="381"/>
      <c r="BQ531" s="381"/>
      <c r="BR531" s="381"/>
      <c r="BS531" s="381"/>
      <c r="BT531" s="381"/>
      <c r="BU531" s="381"/>
    </row>
    <row r="532" spans="1:73">
      <c r="A532" s="6"/>
      <c r="B532" s="108"/>
      <c r="C532" s="1"/>
      <c r="D532" s="37"/>
      <c r="E532" s="1"/>
      <c r="F532" s="1"/>
      <c r="G532" s="3"/>
      <c r="H532" s="3"/>
      <c r="I532" s="3"/>
      <c r="J532" s="3"/>
      <c r="K532" s="3"/>
      <c r="L532" s="3"/>
      <c r="M532" s="3"/>
      <c r="N532" s="3"/>
      <c r="O532" s="1"/>
      <c r="P532" s="1"/>
      <c r="Q532" s="1"/>
      <c r="R532" s="162"/>
      <c r="S532" s="1"/>
      <c r="T532" s="103"/>
      <c r="U532" s="103"/>
      <c r="V532" s="103" t="str">
        <f>$M$10</f>
        <v>Profile 7</v>
      </c>
      <c r="W532" s="373">
        <f ca="1">IF(W$504&gt;='2.2 Input_General_Information'!$H$20,W$523*'2.3 Input_Main_Questionnaire'!$N$31,)</f>
        <v>0</v>
      </c>
      <c r="X532" s="373">
        <f ca="1">IF(X$504&gt;='2.2 Input_General_Information'!$H$20,X$523*'2.3 Input_Main_Questionnaire'!$N$31,)</f>
        <v>1.5588435451861421E-4</v>
      </c>
      <c r="Y532" s="373">
        <f ca="1">IF(Y$504&gt;='2.2 Input_General_Information'!$H$20,Y$523*'2.3 Input_Main_Questionnaire'!$N$31,)</f>
        <v>1.5505293961778582E-4</v>
      </c>
      <c r="Z532" s="373">
        <f ca="1">IF(Z$504&gt;='2.2 Input_General_Information'!$H$20,Z$523*'2.3 Input_Main_Questionnaire'!$N$31,)</f>
        <v>1.4948245593531122E-4</v>
      </c>
      <c r="AA532" s="373">
        <f ca="1">IF(AA$504&gt;='2.2 Input_General_Information'!$H$20,AA$523*'2.3 Input_Main_Questionnaire'!$N$31,)</f>
        <v>1.3994305672479149E-4</v>
      </c>
      <c r="AB532" s="373">
        <f ca="1">IF(AB$504&gt;='2.2 Input_General_Information'!$H$20,AB$523*'2.3 Input_Main_Questionnaire'!$N$31,)</f>
        <v>1.2764828022271949E-4</v>
      </c>
      <c r="AC532" s="373">
        <f ca="1">IF(AC$504&gt;='2.2 Input_General_Information'!$H$20,AC$523*'2.3 Input_Main_Questionnaire'!$N$31,)</f>
        <v>1.1402676828473696E-4</v>
      </c>
      <c r="AD532" s="373">
        <f ca="1">IF(AD$504&gt;='2.2 Input_General_Information'!$H$20,AD$523*'2.3 Input_Main_Questionnaire'!$N$31,)</f>
        <v>1.0051898464194049E-4</v>
      </c>
      <c r="AE532" s="373">
        <f ca="1">IF(AE$504&gt;='2.2 Input_General_Information'!$H$20,AE$523*'2.3 Input_Main_Questionnaire'!$N$31,)</f>
        <v>8.8465562001443796E-5</v>
      </c>
      <c r="AF532" s="373">
        <f ca="1">IF(AF$504&gt;='2.2 Input_General_Information'!$H$20,AF$523*'2.3 Input_Main_Questionnaire'!$N$31,)</f>
        <v>7.9113015360964955E-5</v>
      </c>
      <c r="AG532" s="373">
        <f ca="1">IF(AG$504&gt;='2.2 Input_General_Information'!$H$20,AG$523*'2.3 Input_Main_Questionnaire'!$N$31,)</f>
        <v>7.373000975541875E-5</v>
      </c>
      <c r="AH532" s="373">
        <f ca="1">IF(AH$504&gt;='2.2 Input_General_Information'!$H$20,AH$523*'2.3 Input_Main_Questionnaire'!$N$31,)</f>
        <v>7.3812314897957784E-5</v>
      </c>
      <c r="AI532" s="373">
        <f ca="1">IF(AI$504&gt;='2.2 Input_General_Information'!$H$20,AI$523*'2.3 Input_Main_Questionnaire'!$N$31,)</f>
        <v>8.1347726532200347E-5</v>
      </c>
      <c r="AJ532" s="373">
        <f ca="1">IF(AJ$504&gt;='2.2 Input_General_Information'!$H$20,AJ$523*'2.3 Input_Main_Questionnaire'!$N$31,)</f>
        <v>9.9090686637693428E-5</v>
      </c>
      <c r="AK532" s="373">
        <f ca="1">IF(AK$504&gt;='2.2 Input_General_Information'!$H$20,AK$523*'2.3 Input_Main_Questionnaire'!$N$31,)</f>
        <v>1.3072601216906711E-4</v>
      </c>
      <c r="AL532" s="373">
        <f ca="1">IF(AL$504&gt;='2.2 Input_General_Information'!$H$20,AL$523*'2.3 Input_Main_Questionnaire'!$N$31,)</f>
        <v>1.8064287446904612E-4</v>
      </c>
      <c r="AM532" s="373">
        <f ca="1">IF(AM$504&gt;='2.2 Input_General_Information'!$H$20,AM$523*'2.3 Input_Main_Questionnaire'!$N$31,)</f>
        <v>2.5279573751037839E-4</v>
      </c>
      <c r="AN532" s="373">
        <f ca="1">IF(AN$504&gt;='2.2 Input_General_Information'!$H$20,AN$523*'2.3 Input_Main_Questionnaire'!$N$31,)</f>
        <v>3.4799679960014472E-4</v>
      </c>
      <c r="AO532" s="373">
        <f ca="1">IF(AO$504&gt;='2.2 Input_General_Information'!$H$20,AO$523*'2.3 Input_Main_Questionnaire'!$N$31,)</f>
        <v>4.5960237135904961E-4</v>
      </c>
      <c r="AP532" s="373">
        <f ca="1">IF(AP$504&gt;='2.2 Input_General_Information'!$H$20,AP$523*'2.3 Input_Main_Questionnaire'!$N$31,)</f>
        <v>5.6975042864288404E-4</v>
      </c>
      <c r="AQ532" s="373">
        <f ca="1">IF(AQ$504&gt;='2.2 Input_General_Information'!$H$20,AQ$523*'2.3 Input_Main_Questionnaire'!$N$31,)</f>
        <v>6.5113892627038472E-4</v>
      </c>
      <c r="AR532" s="373">
        <f ca="1">IF(AR$504&gt;='2.2 Input_General_Information'!$H$20,AR$523*'2.3 Input_Main_Questionnaire'!$N$31,)</f>
        <v>6.7795208682326245E-4</v>
      </c>
      <c r="AS532" s="373">
        <f ca="1">IF(AS$504&gt;='2.2 Input_General_Information'!$H$20,AS$523*'2.3 Input_Main_Questionnaire'!$N$31,)</f>
        <v>6.4062174992852636E-4</v>
      </c>
      <c r="AT532" s="373">
        <f ca="1">IF(AT$504&gt;='2.2 Input_General_Information'!$H$20,AT$523*'2.3 Input_Main_Questionnaire'!$N$31,)</f>
        <v>5.5182975396397642E-4</v>
      </c>
      <c r="AU532" s="373">
        <f ca="1">IF(AU$504&gt;='2.2 Input_General_Information'!$H$20,AU$523*'2.3 Input_Main_Questionnaire'!$N$31,)</f>
        <v>4.3812209119702047E-4</v>
      </c>
      <c r="AV532" s="373">
        <f ca="1">IF(AV$504&gt;='2.2 Input_General_Information'!$H$20,AV$523*'2.3 Input_Main_Questionnaire'!$N$31,)</f>
        <v>3.2538720540330266E-4</v>
      </c>
      <c r="AW532" s="373">
        <f ca="1">IF(AW$504&gt;='2.2 Input_General_Information'!$H$20,AW$523*'2.3 Input_Main_Questionnaire'!$N$31,)</f>
        <v>2.2960915716451169E-4</v>
      </c>
      <c r="AX532" s="373">
        <f ca="1">IF(AX$504&gt;='2.2 Input_General_Information'!$H$20,AX$523*'2.3 Input_Main_Questionnaire'!$N$31,)</f>
        <v>1.5612173951643949E-4</v>
      </c>
      <c r="AY532" s="373">
        <f ca="1">IF(AY$504&gt;='2.2 Input_General_Information'!$H$20,AY$523*'2.3 Input_Main_Questionnaire'!$N$31,)</f>
        <v>1.0345345821414245E-4</v>
      </c>
      <c r="AZ532" s="373">
        <f ca="1">IF(AZ$504&gt;='2.2 Input_General_Information'!$H$20,AZ$523*'2.3 Input_Main_Questionnaire'!$N$31,)</f>
        <v>6.7374854084672678E-5</v>
      </c>
      <c r="BA532" s="373">
        <f ca="1">IF(BA$504&gt;='2.2 Input_General_Information'!$H$20,BA$523*'2.3 Input_Main_Questionnaire'!$N$31,)</f>
        <v>4.3380983528333071E-5</v>
      </c>
      <c r="BB532" s="373">
        <f ca="1">IF(BB$504&gt;='2.2 Input_General_Information'!$H$20,BB$523*'2.3 Input_Main_Questionnaire'!$N$31,)</f>
        <v>2.7726472270563851E-5</v>
      </c>
      <c r="BC532" s="373">
        <f ca="1">IF(BC$504&gt;='2.2 Input_General_Information'!$H$20,BC$523*'2.3 Input_Main_Questionnaire'!$N$31,)</f>
        <v>1.7637413319206067E-5</v>
      </c>
      <c r="BD532" s="373">
        <f ca="1">IF(BD$504&gt;='2.2 Input_General_Information'!$H$20,BD$523*'2.3 Input_Main_Questionnaire'!$N$31,)</f>
        <v>1.1185805968512208E-5</v>
      </c>
      <c r="BE532" s="373">
        <f ca="1">IF(BE$504&gt;='2.2 Input_General_Information'!$H$20,BE$523*'2.3 Input_Main_Questionnaire'!$N$31,)</f>
        <v>7.0806187009536389E-6</v>
      </c>
      <c r="BF532" s="373">
        <f ca="1">IF(BF$504&gt;='2.2 Input_General_Information'!$H$20,BF$523*'2.3 Input_Main_Questionnaire'!$N$31,)</f>
        <v>4.4766396233888592E-6</v>
      </c>
      <c r="BG532" s="373">
        <f ca="1">IF(BG$504&gt;='2.2 Input_General_Information'!$H$20,BG$523*'2.3 Input_Main_Questionnaire'!$N$31,)</f>
        <v>2.8281585789916437E-6</v>
      </c>
      <c r="BH532" s="373">
        <f ca="1">IF(BH$504&gt;='2.2 Input_General_Information'!$H$20,BH$523*'2.3 Input_Main_Questionnaire'!$N$31,)</f>
        <v>1.7858644614155705E-6</v>
      </c>
      <c r="BI532" s="373">
        <f ca="1">IF(BI$504&gt;='2.2 Input_General_Information'!$H$20,BI$523*'2.3 Input_Main_Questionnaire'!$N$31,)</f>
        <v>1.1273623581950637E-6</v>
      </c>
      <c r="BJ532" s="373">
        <f ca="1">IF(BJ$504&gt;='2.2 Input_General_Information'!$H$20,BJ$523*'2.3 Input_Main_Questionnaire'!$N$31,)</f>
        <v>7.1153690489987597E-7</v>
      </c>
      <c r="BK532" s="373">
        <f ca="1">IF(BK$504&gt;='2.2 Input_General_Information'!$H$20,BK$523*'2.3 Input_Main_Questionnaire'!$N$31,)</f>
        <v>4.4903552848152286E-7</v>
      </c>
      <c r="BL532" s="381"/>
      <c r="BM532" s="381"/>
      <c r="BN532" s="381"/>
      <c r="BO532" s="381"/>
      <c r="BP532" s="381"/>
      <c r="BQ532" s="381"/>
      <c r="BR532" s="381"/>
      <c r="BS532" s="381"/>
      <c r="BT532" s="381"/>
      <c r="BU532" s="381"/>
    </row>
    <row r="533" spans="1:73">
      <c r="A533" s="6"/>
      <c r="B533" s="108"/>
      <c r="C533" s="1"/>
      <c r="D533" s="37"/>
      <c r="E533" s="1"/>
      <c r="F533" s="1"/>
      <c r="G533" s="3"/>
      <c r="H533" s="3"/>
      <c r="I533" s="3"/>
      <c r="J533" s="3"/>
      <c r="K533" s="3"/>
      <c r="L533" s="3"/>
      <c r="M533" s="3"/>
      <c r="N533" s="3"/>
      <c r="O533" s="1"/>
      <c r="P533" s="1"/>
      <c r="Q533" s="1"/>
      <c r="R533" s="162"/>
      <c r="S533" s="1"/>
      <c r="T533" s="103"/>
      <c r="U533" s="103"/>
      <c r="V533" s="103" t="str">
        <f>$N$10</f>
        <v>Profile 8</v>
      </c>
      <c r="W533" s="373">
        <f ca="1">IF(W$504&gt;='2.2 Input_General_Information'!$H$20,W$523*'2.3 Input_Main_Questionnaire'!$O$31,)</f>
        <v>0</v>
      </c>
      <c r="X533" s="373">
        <f ca="1">IF(X$504&gt;='2.2 Input_General_Information'!$H$20,X$523*'2.3 Input_Main_Questionnaire'!$O$31,)</f>
        <v>1.5588435451861421E-4</v>
      </c>
      <c r="Y533" s="373">
        <f ca="1">IF(Y$504&gt;='2.2 Input_General_Information'!$H$20,Y$523*'2.3 Input_Main_Questionnaire'!$O$31,)</f>
        <v>1.5505293961778582E-4</v>
      </c>
      <c r="Z533" s="373">
        <f ca="1">IF(Z$504&gt;='2.2 Input_General_Information'!$H$20,Z$523*'2.3 Input_Main_Questionnaire'!$O$31,)</f>
        <v>1.4948245593531122E-4</v>
      </c>
      <c r="AA533" s="373">
        <f ca="1">IF(AA$504&gt;='2.2 Input_General_Information'!$H$20,AA$523*'2.3 Input_Main_Questionnaire'!$O$31,)</f>
        <v>1.3994305672479149E-4</v>
      </c>
      <c r="AB533" s="373">
        <f ca="1">IF(AB$504&gt;='2.2 Input_General_Information'!$H$20,AB$523*'2.3 Input_Main_Questionnaire'!$O$31,)</f>
        <v>1.2764828022271949E-4</v>
      </c>
      <c r="AC533" s="373">
        <f ca="1">IF(AC$504&gt;='2.2 Input_General_Information'!$H$20,AC$523*'2.3 Input_Main_Questionnaire'!$O$31,)</f>
        <v>1.1402676828473696E-4</v>
      </c>
      <c r="AD533" s="373">
        <f ca="1">IF(AD$504&gt;='2.2 Input_General_Information'!$H$20,AD$523*'2.3 Input_Main_Questionnaire'!$O$31,)</f>
        <v>1.0051898464194049E-4</v>
      </c>
      <c r="AE533" s="373">
        <f ca="1">IF(AE$504&gt;='2.2 Input_General_Information'!$H$20,AE$523*'2.3 Input_Main_Questionnaire'!$O$31,)</f>
        <v>8.8465562001443796E-5</v>
      </c>
      <c r="AF533" s="373">
        <f ca="1">IF(AF$504&gt;='2.2 Input_General_Information'!$H$20,AF$523*'2.3 Input_Main_Questionnaire'!$O$31,)</f>
        <v>7.9113015360964955E-5</v>
      </c>
      <c r="AG533" s="373">
        <f ca="1">IF(AG$504&gt;='2.2 Input_General_Information'!$H$20,AG$523*'2.3 Input_Main_Questionnaire'!$O$31,)</f>
        <v>7.373000975541875E-5</v>
      </c>
      <c r="AH533" s="373">
        <f ca="1">IF(AH$504&gt;='2.2 Input_General_Information'!$H$20,AH$523*'2.3 Input_Main_Questionnaire'!$O$31,)</f>
        <v>7.3812314897957784E-5</v>
      </c>
      <c r="AI533" s="373">
        <f ca="1">IF(AI$504&gt;='2.2 Input_General_Information'!$H$20,AI$523*'2.3 Input_Main_Questionnaire'!$O$31,)</f>
        <v>8.1347726532200347E-5</v>
      </c>
      <c r="AJ533" s="373">
        <f ca="1">IF(AJ$504&gt;='2.2 Input_General_Information'!$H$20,AJ$523*'2.3 Input_Main_Questionnaire'!$O$31,)</f>
        <v>9.9090686637693428E-5</v>
      </c>
      <c r="AK533" s="373">
        <f ca="1">IF(AK$504&gt;='2.2 Input_General_Information'!$H$20,AK$523*'2.3 Input_Main_Questionnaire'!$O$31,)</f>
        <v>1.3072601216906711E-4</v>
      </c>
      <c r="AL533" s="373">
        <f ca="1">IF(AL$504&gt;='2.2 Input_General_Information'!$H$20,AL$523*'2.3 Input_Main_Questionnaire'!$O$31,)</f>
        <v>1.8064287446904612E-4</v>
      </c>
      <c r="AM533" s="373">
        <f ca="1">IF(AM$504&gt;='2.2 Input_General_Information'!$H$20,AM$523*'2.3 Input_Main_Questionnaire'!$O$31,)</f>
        <v>2.5279573751037839E-4</v>
      </c>
      <c r="AN533" s="373">
        <f ca="1">IF(AN$504&gt;='2.2 Input_General_Information'!$H$20,AN$523*'2.3 Input_Main_Questionnaire'!$O$31,)</f>
        <v>3.4799679960014472E-4</v>
      </c>
      <c r="AO533" s="373">
        <f ca="1">IF(AO$504&gt;='2.2 Input_General_Information'!$H$20,AO$523*'2.3 Input_Main_Questionnaire'!$O$31,)</f>
        <v>4.5960237135904961E-4</v>
      </c>
      <c r="AP533" s="373">
        <f ca="1">IF(AP$504&gt;='2.2 Input_General_Information'!$H$20,AP$523*'2.3 Input_Main_Questionnaire'!$O$31,)</f>
        <v>5.6975042864288404E-4</v>
      </c>
      <c r="AQ533" s="373">
        <f ca="1">IF(AQ$504&gt;='2.2 Input_General_Information'!$H$20,AQ$523*'2.3 Input_Main_Questionnaire'!$O$31,)</f>
        <v>6.5113892627038472E-4</v>
      </c>
      <c r="AR533" s="373">
        <f ca="1">IF(AR$504&gt;='2.2 Input_General_Information'!$H$20,AR$523*'2.3 Input_Main_Questionnaire'!$O$31,)</f>
        <v>6.7795208682326245E-4</v>
      </c>
      <c r="AS533" s="373">
        <f ca="1">IF(AS$504&gt;='2.2 Input_General_Information'!$H$20,AS$523*'2.3 Input_Main_Questionnaire'!$O$31,)</f>
        <v>6.4062174992852636E-4</v>
      </c>
      <c r="AT533" s="373">
        <f ca="1">IF(AT$504&gt;='2.2 Input_General_Information'!$H$20,AT$523*'2.3 Input_Main_Questionnaire'!$O$31,)</f>
        <v>5.5182975396397642E-4</v>
      </c>
      <c r="AU533" s="373">
        <f ca="1">IF(AU$504&gt;='2.2 Input_General_Information'!$H$20,AU$523*'2.3 Input_Main_Questionnaire'!$O$31,)</f>
        <v>4.3812209119702047E-4</v>
      </c>
      <c r="AV533" s="373">
        <f ca="1">IF(AV$504&gt;='2.2 Input_General_Information'!$H$20,AV$523*'2.3 Input_Main_Questionnaire'!$O$31,)</f>
        <v>3.2538720540330266E-4</v>
      </c>
      <c r="AW533" s="373">
        <f ca="1">IF(AW$504&gt;='2.2 Input_General_Information'!$H$20,AW$523*'2.3 Input_Main_Questionnaire'!$O$31,)</f>
        <v>2.2960915716451169E-4</v>
      </c>
      <c r="AX533" s="373">
        <f ca="1">IF(AX$504&gt;='2.2 Input_General_Information'!$H$20,AX$523*'2.3 Input_Main_Questionnaire'!$O$31,)</f>
        <v>1.5612173951643949E-4</v>
      </c>
      <c r="AY533" s="373">
        <f ca="1">IF(AY$504&gt;='2.2 Input_General_Information'!$H$20,AY$523*'2.3 Input_Main_Questionnaire'!$O$31,)</f>
        <v>1.0345345821414245E-4</v>
      </c>
      <c r="AZ533" s="373">
        <f ca="1">IF(AZ$504&gt;='2.2 Input_General_Information'!$H$20,AZ$523*'2.3 Input_Main_Questionnaire'!$O$31,)</f>
        <v>6.7374854084672678E-5</v>
      </c>
      <c r="BA533" s="373">
        <f ca="1">IF(BA$504&gt;='2.2 Input_General_Information'!$H$20,BA$523*'2.3 Input_Main_Questionnaire'!$O$31,)</f>
        <v>4.3380983528333071E-5</v>
      </c>
      <c r="BB533" s="373">
        <f ca="1">IF(BB$504&gt;='2.2 Input_General_Information'!$H$20,BB$523*'2.3 Input_Main_Questionnaire'!$O$31,)</f>
        <v>2.7726472270563851E-5</v>
      </c>
      <c r="BC533" s="373">
        <f ca="1">IF(BC$504&gt;='2.2 Input_General_Information'!$H$20,BC$523*'2.3 Input_Main_Questionnaire'!$O$31,)</f>
        <v>1.7637413319206067E-5</v>
      </c>
      <c r="BD533" s="373">
        <f ca="1">IF(BD$504&gt;='2.2 Input_General_Information'!$H$20,BD$523*'2.3 Input_Main_Questionnaire'!$O$31,)</f>
        <v>1.1185805968512208E-5</v>
      </c>
      <c r="BE533" s="373">
        <f ca="1">IF(BE$504&gt;='2.2 Input_General_Information'!$H$20,BE$523*'2.3 Input_Main_Questionnaire'!$O$31,)</f>
        <v>7.0806187009536389E-6</v>
      </c>
      <c r="BF533" s="373">
        <f ca="1">IF(BF$504&gt;='2.2 Input_General_Information'!$H$20,BF$523*'2.3 Input_Main_Questionnaire'!$O$31,)</f>
        <v>4.4766396233888592E-6</v>
      </c>
      <c r="BG533" s="373">
        <f ca="1">IF(BG$504&gt;='2.2 Input_General_Information'!$H$20,BG$523*'2.3 Input_Main_Questionnaire'!$O$31,)</f>
        <v>2.8281585789916437E-6</v>
      </c>
      <c r="BH533" s="373">
        <f ca="1">IF(BH$504&gt;='2.2 Input_General_Information'!$H$20,BH$523*'2.3 Input_Main_Questionnaire'!$O$31,)</f>
        <v>1.7858644614155705E-6</v>
      </c>
      <c r="BI533" s="373">
        <f ca="1">IF(BI$504&gt;='2.2 Input_General_Information'!$H$20,BI$523*'2.3 Input_Main_Questionnaire'!$O$31,)</f>
        <v>1.1273623581950637E-6</v>
      </c>
      <c r="BJ533" s="373">
        <f ca="1">IF(BJ$504&gt;='2.2 Input_General_Information'!$H$20,BJ$523*'2.3 Input_Main_Questionnaire'!$O$31,)</f>
        <v>7.1153690489987597E-7</v>
      </c>
      <c r="BK533" s="373">
        <f ca="1">IF(BK$504&gt;='2.2 Input_General_Information'!$H$20,BK$523*'2.3 Input_Main_Questionnaire'!$O$31,)</f>
        <v>4.4903552848152286E-7</v>
      </c>
      <c r="BL533" s="381"/>
      <c r="BM533" s="381"/>
      <c r="BN533" s="381"/>
      <c r="BO533" s="381"/>
      <c r="BP533" s="381"/>
      <c r="BQ533" s="381"/>
      <c r="BR533" s="381"/>
      <c r="BS533" s="381"/>
      <c r="BT533" s="381"/>
      <c r="BU533" s="381"/>
    </row>
    <row r="534" spans="1:73">
      <c r="A534" s="6"/>
      <c r="B534" s="97"/>
      <c r="C534" s="37"/>
      <c r="D534" s="37"/>
      <c r="E534" s="10"/>
      <c r="F534" s="10"/>
      <c r="G534" s="244"/>
      <c r="H534" s="244"/>
      <c r="I534" s="244"/>
      <c r="J534" s="244"/>
      <c r="K534" s="244"/>
      <c r="L534" s="244"/>
      <c r="M534" s="244"/>
      <c r="N534" s="244"/>
      <c r="O534" s="10"/>
      <c r="P534" s="10"/>
      <c r="Q534" s="10"/>
      <c r="R534" s="193"/>
      <c r="S534" s="10"/>
      <c r="T534" s="103"/>
      <c r="U534" s="103"/>
      <c r="V534" s="103"/>
      <c r="W534" s="366"/>
      <c r="X534" s="366"/>
      <c r="Y534" s="366"/>
      <c r="Z534" s="366"/>
      <c r="AA534" s="366"/>
      <c r="AB534" s="366"/>
      <c r="AC534" s="366"/>
      <c r="AD534" s="366"/>
      <c r="AE534" s="366"/>
      <c r="AF534" s="366"/>
      <c r="AG534" s="366"/>
      <c r="AH534" s="366"/>
      <c r="AI534" s="366"/>
      <c r="AJ534" s="366"/>
      <c r="AK534" s="366"/>
      <c r="AL534" s="366"/>
      <c r="AM534" s="366"/>
      <c r="AN534" s="366"/>
      <c r="AO534" s="366"/>
      <c r="AP534" s="366"/>
      <c r="AQ534" s="366"/>
      <c r="AR534" s="366"/>
      <c r="AS534" s="366"/>
      <c r="AT534" s="366"/>
      <c r="AU534" s="366"/>
      <c r="AV534" s="366"/>
      <c r="AW534" s="366"/>
      <c r="AX534" s="366"/>
      <c r="AY534" s="366"/>
      <c r="AZ534" s="366"/>
      <c r="BA534" s="366"/>
      <c r="BB534" s="366"/>
      <c r="BC534" s="366"/>
      <c r="BD534" s="366"/>
      <c r="BE534" s="366"/>
      <c r="BF534" s="366"/>
      <c r="BG534" s="366"/>
      <c r="BH534" s="366"/>
      <c r="BI534" s="366"/>
      <c r="BJ534" s="366"/>
      <c r="BK534" s="366"/>
      <c r="BL534" s="367"/>
      <c r="BM534" s="367"/>
      <c r="BN534" s="367"/>
      <c r="BO534" s="367"/>
      <c r="BP534" s="367"/>
      <c r="BQ534" s="367"/>
      <c r="BR534" s="367"/>
      <c r="BS534" s="367"/>
      <c r="BT534" s="367"/>
      <c r="BU534" s="367"/>
    </row>
    <row r="535" spans="1:73">
      <c r="A535" s="6"/>
      <c r="B535" s="97"/>
      <c r="C535" s="37"/>
      <c r="D535" s="37"/>
      <c r="E535" s="10"/>
      <c r="F535" s="10"/>
      <c r="G535" s="244"/>
      <c r="H535" s="244"/>
      <c r="I535" s="244"/>
      <c r="J535" s="244"/>
      <c r="K535" s="244"/>
      <c r="L535" s="244"/>
      <c r="M535" s="244"/>
      <c r="N535" s="244"/>
      <c r="O535" s="10"/>
      <c r="P535" s="10"/>
      <c r="Q535" s="10"/>
      <c r="R535" s="193"/>
      <c r="S535" s="10"/>
      <c r="T535" s="101"/>
      <c r="U535" s="101"/>
      <c r="V535" s="103" t="str">
        <f>D502</f>
        <v>Time saved thanks to the decreasing amount of unresolvable data quality issues</v>
      </c>
      <c r="W535" s="366"/>
      <c r="X535" s="366"/>
      <c r="Y535" s="366"/>
      <c r="Z535" s="366"/>
      <c r="AA535" s="366"/>
      <c r="AB535" s="366"/>
      <c r="AC535" s="366"/>
      <c r="AD535" s="366"/>
      <c r="AE535" s="366"/>
      <c r="AF535" s="366"/>
      <c r="AG535" s="366"/>
      <c r="AH535" s="366"/>
      <c r="AI535" s="366"/>
      <c r="AJ535" s="366"/>
      <c r="AK535" s="366"/>
      <c r="AL535" s="366"/>
      <c r="AM535" s="366"/>
      <c r="AN535" s="366"/>
      <c r="AO535" s="366"/>
      <c r="AP535" s="366"/>
      <c r="AQ535" s="366"/>
      <c r="AR535" s="366"/>
      <c r="AS535" s="366"/>
      <c r="AT535" s="366"/>
      <c r="AU535" s="366"/>
      <c r="AV535" s="366"/>
      <c r="AW535" s="366"/>
      <c r="AX535" s="366"/>
      <c r="AY535" s="366"/>
      <c r="AZ535" s="366"/>
      <c r="BA535" s="366"/>
      <c r="BB535" s="366"/>
      <c r="BC535" s="366"/>
      <c r="BD535" s="366"/>
      <c r="BE535" s="366"/>
      <c r="BF535" s="366"/>
      <c r="BG535" s="366"/>
      <c r="BH535" s="366"/>
      <c r="BI535" s="366"/>
      <c r="BJ535" s="366"/>
      <c r="BK535" s="366"/>
      <c r="BL535" s="367"/>
      <c r="BM535" s="367"/>
      <c r="BN535" s="367"/>
      <c r="BO535" s="367"/>
      <c r="BP535" s="367"/>
      <c r="BQ535" s="367"/>
      <c r="BR535" s="367"/>
      <c r="BS535" s="367"/>
      <c r="BT535" s="367"/>
      <c r="BU535" s="367"/>
    </row>
    <row r="536" spans="1:73">
      <c r="A536" s="6"/>
      <c r="B536" s="97"/>
      <c r="C536" s="37"/>
      <c r="D536" s="37"/>
      <c r="E536" s="10"/>
      <c r="F536" s="10"/>
      <c r="G536" s="244"/>
      <c r="H536" s="244"/>
      <c r="I536" s="244"/>
      <c r="J536" s="244"/>
      <c r="K536" s="244"/>
      <c r="L536" s="244"/>
      <c r="M536" s="244"/>
      <c r="N536" s="244"/>
      <c r="O536" s="10"/>
      <c r="P536" s="10"/>
      <c r="Q536" s="10"/>
      <c r="R536" s="193"/>
      <c r="S536" s="10"/>
      <c r="T536" s="103"/>
      <c r="U536" s="103"/>
      <c r="V536" s="103"/>
      <c r="W536" s="98">
        <f>Growth!B20</f>
        <v>2018</v>
      </c>
      <c r="X536" s="98">
        <f t="shared" ref="X536:BK536" si="82">W536+1</f>
        <v>2019</v>
      </c>
      <c r="Y536" s="98">
        <f t="shared" si="82"/>
        <v>2020</v>
      </c>
      <c r="Z536" s="98">
        <f t="shared" si="82"/>
        <v>2021</v>
      </c>
      <c r="AA536" s="98">
        <f t="shared" si="82"/>
        <v>2022</v>
      </c>
      <c r="AB536" s="98">
        <f t="shared" si="82"/>
        <v>2023</v>
      </c>
      <c r="AC536" s="98">
        <f t="shared" si="82"/>
        <v>2024</v>
      </c>
      <c r="AD536" s="98">
        <f t="shared" si="82"/>
        <v>2025</v>
      </c>
      <c r="AE536" s="98">
        <f t="shared" si="82"/>
        <v>2026</v>
      </c>
      <c r="AF536" s="98">
        <f t="shared" si="82"/>
        <v>2027</v>
      </c>
      <c r="AG536" s="98">
        <f t="shared" si="82"/>
        <v>2028</v>
      </c>
      <c r="AH536" s="98">
        <f t="shared" si="82"/>
        <v>2029</v>
      </c>
      <c r="AI536" s="98">
        <f t="shared" si="82"/>
        <v>2030</v>
      </c>
      <c r="AJ536" s="98">
        <f t="shared" si="82"/>
        <v>2031</v>
      </c>
      <c r="AK536" s="98">
        <f t="shared" si="82"/>
        <v>2032</v>
      </c>
      <c r="AL536" s="98">
        <f t="shared" si="82"/>
        <v>2033</v>
      </c>
      <c r="AM536" s="98">
        <f t="shared" si="82"/>
        <v>2034</v>
      </c>
      <c r="AN536" s="98">
        <f t="shared" si="82"/>
        <v>2035</v>
      </c>
      <c r="AO536" s="98">
        <f t="shared" si="82"/>
        <v>2036</v>
      </c>
      <c r="AP536" s="98">
        <f t="shared" si="82"/>
        <v>2037</v>
      </c>
      <c r="AQ536" s="98">
        <f t="shared" si="82"/>
        <v>2038</v>
      </c>
      <c r="AR536" s="98">
        <f t="shared" si="82"/>
        <v>2039</v>
      </c>
      <c r="AS536" s="98">
        <f t="shared" si="82"/>
        <v>2040</v>
      </c>
      <c r="AT536" s="98">
        <f t="shared" si="82"/>
        <v>2041</v>
      </c>
      <c r="AU536" s="98">
        <f t="shared" si="82"/>
        <v>2042</v>
      </c>
      <c r="AV536" s="98">
        <f t="shared" si="82"/>
        <v>2043</v>
      </c>
      <c r="AW536" s="98">
        <f t="shared" si="82"/>
        <v>2044</v>
      </c>
      <c r="AX536" s="98">
        <f t="shared" si="82"/>
        <v>2045</v>
      </c>
      <c r="AY536" s="98">
        <f t="shared" si="82"/>
        <v>2046</v>
      </c>
      <c r="AZ536" s="98">
        <f t="shared" si="82"/>
        <v>2047</v>
      </c>
      <c r="BA536" s="98">
        <f t="shared" si="82"/>
        <v>2048</v>
      </c>
      <c r="BB536" s="98">
        <f t="shared" si="82"/>
        <v>2049</v>
      </c>
      <c r="BC536" s="98">
        <f t="shared" si="82"/>
        <v>2050</v>
      </c>
      <c r="BD536" s="98">
        <f t="shared" si="82"/>
        <v>2051</v>
      </c>
      <c r="BE536" s="98">
        <f t="shared" si="82"/>
        <v>2052</v>
      </c>
      <c r="BF536" s="98">
        <f t="shared" si="82"/>
        <v>2053</v>
      </c>
      <c r="BG536" s="98">
        <f t="shared" si="82"/>
        <v>2054</v>
      </c>
      <c r="BH536" s="98">
        <f t="shared" si="82"/>
        <v>2055</v>
      </c>
      <c r="BI536" s="98">
        <f t="shared" si="82"/>
        <v>2056</v>
      </c>
      <c r="BJ536" s="98">
        <f t="shared" si="82"/>
        <v>2057</v>
      </c>
      <c r="BK536" s="98">
        <f t="shared" si="82"/>
        <v>2058</v>
      </c>
      <c r="BL536" s="99"/>
      <c r="BM536" s="99"/>
      <c r="BN536" s="99"/>
      <c r="BO536" s="99"/>
      <c r="BP536" s="99"/>
      <c r="BQ536" s="99"/>
      <c r="BR536" s="99"/>
      <c r="BS536" s="99"/>
      <c r="BT536" s="99"/>
      <c r="BU536" s="99"/>
    </row>
    <row r="537" spans="1:73">
      <c r="A537" s="6"/>
      <c r="B537" s="97"/>
      <c r="C537" s="37"/>
      <c r="D537" s="37"/>
      <c r="E537" s="10"/>
      <c r="F537" s="10"/>
      <c r="G537" s="244"/>
      <c r="H537" s="244"/>
      <c r="I537" s="244"/>
      <c r="J537" s="244"/>
      <c r="K537" s="244"/>
      <c r="L537" s="244"/>
      <c r="M537" s="244"/>
      <c r="N537" s="244"/>
      <c r="O537" s="10"/>
      <c r="P537" s="10"/>
      <c r="Q537" s="10"/>
      <c r="R537" s="193"/>
      <c r="S537" s="10"/>
      <c r="T537" s="101"/>
      <c r="U537" s="101"/>
      <c r="V537" s="103" t="str">
        <f>G$10</f>
        <v>PhD researcher</v>
      </c>
      <c r="W537" s="373">
        <f ca="1">IF(W$536 &gt;= '2.2 Input_General_Information'!$H$20, $G$496 * VLOOKUP(W$536, Growth!$B$130:$L$170, 11, FALSE) * $G$495 * SUM('2.3 Input_Main_Questionnaire'!$H$27:$H$31), )</f>
        <v>3.1610238660000005E-2</v>
      </c>
      <c r="X537" s="373">
        <f ca="1">IF(X$536 &gt;= '2.2 Input_General_Information'!$H$20, $G$496 * VLOOKUP(X$536, Growth!$B$130:$L$170, 11, FALSE) * $G$495 * SUM('2.3 Input_Main_Questionnaire'!$H$27:$H$31), )</f>
        <v>3.1608389931839571E-2</v>
      </c>
      <c r="Y537" s="373">
        <f ca="1">IF(Y$536 &gt;= '2.2 Input_General_Information'!$H$20, $G$496 * VLOOKUP(Y$536, Growth!$B$130:$L$170, 11, FALSE) * $G$495 * SUM('2.3 Input_Main_Questionnaire'!$H$27:$H$31), )</f>
        <v>3.160546035272601E-2</v>
      </c>
      <c r="Z537" s="373">
        <f ca="1">IF(Z$536 &gt;= '2.2 Input_General_Information'!$H$20, $G$496 * VLOOKUP(Z$536, Growth!$B$130:$L$170, 11, FALSE) * $G$495 * SUM('2.3 Input_Main_Questionnaire'!$H$27:$H$31), )</f>
        <v>3.1600818418149899E-2</v>
      </c>
      <c r="AA537" s="373">
        <f ca="1">IF(AA$536 &gt;= '2.2 Input_General_Information'!$H$20, $G$496 * VLOOKUP(AA$536, Growth!$B$130:$L$170, 11, FALSE) * $G$495 * SUM('2.3 Input_Main_Questionnaire'!$H$27:$H$31), )</f>
        <v>3.1593464276803179E-2</v>
      </c>
      <c r="AB537" s="373">
        <f ca="1">IF(AB$536 &gt;= '2.2 Input_General_Information'!$H$20, $G$496 * VLOOKUP(AB$536, Growth!$B$130:$L$170, 11, FALSE) * $G$495 * SUM('2.3 Input_Main_Questionnaire'!$H$27:$H$31), )</f>
        <v>3.1581815815341197E-2</v>
      </c>
      <c r="AC537" s="373">
        <f ca="1">IF(AC$536 &gt;= '2.2 Input_General_Information'!$H$20, $G$496 * VLOOKUP(AC$536, Growth!$B$130:$L$170, 11, FALSE) * $G$495 * SUM('2.3 Input_Main_Questionnaire'!$H$27:$H$31), )</f>
        <v>3.1563371924687639E-2</v>
      </c>
      <c r="AD537" s="373">
        <f ca="1">IF(AD$536 &gt;= '2.2 Input_General_Information'!$H$20, $G$496 * VLOOKUP(AD$536, Growth!$B$130:$L$170, 11, FALSE) * $G$495 * SUM('2.3 Input_Main_Questionnaire'!$H$27:$H$31), )</f>
        <v>3.1534184560579881E-2</v>
      </c>
      <c r="AE537" s="373">
        <f ca="1">IF(AE$536 &gt;= '2.2 Input_General_Information'!$H$20, $G$496 * VLOOKUP(AE$536, Growth!$B$130:$L$170, 11, FALSE) * $G$495 * SUM('2.3 Input_Main_Questionnaire'!$H$27:$H$31), )</f>
        <v>3.1488036347464637E-2</v>
      </c>
      <c r="AF537" s="373">
        <f ca="1">IF(AF$536 &gt;= '2.2 Input_General_Information'!$H$20, $G$496 * VLOOKUP(AF$536, Growth!$B$130:$L$170, 11, FALSE) * $G$495 * SUM('2.3 Input_Main_Questionnaire'!$H$27:$H$31), )</f>
        <v>3.1415172757461959E-2</v>
      </c>
      <c r="AG537" s="373">
        <f ca="1">IF(AG$536 &gt;= '2.2 Input_General_Information'!$H$20, $G$496 * VLOOKUP(AG$536, Growth!$B$130:$L$170, 11, FALSE) * $G$495 * SUM('2.3 Input_Main_Questionnaire'!$H$27:$H$31), )</f>
        <v>3.1300380543203769E-2</v>
      </c>
      <c r="AH537" s="373">
        <f ca="1">IF(AH$536 &gt;= '2.2 Input_General_Information'!$H$20, $G$496 * VLOOKUP(AH$536, Growth!$B$130:$L$170, 11, FALSE) * $G$495 * SUM('2.3 Input_Main_Questionnaire'!$H$27:$H$31), )</f>
        <v>3.1120156560622156E-2</v>
      </c>
      <c r="AI537" s="373">
        <f ca="1">IF(AI$536 &gt;= '2.2 Input_General_Information'!$H$20, $G$496 * VLOOKUP(AI$536, Growth!$B$130:$L$170, 11, FALSE) * $G$495 * SUM('2.3 Input_Main_Questionnaire'!$H$27:$H$31), )</f>
        <v>3.0838735012053673E-2</v>
      </c>
      <c r="AJ537" s="373">
        <f ca="1">IF(AJ$536 &gt;= '2.2 Input_General_Information'!$H$20, $G$496 * VLOOKUP(AJ$536, Growth!$B$130:$L$170, 11, FALSE) * $G$495 * SUM('2.3 Input_Main_Questionnaire'!$H$27:$H$31), )</f>
        <v>3.0402992694567768E-2</v>
      </c>
      <c r="AK537" s="373">
        <f ca="1">IF(AK$536 &gt;= '2.2 Input_General_Information'!$H$20, $G$496 * VLOOKUP(AK$536, Growth!$B$130:$L$170, 11, FALSE) * $G$495 * SUM('2.3 Input_Main_Questionnaire'!$H$27:$H$31), )</f>
        <v>2.9737061944192445E-2</v>
      </c>
      <c r="AL537" s="373">
        <f ca="1">IF(AL$536 &gt;= '2.2 Input_General_Information'!$H$20, $G$496 * VLOOKUP(AL$536, Growth!$B$130:$L$170, 11, FALSE) * $G$495 * SUM('2.3 Input_Main_Questionnaire'!$H$27:$H$31), )</f>
        <v>2.873938922457743E-2</v>
      </c>
      <c r="AM537" s="373">
        <f ca="1">IF(AM$536 &gt;= '2.2 Input_General_Information'!$H$20, $G$496 * VLOOKUP(AM$536, Growth!$B$130:$L$170, 11, FALSE) * $G$495 * SUM('2.3 Input_Main_Questionnaire'!$H$27:$H$31), )</f>
        <v>2.728839443854305E-2</v>
      </c>
      <c r="AN537" s="373">
        <f ca="1">IF(AN$536 &gt;= '2.2 Input_General_Information'!$H$20, $G$496 * VLOOKUP(AN$536, Growth!$B$130:$L$170, 11, FALSE) * $G$495 * SUM('2.3 Input_Main_Questionnaire'!$H$27:$H$31), )</f>
        <v>2.5266617441954232E-2</v>
      </c>
      <c r="AO537" s="373">
        <f ca="1">IF(AO$536 &gt;= '2.2 Input_General_Information'!$H$20, $G$496 * VLOOKUP(AO$536, Growth!$B$130:$L$170, 11, FALSE) * $G$495 * SUM('2.3 Input_Main_Questionnaire'!$H$27:$H$31), )</f>
        <v>2.2611506930830919E-2</v>
      </c>
      <c r="AP537" s="373">
        <f ca="1">IF(AP$536 &gt;= '2.2 Input_General_Information'!$H$20, $G$496 * VLOOKUP(AP$536, Growth!$B$130:$L$170, 11, FALSE) * $G$495 * SUM('2.3 Input_Main_Questionnaire'!$H$27:$H$31), )</f>
        <v>1.9383302054828504E-2</v>
      </c>
      <c r="AQ537" s="373">
        <f ca="1">IF(AQ$536 &gt;= '2.2 Input_General_Information'!$H$20, $G$496 * VLOOKUP(AQ$536, Growth!$B$130:$L$170, 11, FALSE) * $G$495 * SUM('2.3 Input_Main_Questionnaire'!$H$27:$H$31), )</f>
        <v>1.5806699999996694E-2</v>
      </c>
      <c r="AR537" s="373">
        <f ca="1">IF(AR$536 &gt;= '2.2 Input_General_Information'!$H$20, $G$496 * VLOOKUP(AR$536, Growth!$B$130:$L$170, 11, FALSE) * $G$495 * SUM('2.3 Input_Main_Questionnaire'!$H$27:$H$31), )</f>
        <v>1.2230097945165216E-2</v>
      </c>
      <c r="AS537" s="373">
        <f ca="1">IF(AS$536 &gt;= '2.2 Input_General_Information'!$H$20, $G$496 * VLOOKUP(AS$536, Growth!$B$130:$L$170, 11, FALSE) * $G$495 * SUM('2.3 Input_Main_Questionnaire'!$H$27:$H$31), )</f>
        <v>9.0018930691636908E-3</v>
      </c>
      <c r="AT537" s="373">
        <f ca="1">IF(AT$536 &gt;= '2.2 Input_General_Information'!$H$20, $G$496 * VLOOKUP(AT$536, Growth!$B$130:$L$170, 11, FALSE) * $G$495 * SUM('2.3 Input_Main_Questionnaire'!$H$27:$H$31), )</f>
        <v>6.3467825580415206E-3</v>
      </c>
      <c r="AU537" s="373">
        <f ca="1">IF(AU$536 &gt;= '2.2 Input_General_Information'!$H$20, $G$496 * VLOOKUP(AU$536, Growth!$B$130:$L$170, 11, FALSE) * $G$495 * SUM('2.3 Input_Main_Questionnaire'!$H$27:$H$31), )</f>
        <v>4.3250055614538225E-3</v>
      </c>
      <c r="AV537" s="373">
        <f ca="1">IF(AV$536 &gt;= '2.2 Input_General_Information'!$H$20, $G$496 * VLOOKUP(AV$536, Growth!$B$130:$L$170, 11, FALSE) * $G$495 * SUM('2.3 Input_Main_Questionnaire'!$H$27:$H$31), )</f>
        <v>2.8740107754203882E-3</v>
      </c>
      <c r="AW537" s="373">
        <f ca="1">IF(AW$536 &gt;= '2.2 Input_General_Information'!$H$20, $G$496 * VLOOKUP(AW$536, Growth!$B$130:$L$170, 11, FALSE) * $G$495 * SUM('2.3 Input_Main_Questionnaire'!$H$27:$H$31), )</f>
        <v>1.8763380558060798E-3</v>
      </c>
      <c r="AX537" s="373">
        <f ca="1">IF(AX$536 &gt;= '2.2 Input_General_Information'!$H$20, $G$496 * VLOOKUP(AX$536, Growth!$B$130:$L$170, 11, FALSE) * $G$495 * SUM('2.3 Input_Main_Questionnaire'!$H$27:$H$31), )</f>
        <v>1.2104073054312631E-3</v>
      </c>
      <c r="AY537" s="373">
        <f ca="1">IF(AY$536 &gt;= '2.2 Input_General_Information'!$H$20, $G$496 * VLOOKUP(AY$536, Growth!$B$130:$L$170, 11, FALSE) * $G$495 * SUM('2.3 Input_Main_Questionnaire'!$H$27:$H$31), )</f>
        <v>7.7466498794569627E-4</v>
      </c>
      <c r="AZ537" s="373">
        <f ca="1">IF(AZ$536 &gt;= '2.2 Input_General_Information'!$H$20, $G$496 * VLOOKUP(AZ$536, Growth!$B$130:$L$170, 11, FALSE) * $G$495 * SUM('2.3 Input_Main_Questionnaire'!$H$27:$H$31), )</f>
        <v>4.9324343937743969E-4</v>
      </c>
      <c r="BA537" s="373">
        <f ca="1">IF(BA$536 &gt;= '2.2 Input_General_Information'!$H$20, $G$496 * VLOOKUP(BA$536, Growth!$B$130:$L$170, 11, FALSE) * $G$495 * SUM('2.3 Input_Main_Questionnaire'!$H$27:$H$31), )</f>
        <v>3.1301945679597544E-4</v>
      </c>
      <c r="BB537" s="373">
        <f ca="1">IF(BB$536 &gt;= '2.2 Input_General_Information'!$H$20, $G$496 * VLOOKUP(BB$536, Growth!$B$130:$L$170, 11, FALSE) * $G$495 * SUM('2.3 Input_Main_Questionnaire'!$H$27:$H$31), )</f>
        <v>1.9822724253787765E-4</v>
      </c>
      <c r="BC537" s="373">
        <f ca="1">IF(BC$536 &gt;= '2.2 Input_General_Information'!$H$20, $G$496 * VLOOKUP(BC$536, Growth!$B$130:$L$170, 11, FALSE) * $G$495 * SUM('2.3 Input_Main_Questionnaire'!$H$27:$H$31), )</f>
        <v>1.2536365253526212E-4</v>
      </c>
      <c r="BD537" s="373">
        <f ca="1">IF(BD$536 &gt;= '2.2 Input_General_Information'!$H$20, $G$496 * VLOOKUP(BD$536, Growth!$B$130:$L$170, 11, FALSE) * $G$495 * SUM('2.3 Input_Main_Questionnaire'!$H$27:$H$31), )</f>
        <v>7.9215439420056392E-5</v>
      </c>
      <c r="BE537" s="373">
        <f ca="1">IF(BE$536 &gt;= '2.2 Input_General_Information'!$H$20, $G$496 * VLOOKUP(BE$536, Growth!$B$130:$L$170, 11, FALSE) * $G$495 * SUM('2.3 Input_Main_Questionnaire'!$H$27:$H$31), )</f>
        <v>5.0028075312319175E-5</v>
      </c>
      <c r="BF537" s="373">
        <f ca="1">IF(BF$536 &gt;= '2.2 Input_General_Information'!$H$20, $G$496 * VLOOKUP(BF$536, Growth!$B$130:$L$170, 11, FALSE) * $G$495 * SUM('2.3 Input_Main_Questionnaire'!$H$27:$H$31), )</f>
        <v>3.1584184658780848E-5</v>
      </c>
      <c r="BG537" s="373">
        <f ca="1">IF(BG$536 &gt;= '2.2 Input_General_Information'!$H$20, $G$496 * VLOOKUP(BG$536, Growth!$B$130:$L$170, 11, FALSE) * $G$495 * SUM('2.3 Input_Main_Questionnaire'!$H$27:$H$31), )</f>
        <v>1.9935723196814274E-5</v>
      </c>
      <c r="BH537" s="373">
        <f ca="1">IF(BH$536 &gt;= '2.2 Input_General_Information'!$H$20, $G$496 * VLOOKUP(BH$536, Growth!$B$130:$L$170, 11, FALSE) * $G$495 * SUM('2.3 Input_Main_Questionnaire'!$H$27:$H$31), )</f>
        <v>1.2581581850093743E-5</v>
      </c>
      <c r="BI537" s="373">
        <f ca="1">IF(BI$536 &gt;= '2.2 Input_General_Information'!$H$20, $G$496 * VLOOKUP(BI$536, Growth!$B$130:$L$170, 11, FALSE) * $G$495 * SUM('2.3 Input_Main_Questionnaire'!$H$27:$H$31), )</f>
        <v>7.939647273986574E-6</v>
      </c>
      <c r="BJ537" s="373">
        <f ca="1">IF(BJ$536 &gt;= '2.2 Input_General_Information'!$H$20, $G$496 * VLOOKUP(BJ$536, Growth!$B$130:$L$170, 11, FALSE) * $G$495 * SUM('2.3 Input_Main_Questionnaire'!$H$27:$H$31), )</f>
        <v>5.0100681604231601E-6</v>
      </c>
      <c r="BK537" s="373">
        <f ca="1">IF(BK$536 &gt;= '2.2 Input_General_Information'!$H$20, $G$496 * VLOOKUP(BK$536, Growth!$B$130:$L$170, 11, FALSE) * $G$495 * SUM('2.3 Input_Main_Questionnaire'!$H$27:$H$31), )</f>
        <v>3.1613399999961426E-6</v>
      </c>
      <c r="BL537" s="381"/>
      <c r="BM537" s="381"/>
      <c r="BN537" s="381"/>
      <c r="BO537" s="381"/>
      <c r="BP537" s="381"/>
      <c r="BQ537" s="381"/>
      <c r="BR537" s="381"/>
      <c r="BS537" s="381"/>
      <c r="BT537" s="381"/>
      <c r="BU537" s="381"/>
    </row>
    <row r="538" spans="1:73">
      <c r="A538" s="6"/>
      <c r="B538" s="97"/>
      <c r="C538" s="37"/>
      <c r="D538" s="37"/>
      <c r="E538" s="10"/>
      <c r="F538" s="10"/>
      <c r="G538" s="244"/>
      <c r="H538" s="244"/>
      <c r="I538" s="244"/>
      <c r="J538" s="244"/>
      <c r="K538" s="244"/>
      <c r="L538" s="244"/>
      <c r="M538" s="244"/>
      <c r="N538" s="244"/>
      <c r="O538" s="10"/>
      <c r="P538" s="10"/>
      <c r="Q538" s="10"/>
      <c r="R538" s="193"/>
      <c r="S538" s="10"/>
      <c r="T538" s="101"/>
      <c r="U538" s="101"/>
      <c r="V538" s="103" t="str">
        <f>$H$10</f>
        <v>Lecturer assistant/Research assistant (Academic)</v>
      </c>
      <c r="W538" s="373">
        <f ca="1">IF(W$536 &gt;= '2.2 Input_General_Information'!$H$20, $G$496 * VLOOKUP(W$536, Growth!$B$130:$L$170, 11, FALSE) * $G$495 * SUM('2.3 Input_Main_Questionnaire'!$I$27:$I$31), )</f>
        <v>4.0945904999999998E-2</v>
      </c>
      <c r="X538" s="373">
        <f ca="1">IF(X$536 &gt;= '2.2 Input_General_Information'!$H$20, $G$496 * VLOOKUP(X$536, Growth!$B$130:$L$170, 11, FALSE) * $G$495 * SUM('2.3 Input_Main_Questionnaire'!$I$27:$I$31), )</f>
        <v>4.0943510274403586E-2</v>
      </c>
      <c r="Y538" s="373">
        <f ca="1">IF(Y$536 &gt;= '2.2 Input_General_Information'!$H$20, $G$496 * VLOOKUP(Y$536, Growth!$B$130:$L$170, 11, FALSE) * $G$495 * SUM('2.3 Input_Main_Questionnaire'!$I$27:$I$31), )</f>
        <v>4.0939715482805707E-2</v>
      </c>
      <c r="Z538" s="373">
        <f ca="1">IF(Z$536 &gt;= '2.2 Input_General_Information'!$H$20, $G$496 * VLOOKUP(Z$536, Growth!$B$130:$L$170, 11, FALSE) * $G$495 * SUM('2.3 Input_Main_Questionnaire'!$I$27:$I$31), )</f>
        <v>4.0933702614183796E-2</v>
      </c>
      <c r="AA538" s="373">
        <f ca="1">IF(AA$536 &gt;= '2.2 Input_General_Information'!$H$20, $G$496 * VLOOKUP(AA$536, Growth!$B$130:$L$170, 11, FALSE) * $G$495 * SUM('2.3 Input_Main_Questionnaire'!$I$27:$I$31), )</f>
        <v>4.092417652435644E-2</v>
      </c>
      <c r="AB538" s="373">
        <f ca="1">IF(AB$536 &gt;= '2.2 Input_General_Information'!$H$20, $G$496 * VLOOKUP(AB$536, Growth!$B$130:$L$170, 11, FALSE) * $G$495 * SUM('2.3 Input_Main_Questionnaire'!$I$27:$I$31), )</f>
        <v>4.0909087843706206E-2</v>
      </c>
      <c r="AC538" s="373">
        <f ca="1">IF(AC$536 &gt;= '2.2 Input_General_Information'!$H$20, $G$496 * VLOOKUP(AC$536, Growth!$B$130:$L$170, 11, FALSE) * $G$495 * SUM('2.3 Input_Main_Questionnaire'!$I$27:$I$31), )</f>
        <v>4.0885196793636829E-2</v>
      </c>
      <c r="AD538" s="373">
        <f ca="1">IF(AD$536 &gt;= '2.2 Input_General_Information'!$H$20, $G$496 * VLOOKUP(AD$536, Growth!$B$130:$L$170, 11, FALSE) * $G$495 * SUM('2.3 Input_Main_Questionnaire'!$I$27:$I$31), )</f>
        <v>4.0847389327176006E-2</v>
      </c>
      <c r="AE538" s="373">
        <f ca="1">IF(AE$536 &gt;= '2.2 Input_General_Information'!$H$20, $G$496 * VLOOKUP(AE$536, Growth!$B$130:$L$170, 11, FALSE) * $G$495 * SUM('2.3 Input_Main_Questionnaire'!$I$27:$I$31), )</f>
        <v>4.0787611849047452E-2</v>
      </c>
      <c r="AF538" s="373">
        <f ca="1">IF(AF$536 &gt;= '2.2 Input_General_Information'!$H$20, $G$496 * VLOOKUP(AF$536, Growth!$B$130:$L$170, 11, FALSE) * $G$495 * SUM('2.3 Input_Main_Questionnaire'!$I$27:$I$31), )</f>
        <v>4.0693228960442945E-2</v>
      </c>
      <c r="AG538" s="373">
        <f ca="1">IF(AG$536 &gt;= '2.2 Input_General_Information'!$H$20, $G$496 * VLOOKUP(AG$536, Growth!$B$130:$L$170, 11, FALSE) * $G$495 * SUM('2.3 Input_Main_Questionnaire'!$I$27:$I$31), )</f>
        <v>4.0544534382388295E-2</v>
      </c>
      <c r="AH538" s="373">
        <f ca="1">IF(AH$536 &gt;= '2.2 Input_General_Information'!$H$20, $G$496 * VLOOKUP(AH$536, Growth!$B$130:$L$170, 11, FALSE) * $G$495 * SUM('2.3 Input_Main_Questionnaire'!$I$27:$I$31), )</f>
        <v>4.0311083627748899E-2</v>
      </c>
      <c r="AI538" s="373">
        <f ca="1">IF(AI$536 &gt;= '2.2 Input_General_Information'!$H$20, $G$496 * VLOOKUP(AI$536, Growth!$B$130:$L$170, 11, FALSE) * $G$495 * SUM('2.3 Input_Main_Questionnaire'!$I$27:$I$31), )</f>
        <v>3.9946547943074701E-2</v>
      </c>
      <c r="AJ538" s="373">
        <f ca="1">IF(AJ$536 &gt;= '2.2 Input_General_Information'!$H$20, $G$496 * VLOOKUP(AJ$536, Growth!$B$130:$L$170, 11, FALSE) * $G$495 * SUM('2.3 Input_Main_Questionnaire'!$I$27:$I$31), )</f>
        <v>3.9382114889336482E-2</v>
      </c>
      <c r="AK538" s="373">
        <f ca="1">IF(AK$536 &gt;= '2.2 Input_General_Information'!$H$20, $G$496 * VLOOKUP(AK$536, Growth!$B$130:$L$170, 11, FALSE) * $G$495 * SUM('2.3 Input_Main_Questionnaire'!$I$27:$I$31), )</f>
        <v>3.8519510290404714E-2</v>
      </c>
      <c r="AL538" s="373">
        <f ca="1">IF(AL$536 &gt;= '2.2 Input_General_Information'!$H$20, $G$496 * VLOOKUP(AL$536, Growth!$B$130:$L$170, 11, FALSE) * $G$495 * SUM('2.3 Input_Main_Questionnaire'!$I$27:$I$31), )</f>
        <v>3.7227188114737596E-2</v>
      </c>
      <c r="AM538" s="373">
        <f ca="1">IF(AM$536 &gt;= '2.2 Input_General_Information'!$H$20, $G$496 * VLOOKUP(AM$536, Growth!$B$130:$L$170, 11, FALSE) * $G$495 * SUM('2.3 Input_Main_Questionnaire'!$I$27:$I$31), )</f>
        <v>3.5347661189822598E-2</v>
      </c>
      <c r="AN538" s="373">
        <f ca="1">IF(AN$536 &gt;= '2.2 Input_General_Information'!$H$20, $G$496 * VLOOKUP(AN$536, Growth!$B$130:$L$170, 11, FALSE) * $G$495 * SUM('2.3 Input_Main_Questionnaire'!$I$27:$I$31), )</f>
        <v>3.27287790698889E-2</v>
      </c>
      <c r="AO538" s="373">
        <f ca="1">IF(AO$536 &gt;= '2.2 Input_General_Information'!$H$20, $G$496 * VLOOKUP(AO$536, Growth!$B$130:$L$170, 11, FALSE) * $G$495 * SUM('2.3 Input_Main_Questionnaire'!$I$27:$I$31), )</f>
        <v>2.9289516749780978E-2</v>
      </c>
      <c r="AP538" s="373">
        <f ca="1">IF(AP$536 &gt;= '2.2 Input_General_Information'!$H$20, $G$496 * VLOOKUP(AP$536, Growth!$B$130:$L$170, 11, FALSE) * $G$495 * SUM('2.3 Input_Main_Questionnaire'!$I$27:$I$31), )</f>
        <v>2.5107904216099094E-2</v>
      </c>
      <c r="AQ538" s="373">
        <f ca="1">IF(AQ$536 &gt;= '2.2 Input_General_Information'!$H$20, $G$496 * VLOOKUP(AQ$536, Growth!$B$130:$L$170, 11, FALSE) * $G$495 * SUM('2.3 Input_Main_Questionnaire'!$I$27:$I$31), )</f>
        <v>2.0474999999995712E-2</v>
      </c>
      <c r="AR538" s="373">
        <f ca="1">IF(AR$536 &gt;= '2.2 Input_General_Information'!$H$20, $G$496 * VLOOKUP(AR$536, Growth!$B$130:$L$170, 11, FALSE) * $G$495 * SUM('2.3 Input_Main_Questionnaire'!$I$27:$I$31), )</f>
        <v>1.5842095783892764E-2</v>
      </c>
      <c r="AS538" s="373">
        <f ca="1">IF(AS$536 &gt;= '2.2 Input_General_Information'!$H$20, $G$496 * VLOOKUP(AS$536, Growth!$B$130:$L$170, 11, FALSE) * $G$495 * SUM('2.3 Input_Main_Questionnaire'!$I$27:$I$31), )</f>
        <v>1.1660483250212033E-2</v>
      </c>
      <c r="AT538" s="373">
        <f ca="1">IF(AT$536 &gt;= '2.2 Input_General_Information'!$H$20, $G$496 * VLOOKUP(AT$536, Growth!$B$130:$L$170, 11, FALSE) * $G$495 * SUM('2.3 Input_Main_Questionnaire'!$I$27:$I$31), )</f>
        <v>8.2212209301055945E-3</v>
      </c>
      <c r="AU538" s="373">
        <f ca="1">IF(AU$536 &gt;= '2.2 Input_General_Information'!$H$20, $G$496 * VLOOKUP(AU$536, Growth!$B$130:$L$170, 11, FALSE) * $G$495 * SUM('2.3 Input_Main_Questionnaire'!$I$27:$I$31), )</f>
        <v>5.6023388101733452E-3</v>
      </c>
      <c r="AV538" s="373">
        <f ca="1">IF(AV$536 &gt;= '2.2 Input_General_Information'!$H$20, $G$496 * VLOOKUP(AV$536, Growth!$B$130:$L$170, 11, FALSE) * $G$495 * SUM('2.3 Input_Main_Questionnaire'!$I$27:$I$31), )</f>
        <v>3.7228118852595696E-3</v>
      </c>
      <c r="AW538" s="373">
        <f ca="1">IF(AW$536 &gt;= '2.2 Input_General_Information'!$H$20, $G$496 * VLOOKUP(AW$536, Growth!$B$130:$L$170, 11, FALSE) * $G$495 * SUM('2.3 Input_Main_Questionnaire'!$I$27:$I$31), )</f>
        <v>2.4304897095933672E-3</v>
      </c>
      <c r="AX538" s="373">
        <f ca="1">IF(AX$536 &gt;= '2.2 Input_General_Information'!$H$20, $G$496 * VLOOKUP(AX$536, Growth!$B$130:$L$170, 11, FALSE) * $G$495 * SUM('2.3 Input_Main_Questionnaire'!$I$27:$I$31), )</f>
        <v>1.5678851106622578E-3</v>
      </c>
      <c r="AY538" s="373">
        <f ca="1">IF(AY$536 &gt;= '2.2 Input_General_Information'!$H$20, $G$496 * VLOOKUP(AY$536, Growth!$B$130:$L$170, 11, FALSE) * $G$495 * SUM('2.3 Input_Main_Questionnaire'!$I$27:$I$31), )</f>
        <v>1.0034520569244768E-3</v>
      </c>
      <c r="AZ538" s="373">
        <f ca="1">IF(AZ$536 &gt;= '2.2 Input_General_Information'!$H$20, $G$496 * VLOOKUP(AZ$536, Growth!$B$130:$L$170, 11, FALSE) * $G$495 * SUM('2.3 Input_Main_Questionnaire'!$I$27:$I$31), )</f>
        <v>6.3891637225056946E-4</v>
      </c>
      <c r="BA538" s="373">
        <f ca="1">IF(BA$536 &gt;= '2.2 Input_General_Information'!$H$20, $G$496 * VLOOKUP(BA$536, Growth!$B$130:$L$170, 11, FALSE) * $G$495 * SUM('2.3 Input_Main_Questionnaire'!$I$27:$I$31), )</f>
        <v>4.0546561761136714E-4</v>
      </c>
      <c r="BB538" s="373">
        <f ca="1">IF(BB$536 &gt;= '2.2 Input_General_Information'!$H$20, $G$496 * VLOOKUP(BB$536, Growth!$B$130:$L$170, 11, FALSE) * $G$495 * SUM('2.3 Input_Main_Questionnaire'!$I$27:$I$31), )</f>
        <v>2.5677103955683631E-4</v>
      </c>
      <c r="BC538" s="373">
        <f ca="1">IF(BC$536 &gt;= '2.2 Input_General_Information'!$H$20, $G$496 * VLOOKUP(BC$536, Growth!$B$130:$L$170, 11, FALSE) * $G$495 * SUM('2.3 Input_Main_Questionnaire'!$I$27:$I$31), )</f>
        <v>1.6238815095241205E-4</v>
      </c>
      <c r="BD538" s="373">
        <f ca="1">IF(BD$536 &gt;= '2.2 Input_General_Information'!$H$20, $G$496 * VLOOKUP(BD$536, Growth!$B$130:$L$170, 11, FALSE) * $G$495 * SUM('2.3 Input_Main_Questionnaire'!$I$27:$I$31), )</f>
        <v>1.0261067282390723E-4</v>
      </c>
      <c r="BE538" s="373">
        <f ca="1">IF(BE$536 &gt;= '2.2 Input_General_Information'!$H$20, $G$496 * VLOOKUP(BE$536, Growth!$B$130:$L$170, 11, FALSE) * $G$495 * SUM('2.3 Input_Main_Questionnaire'!$I$27:$I$31), )</f>
        <v>6.4803206363107723E-5</v>
      </c>
      <c r="BF538" s="373">
        <f ca="1">IF(BF$536 &gt;= '2.2 Input_General_Information'!$H$20, $G$496 * VLOOKUP(BF$536, Growth!$B$130:$L$170, 11, FALSE) * $G$495 * SUM('2.3 Input_Main_Questionnaire'!$I$27:$I$31), )</f>
        <v>4.0912156293757569E-5</v>
      </c>
      <c r="BG538" s="373">
        <f ca="1">IF(BG$536 &gt;= '2.2 Input_General_Information'!$H$20, $G$496 * VLOOKUP(BG$536, Growth!$B$130:$L$170, 11, FALSE) * $G$495 * SUM('2.3 Input_Main_Questionnaire'!$I$27:$I$31), )</f>
        <v>2.5823475643541805E-5</v>
      </c>
      <c r="BH538" s="373">
        <f ca="1">IF(BH$536 &gt;= '2.2 Input_General_Information'!$H$20, $G$496 * VLOOKUP(BH$536, Growth!$B$130:$L$170, 11, FALSE) * $G$495 * SUM('2.3 Input_Main_Questionnaire'!$I$27:$I$31), )</f>
        <v>1.6297385816183601E-5</v>
      </c>
      <c r="BI538" s="373">
        <f ca="1">IF(BI$536 &gt;= '2.2 Input_General_Information'!$H$20, $G$496 * VLOOKUP(BI$536, Growth!$B$130:$L$170, 11, FALSE) * $G$495 * SUM('2.3 Input_Main_Questionnaire'!$I$27:$I$31), )</f>
        <v>1.0284517194283127E-5</v>
      </c>
      <c r="BJ538" s="373">
        <f ca="1">IF(BJ$536 &gt;= '2.2 Input_General_Information'!$H$20, $G$496 * VLOOKUP(BJ$536, Growth!$B$130:$L$170, 11, FALSE) * $G$495 * SUM('2.3 Input_Main_Questionnaire'!$I$27:$I$31), )</f>
        <v>6.4897255964030564E-6</v>
      </c>
      <c r="BK538" s="373">
        <f ca="1">IF(BK$536 &gt;= '2.2 Input_General_Information'!$H$20, $G$496 * VLOOKUP(BK$536, Growth!$B$130:$L$170, 11, FALSE) * $G$495 * SUM('2.3 Input_Main_Questionnaire'!$I$27:$I$31), )</f>
        <v>4.0949999999950023E-6</v>
      </c>
      <c r="BL538" s="381"/>
      <c r="BM538" s="381"/>
      <c r="BN538" s="381"/>
      <c r="BO538" s="381"/>
      <c r="BP538" s="381"/>
      <c r="BQ538" s="381"/>
      <c r="BR538" s="381"/>
      <c r="BS538" s="381"/>
      <c r="BT538" s="381"/>
      <c r="BU538" s="381"/>
    </row>
    <row r="539" spans="1:73">
      <c r="A539" s="6"/>
      <c r="B539" s="97"/>
      <c r="C539" s="37"/>
      <c r="D539" s="37"/>
      <c r="E539" s="10"/>
      <c r="F539" s="10"/>
      <c r="G539" s="244"/>
      <c r="H539" s="244"/>
      <c r="I539" s="244"/>
      <c r="J539" s="244"/>
      <c r="K539" s="244"/>
      <c r="L539" s="244"/>
      <c r="M539" s="244"/>
      <c r="N539" s="244"/>
      <c r="O539" s="10"/>
      <c r="P539" s="10"/>
      <c r="Q539" s="10"/>
      <c r="R539" s="193"/>
      <c r="S539" s="10"/>
      <c r="T539" s="101"/>
      <c r="U539" s="101"/>
      <c r="V539" s="103" t="str">
        <f>$I$10</f>
        <v>Lecturer/Researcher (Academic)</v>
      </c>
      <c r="W539" s="373">
        <f ca="1">IF(W$536 &gt;= '2.2 Input_General_Information'!$H$20, $G$496 * VLOOKUP(W$536, Growth!$B$130:$L$170, 11, FALSE) * $G$495 * SUM('2.3 Input_Main_Questionnaire'!$J$27:$J$31), )</f>
        <v>3.7849614660000003E-2</v>
      </c>
      <c r="X539" s="373">
        <f ca="1">IF(X$536 &gt;= '2.2 Input_General_Information'!$H$20, $G$496 * VLOOKUP(X$536, Growth!$B$130:$L$170, 11, FALSE) * $G$495 * SUM('2.3 Input_Main_Questionnaire'!$J$27:$J$31), )</f>
        <v>3.78474010212725E-2</v>
      </c>
      <c r="Y539" s="373">
        <f ca="1">IF(Y$536 &gt;= '2.2 Input_General_Information'!$H$20, $G$496 * VLOOKUP(Y$536, Growth!$B$130:$L$170, 11, FALSE) * $G$495 * SUM('2.3 Input_Main_Questionnaire'!$J$27:$J$31), )</f>
        <v>3.7843893188201159E-2</v>
      </c>
      <c r="Z539" s="373">
        <f ca="1">IF(Z$536 &gt;= '2.2 Input_General_Information'!$H$20, $G$496 * VLOOKUP(Z$536, Growth!$B$130:$L$170, 11, FALSE) * $G$495 * SUM('2.3 Input_Main_Questionnaire'!$J$27:$J$31), )</f>
        <v>3.7838335006977898E-2</v>
      </c>
      <c r="AA539" s="373">
        <f ca="1">IF(AA$536 &gt;= '2.2 Input_General_Information'!$H$20, $G$496 * VLOOKUP(AA$536, Growth!$B$130:$L$170, 11, FALSE) * $G$495 * SUM('2.3 Input_Main_Questionnaire'!$J$27:$J$31), )</f>
        <v>3.7829529270990821E-2</v>
      </c>
      <c r="AB539" s="373">
        <f ca="1">IF(AB$536 &gt;= '2.2 Input_General_Information'!$H$20, $G$496 * VLOOKUP(AB$536, Growth!$B$130:$L$170, 11, FALSE) * $G$495 * SUM('2.3 Input_Main_Questionnaire'!$J$27:$J$31), )</f>
        <v>3.7815581582001184E-2</v>
      </c>
      <c r="AC539" s="373">
        <f ca="1">IF(AC$536 &gt;= '2.2 Input_General_Information'!$H$20, $G$496 * VLOOKUP(AC$536, Growth!$B$130:$L$170, 11, FALSE) * $G$495 * SUM('2.3 Input_Main_Questionnaire'!$J$27:$J$31), )</f>
        <v>3.7793497150384679E-2</v>
      </c>
      <c r="AD539" s="373">
        <f ca="1">IF(AD$536 &gt;= '2.2 Input_General_Information'!$H$20, $G$496 * VLOOKUP(AD$536, Growth!$B$130:$L$170, 11, FALSE) * $G$495 * SUM('2.3 Input_Main_Questionnaire'!$J$27:$J$31), )</f>
        <v>3.7758548648530503E-2</v>
      </c>
      <c r="AE539" s="373">
        <f ca="1">IF(AE$536 &gt;= '2.2 Input_General_Information'!$H$20, $G$496 * VLOOKUP(AE$536, Growth!$B$130:$L$170, 11, FALSE) * $G$495 * SUM('2.3 Input_Main_Questionnaire'!$J$27:$J$31), )</f>
        <v>3.7703291486367106E-2</v>
      </c>
      <c r="AF539" s="373">
        <f ca="1">IF(AF$536 &gt;= '2.2 Input_General_Information'!$H$20, $G$496 * VLOOKUP(AF$536, Growth!$B$130:$L$170, 11, FALSE) * $G$495 * SUM('2.3 Input_Main_Questionnaire'!$J$27:$J$31), )</f>
        <v>3.7616045741910409E-2</v>
      </c>
      <c r="AG539" s="373">
        <f ca="1">IF(AG$536 &gt;= '2.2 Input_General_Information'!$H$20, $G$496 * VLOOKUP(AG$536, Growth!$B$130:$L$170, 11, FALSE) * $G$495 * SUM('2.3 Input_Main_Questionnaire'!$J$27:$J$31), )</f>
        <v>3.7478595306234361E-2</v>
      </c>
      <c r="AH539" s="373">
        <f ca="1">IF(AH$536 &gt;= '2.2 Input_General_Information'!$H$20, $G$496 * VLOOKUP(AH$536, Growth!$B$130:$L$170, 11, FALSE) * $G$495 * SUM('2.3 Input_Main_Questionnaire'!$J$27:$J$31), )</f>
        <v>3.7262797875326749E-2</v>
      </c>
      <c r="AI539" s="373">
        <f ca="1">IF(AI$536 &gt;= '2.2 Input_General_Information'!$H$20, $G$496 * VLOOKUP(AI$536, Growth!$B$130:$L$170, 11, FALSE) * $G$495 * SUM('2.3 Input_Main_Questionnaire'!$J$27:$J$31), )</f>
        <v>3.6925828031950769E-2</v>
      </c>
      <c r="AJ539" s="373">
        <f ca="1">IF(AJ$536 &gt;= '2.2 Input_General_Information'!$H$20, $G$496 * VLOOKUP(AJ$536, Growth!$B$130:$L$170, 11, FALSE) * $G$495 * SUM('2.3 Input_Main_Questionnaire'!$J$27:$J$31), )</f>
        <v>3.6404076868180944E-2</v>
      </c>
      <c r="AK539" s="373">
        <f ca="1">IF(AK$536 &gt;= '2.2 Input_General_Information'!$H$20, $G$496 * VLOOKUP(AK$536, Growth!$B$130:$L$170, 11, FALSE) * $G$495 * SUM('2.3 Input_Main_Questionnaire'!$J$27:$J$31), )</f>
        <v>3.5606701607492207E-2</v>
      </c>
      <c r="AL539" s="373">
        <f ca="1">IF(AL$536 &gt;= '2.2 Input_General_Information'!$H$20, $G$496 * VLOOKUP(AL$536, Growth!$B$130:$L$170, 11, FALSE) * $G$495 * SUM('2.3 Input_Main_Questionnaire'!$J$27:$J$31), )</f>
        <v>3.4412103603966016E-2</v>
      </c>
      <c r="AM539" s="373">
        <f ca="1">IF(AM$536 &gt;= '2.2 Input_General_Information'!$H$20, $G$496 * VLOOKUP(AM$536, Growth!$B$130:$L$170, 11, FALSE) * $G$495 * SUM('2.3 Input_Main_Questionnaire'!$J$27:$J$31), )</f>
        <v>3.2674704715087446E-2</v>
      </c>
      <c r="AN539" s="373">
        <f ca="1">IF(AN$536 &gt;= '2.2 Input_General_Information'!$H$20, $G$496 * VLOOKUP(AN$536, Growth!$B$130:$L$170, 11, FALSE) * $G$495 * SUM('2.3 Input_Main_Questionnaire'!$J$27:$J$31), )</f>
        <v>3.025385996688968E-2</v>
      </c>
      <c r="AO539" s="373">
        <f ca="1">IF(AO$536 &gt;= '2.2 Input_General_Information'!$H$20, $G$496 * VLOOKUP(AO$536, Growth!$B$130:$L$170, 11, FALSE) * $G$495 * SUM('2.3 Input_Main_Questionnaire'!$J$27:$J$31), )</f>
        <v>2.70746713879404E-2</v>
      </c>
      <c r="AP539" s="373">
        <f ca="1">IF(AP$536 &gt;= '2.2 Input_General_Information'!$H$20, $G$496 * VLOOKUP(AP$536, Growth!$B$130:$L$170, 11, FALSE) * $G$495 * SUM('2.3 Input_Main_Questionnaire'!$J$27:$J$31), )</f>
        <v>2.320926841156741E-2</v>
      </c>
      <c r="AQ539" s="373">
        <f ca="1">IF(AQ$536 &gt;= '2.2 Input_General_Information'!$H$20, $G$496 * VLOOKUP(AQ$536, Growth!$B$130:$L$170, 11, FALSE) * $G$495 * SUM('2.3 Input_Main_Questionnaire'!$J$27:$J$31), )</f>
        <v>1.8926699999996039E-2</v>
      </c>
      <c r="AR539" s="373">
        <f ca="1">IF(AR$536 &gt;= '2.2 Input_General_Information'!$H$20, $G$496 * VLOOKUP(AR$536, Growth!$B$130:$L$170, 11, FALSE) * $G$495 * SUM('2.3 Input_Main_Questionnaire'!$J$27:$J$31), )</f>
        <v>1.4644131588425065E-2</v>
      </c>
      <c r="AS539" s="373">
        <f ca="1">IF(AS$536 &gt;= '2.2 Input_General_Information'!$H$20, $G$496 * VLOOKUP(AS$536, Growth!$B$130:$L$170, 11, FALSE) * $G$495 * SUM('2.3 Input_Main_Questionnaire'!$J$27:$J$31), )</f>
        <v>1.0778728612053142E-2</v>
      </c>
      <c r="AT539" s="373">
        <f ca="1">IF(AT$536 &gt;= '2.2 Input_General_Information'!$H$20, $G$496 * VLOOKUP(AT$536, Growth!$B$130:$L$170, 11, FALSE) * $G$495 * SUM('2.3 Input_Main_Questionnaire'!$J$27:$J$31), )</f>
        <v>7.5995400331052296E-3</v>
      </c>
      <c r="AU539" s="373">
        <f ca="1">IF(AU$536 &gt;= '2.2 Input_General_Information'!$H$20, $G$496 * VLOOKUP(AU$536, Growth!$B$130:$L$170, 11, FALSE) * $G$495 * SUM('2.3 Input_Main_Questionnaire'!$J$27:$J$31), )</f>
        <v>5.1786952849088089E-3</v>
      </c>
      <c r="AV539" s="373">
        <f ca="1">IF(AV$536 &gt;= '2.2 Input_General_Information'!$H$20, $G$496 * VLOOKUP(AV$536, Growth!$B$130:$L$170, 11, FALSE) * $G$495 * SUM('2.3 Input_Main_Questionnaire'!$J$27:$J$31), )</f>
        <v>3.44129639603137E-3</v>
      </c>
      <c r="AW539" s="373">
        <f ca="1">IF(AW$536 &gt;= '2.2 Input_General_Information'!$H$20, $G$496 * VLOOKUP(AW$536, Growth!$B$130:$L$170, 11, FALSE) * $G$495 * SUM('2.3 Input_Main_Questionnaire'!$J$27:$J$31), )</f>
        <v>2.2466983925060213E-3</v>
      </c>
      <c r="AX539" s="373">
        <f ca="1">IF(AX$536 &gt;= '2.2 Input_General_Information'!$H$20, $G$496 * VLOOKUP(AX$536, Growth!$B$130:$L$170, 11, FALSE) * $G$495 * SUM('2.3 Input_Main_Questionnaire'!$J$27:$J$31), )</f>
        <v>1.4493231318178927E-3</v>
      </c>
      <c r="AY539" s="373">
        <f ca="1">IF(AY$536 &gt;= '2.2 Input_General_Information'!$H$20, $G$496 * VLOOKUP(AY$536, Growth!$B$130:$L$170, 11, FALSE) * $G$495 * SUM('2.3 Input_Main_Questionnaire'!$J$27:$J$31), )</f>
        <v>9.2757196804847371E-4</v>
      </c>
      <c r="AZ539" s="373">
        <f ca="1">IF(AZ$536 &gt;= '2.2 Input_General_Information'!$H$20, $G$496 * VLOOKUP(AZ$536, Growth!$B$130:$L$170, 11, FALSE) * $G$495 * SUM('2.3 Input_Main_Questionnaire'!$J$27:$J$31), )</f>
        <v>5.9060212467276459E-4</v>
      </c>
      <c r="BA539" s="373">
        <f ca="1">IF(BA$536 &gt;= '2.2 Input_General_Information'!$H$20, $G$496 * VLOOKUP(BA$536, Growth!$B$130:$L$170, 11, FALSE) * $G$495 * SUM('2.3 Input_Main_Questionnaire'!$J$27:$J$31), )</f>
        <v>3.7480469376532661E-4</v>
      </c>
      <c r="BB539" s="373">
        <f ca="1">IF(BB$536 &gt;= '2.2 Input_General_Information'!$H$20, $G$496 * VLOOKUP(BB$536, Growth!$B$130:$L$170, 11, FALSE) * $G$495 * SUM('2.3 Input_Main_Questionnaire'!$J$27:$J$31), )</f>
        <v>2.3735425808939556E-4</v>
      </c>
      <c r="BC539" s="373">
        <f ca="1">IF(BC$536 &gt;= '2.2 Input_General_Information'!$H$20, $G$496 * VLOOKUP(BC$536, Growth!$B$130:$L$170, 11, FALSE) * $G$495 * SUM('2.3 Input_Main_Questionnaire'!$J$27:$J$31), )</f>
        <v>1.5010851363277252E-4</v>
      </c>
      <c r="BD539" s="373">
        <f ca="1">IF(BD$536 &gt;= '2.2 Input_General_Information'!$H$20, $G$496 * VLOOKUP(BD$536, Growth!$B$130:$L$170, 11, FALSE) * $G$495 * SUM('2.3 Input_Main_Questionnaire'!$J$27:$J$31), )</f>
        <v>9.4851351469413676E-5</v>
      </c>
      <c r="BE539" s="373">
        <f ca="1">IF(BE$536 &gt;= '2.2 Input_General_Information'!$H$20, $G$496 * VLOOKUP(BE$536, Growth!$B$130:$L$170, 11, FALSE) * $G$495 * SUM('2.3 Input_Main_Questionnaire'!$J$27:$J$31), )</f>
        <v>5.9902849615268916E-5</v>
      </c>
      <c r="BF539" s="373">
        <f ca="1">IF(BF$536 &gt;= '2.2 Input_General_Information'!$H$20, $G$496 * VLOOKUP(BF$536, Growth!$B$130:$L$170, 11, FALSE) * $G$495 * SUM('2.3 Input_Main_Questionnaire'!$J$27:$J$31), )</f>
        <v>3.7818417998782E-5</v>
      </c>
      <c r="BG539" s="373">
        <f ca="1">IF(BG$536 &gt;= '2.2 Input_General_Information'!$H$20, $G$496 * VLOOKUP(BG$536, Growth!$B$130:$L$170, 11, FALSE) * $G$495 * SUM('2.3 Input_Main_Questionnaire'!$J$27:$J$31), )</f>
        <v>2.3870729009163502E-5</v>
      </c>
      <c r="BH539" s="373">
        <f ca="1">IF(BH$536 &gt;= '2.2 Input_General_Information'!$H$20, $G$496 * VLOOKUP(BH$536, Growth!$B$130:$L$170, 11, FALSE) * $G$495 * SUM('2.3 Input_Main_Questionnaire'!$J$27:$J$31), )</f>
        <v>1.5064993022083624E-5</v>
      </c>
      <c r="BI539" s="373">
        <f ca="1">IF(BI$536 &gt;= '2.2 Input_General_Information'!$H$20, $G$496 * VLOOKUP(BI$536, Growth!$B$130:$L$170, 11, FALSE) * $G$495 * SUM('2.3 Input_Main_Questionnaire'!$J$27:$J$31), )</f>
        <v>9.506811798829717E-6</v>
      </c>
      <c r="BJ539" s="373">
        <f ca="1">IF(BJ$536 &gt;= '2.2 Input_General_Information'!$H$20, $G$496 * VLOOKUP(BJ$536, Growth!$B$130:$L$170, 11, FALSE) * $G$495 * SUM('2.3 Input_Main_Questionnaire'!$J$27:$J$31), )</f>
        <v>5.9989787274941015E-6</v>
      </c>
      <c r="BK539" s="373">
        <f ca="1">IF(BK$536 &gt;= '2.2 Input_General_Information'!$H$20, $G$496 * VLOOKUP(BK$536, Growth!$B$130:$L$170, 11, FALSE) * $G$495 * SUM('2.3 Input_Main_Questionnaire'!$J$27:$J$31), )</f>
        <v>3.785339999995381E-6</v>
      </c>
      <c r="BL539" s="381"/>
      <c r="BM539" s="381"/>
      <c r="BN539" s="381"/>
      <c r="BO539" s="381"/>
      <c r="BP539" s="381"/>
      <c r="BQ539" s="381"/>
      <c r="BR539" s="381"/>
      <c r="BS539" s="381"/>
      <c r="BT539" s="381"/>
      <c r="BU539" s="381"/>
    </row>
    <row r="540" spans="1:73">
      <c r="A540" s="6"/>
      <c r="B540" s="97"/>
      <c r="C540" s="37"/>
      <c r="D540" s="37"/>
      <c r="E540" s="10"/>
      <c r="F540" s="10"/>
      <c r="G540" s="244"/>
      <c r="H540" s="244"/>
      <c r="I540" s="244"/>
      <c r="J540" s="244"/>
      <c r="K540" s="244"/>
      <c r="L540" s="244"/>
      <c r="M540" s="244"/>
      <c r="N540" s="244"/>
      <c r="O540" s="10"/>
      <c r="P540" s="10"/>
      <c r="Q540" s="10"/>
      <c r="R540" s="193"/>
      <c r="S540" s="10"/>
      <c r="T540" s="101"/>
      <c r="U540" s="101"/>
      <c r="V540" s="103" t="str">
        <f>$J$10</f>
        <v>Other</v>
      </c>
      <c r="W540" s="373">
        <f ca="1">IF(W$536 &gt;= '2.2 Input_General_Information'!$H$20, $G$496 * VLOOKUP(W$536, Growth!$B$130:$L$170, 11, FALSE) * $G$495 * SUM('2.3 Input_Main_Questionnaire'!$K$27:$K$31), )</f>
        <v>3.7436256000000001E-2</v>
      </c>
      <c r="X540" s="373">
        <f ca="1">IF(X$536 &gt;= '2.2 Input_General_Information'!$H$20, $G$496 * VLOOKUP(X$536, Growth!$B$130:$L$170, 11, FALSE) * $G$495 * SUM('2.3 Input_Main_Questionnaire'!$K$27:$K$31), )</f>
        <v>3.7434066536597574E-2</v>
      </c>
      <c r="Y540" s="373">
        <f ca="1">IF(Y$536 &gt;= '2.2 Input_General_Information'!$H$20, $G$496 * VLOOKUP(Y$536, Growth!$B$130:$L$170, 11, FALSE) * $G$495 * SUM('2.3 Input_Main_Questionnaire'!$K$27:$K$31), )</f>
        <v>3.7430597012850939E-2</v>
      </c>
      <c r="Z540" s="373">
        <f ca="1">IF(Z$536 &gt;= '2.2 Input_General_Information'!$H$20, $G$496 * VLOOKUP(Z$536, Growth!$B$130:$L$170, 11, FALSE) * $G$495 * SUM('2.3 Input_Main_Questionnaire'!$K$27:$K$31), )</f>
        <v>3.7425099532968048E-2</v>
      </c>
      <c r="AA540" s="373">
        <f ca="1">IF(AA$536 &gt;= '2.2 Input_General_Information'!$H$20, $G$496 * VLOOKUP(AA$536, Growth!$B$130:$L$170, 11, FALSE) * $G$495 * SUM('2.3 Input_Main_Questionnaire'!$K$27:$K$31), )</f>
        <v>3.741638996512589E-2</v>
      </c>
      <c r="AB540" s="373">
        <f ca="1">IF(AB$536 &gt;= '2.2 Input_General_Information'!$H$20, $G$496 * VLOOKUP(AB$536, Growth!$B$130:$L$170, 11, FALSE) * $G$495 * SUM('2.3 Input_Main_Questionnaire'!$K$27:$K$31), )</f>
        <v>3.7402594599959968E-2</v>
      </c>
      <c r="AC540" s="373">
        <f ca="1">IF(AC$536 &gt;= '2.2 Input_General_Information'!$H$20, $G$496 * VLOOKUP(AC$536, Growth!$B$130:$L$170, 11, FALSE) * $G$495 * SUM('2.3 Input_Main_Questionnaire'!$K$27:$K$31), )</f>
        <v>3.738075135418225E-2</v>
      </c>
      <c r="AD540" s="373">
        <f ca="1">IF(AD$536 &gt;= '2.2 Input_General_Information'!$H$20, $G$496 * VLOOKUP(AD$536, Growth!$B$130:$L$170, 11, FALSE) * $G$495 * SUM('2.3 Input_Main_Questionnaire'!$K$27:$K$31), )</f>
        <v>3.7346184527703781E-2</v>
      </c>
      <c r="AE540" s="373">
        <f ca="1">IF(AE$536 &gt;= '2.2 Input_General_Information'!$H$20, $G$496 * VLOOKUP(AE$536, Growth!$B$130:$L$170, 11, FALSE) * $G$495 * SUM('2.3 Input_Main_Questionnaire'!$K$27:$K$31), )</f>
        <v>3.729153083341482E-2</v>
      </c>
      <c r="AF540" s="373">
        <f ca="1">IF(AF$536 &gt;= '2.2 Input_General_Information'!$H$20, $G$496 * VLOOKUP(AF$536, Growth!$B$130:$L$170, 11, FALSE) * $G$495 * SUM('2.3 Input_Main_Questionnaire'!$K$27:$K$31), )</f>
        <v>3.7205237906690697E-2</v>
      </c>
      <c r="AG540" s="373">
        <f ca="1">IF(AG$536 &gt;= '2.2 Input_General_Information'!$H$20, $G$496 * VLOOKUP(AG$536, Growth!$B$130:$L$170, 11, FALSE) * $G$495 * SUM('2.3 Input_Main_Questionnaire'!$K$27:$K$31), )</f>
        <v>3.706928857818359E-2</v>
      </c>
      <c r="AH540" s="373">
        <f ca="1">IF(AH$536 &gt;= '2.2 Input_General_Information'!$H$20, $G$496 * VLOOKUP(AH$536, Growth!$B$130:$L$170, 11, FALSE) * $G$495 * SUM('2.3 Input_Main_Questionnaire'!$K$27:$K$31), )</f>
        <v>3.6855847888227572E-2</v>
      </c>
      <c r="AI540" s="373">
        <f ca="1">IF(AI$536 &gt;= '2.2 Input_General_Information'!$H$20, $G$496 * VLOOKUP(AI$536, Growth!$B$130:$L$170, 11, FALSE) * $G$495 * SUM('2.3 Input_Main_Questionnaire'!$K$27:$K$31), )</f>
        <v>3.6522558119382591E-2</v>
      </c>
      <c r="AJ540" s="373">
        <f ca="1">IF(AJ$536 &gt;= '2.2 Input_General_Information'!$H$20, $G$496 * VLOOKUP(AJ$536, Growth!$B$130:$L$170, 11, FALSE) * $G$495 * SUM('2.3 Input_Main_Questionnaire'!$K$27:$K$31), )</f>
        <v>3.6006505041679071E-2</v>
      </c>
      <c r="AK540" s="373">
        <f ca="1">IF(AK$536 &gt;= '2.2 Input_General_Information'!$H$20, $G$496 * VLOOKUP(AK$536, Growth!$B$130:$L$170, 11, FALSE) * $G$495 * SUM('2.3 Input_Main_Questionnaire'!$K$27:$K$31), )</f>
        <v>3.5217837979798598E-2</v>
      </c>
      <c r="AL540" s="373">
        <f ca="1">IF(AL$536 &gt;= '2.2 Input_General_Information'!$H$20, $G$496 * VLOOKUP(AL$536, Growth!$B$130:$L$170, 11, FALSE) * $G$495 * SUM('2.3 Input_Main_Questionnaire'!$K$27:$K$31), )</f>
        <v>3.4036286276331519E-2</v>
      </c>
      <c r="AM540" s="373">
        <f ca="1">IF(AM$536 &gt;= '2.2 Input_General_Information'!$H$20, $G$496 * VLOOKUP(AM$536, Growth!$B$130:$L$170, 11, FALSE) * $G$495 * SUM('2.3 Input_Main_Questionnaire'!$K$27:$K$31), )</f>
        <v>3.2317861659266381E-2</v>
      </c>
      <c r="AN540" s="373">
        <f ca="1">IF(AN$536 &gt;= '2.2 Input_General_Information'!$H$20, $G$496 * VLOOKUP(AN$536, Growth!$B$130:$L$170, 11, FALSE) * $G$495 * SUM('2.3 Input_Main_Questionnaire'!$K$27:$K$31), )</f>
        <v>2.9923455149612709E-2</v>
      </c>
      <c r="AO540" s="373">
        <f ca="1">IF(AO$536 &gt;= '2.2 Input_General_Information'!$H$20, $G$496 * VLOOKUP(AO$536, Growth!$B$130:$L$170, 11, FALSE) * $G$495 * SUM('2.3 Input_Main_Questionnaire'!$K$27:$K$31), )</f>
        <v>2.6778986742656899E-2</v>
      </c>
      <c r="AP540" s="373">
        <f ca="1">IF(AP$536 &gt;= '2.2 Input_General_Information'!$H$20, $G$496 * VLOOKUP(AP$536, Growth!$B$130:$L$170, 11, FALSE) * $G$495 * SUM('2.3 Input_Main_Questionnaire'!$K$27:$K$31), )</f>
        <v>2.2955798140433459E-2</v>
      </c>
      <c r="AQ540" s="373">
        <f ca="1">IF(AQ$536 &gt;= '2.2 Input_General_Information'!$H$20, $G$496 * VLOOKUP(AQ$536, Growth!$B$130:$L$170, 11, FALSE) * $G$495 * SUM('2.3 Input_Main_Questionnaire'!$K$27:$K$31), )</f>
        <v>1.8719999999996084E-2</v>
      </c>
      <c r="AR540" s="373">
        <f ca="1">IF(AR$536 &gt;= '2.2 Input_General_Information'!$H$20, $G$496 * VLOOKUP(AR$536, Growth!$B$130:$L$170, 11, FALSE) * $G$495 * SUM('2.3 Input_Main_Questionnaire'!$K$27:$K$31), )</f>
        <v>1.4484201859559101E-2</v>
      </c>
      <c r="AS540" s="373">
        <f ca="1">IF(AS$536 &gt;= '2.2 Input_General_Information'!$H$20, $G$496 * VLOOKUP(AS$536, Growth!$B$130:$L$170, 11, FALSE) * $G$495 * SUM('2.3 Input_Main_Questionnaire'!$K$27:$K$31), )</f>
        <v>1.0661013257336717E-2</v>
      </c>
      <c r="AT540" s="373">
        <f ca="1">IF(AT$536 &gt;= '2.2 Input_General_Information'!$H$20, $G$496 * VLOOKUP(AT$536, Growth!$B$130:$L$170, 11, FALSE) * $G$495 * SUM('2.3 Input_Main_Questionnaire'!$K$27:$K$31), )</f>
        <v>7.5165448503822594E-3</v>
      </c>
      <c r="AU540" s="373">
        <f ca="1">IF(AU$536 &gt;= '2.2 Input_General_Information'!$H$20, $G$496 * VLOOKUP(AU$536, Growth!$B$130:$L$170, 11, FALSE) * $G$495 * SUM('2.3 Input_Main_Questionnaire'!$K$27:$K$31), )</f>
        <v>5.1221383407299157E-3</v>
      </c>
      <c r="AV540" s="373">
        <f ca="1">IF(AV$536 &gt;= '2.2 Input_General_Information'!$H$20, $G$496 * VLOOKUP(AV$536, Growth!$B$130:$L$170, 11, FALSE) * $G$495 * SUM('2.3 Input_Main_Questionnaire'!$K$27:$K$31), )</f>
        <v>3.4037137236658925E-3</v>
      </c>
      <c r="AW540" s="373">
        <f ca="1">IF(AW$536 &gt;= '2.2 Input_General_Information'!$H$20, $G$496 * VLOOKUP(AW$536, Growth!$B$130:$L$170, 11, FALSE) * $G$495 * SUM('2.3 Input_Main_Questionnaire'!$K$27:$K$31), )</f>
        <v>2.2221620201996503E-3</v>
      </c>
      <c r="AX540" s="373">
        <f ca="1">IF(AX$536 &gt;= '2.2 Input_General_Information'!$H$20, $G$496 * VLOOKUP(AX$536, Growth!$B$130:$L$170, 11, FALSE) * $G$495 * SUM('2.3 Input_Main_Questionnaire'!$K$27:$K$31), )</f>
        <v>1.4334949583197786E-3</v>
      </c>
      <c r="AY540" s="373">
        <f ca="1">IF(AY$536 &gt;= '2.2 Input_General_Information'!$H$20, $G$496 * VLOOKUP(AY$536, Growth!$B$130:$L$170, 11, FALSE) * $G$495 * SUM('2.3 Input_Main_Questionnaire'!$K$27:$K$31), )</f>
        <v>9.1744188061666473E-4</v>
      </c>
      <c r="AZ540" s="373">
        <f ca="1">IF(AZ$536 &gt;= '2.2 Input_General_Information'!$H$20, $G$496 * VLOOKUP(AZ$536, Growth!$B$130:$L$170, 11, FALSE) * $G$495 * SUM('2.3 Input_Main_Questionnaire'!$K$27:$K$31), )</f>
        <v>5.8415211177194934E-4</v>
      </c>
      <c r="BA540" s="373">
        <f ca="1">IF(BA$536 &gt;= '2.2 Input_General_Information'!$H$20, $G$496 * VLOOKUP(BA$536, Growth!$B$130:$L$170, 11, FALSE) * $G$495 * SUM('2.3 Input_Main_Questionnaire'!$K$27:$K$31), )</f>
        <v>3.7071142181610713E-4</v>
      </c>
      <c r="BB540" s="373">
        <f ca="1">IF(BB$536 &gt;= '2.2 Input_General_Information'!$H$20, $G$496 * VLOOKUP(BB$536, Growth!$B$130:$L$170, 11, FALSE) * $G$495 * SUM('2.3 Input_Main_Questionnaire'!$K$27:$K$31), )</f>
        <v>2.347620933091075E-4</v>
      </c>
      <c r="BC540" s="373">
        <f ca="1">IF(BC$536 &gt;= '2.2 Input_General_Information'!$H$20, $G$496 * VLOOKUP(BC$536, Growth!$B$130:$L$170, 11, FALSE) * $G$495 * SUM('2.3 Input_Main_Questionnaire'!$K$27:$K$31), )</f>
        <v>1.4846916658506248E-4</v>
      </c>
      <c r="BD540" s="373">
        <f ca="1">IF(BD$536 &gt;= '2.2 Input_General_Information'!$H$20, $G$496 * VLOOKUP(BD$536, Growth!$B$130:$L$170, 11, FALSE) * $G$495 * SUM('2.3 Input_Main_Questionnaire'!$K$27:$K$31), )</f>
        <v>9.3815472296143759E-5</v>
      </c>
      <c r="BE540" s="373">
        <f ca="1">IF(BE$536 &gt;= '2.2 Input_General_Information'!$H$20, $G$496 * VLOOKUP(BE$536, Growth!$B$130:$L$170, 11, FALSE) * $G$495 * SUM('2.3 Input_Main_Questionnaire'!$K$27:$K$31), )</f>
        <v>5.9248645817698499E-5</v>
      </c>
      <c r="BF540" s="373">
        <f ca="1">IF(BF$536 &gt;= '2.2 Input_General_Information'!$H$20, $G$496 * VLOOKUP(BF$536, Growth!$B$130:$L$170, 11, FALSE) * $G$495 * SUM('2.3 Input_Main_Questionnaire'!$K$27:$K$31), )</f>
        <v>3.7405400040006924E-5</v>
      </c>
      <c r="BG540" s="373">
        <f ca="1">IF(BG$536 &gt;= '2.2 Input_General_Information'!$H$20, $G$496 * VLOOKUP(BG$536, Growth!$B$130:$L$170, 11, FALSE) * $G$495 * SUM('2.3 Input_Main_Questionnaire'!$K$27:$K$31), )</f>
        <v>2.3610034874095368E-5</v>
      </c>
      <c r="BH540" s="373">
        <f ca="1">IF(BH$536 &gt;= '2.2 Input_General_Information'!$H$20, $G$496 * VLOOKUP(BH$536, Growth!$B$130:$L$170, 11, FALSE) * $G$495 * SUM('2.3 Input_Main_Questionnaire'!$K$27:$K$31), )</f>
        <v>1.4900467031939295E-5</v>
      </c>
      <c r="BI540" s="373">
        <f ca="1">IF(BI$536 &gt;= '2.2 Input_General_Information'!$H$20, $G$496 * VLOOKUP(BI$536, Growth!$B$130:$L$170, 11, FALSE) * $G$495 * SUM('2.3 Input_Main_Questionnaire'!$K$27:$K$31), )</f>
        <v>9.4029871490588598E-6</v>
      </c>
      <c r="BJ540" s="373">
        <f ca="1">IF(BJ$536 &gt;= '2.2 Input_General_Information'!$H$20, $G$496 * VLOOKUP(BJ$536, Growth!$B$130:$L$170, 11, FALSE) * $G$495 * SUM('2.3 Input_Main_Questionnaire'!$K$27:$K$31), )</f>
        <v>5.9334634024256519E-6</v>
      </c>
      <c r="BK540" s="373">
        <f ca="1">IF(BK$536 &gt;= '2.2 Input_General_Information'!$H$20, $G$496 * VLOOKUP(BK$536, Growth!$B$130:$L$170, 11, FALSE) * $G$495 * SUM('2.3 Input_Main_Questionnaire'!$K$27:$K$31), )</f>
        <v>3.7439999999954316E-6</v>
      </c>
      <c r="BL540" s="381"/>
      <c r="BM540" s="381"/>
      <c r="BN540" s="381"/>
      <c r="BO540" s="381"/>
      <c r="BP540" s="381"/>
      <c r="BQ540" s="381"/>
      <c r="BR540" s="381"/>
      <c r="BS540" s="381"/>
      <c r="BT540" s="381"/>
      <c r="BU540" s="381"/>
    </row>
    <row r="541" spans="1:73">
      <c r="A541" s="6"/>
      <c r="B541" s="97"/>
      <c r="C541" s="37"/>
      <c r="D541" s="37"/>
      <c r="E541" s="10"/>
      <c r="F541" s="10"/>
      <c r="G541" s="244"/>
      <c r="H541" s="244"/>
      <c r="I541" s="244"/>
      <c r="J541" s="244"/>
      <c r="K541" s="244"/>
      <c r="L541" s="244"/>
      <c r="M541" s="244"/>
      <c r="N541" s="244"/>
      <c r="O541" s="10"/>
      <c r="P541" s="10"/>
      <c r="Q541" s="10"/>
      <c r="R541" s="193"/>
      <c r="S541" s="10"/>
      <c r="T541" s="101"/>
      <c r="U541" s="101"/>
      <c r="V541" s="103" t="str">
        <f>$K$10</f>
        <v>Profile 5</v>
      </c>
      <c r="W541" s="373">
        <f ca="1">IF(W$536 &gt;= '2.2 Input_General_Information'!$H$20, $G$496 * VLOOKUP(W$536, Growth!$B$130:$L$170, 11, FALSE) * $G$495 * SUM('2.3 Input_Main_Questionnaire'!$L$27:$L$31), )</f>
        <v>3.6960503580000005E-2</v>
      </c>
      <c r="X541" s="373">
        <f ca="1">IF(X$536 &gt;= '2.2 Input_General_Information'!$H$20, $G$496 * VLOOKUP(X$536, Growth!$B$130:$L$170, 11, FALSE) * $G$495 * SUM('2.3 Input_Main_Questionnaire'!$L$27:$L$31), )</f>
        <v>3.695834194102831E-2</v>
      </c>
      <c r="Y541" s="373">
        <f ca="1">IF(Y$536 &gt;= '2.2 Input_General_Information'!$H$20, $G$496 * VLOOKUP(Y$536, Growth!$B$130:$L$170, 11, FALSE) * $G$495 * SUM('2.3 Input_Main_Questionnaire'!$L$27:$L$31), )</f>
        <v>3.6954916509145952E-2</v>
      </c>
      <c r="Z541" s="373">
        <f ca="1">IF(Z$536 &gt;= '2.2 Input_General_Information'!$H$20, $G$496 * VLOOKUP(Z$536, Growth!$B$130:$L$170, 11, FALSE) * $G$495 * SUM('2.3 Input_Main_Questionnaire'!$L$27:$L$31), )</f>
        <v>3.6949488893069912E-2</v>
      </c>
      <c r="AA541" s="373">
        <f ca="1">IF(AA$536 &gt;= '2.2 Input_General_Information'!$H$20, $G$496 * VLOOKUP(AA$536, Growth!$B$130:$L$170, 11, FALSE) * $G$495 * SUM('2.3 Input_Main_Questionnaire'!$L$27:$L$31), )</f>
        <v>3.6940890009319084E-2</v>
      </c>
      <c r="AB541" s="373">
        <f ca="1">IF(AB$536 &gt;= '2.2 Input_General_Information'!$H$20, $G$496 * VLOOKUP(AB$536, Growth!$B$130:$L$170, 11, FALSE) * $G$495 * SUM('2.3 Input_Main_Questionnaire'!$L$27:$L$31), )</f>
        <v>3.692726996025214E-2</v>
      </c>
      <c r="AC541" s="373">
        <f ca="1">IF(AC$536 &gt;= '2.2 Input_General_Information'!$H$20, $G$496 * VLOOKUP(AC$536, Growth!$B$130:$L$170, 11, FALSE) * $G$495 * SUM('2.3 Input_Main_Questionnaire'!$L$27:$L$31), )</f>
        <v>3.6905704305722847E-2</v>
      </c>
      <c r="AD541" s="373">
        <f ca="1">IF(AD$536 &gt;= '2.2 Input_General_Information'!$H$20, $G$496 * VLOOKUP(AD$536, Growth!$B$130:$L$170, 11, FALSE) * $G$495 * SUM('2.3 Input_Main_Questionnaire'!$L$27:$L$31), )</f>
        <v>3.6871576765997546E-2</v>
      </c>
      <c r="AE541" s="373">
        <f ca="1">IF(AE$536 &gt;= '2.2 Input_General_Information'!$H$20, $G$496 * VLOOKUP(AE$536, Growth!$B$130:$L$170, 11, FALSE) * $G$495 * SUM('2.3 Input_Main_Questionnaire'!$L$27:$L$31), )</f>
        <v>3.6817617629073505E-2</v>
      </c>
      <c r="AF541" s="373">
        <f ca="1">IF(AF$536 &gt;= '2.2 Input_General_Information'!$H$20, $G$496 * VLOOKUP(AF$536, Growth!$B$130:$L$170, 11, FALSE) * $G$495 * SUM('2.3 Input_Main_Questionnaire'!$L$27:$L$31), )</f>
        <v>3.6732421341626506E-2</v>
      </c>
      <c r="AG541" s="373">
        <f ca="1">IF(AG$536 &gt;= '2.2 Input_General_Information'!$H$20, $G$496 * VLOOKUP(AG$536, Growth!$B$130:$L$170, 11, FALSE) * $G$495 * SUM('2.3 Input_Main_Questionnaire'!$L$27:$L$31), )</f>
        <v>3.6598199702502505E-2</v>
      </c>
      <c r="AH541" s="373">
        <f ca="1">IF(AH$536 &gt;= '2.2 Input_General_Information'!$H$20, $G$496 * VLOOKUP(AH$536, Growth!$B$130:$L$170, 11, FALSE) * $G$495 * SUM('2.3 Input_Main_Questionnaire'!$L$27:$L$31), )</f>
        <v>3.6387471487981347E-2</v>
      </c>
      <c r="AI541" s="373">
        <f ca="1">IF(AI$536 &gt;= '2.2 Input_General_Information'!$H$20, $G$496 * VLOOKUP(AI$536, Growth!$B$130:$L$170, 11, FALSE) * $G$495 * SUM('2.3 Input_Main_Questionnaire'!$L$27:$L$31), )</f>
        <v>3.6058417276615434E-2</v>
      </c>
      <c r="AJ541" s="373">
        <f ca="1">IF(AJ$536 &gt;= '2.2 Input_General_Information'!$H$20, $G$496 * VLOOKUP(AJ$536, Growth!$B$130:$L$170, 11, FALSE) * $G$495 * SUM('2.3 Input_Main_Questionnaire'!$L$27:$L$31), )</f>
        <v>3.5548922373441066E-2</v>
      </c>
      <c r="AK541" s="373">
        <f ca="1">IF(AK$536 &gt;= '2.2 Input_General_Information'!$H$20, $G$496 * VLOOKUP(AK$536, Growth!$B$130:$L$170, 11, FALSE) * $G$495 * SUM('2.3 Input_Main_Questionnaire'!$L$27:$L$31), )</f>
        <v>3.4770277955471995E-2</v>
      </c>
      <c r="AL541" s="373">
        <f ca="1">IF(AL$536 &gt;= '2.2 Input_General_Information'!$H$20, $G$496 * VLOOKUP(AL$536, Growth!$B$130:$L$170, 11, FALSE) * $G$495 * SUM('2.3 Input_Main_Questionnaire'!$L$27:$L$31), )</f>
        <v>3.3603741804903144E-2</v>
      </c>
      <c r="AM541" s="373">
        <f ca="1">IF(AM$536 &gt;= '2.2 Input_General_Information'!$H$20, $G$496 * VLOOKUP(AM$536, Growth!$B$130:$L$170, 11, FALSE) * $G$495 * SUM('2.3 Input_Main_Questionnaire'!$L$27:$L$31), )</f>
        <v>3.1907155500679872E-2</v>
      </c>
      <c r="AN541" s="373">
        <f ca="1">IF(AN$536 &gt;= '2.2 Input_General_Information'!$H$20, $G$496 * VLOOKUP(AN$536, Growth!$B$130:$L$170, 11, FALSE) * $G$495 * SUM('2.3 Input_Main_Questionnaire'!$L$27:$L$31), )</f>
        <v>2.9543177907086382E-2</v>
      </c>
      <c r="AO541" s="373">
        <f ca="1">IF(AO$536 &gt;= '2.2 Input_General_Information'!$H$20, $G$496 * VLOOKUP(AO$536, Growth!$B$130:$L$170, 11, FALSE) * $G$495 * SUM('2.3 Input_Main_Questionnaire'!$L$27:$L$31), )</f>
        <v>2.64386704528023E-2</v>
      </c>
      <c r="AP541" s="373">
        <f ca="1">IF(AP$536 &gt;= '2.2 Input_General_Information'!$H$20, $G$496 * VLOOKUP(AP$536, Growth!$B$130:$L$170, 11, FALSE) * $G$495 * SUM('2.3 Input_Main_Questionnaire'!$L$27:$L$31), )</f>
        <v>2.2664068205732118E-2</v>
      </c>
      <c r="AQ541" s="373">
        <f ca="1">IF(AQ$536 &gt;= '2.2 Input_General_Information'!$H$20, $G$496 * VLOOKUP(AQ$536, Growth!$B$130:$L$170, 11, FALSE) * $G$495 * SUM('2.3 Input_Main_Questionnaire'!$L$27:$L$31), )</f>
        <v>1.8482099999996133E-2</v>
      </c>
      <c r="AR541" s="373">
        <f ca="1">IF(AR$536 &gt;= '2.2 Input_General_Information'!$H$20, $G$496 * VLOOKUP(AR$536, Growth!$B$130:$L$170, 11, FALSE) * $G$495 * SUM('2.3 Input_Main_Questionnaire'!$L$27:$L$31), )</f>
        <v>1.4300131794260538E-2</v>
      </c>
      <c r="AS541" s="373">
        <f ca="1">IF(AS$536 &gt;= '2.2 Input_General_Information'!$H$20, $G$496 * VLOOKUP(AS$536, Growth!$B$130:$L$170, 11, FALSE) * $G$495 * SUM('2.3 Input_Main_Questionnaire'!$L$27:$L$31), )</f>
        <v>1.0525529547191395E-2</v>
      </c>
      <c r="AT541" s="373">
        <f ca="1">IF(AT$536 &gt;= '2.2 Input_General_Information'!$H$20, $G$496 * VLOOKUP(AT$536, Growth!$B$130:$L$170, 11, FALSE) * $G$495 * SUM('2.3 Input_Main_Questionnaire'!$L$27:$L$31), )</f>
        <v>7.4210220929086515E-3</v>
      </c>
      <c r="AU541" s="373">
        <f ca="1">IF(AU$536 &gt;= '2.2 Input_General_Information'!$H$20, $G$496 * VLOOKUP(AU$536, Growth!$B$130:$L$170, 11, FALSE) * $G$495 * SUM('2.3 Input_Main_Questionnaire'!$L$27:$L$31), )</f>
        <v>5.0570444993164737E-3</v>
      </c>
      <c r="AV541" s="373">
        <f ca="1">IF(AV$536 &gt;= '2.2 Input_General_Information'!$H$20, $G$496 * VLOOKUP(AV$536, Growth!$B$130:$L$170, 11, FALSE) * $G$495 * SUM('2.3 Input_Main_Questionnaire'!$L$27:$L$31), )</f>
        <v>3.3604581950943055E-3</v>
      </c>
      <c r="AW541" s="373">
        <f ca="1">IF(AW$536 &gt;= '2.2 Input_General_Information'!$H$20, $G$496 * VLOOKUP(AW$536, Growth!$B$130:$L$170, 11, FALSE) * $G$495 * SUM('2.3 Input_Main_Questionnaire'!$L$27:$L$31), )</f>
        <v>2.1939220445262799E-3</v>
      </c>
      <c r="AX541" s="373">
        <f ca="1">IF(AX$536 &gt;= '2.2 Input_General_Information'!$H$20, $G$496 * VLOOKUP(AX$536, Growth!$B$130:$L$170, 11, FALSE) * $G$495 * SUM('2.3 Input_Main_Questionnaire'!$L$27:$L$31), )</f>
        <v>1.4152776265577982E-3</v>
      </c>
      <c r="AY541" s="373">
        <f ca="1">IF(AY$536 &gt;= '2.2 Input_General_Information'!$H$20, $G$496 * VLOOKUP(AY$536, Growth!$B$130:$L$170, 11, FALSE) * $G$495 * SUM('2.3 Input_Main_Questionnaire'!$L$27:$L$31), )</f>
        <v>9.0578272338382793E-4</v>
      </c>
      <c r="AZ541" s="373">
        <f ca="1">IF(AZ$536 &gt;= '2.2 Input_General_Information'!$H$20, $G$496 * VLOOKUP(AZ$536, Growth!$B$130:$L$170, 11, FALSE) * $G$495 * SUM('2.3 Input_Main_Questionnaire'!$L$27:$L$31), )</f>
        <v>5.7672851201818077E-4</v>
      </c>
      <c r="BA541" s="373">
        <f ca="1">IF(BA$536 &gt;= '2.2 Input_General_Information'!$H$20, $G$496 * VLOOKUP(BA$536, Growth!$B$130:$L$170, 11, FALSE) * $G$495 * SUM('2.3 Input_Main_Questionnaire'!$L$27:$L$31), )</f>
        <v>3.6600029749719409E-4</v>
      </c>
      <c r="BB541" s="373">
        <f ca="1">IF(BB$536 &gt;= '2.2 Input_General_Information'!$H$20, $G$496 * VLOOKUP(BB$536, Growth!$B$130:$L$170, 11, FALSE) * $G$495 * SUM('2.3 Input_Main_Questionnaire'!$L$27:$L$31), )</f>
        <v>2.3177865837330428E-4</v>
      </c>
      <c r="BC541" s="373">
        <f ca="1">IF(BC$536 &gt;= '2.2 Input_General_Information'!$H$20, $G$496 * VLOOKUP(BC$536, Growth!$B$130:$L$170, 11, FALSE) * $G$495 * SUM('2.3 Input_Main_Questionnaire'!$L$27:$L$31), )</f>
        <v>1.4658237092637731E-4</v>
      </c>
      <c r="BD541" s="373">
        <f ca="1">IF(BD$536 &gt;= '2.2 Input_General_Information'!$H$20, $G$496 * VLOOKUP(BD$536, Growth!$B$130:$L$170, 11, FALSE) * $G$495 * SUM('2.3 Input_Main_Questionnaire'!$L$27:$L$31), )</f>
        <v>9.2623234002380268E-5</v>
      </c>
      <c r="BE541" s="373">
        <f ca="1">IF(BE$536 &gt;= '2.2 Input_General_Information'!$H$20, $G$496 * VLOOKUP(BE$536, Growth!$B$130:$L$170, 11, FALSE) * $G$495 * SUM('2.3 Input_Main_Questionnaire'!$L$27:$L$31), )</f>
        <v>5.8495694277098582E-5</v>
      </c>
      <c r="BF541" s="373">
        <f ca="1">IF(BF$536 &gt;= '2.2 Input_General_Information'!$H$20, $G$496 * VLOOKUP(BF$536, Growth!$B$130:$L$170, 11, FALSE) * $G$495 * SUM('2.3 Input_Main_Questionnaire'!$L$27:$L$31), )</f>
        <v>3.6930039747831837E-5</v>
      </c>
      <c r="BG541" s="373">
        <f ca="1">IF(BG$536 &gt;= '2.2 Input_General_Information'!$H$20, $G$496 * VLOOKUP(BG$536, Growth!$B$130:$L$170, 11, FALSE) * $G$495 * SUM('2.3 Input_Main_Questionnaire'!$L$27:$L$31), )</f>
        <v>2.330999068090374E-5</v>
      </c>
      <c r="BH541" s="373">
        <f ca="1">IF(BH$536 &gt;= '2.2 Input_General_Information'!$H$20, $G$496 * VLOOKUP(BH$536, Growth!$B$130:$L$170, 11, FALSE) * $G$495 * SUM('2.3 Input_Main_Questionnaire'!$L$27:$L$31), )</f>
        <v>1.4711106930075067E-5</v>
      </c>
      <c r="BI541" s="373">
        <f ca="1">IF(BI$536 &gt;= '2.2 Input_General_Information'!$H$20, $G$496 * VLOOKUP(BI$536, Growth!$B$130:$L$170, 11, FALSE) * $G$495 * SUM('2.3 Input_Main_Questionnaire'!$L$27:$L$31), )</f>
        <v>9.2834908540395694E-6</v>
      </c>
      <c r="BJ541" s="373">
        <f ca="1">IF(BJ$536 &gt;= '2.2 Input_General_Information'!$H$20, $G$496 * VLOOKUP(BJ$536, Growth!$B$130:$L$170, 11, FALSE) * $G$495 * SUM('2.3 Input_Main_Questionnaire'!$L$27:$L$31), )</f>
        <v>5.8580589716864925E-6</v>
      </c>
      <c r="BK541" s="373">
        <f ca="1">IF(BK$536 &gt;= '2.2 Input_General_Information'!$H$20, $G$496 * VLOOKUP(BK$536, Growth!$B$130:$L$170, 11, FALSE) * $G$495 * SUM('2.3 Input_Main_Questionnaire'!$L$27:$L$31), )</f>
        <v>3.6964199999954896E-6</v>
      </c>
      <c r="BL541" s="381"/>
      <c r="BM541" s="381"/>
      <c r="BN541" s="381"/>
      <c r="BO541" s="381"/>
      <c r="BP541" s="381"/>
      <c r="BQ541" s="381"/>
      <c r="BR541" s="381"/>
      <c r="BS541" s="381"/>
      <c r="BT541" s="381"/>
      <c r="BU541" s="381"/>
    </row>
    <row r="542" spans="1:73">
      <c r="A542" s="6"/>
      <c r="B542" s="97"/>
      <c r="C542" s="37"/>
      <c r="D542" s="37"/>
      <c r="E542" s="10"/>
      <c r="F542" s="10"/>
      <c r="G542" s="244"/>
      <c r="H542" s="244"/>
      <c r="I542" s="244"/>
      <c r="J542" s="244"/>
      <c r="K542" s="244"/>
      <c r="L542" s="244"/>
      <c r="M542" s="244"/>
      <c r="N542" s="244"/>
      <c r="O542" s="10"/>
      <c r="P542" s="10"/>
      <c r="Q542" s="10"/>
      <c r="R542" s="193"/>
      <c r="S542" s="10"/>
      <c r="T542" s="101"/>
      <c r="U542" s="101"/>
      <c r="V542" s="103" t="str">
        <f>$L$10</f>
        <v>Profile 6</v>
      </c>
      <c r="W542" s="373">
        <f ca="1">IF(W$536 &gt;= '2.2 Input_General_Information'!$H$20, $G$496 * VLOOKUP(W$536, Growth!$B$130:$L$170, 11, FALSE) * $G$495 * SUM('2.3 Input_Main_Questionnaire'!$M$27:$M$31), )</f>
        <v>3.6960503580000005E-2</v>
      </c>
      <c r="X542" s="373">
        <f ca="1">IF(X$536 &gt;= '2.2 Input_General_Information'!$H$20, $G$496 * VLOOKUP(X$536, Growth!$B$130:$L$170, 11, FALSE) * $G$495 * SUM('2.3 Input_Main_Questionnaire'!$M$27:$M$31), )</f>
        <v>3.695834194102831E-2</v>
      </c>
      <c r="Y542" s="373">
        <f ca="1">IF(Y$536 &gt;= '2.2 Input_General_Information'!$H$20, $G$496 * VLOOKUP(Y$536, Growth!$B$130:$L$170, 11, FALSE) * $G$495 * SUM('2.3 Input_Main_Questionnaire'!$M$27:$M$31), )</f>
        <v>3.6954916509145952E-2</v>
      </c>
      <c r="Z542" s="373">
        <f ca="1">IF(Z$536 &gt;= '2.2 Input_General_Information'!$H$20, $G$496 * VLOOKUP(Z$536, Growth!$B$130:$L$170, 11, FALSE) * $G$495 * SUM('2.3 Input_Main_Questionnaire'!$M$27:$M$31), )</f>
        <v>3.6949488893069912E-2</v>
      </c>
      <c r="AA542" s="373">
        <f ca="1">IF(AA$536 &gt;= '2.2 Input_General_Information'!$H$20, $G$496 * VLOOKUP(AA$536, Growth!$B$130:$L$170, 11, FALSE) * $G$495 * SUM('2.3 Input_Main_Questionnaire'!$M$27:$M$31), )</f>
        <v>3.6940890009319084E-2</v>
      </c>
      <c r="AB542" s="373">
        <f ca="1">IF(AB$536 &gt;= '2.2 Input_General_Information'!$H$20, $G$496 * VLOOKUP(AB$536, Growth!$B$130:$L$170, 11, FALSE) * $G$495 * SUM('2.3 Input_Main_Questionnaire'!$M$27:$M$31), )</f>
        <v>3.692726996025214E-2</v>
      </c>
      <c r="AC542" s="373">
        <f ca="1">IF(AC$536 &gt;= '2.2 Input_General_Information'!$H$20, $G$496 * VLOOKUP(AC$536, Growth!$B$130:$L$170, 11, FALSE) * $G$495 * SUM('2.3 Input_Main_Questionnaire'!$M$27:$M$31), )</f>
        <v>3.6905704305722847E-2</v>
      </c>
      <c r="AD542" s="373">
        <f ca="1">IF(AD$536 &gt;= '2.2 Input_General_Information'!$H$20, $G$496 * VLOOKUP(AD$536, Growth!$B$130:$L$170, 11, FALSE) * $G$495 * SUM('2.3 Input_Main_Questionnaire'!$M$27:$M$31), )</f>
        <v>3.6871576765997546E-2</v>
      </c>
      <c r="AE542" s="373">
        <f ca="1">IF(AE$536 &gt;= '2.2 Input_General_Information'!$H$20, $G$496 * VLOOKUP(AE$536, Growth!$B$130:$L$170, 11, FALSE) * $G$495 * SUM('2.3 Input_Main_Questionnaire'!$M$27:$M$31), )</f>
        <v>3.6817617629073505E-2</v>
      </c>
      <c r="AF542" s="373">
        <f ca="1">IF(AF$536 &gt;= '2.2 Input_General_Information'!$H$20, $G$496 * VLOOKUP(AF$536, Growth!$B$130:$L$170, 11, FALSE) * $G$495 * SUM('2.3 Input_Main_Questionnaire'!$M$27:$M$31), )</f>
        <v>3.6732421341626506E-2</v>
      </c>
      <c r="AG542" s="373">
        <f ca="1">IF(AG$536 &gt;= '2.2 Input_General_Information'!$H$20, $G$496 * VLOOKUP(AG$536, Growth!$B$130:$L$170, 11, FALSE) * $G$495 * SUM('2.3 Input_Main_Questionnaire'!$M$27:$M$31), )</f>
        <v>3.6598199702502505E-2</v>
      </c>
      <c r="AH542" s="373">
        <f ca="1">IF(AH$536 &gt;= '2.2 Input_General_Information'!$H$20, $G$496 * VLOOKUP(AH$536, Growth!$B$130:$L$170, 11, FALSE) * $G$495 * SUM('2.3 Input_Main_Questionnaire'!$M$27:$M$31), )</f>
        <v>3.6387471487981347E-2</v>
      </c>
      <c r="AI542" s="373">
        <f ca="1">IF(AI$536 &gt;= '2.2 Input_General_Information'!$H$20, $G$496 * VLOOKUP(AI$536, Growth!$B$130:$L$170, 11, FALSE) * $G$495 * SUM('2.3 Input_Main_Questionnaire'!$M$27:$M$31), )</f>
        <v>3.6058417276615434E-2</v>
      </c>
      <c r="AJ542" s="373">
        <f ca="1">IF(AJ$536 &gt;= '2.2 Input_General_Information'!$H$20, $G$496 * VLOOKUP(AJ$536, Growth!$B$130:$L$170, 11, FALSE) * $G$495 * SUM('2.3 Input_Main_Questionnaire'!$M$27:$M$31), )</f>
        <v>3.5548922373441066E-2</v>
      </c>
      <c r="AK542" s="373">
        <f ca="1">IF(AK$536 &gt;= '2.2 Input_General_Information'!$H$20, $G$496 * VLOOKUP(AK$536, Growth!$B$130:$L$170, 11, FALSE) * $G$495 * SUM('2.3 Input_Main_Questionnaire'!$M$27:$M$31), )</f>
        <v>3.4770277955471995E-2</v>
      </c>
      <c r="AL542" s="373">
        <f ca="1">IF(AL$536 &gt;= '2.2 Input_General_Information'!$H$20, $G$496 * VLOOKUP(AL$536, Growth!$B$130:$L$170, 11, FALSE) * $G$495 * SUM('2.3 Input_Main_Questionnaire'!$M$27:$M$31), )</f>
        <v>3.3603741804903144E-2</v>
      </c>
      <c r="AM542" s="373">
        <f ca="1">IF(AM$536 &gt;= '2.2 Input_General_Information'!$H$20, $G$496 * VLOOKUP(AM$536, Growth!$B$130:$L$170, 11, FALSE) * $G$495 * SUM('2.3 Input_Main_Questionnaire'!$M$27:$M$31), )</f>
        <v>3.1907155500679872E-2</v>
      </c>
      <c r="AN542" s="373">
        <f ca="1">IF(AN$536 &gt;= '2.2 Input_General_Information'!$H$20, $G$496 * VLOOKUP(AN$536, Growth!$B$130:$L$170, 11, FALSE) * $G$495 * SUM('2.3 Input_Main_Questionnaire'!$M$27:$M$31), )</f>
        <v>2.9543177907086382E-2</v>
      </c>
      <c r="AO542" s="373">
        <f ca="1">IF(AO$536 &gt;= '2.2 Input_General_Information'!$H$20, $G$496 * VLOOKUP(AO$536, Growth!$B$130:$L$170, 11, FALSE) * $G$495 * SUM('2.3 Input_Main_Questionnaire'!$M$27:$M$31), )</f>
        <v>2.64386704528023E-2</v>
      </c>
      <c r="AP542" s="373">
        <f ca="1">IF(AP$536 &gt;= '2.2 Input_General_Information'!$H$20, $G$496 * VLOOKUP(AP$536, Growth!$B$130:$L$170, 11, FALSE) * $G$495 * SUM('2.3 Input_Main_Questionnaire'!$M$27:$M$31), )</f>
        <v>2.2664068205732118E-2</v>
      </c>
      <c r="AQ542" s="373">
        <f ca="1">IF(AQ$536 &gt;= '2.2 Input_General_Information'!$H$20, $G$496 * VLOOKUP(AQ$536, Growth!$B$130:$L$170, 11, FALSE) * $G$495 * SUM('2.3 Input_Main_Questionnaire'!$M$27:$M$31), )</f>
        <v>1.8482099999996133E-2</v>
      </c>
      <c r="AR542" s="373">
        <f ca="1">IF(AR$536 &gt;= '2.2 Input_General_Information'!$H$20, $G$496 * VLOOKUP(AR$536, Growth!$B$130:$L$170, 11, FALSE) * $G$495 * SUM('2.3 Input_Main_Questionnaire'!$M$27:$M$31), )</f>
        <v>1.4300131794260538E-2</v>
      </c>
      <c r="AS542" s="373">
        <f ca="1">IF(AS$536 &gt;= '2.2 Input_General_Information'!$H$20, $G$496 * VLOOKUP(AS$536, Growth!$B$130:$L$170, 11, FALSE) * $G$495 * SUM('2.3 Input_Main_Questionnaire'!$M$27:$M$31), )</f>
        <v>1.0525529547191395E-2</v>
      </c>
      <c r="AT542" s="373">
        <f ca="1">IF(AT$536 &gt;= '2.2 Input_General_Information'!$H$20, $G$496 * VLOOKUP(AT$536, Growth!$B$130:$L$170, 11, FALSE) * $G$495 * SUM('2.3 Input_Main_Questionnaire'!$M$27:$M$31), )</f>
        <v>7.4210220929086515E-3</v>
      </c>
      <c r="AU542" s="373">
        <f ca="1">IF(AU$536 &gt;= '2.2 Input_General_Information'!$H$20, $G$496 * VLOOKUP(AU$536, Growth!$B$130:$L$170, 11, FALSE) * $G$495 * SUM('2.3 Input_Main_Questionnaire'!$M$27:$M$31), )</f>
        <v>5.0570444993164737E-3</v>
      </c>
      <c r="AV542" s="373">
        <f ca="1">IF(AV$536 &gt;= '2.2 Input_General_Information'!$H$20, $G$496 * VLOOKUP(AV$536, Growth!$B$130:$L$170, 11, FALSE) * $G$495 * SUM('2.3 Input_Main_Questionnaire'!$M$27:$M$31), )</f>
        <v>3.3604581950943055E-3</v>
      </c>
      <c r="AW542" s="373">
        <f ca="1">IF(AW$536 &gt;= '2.2 Input_General_Information'!$H$20, $G$496 * VLOOKUP(AW$536, Growth!$B$130:$L$170, 11, FALSE) * $G$495 * SUM('2.3 Input_Main_Questionnaire'!$M$27:$M$31), )</f>
        <v>2.1939220445262799E-3</v>
      </c>
      <c r="AX542" s="373">
        <f ca="1">IF(AX$536 &gt;= '2.2 Input_General_Information'!$H$20, $G$496 * VLOOKUP(AX$536, Growth!$B$130:$L$170, 11, FALSE) * $G$495 * SUM('2.3 Input_Main_Questionnaire'!$M$27:$M$31), )</f>
        <v>1.4152776265577982E-3</v>
      </c>
      <c r="AY542" s="373">
        <f ca="1">IF(AY$536 &gt;= '2.2 Input_General_Information'!$H$20, $G$496 * VLOOKUP(AY$536, Growth!$B$130:$L$170, 11, FALSE) * $G$495 * SUM('2.3 Input_Main_Questionnaire'!$M$27:$M$31), )</f>
        <v>9.0578272338382793E-4</v>
      </c>
      <c r="AZ542" s="373">
        <f ca="1">IF(AZ$536 &gt;= '2.2 Input_General_Information'!$H$20, $G$496 * VLOOKUP(AZ$536, Growth!$B$130:$L$170, 11, FALSE) * $G$495 * SUM('2.3 Input_Main_Questionnaire'!$M$27:$M$31), )</f>
        <v>5.7672851201818077E-4</v>
      </c>
      <c r="BA542" s="373">
        <f ca="1">IF(BA$536 &gt;= '2.2 Input_General_Information'!$H$20, $G$496 * VLOOKUP(BA$536, Growth!$B$130:$L$170, 11, FALSE) * $G$495 * SUM('2.3 Input_Main_Questionnaire'!$M$27:$M$31), )</f>
        <v>3.6600029749719409E-4</v>
      </c>
      <c r="BB542" s="373">
        <f ca="1">IF(BB$536 &gt;= '2.2 Input_General_Information'!$H$20, $G$496 * VLOOKUP(BB$536, Growth!$B$130:$L$170, 11, FALSE) * $G$495 * SUM('2.3 Input_Main_Questionnaire'!$M$27:$M$31), )</f>
        <v>2.3177865837330428E-4</v>
      </c>
      <c r="BC542" s="373">
        <f ca="1">IF(BC$536 &gt;= '2.2 Input_General_Information'!$H$20, $G$496 * VLOOKUP(BC$536, Growth!$B$130:$L$170, 11, FALSE) * $G$495 * SUM('2.3 Input_Main_Questionnaire'!$M$27:$M$31), )</f>
        <v>1.4658237092637731E-4</v>
      </c>
      <c r="BD542" s="373">
        <f ca="1">IF(BD$536 &gt;= '2.2 Input_General_Information'!$H$20, $G$496 * VLOOKUP(BD$536, Growth!$B$130:$L$170, 11, FALSE) * $G$495 * SUM('2.3 Input_Main_Questionnaire'!$M$27:$M$31), )</f>
        <v>9.2623234002380268E-5</v>
      </c>
      <c r="BE542" s="373">
        <f ca="1">IF(BE$536 &gt;= '2.2 Input_General_Information'!$H$20, $G$496 * VLOOKUP(BE$536, Growth!$B$130:$L$170, 11, FALSE) * $G$495 * SUM('2.3 Input_Main_Questionnaire'!$M$27:$M$31), )</f>
        <v>5.8495694277098582E-5</v>
      </c>
      <c r="BF542" s="373">
        <f ca="1">IF(BF$536 &gt;= '2.2 Input_General_Information'!$H$20, $G$496 * VLOOKUP(BF$536, Growth!$B$130:$L$170, 11, FALSE) * $G$495 * SUM('2.3 Input_Main_Questionnaire'!$M$27:$M$31), )</f>
        <v>3.6930039747831837E-5</v>
      </c>
      <c r="BG542" s="373">
        <f ca="1">IF(BG$536 &gt;= '2.2 Input_General_Information'!$H$20, $G$496 * VLOOKUP(BG$536, Growth!$B$130:$L$170, 11, FALSE) * $G$495 * SUM('2.3 Input_Main_Questionnaire'!$M$27:$M$31), )</f>
        <v>2.330999068090374E-5</v>
      </c>
      <c r="BH542" s="373">
        <f ca="1">IF(BH$536 &gt;= '2.2 Input_General_Information'!$H$20, $G$496 * VLOOKUP(BH$536, Growth!$B$130:$L$170, 11, FALSE) * $G$495 * SUM('2.3 Input_Main_Questionnaire'!$M$27:$M$31), )</f>
        <v>1.4711106930075067E-5</v>
      </c>
      <c r="BI542" s="373">
        <f ca="1">IF(BI$536 &gt;= '2.2 Input_General_Information'!$H$20, $G$496 * VLOOKUP(BI$536, Growth!$B$130:$L$170, 11, FALSE) * $G$495 * SUM('2.3 Input_Main_Questionnaire'!$M$27:$M$31), )</f>
        <v>9.2834908540395694E-6</v>
      </c>
      <c r="BJ542" s="373">
        <f ca="1">IF(BJ$536 &gt;= '2.2 Input_General_Information'!$H$20, $G$496 * VLOOKUP(BJ$536, Growth!$B$130:$L$170, 11, FALSE) * $G$495 * SUM('2.3 Input_Main_Questionnaire'!$M$27:$M$31), )</f>
        <v>5.8580589716864925E-6</v>
      </c>
      <c r="BK542" s="373">
        <f ca="1">IF(BK$536 &gt;= '2.2 Input_General_Information'!$H$20, $G$496 * VLOOKUP(BK$536, Growth!$B$130:$L$170, 11, FALSE) * $G$495 * SUM('2.3 Input_Main_Questionnaire'!$M$27:$M$31), )</f>
        <v>3.6964199999954896E-6</v>
      </c>
      <c r="BL542" s="381"/>
      <c r="BM542" s="381"/>
      <c r="BN542" s="381"/>
      <c r="BO542" s="381"/>
      <c r="BP542" s="381"/>
      <c r="BQ542" s="381"/>
      <c r="BR542" s="381"/>
      <c r="BS542" s="381"/>
      <c r="BT542" s="381"/>
      <c r="BU542" s="381"/>
    </row>
    <row r="543" spans="1:73">
      <c r="A543" s="6"/>
      <c r="B543" s="97"/>
      <c r="C543" s="37"/>
      <c r="D543" s="37"/>
      <c r="E543" s="10"/>
      <c r="F543" s="10"/>
      <c r="G543" s="244"/>
      <c r="H543" s="244"/>
      <c r="I543" s="244"/>
      <c r="J543" s="244"/>
      <c r="K543" s="244"/>
      <c r="L543" s="244"/>
      <c r="M543" s="244"/>
      <c r="N543" s="244"/>
      <c r="O543" s="10"/>
      <c r="P543" s="10"/>
      <c r="Q543" s="10"/>
      <c r="R543" s="193"/>
      <c r="S543" s="10"/>
      <c r="T543" s="101"/>
      <c r="U543" s="101"/>
      <c r="V543" s="103" t="str">
        <f>$M$10</f>
        <v>Profile 7</v>
      </c>
      <c r="W543" s="373">
        <f ca="1">IF(W$536 &gt;= '2.2 Input_General_Information'!$H$20, $G$496 * VLOOKUP(W$536, Growth!$B$130:$L$170, 11, FALSE) * $G$495 * SUM('2.3 Input_Main_Questionnaire'!$N$27:$N$31), )</f>
        <v>3.6960503580000005E-2</v>
      </c>
      <c r="X543" s="373">
        <f ca="1">IF(X$536 &gt;= '2.2 Input_General_Information'!$H$20, $G$496 * VLOOKUP(X$536, Growth!$B$130:$L$170, 11, FALSE) * $G$495 * SUM('2.3 Input_Main_Questionnaire'!$N$27:$N$31), )</f>
        <v>3.695834194102831E-2</v>
      </c>
      <c r="Y543" s="373">
        <f ca="1">IF(Y$536 &gt;= '2.2 Input_General_Information'!$H$20, $G$496 * VLOOKUP(Y$536, Growth!$B$130:$L$170, 11, FALSE) * $G$495 * SUM('2.3 Input_Main_Questionnaire'!$N$27:$N$31), )</f>
        <v>3.6954916509145952E-2</v>
      </c>
      <c r="Z543" s="373">
        <f ca="1">IF(Z$536 &gt;= '2.2 Input_General_Information'!$H$20, $G$496 * VLOOKUP(Z$536, Growth!$B$130:$L$170, 11, FALSE) * $G$495 * SUM('2.3 Input_Main_Questionnaire'!$N$27:$N$31), )</f>
        <v>3.6949488893069912E-2</v>
      </c>
      <c r="AA543" s="373">
        <f ca="1">IF(AA$536 &gt;= '2.2 Input_General_Information'!$H$20, $G$496 * VLOOKUP(AA$536, Growth!$B$130:$L$170, 11, FALSE) * $G$495 * SUM('2.3 Input_Main_Questionnaire'!$N$27:$N$31), )</f>
        <v>3.6940890009319084E-2</v>
      </c>
      <c r="AB543" s="373">
        <f ca="1">IF(AB$536 &gt;= '2.2 Input_General_Information'!$H$20, $G$496 * VLOOKUP(AB$536, Growth!$B$130:$L$170, 11, FALSE) * $G$495 * SUM('2.3 Input_Main_Questionnaire'!$N$27:$N$31), )</f>
        <v>3.692726996025214E-2</v>
      </c>
      <c r="AC543" s="373">
        <f ca="1">IF(AC$536 &gt;= '2.2 Input_General_Information'!$H$20, $G$496 * VLOOKUP(AC$536, Growth!$B$130:$L$170, 11, FALSE) * $G$495 * SUM('2.3 Input_Main_Questionnaire'!$N$27:$N$31), )</f>
        <v>3.6905704305722847E-2</v>
      </c>
      <c r="AD543" s="373">
        <f ca="1">IF(AD$536 &gt;= '2.2 Input_General_Information'!$H$20, $G$496 * VLOOKUP(AD$536, Growth!$B$130:$L$170, 11, FALSE) * $G$495 * SUM('2.3 Input_Main_Questionnaire'!$N$27:$N$31), )</f>
        <v>3.6871576765997546E-2</v>
      </c>
      <c r="AE543" s="373">
        <f ca="1">IF(AE$536 &gt;= '2.2 Input_General_Information'!$H$20, $G$496 * VLOOKUP(AE$536, Growth!$B$130:$L$170, 11, FALSE) * $G$495 * SUM('2.3 Input_Main_Questionnaire'!$N$27:$N$31), )</f>
        <v>3.6817617629073505E-2</v>
      </c>
      <c r="AF543" s="373">
        <f ca="1">IF(AF$536 &gt;= '2.2 Input_General_Information'!$H$20, $G$496 * VLOOKUP(AF$536, Growth!$B$130:$L$170, 11, FALSE) * $G$495 * SUM('2.3 Input_Main_Questionnaire'!$N$27:$N$31), )</f>
        <v>3.6732421341626506E-2</v>
      </c>
      <c r="AG543" s="373">
        <f ca="1">IF(AG$536 &gt;= '2.2 Input_General_Information'!$H$20, $G$496 * VLOOKUP(AG$536, Growth!$B$130:$L$170, 11, FALSE) * $G$495 * SUM('2.3 Input_Main_Questionnaire'!$N$27:$N$31), )</f>
        <v>3.6598199702502505E-2</v>
      </c>
      <c r="AH543" s="373">
        <f ca="1">IF(AH$536 &gt;= '2.2 Input_General_Information'!$H$20, $G$496 * VLOOKUP(AH$536, Growth!$B$130:$L$170, 11, FALSE) * $G$495 * SUM('2.3 Input_Main_Questionnaire'!$N$27:$N$31), )</f>
        <v>3.6387471487981347E-2</v>
      </c>
      <c r="AI543" s="373">
        <f ca="1">IF(AI$536 &gt;= '2.2 Input_General_Information'!$H$20, $G$496 * VLOOKUP(AI$536, Growth!$B$130:$L$170, 11, FALSE) * $G$495 * SUM('2.3 Input_Main_Questionnaire'!$N$27:$N$31), )</f>
        <v>3.6058417276615434E-2</v>
      </c>
      <c r="AJ543" s="373">
        <f ca="1">IF(AJ$536 &gt;= '2.2 Input_General_Information'!$H$20, $G$496 * VLOOKUP(AJ$536, Growth!$B$130:$L$170, 11, FALSE) * $G$495 * SUM('2.3 Input_Main_Questionnaire'!$N$27:$N$31), )</f>
        <v>3.5548922373441066E-2</v>
      </c>
      <c r="AK543" s="373">
        <f ca="1">IF(AK$536 &gt;= '2.2 Input_General_Information'!$H$20, $G$496 * VLOOKUP(AK$536, Growth!$B$130:$L$170, 11, FALSE) * $G$495 * SUM('2.3 Input_Main_Questionnaire'!$N$27:$N$31), )</f>
        <v>3.4770277955471995E-2</v>
      </c>
      <c r="AL543" s="373">
        <f ca="1">IF(AL$536 &gt;= '2.2 Input_General_Information'!$H$20, $G$496 * VLOOKUP(AL$536, Growth!$B$130:$L$170, 11, FALSE) * $G$495 * SUM('2.3 Input_Main_Questionnaire'!$N$27:$N$31), )</f>
        <v>3.3603741804903144E-2</v>
      </c>
      <c r="AM543" s="373">
        <f ca="1">IF(AM$536 &gt;= '2.2 Input_General_Information'!$H$20, $G$496 * VLOOKUP(AM$536, Growth!$B$130:$L$170, 11, FALSE) * $G$495 * SUM('2.3 Input_Main_Questionnaire'!$N$27:$N$31), )</f>
        <v>3.1907155500679872E-2</v>
      </c>
      <c r="AN543" s="373">
        <f ca="1">IF(AN$536 &gt;= '2.2 Input_General_Information'!$H$20, $G$496 * VLOOKUP(AN$536, Growth!$B$130:$L$170, 11, FALSE) * $G$495 * SUM('2.3 Input_Main_Questionnaire'!$N$27:$N$31), )</f>
        <v>2.9543177907086382E-2</v>
      </c>
      <c r="AO543" s="373">
        <f ca="1">IF(AO$536 &gt;= '2.2 Input_General_Information'!$H$20, $G$496 * VLOOKUP(AO$536, Growth!$B$130:$L$170, 11, FALSE) * $G$495 * SUM('2.3 Input_Main_Questionnaire'!$N$27:$N$31), )</f>
        <v>2.64386704528023E-2</v>
      </c>
      <c r="AP543" s="373">
        <f ca="1">IF(AP$536 &gt;= '2.2 Input_General_Information'!$H$20, $G$496 * VLOOKUP(AP$536, Growth!$B$130:$L$170, 11, FALSE) * $G$495 * SUM('2.3 Input_Main_Questionnaire'!$N$27:$N$31), )</f>
        <v>2.2664068205732118E-2</v>
      </c>
      <c r="AQ543" s="373">
        <f ca="1">IF(AQ$536 &gt;= '2.2 Input_General_Information'!$H$20, $G$496 * VLOOKUP(AQ$536, Growth!$B$130:$L$170, 11, FALSE) * $G$495 * SUM('2.3 Input_Main_Questionnaire'!$N$27:$N$31), )</f>
        <v>1.8482099999996133E-2</v>
      </c>
      <c r="AR543" s="373">
        <f ca="1">IF(AR$536 &gt;= '2.2 Input_General_Information'!$H$20, $G$496 * VLOOKUP(AR$536, Growth!$B$130:$L$170, 11, FALSE) * $G$495 * SUM('2.3 Input_Main_Questionnaire'!$N$27:$N$31), )</f>
        <v>1.4300131794260538E-2</v>
      </c>
      <c r="AS543" s="373">
        <f ca="1">IF(AS$536 &gt;= '2.2 Input_General_Information'!$H$20, $G$496 * VLOOKUP(AS$536, Growth!$B$130:$L$170, 11, FALSE) * $G$495 * SUM('2.3 Input_Main_Questionnaire'!$N$27:$N$31), )</f>
        <v>1.0525529547191395E-2</v>
      </c>
      <c r="AT543" s="373">
        <f ca="1">IF(AT$536 &gt;= '2.2 Input_General_Information'!$H$20, $G$496 * VLOOKUP(AT$536, Growth!$B$130:$L$170, 11, FALSE) * $G$495 * SUM('2.3 Input_Main_Questionnaire'!$N$27:$N$31), )</f>
        <v>7.4210220929086515E-3</v>
      </c>
      <c r="AU543" s="373">
        <f ca="1">IF(AU$536 &gt;= '2.2 Input_General_Information'!$H$20, $G$496 * VLOOKUP(AU$536, Growth!$B$130:$L$170, 11, FALSE) * $G$495 * SUM('2.3 Input_Main_Questionnaire'!$N$27:$N$31), )</f>
        <v>5.0570444993164737E-3</v>
      </c>
      <c r="AV543" s="373">
        <f ca="1">IF(AV$536 &gt;= '2.2 Input_General_Information'!$H$20, $G$496 * VLOOKUP(AV$536, Growth!$B$130:$L$170, 11, FALSE) * $G$495 * SUM('2.3 Input_Main_Questionnaire'!$N$27:$N$31), )</f>
        <v>3.3604581950943055E-3</v>
      </c>
      <c r="AW543" s="373">
        <f ca="1">IF(AW$536 &gt;= '2.2 Input_General_Information'!$H$20, $G$496 * VLOOKUP(AW$536, Growth!$B$130:$L$170, 11, FALSE) * $G$495 * SUM('2.3 Input_Main_Questionnaire'!$N$27:$N$31), )</f>
        <v>2.1939220445262799E-3</v>
      </c>
      <c r="AX543" s="373">
        <f ca="1">IF(AX$536 &gt;= '2.2 Input_General_Information'!$H$20, $G$496 * VLOOKUP(AX$536, Growth!$B$130:$L$170, 11, FALSE) * $G$495 * SUM('2.3 Input_Main_Questionnaire'!$N$27:$N$31), )</f>
        <v>1.4152776265577982E-3</v>
      </c>
      <c r="AY543" s="373">
        <f ca="1">IF(AY$536 &gt;= '2.2 Input_General_Information'!$H$20, $G$496 * VLOOKUP(AY$536, Growth!$B$130:$L$170, 11, FALSE) * $G$495 * SUM('2.3 Input_Main_Questionnaire'!$N$27:$N$31), )</f>
        <v>9.0578272338382793E-4</v>
      </c>
      <c r="AZ543" s="373">
        <f ca="1">IF(AZ$536 &gt;= '2.2 Input_General_Information'!$H$20, $G$496 * VLOOKUP(AZ$536, Growth!$B$130:$L$170, 11, FALSE) * $G$495 * SUM('2.3 Input_Main_Questionnaire'!$N$27:$N$31), )</f>
        <v>5.7672851201818077E-4</v>
      </c>
      <c r="BA543" s="373">
        <f ca="1">IF(BA$536 &gt;= '2.2 Input_General_Information'!$H$20, $G$496 * VLOOKUP(BA$536, Growth!$B$130:$L$170, 11, FALSE) * $G$495 * SUM('2.3 Input_Main_Questionnaire'!$N$27:$N$31), )</f>
        <v>3.6600029749719409E-4</v>
      </c>
      <c r="BB543" s="373">
        <f ca="1">IF(BB$536 &gt;= '2.2 Input_General_Information'!$H$20, $G$496 * VLOOKUP(BB$536, Growth!$B$130:$L$170, 11, FALSE) * $G$495 * SUM('2.3 Input_Main_Questionnaire'!$N$27:$N$31), )</f>
        <v>2.3177865837330428E-4</v>
      </c>
      <c r="BC543" s="373">
        <f ca="1">IF(BC$536 &gt;= '2.2 Input_General_Information'!$H$20, $G$496 * VLOOKUP(BC$536, Growth!$B$130:$L$170, 11, FALSE) * $G$495 * SUM('2.3 Input_Main_Questionnaire'!$N$27:$N$31), )</f>
        <v>1.4658237092637731E-4</v>
      </c>
      <c r="BD543" s="373">
        <f ca="1">IF(BD$536 &gt;= '2.2 Input_General_Information'!$H$20, $G$496 * VLOOKUP(BD$536, Growth!$B$130:$L$170, 11, FALSE) * $G$495 * SUM('2.3 Input_Main_Questionnaire'!$N$27:$N$31), )</f>
        <v>9.2623234002380268E-5</v>
      </c>
      <c r="BE543" s="373">
        <f ca="1">IF(BE$536 &gt;= '2.2 Input_General_Information'!$H$20, $G$496 * VLOOKUP(BE$536, Growth!$B$130:$L$170, 11, FALSE) * $G$495 * SUM('2.3 Input_Main_Questionnaire'!$N$27:$N$31), )</f>
        <v>5.8495694277098582E-5</v>
      </c>
      <c r="BF543" s="373">
        <f ca="1">IF(BF$536 &gt;= '2.2 Input_General_Information'!$H$20, $G$496 * VLOOKUP(BF$536, Growth!$B$130:$L$170, 11, FALSE) * $G$495 * SUM('2.3 Input_Main_Questionnaire'!$N$27:$N$31), )</f>
        <v>3.6930039747831837E-5</v>
      </c>
      <c r="BG543" s="373">
        <f ca="1">IF(BG$536 &gt;= '2.2 Input_General_Information'!$H$20, $G$496 * VLOOKUP(BG$536, Growth!$B$130:$L$170, 11, FALSE) * $G$495 * SUM('2.3 Input_Main_Questionnaire'!$N$27:$N$31), )</f>
        <v>2.330999068090374E-5</v>
      </c>
      <c r="BH543" s="373">
        <f ca="1">IF(BH$536 &gt;= '2.2 Input_General_Information'!$H$20, $G$496 * VLOOKUP(BH$536, Growth!$B$130:$L$170, 11, FALSE) * $G$495 * SUM('2.3 Input_Main_Questionnaire'!$N$27:$N$31), )</f>
        <v>1.4711106930075067E-5</v>
      </c>
      <c r="BI543" s="373">
        <f ca="1">IF(BI$536 &gt;= '2.2 Input_General_Information'!$H$20, $G$496 * VLOOKUP(BI$536, Growth!$B$130:$L$170, 11, FALSE) * $G$495 * SUM('2.3 Input_Main_Questionnaire'!$N$27:$N$31), )</f>
        <v>9.2834908540395694E-6</v>
      </c>
      <c r="BJ543" s="373">
        <f ca="1">IF(BJ$536 &gt;= '2.2 Input_General_Information'!$H$20, $G$496 * VLOOKUP(BJ$536, Growth!$B$130:$L$170, 11, FALSE) * $G$495 * SUM('2.3 Input_Main_Questionnaire'!$N$27:$N$31), )</f>
        <v>5.8580589716864925E-6</v>
      </c>
      <c r="BK543" s="373">
        <f ca="1">IF(BK$536 &gt;= '2.2 Input_General_Information'!$H$20, $G$496 * VLOOKUP(BK$536, Growth!$B$130:$L$170, 11, FALSE) * $G$495 * SUM('2.3 Input_Main_Questionnaire'!$N$27:$N$31), )</f>
        <v>3.6964199999954896E-6</v>
      </c>
      <c r="BL543" s="381"/>
      <c r="BM543" s="381"/>
      <c r="BN543" s="381"/>
      <c r="BO543" s="381"/>
      <c r="BP543" s="381"/>
      <c r="BQ543" s="381"/>
      <c r="BR543" s="381"/>
      <c r="BS543" s="381"/>
      <c r="BT543" s="381"/>
      <c r="BU543" s="381"/>
    </row>
    <row r="544" spans="1:73">
      <c r="A544" s="6"/>
      <c r="B544" s="97"/>
      <c r="C544" s="37"/>
      <c r="D544" s="37"/>
      <c r="E544" s="10"/>
      <c r="F544" s="10"/>
      <c r="G544" s="244"/>
      <c r="H544" s="244"/>
      <c r="I544" s="244"/>
      <c r="J544" s="244"/>
      <c r="K544" s="244"/>
      <c r="L544" s="244"/>
      <c r="M544" s="244"/>
      <c r="N544" s="244"/>
      <c r="O544" s="10"/>
      <c r="P544" s="10"/>
      <c r="Q544" s="10"/>
      <c r="R544" s="193"/>
      <c r="S544" s="10"/>
      <c r="T544" s="101"/>
      <c r="U544" s="101"/>
      <c r="V544" s="103" t="str">
        <f>$N$10</f>
        <v>Profile 8</v>
      </c>
      <c r="W544" s="373">
        <f ca="1">IF(W$536 &gt;= '2.2 Input_General_Information'!$H$20, $G$496 * VLOOKUP(W$536, Growth!$B$130:$L$170, 11, FALSE) * $G$495 * SUM('2.3 Input_Main_Questionnaire'!$O$27:$O$31), )</f>
        <v>3.6960503580000005E-2</v>
      </c>
      <c r="X544" s="373">
        <f ca="1">IF(X$536 &gt;= '2.2 Input_General_Information'!$H$20, $G$496 * VLOOKUP(X$536, Growth!$B$130:$L$170, 11, FALSE) * $G$495 * SUM('2.3 Input_Main_Questionnaire'!$O$27:$O$31), )</f>
        <v>3.695834194102831E-2</v>
      </c>
      <c r="Y544" s="373">
        <f ca="1">IF(Y$536 &gt;= '2.2 Input_General_Information'!$H$20, $G$496 * VLOOKUP(Y$536, Growth!$B$130:$L$170, 11, FALSE) * $G$495 * SUM('2.3 Input_Main_Questionnaire'!$O$27:$O$31), )</f>
        <v>3.6954916509145952E-2</v>
      </c>
      <c r="Z544" s="373">
        <f ca="1">IF(Z$536 &gt;= '2.2 Input_General_Information'!$H$20, $G$496 * VLOOKUP(Z$536, Growth!$B$130:$L$170, 11, FALSE) * $G$495 * SUM('2.3 Input_Main_Questionnaire'!$O$27:$O$31), )</f>
        <v>3.6949488893069912E-2</v>
      </c>
      <c r="AA544" s="373">
        <f ca="1">IF(AA$536 &gt;= '2.2 Input_General_Information'!$H$20, $G$496 * VLOOKUP(AA$536, Growth!$B$130:$L$170, 11, FALSE) * $G$495 * SUM('2.3 Input_Main_Questionnaire'!$O$27:$O$31), )</f>
        <v>3.6940890009319084E-2</v>
      </c>
      <c r="AB544" s="373">
        <f ca="1">IF(AB$536 &gt;= '2.2 Input_General_Information'!$H$20, $G$496 * VLOOKUP(AB$536, Growth!$B$130:$L$170, 11, FALSE) * $G$495 * SUM('2.3 Input_Main_Questionnaire'!$O$27:$O$31), )</f>
        <v>3.692726996025214E-2</v>
      </c>
      <c r="AC544" s="373">
        <f ca="1">IF(AC$536 &gt;= '2.2 Input_General_Information'!$H$20, $G$496 * VLOOKUP(AC$536, Growth!$B$130:$L$170, 11, FALSE) * $G$495 * SUM('2.3 Input_Main_Questionnaire'!$O$27:$O$31), )</f>
        <v>3.6905704305722847E-2</v>
      </c>
      <c r="AD544" s="373">
        <f ca="1">IF(AD$536 &gt;= '2.2 Input_General_Information'!$H$20, $G$496 * VLOOKUP(AD$536, Growth!$B$130:$L$170, 11, FALSE) * $G$495 * SUM('2.3 Input_Main_Questionnaire'!$O$27:$O$31), )</f>
        <v>3.6871576765997546E-2</v>
      </c>
      <c r="AE544" s="373">
        <f ca="1">IF(AE$536 &gt;= '2.2 Input_General_Information'!$H$20, $G$496 * VLOOKUP(AE$536, Growth!$B$130:$L$170, 11, FALSE) * $G$495 * SUM('2.3 Input_Main_Questionnaire'!$O$27:$O$31), )</f>
        <v>3.6817617629073505E-2</v>
      </c>
      <c r="AF544" s="373">
        <f ca="1">IF(AF$536 &gt;= '2.2 Input_General_Information'!$H$20, $G$496 * VLOOKUP(AF$536, Growth!$B$130:$L$170, 11, FALSE) * $G$495 * SUM('2.3 Input_Main_Questionnaire'!$O$27:$O$31), )</f>
        <v>3.6732421341626506E-2</v>
      </c>
      <c r="AG544" s="373">
        <f ca="1">IF(AG$536 &gt;= '2.2 Input_General_Information'!$H$20, $G$496 * VLOOKUP(AG$536, Growth!$B$130:$L$170, 11, FALSE) * $G$495 * SUM('2.3 Input_Main_Questionnaire'!$O$27:$O$31), )</f>
        <v>3.6598199702502505E-2</v>
      </c>
      <c r="AH544" s="373">
        <f ca="1">IF(AH$536 &gt;= '2.2 Input_General_Information'!$H$20, $G$496 * VLOOKUP(AH$536, Growth!$B$130:$L$170, 11, FALSE) * $G$495 * SUM('2.3 Input_Main_Questionnaire'!$O$27:$O$31), )</f>
        <v>3.6387471487981347E-2</v>
      </c>
      <c r="AI544" s="373">
        <f ca="1">IF(AI$536 &gt;= '2.2 Input_General_Information'!$H$20, $G$496 * VLOOKUP(AI$536, Growth!$B$130:$L$170, 11, FALSE) * $G$495 * SUM('2.3 Input_Main_Questionnaire'!$O$27:$O$31), )</f>
        <v>3.6058417276615434E-2</v>
      </c>
      <c r="AJ544" s="373">
        <f ca="1">IF(AJ$536 &gt;= '2.2 Input_General_Information'!$H$20, $G$496 * VLOOKUP(AJ$536, Growth!$B$130:$L$170, 11, FALSE) * $G$495 * SUM('2.3 Input_Main_Questionnaire'!$O$27:$O$31), )</f>
        <v>3.5548922373441066E-2</v>
      </c>
      <c r="AK544" s="373">
        <f ca="1">IF(AK$536 &gt;= '2.2 Input_General_Information'!$H$20, $G$496 * VLOOKUP(AK$536, Growth!$B$130:$L$170, 11, FALSE) * $G$495 * SUM('2.3 Input_Main_Questionnaire'!$O$27:$O$31), )</f>
        <v>3.4770277955471995E-2</v>
      </c>
      <c r="AL544" s="373">
        <f ca="1">IF(AL$536 &gt;= '2.2 Input_General_Information'!$H$20, $G$496 * VLOOKUP(AL$536, Growth!$B$130:$L$170, 11, FALSE) * $G$495 * SUM('2.3 Input_Main_Questionnaire'!$O$27:$O$31), )</f>
        <v>3.3603741804903144E-2</v>
      </c>
      <c r="AM544" s="373">
        <f ca="1">IF(AM$536 &gt;= '2.2 Input_General_Information'!$H$20, $G$496 * VLOOKUP(AM$536, Growth!$B$130:$L$170, 11, FALSE) * $G$495 * SUM('2.3 Input_Main_Questionnaire'!$O$27:$O$31), )</f>
        <v>3.1907155500679872E-2</v>
      </c>
      <c r="AN544" s="373">
        <f ca="1">IF(AN$536 &gt;= '2.2 Input_General_Information'!$H$20, $G$496 * VLOOKUP(AN$536, Growth!$B$130:$L$170, 11, FALSE) * $G$495 * SUM('2.3 Input_Main_Questionnaire'!$O$27:$O$31), )</f>
        <v>2.9543177907086382E-2</v>
      </c>
      <c r="AO544" s="373">
        <f ca="1">IF(AO$536 &gt;= '2.2 Input_General_Information'!$H$20, $G$496 * VLOOKUP(AO$536, Growth!$B$130:$L$170, 11, FALSE) * $G$495 * SUM('2.3 Input_Main_Questionnaire'!$O$27:$O$31), )</f>
        <v>2.64386704528023E-2</v>
      </c>
      <c r="AP544" s="373">
        <f ca="1">IF(AP$536 &gt;= '2.2 Input_General_Information'!$H$20, $G$496 * VLOOKUP(AP$536, Growth!$B$130:$L$170, 11, FALSE) * $G$495 * SUM('2.3 Input_Main_Questionnaire'!$O$27:$O$31), )</f>
        <v>2.2664068205732118E-2</v>
      </c>
      <c r="AQ544" s="373">
        <f ca="1">IF(AQ$536 &gt;= '2.2 Input_General_Information'!$H$20, $G$496 * VLOOKUP(AQ$536, Growth!$B$130:$L$170, 11, FALSE) * $G$495 * SUM('2.3 Input_Main_Questionnaire'!$O$27:$O$31), )</f>
        <v>1.8482099999996133E-2</v>
      </c>
      <c r="AR544" s="373">
        <f ca="1">IF(AR$536 &gt;= '2.2 Input_General_Information'!$H$20, $G$496 * VLOOKUP(AR$536, Growth!$B$130:$L$170, 11, FALSE) * $G$495 * SUM('2.3 Input_Main_Questionnaire'!$O$27:$O$31), )</f>
        <v>1.4300131794260538E-2</v>
      </c>
      <c r="AS544" s="373">
        <f ca="1">IF(AS$536 &gt;= '2.2 Input_General_Information'!$H$20, $G$496 * VLOOKUP(AS$536, Growth!$B$130:$L$170, 11, FALSE) * $G$495 * SUM('2.3 Input_Main_Questionnaire'!$O$27:$O$31), )</f>
        <v>1.0525529547191395E-2</v>
      </c>
      <c r="AT544" s="373">
        <f ca="1">IF(AT$536 &gt;= '2.2 Input_General_Information'!$H$20, $G$496 * VLOOKUP(AT$536, Growth!$B$130:$L$170, 11, FALSE) * $G$495 * SUM('2.3 Input_Main_Questionnaire'!$O$27:$O$31), )</f>
        <v>7.4210220929086515E-3</v>
      </c>
      <c r="AU544" s="373">
        <f ca="1">IF(AU$536 &gt;= '2.2 Input_General_Information'!$H$20, $G$496 * VLOOKUP(AU$536, Growth!$B$130:$L$170, 11, FALSE) * $G$495 * SUM('2.3 Input_Main_Questionnaire'!$O$27:$O$31), )</f>
        <v>5.0570444993164737E-3</v>
      </c>
      <c r="AV544" s="373">
        <f ca="1">IF(AV$536 &gt;= '2.2 Input_General_Information'!$H$20, $G$496 * VLOOKUP(AV$536, Growth!$B$130:$L$170, 11, FALSE) * $G$495 * SUM('2.3 Input_Main_Questionnaire'!$O$27:$O$31), )</f>
        <v>3.3604581950943055E-3</v>
      </c>
      <c r="AW544" s="373">
        <f ca="1">IF(AW$536 &gt;= '2.2 Input_General_Information'!$H$20, $G$496 * VLOOKUP(AW$536, Growth!$B$130:$L$170, 11, FALSE) * $G$495 * SUM('2.3 Input_Main_Questionnaire'!$O$27:$O$31), )</f>
        <v>2.1939220445262799E-3</v>
      </c>
      <c r="AX544" s="373">
        <f ca="1">IF(AX$536 &gt;= '2.2 Input_General_Information'!$H$20, $G$496 * VLOOKUP(AX$536, Growth!$B$130:$L$170, 11, FALSE) * $G$495 * SUM('2.3 Input_Main_Questionnaire'!$O$27:$O$31), )</f>
        <v>1.4152776265577982E-3</v>
      </c>
      <c r="AY544" s="373">
        <f ca="1">IF(AY$536 &gt;= '2.2 Input_General_Information'!$H$20, $G$496 * VLOOKUP(AY$536, Growth!$B$130:$L$170, 11, FALSE) * $G$495 * SUM('2.3 Input_Main_Questionnaire'!$O$27:$O$31), )</f>
        <v>9.0578272338382793E-4</v>
      </c>
      <c r="AZ544" s="373">
        <f ca="1">IF(AZ$536 &gt;= '2.2 Input_General_Information'!$H$20, $G$496 * VLOOKUP(AZ$536, Growth!$B$130:$L$170, 11, FALSE) * $G$495 * SUM('2.3 Input_Main_Questionnaire'!$O$27:$O$31), )</f>
        <v>5.7672851201818077E-4</v>
      </c>
      <c r="BA544" s="373">
        <f ca="1">IF(BA$536 &gt;= '2.2 Input_General_Information'!$H$20, $G$496 * VLOOKUP(BA$536, Growth!$B$130:$L$170, 11, FALSE) * $G$495 * SUM('2.3 Input_Main_Questionnaire'!$O$27:$O$31), )</f>
        <v>3.6600029749719409E-4</v>
      </c>
      <c r="BB544" s="373">
        <f ca="1">IF(BB$536 &gt;= '2.2 Input_General_Information'!$H$20, $G$496 * VLOOKUP(BB$536, Growth!$B$130:$L$170, 11, FALSE) * $G$495 * SUM('2.3 Input_Main_Questionnaire'!$O$27:$O$31), )</f>
        <v>2.3177865837330428E-4</v>
      </c>
      <c r="BC544" s="373">
        <f ca="1">IF(BC$536 &gt;= '2.2 Input_General_Information'!$H$20, $G$496 * VLOOKUP(BC$536, Growth!$B$130:$L$170, 11, FALSE) * $G$495 * SUM('2.3 Input_Main_Questionnaire'!$O$27:$O$31), )</f>
        <v>1.4658237092637731E-4</v>
      </c>
      <c r="BD544" s="373">
        <f ca="1">IF(BD$536 &gt;= '2.2 Input_General_Information'!$H$20, $G$496 * VLOOKUP(BD$536, Growth!$B$130:$L$170, 11, FALSE) * $G$495 * SUM('2.3 Input_Main_Questionnaire'!$O$27:$O$31), )</f>
        <v>9.2623234002380268E-5</v>
      </c>
      <c r="BE544" s="373">
        <f ca="1">IF(BE$536 &gt;= '2.2 Input_General_Information'!$H$20, $G$496 * VLOOKUP(BE$536, Growth!$B$130:$L$170, 11, FALSE) * $G$495 * SUM('2.3 Input_Main_Questionnaire'!$O$27:$O$31), )</f>
        <v>5.8495694277098582E-5</v>
      </c>
      <c r="BF544" s="373">
        <f ca="1">IF(BF$536 &gt;= '2.2 Input_General_Information'!$H$20, $G$496 * VLOOKUP(BF$536, Growth!$B$130:$L$170, 11, FALSE) * $G$495 * SUM('2.3 Input_Main_Questionnaire'!$O$27:$O$31), )</f>
        <v>3.6930039747831837E-5</v>
      </c>
      <c r="BG544" s="373">
        <f ca="1">IF(BG$536 &gt;= '2.2 Input_General_Information'!$H$20, $G$496 * VLOOKUP(BG$536, Growth!$B$130:$L$170, 11, FALSE) * $G$495 * SUM('2.3 Input_Main_Questionnaire'!$O$27:$O$31), )</f>
        <v>2.330999068090374E-5</v>
      </c>
      <c r="BH544" s="373">
        <f ca="1">IF(BH$536 &gt;= '2.2 Input_General_Information'!$H$20, $G$496 * VLOOKUP(BH$536, Growth!$B$130:$L$170, 11, FALSE) * $G$495 * SUM('2.3 Input_Main_Questionnaire'!$O$27:$O$31), )</f>
        <v>1.4711106930075067E-5</v>
      </c>
      <c r="BI544" s="373">
        <f ca="1">IF(BI$536 &gt;= '2.2 Input_General_Information'!$H$20, $G$496 * VLOOKUP(BI$536, Growth!$B$130:$L$170, 11, FALSE) * $G$495 * SUM('2.3 Input_Main_Questionnaire'!$O$27:$O$31), )</f>
        <v>9.2834908540395694E-6</v>
      </c>
      <c r="BJ544" s="373">
        <f ca="1">IF(BJ$536 &gt;= '2.2 Input_General_Information'!$H$20, $G$496 * VLOOKUP(BJ$536, Growth!$B$130:$L$170, 11, FALSE) * $G$495 * SUM('2.3 Input_Main_Questionnaire'!$O$27:$O$31), )</f>
        <v>5.8580589716864925E-6</v>
      </c>
      <c r="BK544" s="373">
        <f ca="1">IF(BK$536 &gt;= '2.2 Input_General_Information'!$H$20, $G$496 * VLOOKUP(BK$536, Growth!$B$130:$L$170, 11, FALSE) * $G$495 * SUM('2.3 Input_Main_Questionnaire'!$O$27:$O$31), )</f>
        <v>3.6964199999954896E-6</v>
      </c>
      <c r="BL544" s="381"/>
      <c r="BM544" s="381"/>
      <c r="BN544" s="381"/>
      <c r="BO544" s="381"/>
      <c r="BP544" s="381"/>
      <c r="BQ544" s="381"/>
      <c r="BR544" s="381"/>
      <c r="BS544" s="381"/>
      <c r="BT544" s="381"/>
      <c r="BU544" s="381"/>
    </row>
    <row r="545" spans="1:73">
      <c r="A545" s="6"/>
      <c r="B545" s="108"/>
      <c r="C545" s="1"/>
      <c r="D545" s="1"/>
      <c r="E545" s="1"/>
      <c r="F545" s="12"/>
      <c r="G545" s="3"/>
      <c r="H545" s="3"/>
      <c r="I545" s="3"/>
      <c r="J545" s="3"/>
      <c r="K545" s="3"/>
      <c r="L545" s="3"/>
      <c r="M545" s="3"/>
      <c r="N545" s="3"/>
      <c r="O545" s="1"/>
      <c r="P545" s="1"/>
      <c r="Q545" s="1"/>
      <c r="R545" s="162"/>
      <c r="S545" s="1"/>
      <c r="T545" s="103"/>
      <c r="U545" s="9" t="s">
        <v>29</v>
      </c>
      <c r="V545" s="103"/>
      <c r="W545" s="98"/>
      <c r="X545" s="98"/>
      <c r="Y545" s="98"/>
      <c r="Z545" s="98"/>
      <c r="AA545" s="98"/>
      <c r="AB545" s="98"/>
      <c r="AC545" s="98"/>
      <c r="AD545" s="98"/>
      <c r="AE545" s="98"/>
      <c r="AF545" s="98"/>
      <c r="AG545" s="98"/>
      <c r="AH545" s="98"/>
      <c r="AI545" s="98"/>
      <c r="AJ545" s="98"/>
      <c r="AK545" s="98"/>
      <c r="AL545" s="98"/>
      <c r="AM545" s="98"/>
      <c r="AN545" s="98"/>
      <c r="AO545" s="98"/>
      <c r="AP545" s="98"/>
      <c r="AQ545" s="98"/>
      <c r="AR545" s="98"/>
      <c r="AS545" s="98"/>
      <c r="AT545" s="98"/>
      <c r="AU545" s="98"/>
      <c r="AV545" s="98"/>
      <c r="AW545" s="98"/>
      <c r="AX545" s="98"/>
      <c r="AY545" s="98"/>
      <c r="AZ545" s="98"/>
      <c r="BA545" s="98"/>
      <c r="BB545" s="98"/>
      <c r="BC545" s="98"/>
      <c r="BD545" s="98"/>
      <c r="BE545" s="98"/>
      <c r="BF545" s="98"/>
      <c r="BG545" s="98"/>
      <c r="BH545" s="98"/>
      <c r="BI545" s="98"/>
      <c r="BJ545" s="98"/>
      <c r="BK545" s="98"/>
      <c r="BL545" s="99"/>
      <c r="BM545" s="99"/>
      <c r="BN545" s="99"/>
      <c r="BO545" s="99"/>
      <c r="BP545" s="99"/>
      <c r="BQ545" s="99"/>
      <c r="BR545" s="99"/>
      <c r="BS545" s="99"/>
      <c r="BT545" s="99"/>
      <c r="BU545" s="99"/>
    </row>
    <row r="546" spans="1:73" ht="5.25" customHeight="1">
      <c r="A546" s="6"/>
      <c r="B546" s="97"/>
      <c r="C546" s="37"/>
      <c r="D546" s="30"/>
      <c r="E546" s="23"/>
      <c r="F546" s="23"/>
      <c r="G546" s="204"/>
      <c r="H546" s="204"/>
      <c r="I546" s="204"/>
      <c r="J546" s="204"/>
      <c r="K546" s="204"/>
      <c r="L546" s="204"/>
      <c r="M546" s="204"/>
      <c r="N546" s="204"/>
      <c r="O546" s="10"/>
      <c r="P546" s="10"/>
      <c r="Q546" s="10"/>
      <c r="R546" s="193"/>
      <c r="S546" s="10"/>
      <c r="T546" s="103"/>
      <c r="U546" s="103"/>
      <c r="V546" s="103"/>
      <c r="W546" s="366"/>
      <c r="X546" s="366"/>
      <c r="Y546" s="366"/>
      <c r="Z546" s="366"/>
      <c r="AA546" s="366"/>
      <c r="AB546" s="366"/>
      <c r="AC546" s="366"/>
      <c r="AD546" s="366"/>
      <c r="AE546" s="366"/>
      <c r="AF546" s="366"/>
      <c r="AG546" s="366"/>
      <c r="AH546" s="366"/>
      <c r="AI546" s="366"/>
      <c r="AJ546" s="366"/>
      <c r="AK546" s="366"/>
      <c r="AL546" s="366"/>
      <c r="AM546" s="366"/>
      <c r="AN546" s="366"/>
      <c r="AO546" s="366"/>
      <c r="AP546" s="366"/>
      <c r="AQ546" s="366"/>
      <c r="AR546" s="366"/>
      <c r="AS546" s="366"/>
      <c r="AT546" s="366"/>
      <c r="AU546" s="366"/>
      <c r="AV546" s="366"/>
      <c r="AW546" s="366"/>
      <c r="AX546" s="366"/>
      <c r="AY546" s="366"/>
      <c r="AZ546" s="366"/>
      <c r="BA546" s="366"/>
      <c r="BB546" s="366"/>
      <c r="BC546" s="366"/>
      <c r="BD546" s="366"/>
      <c r="BE546" s="366"/>
      <c r="BF546" s="366"/>
      <c r="BG546" s="366"/>
      <c r="BH546" s="366"/>
      <c r="BI546" s="366"/>
      <c r="BJ546" s="366"/>
      <c r="BK546" s="366"/>
      <c r="BL546" s="367"/>
      <c r="BM546" s="367"/>
      <c r="BN546" s="367"/>
      <c r="BO546" s="367"/>
      <c r="BP546" s="367"/>
      <c r="BQ546" s="367"/>
      <c r="BR546" s="367"/>
      <c r="BS546" s="367"/>
      <c r="BT546" s="367"/>
      <c r="BU546" s="367"/>
    </row>
    <row r="547" spans="1:73">
      <c r="A547" s="6"/>
      <c r="B547" s="97" t="s">
        <v>606</v>
      </c>
      <c r="C547" s="37"/>
      <c r="D547" s="560" t="s">
        <v>1044</v>
      </c>
      <c r="E547" s="561"/>
      <c r="F547" s="561"/>
      <c r="G547" s="562">
        <f t="shared" ref="G547:N547" si="83">SUM(G500:G502)</f>
        <v>3.9443029629629638E-2</v>
      </c>
      <c r="H547" s="562">
        <f t="shared" si="83"/>
        <v>5.251296296296297E-2</v>
      </c>
      <c r="I547" s="562">
        <f t="shared" si="83"/>
        <v>4.7160807407407412E-2</v>
      </c>
      <c r="J547" s="562">
        <f t="shared" si="83"/>
        <v>4.9832592592592602E-2</v>
      </c>
      <c r="K547" s="562">
        <f t="shared" si="83"/>
        <v>4.7237348148148152E-2</v>
      </c>
      <c r="L547" s="562">
        <f t="shared" si="83"/>
        <v>4.7237348148148152E-2</v>
      </c>
      <c r="M547" s="562">
        <f t="shared" si="83"/>
        <v>4.7237348148148152E-2</v>
      </c>
      <c r="N547" s="563">
        <f t="shared" si="83"/>
        <v>4.7237348148148152E-2</v>
      </c>
      <c r="O547" s="10"/>
      <c r="P547" s="10"/>
      <c r="Q547" s="10"/>
      <c r="R547" s="193"/>
      <c r="S547" s="10"/>
      <c r="T547" s="103"/>
      <c r="U547" s="103"/>
      <c r="V547" s="103"/>
      <c r="W547" s="366"/>
      <c r="X547" s="366"/>
      <c r="Y547" s="366"/>
      <c r="Z547" s="366"/>
      <c r="AA547" s="366"/>
      <c r="AB547" s="366"/>
      <c r="AC547" s="366"/>
      <c r="AD547" s="366"/>
      <c r="AE547" s="366"/>
      <c r="AF547" s="366"/>
      <c r="AG547" s="366"/>
      <c r="AH547" s="366"/>
      <c r="AI547" s="366"/>
      <c r="AJ547" s="366"/>
      <c r="AK547" s="366"/>
      <c r="AL547" s="366"/>
      <c r="AM547" s="366"/>
      <c r="AN547" s="366"/>
      <c r="AO547" s="366"/>
      <c r="AP547" s="366"/>
      <c r="AQ547" s="366"/>
      <c r="AR547" s="366"/>
      <c r="AS547" s="366"/>
      <c r="AT547" s="366"/>
      <c r="AU547" s="366"/>
      <c r="AV547" s="366"/>
      <c r="AW547" s="366"/>
      <c r="AX547" s="366"/>
      <c r="AY547" s="366"/>
      <c r="AZ547" s="366"/>
      <c r="BA547" s="366"/>
      <c r="BB547" s="366"/>
      <c r="BC547" s="366"/>
      <c r="BD547" s="366"/>
      <c r="BE547" s="366"/>
      <c r="BF547" s="366"/>
      <c r="BG547" s="366"/>
      <c r="BH547" s="366"/>
      <c r="BI547" s="366"/>
      <c r="BJ547" s="366"/>
      <c r="BK547" s="366"/>
      <c r="BL547" s="367"/>
      <c r="BM547" s="367"/>
      <c r="BN547" s="367"/>
      <c r="BO547" s="367"/>
      <c r="BP547" s="367"/>
      <c r="BQ547" s="367"/>
      <c r="BR547" s="367"/>
      <c r="BS547" s="367"/>
      <c r="BT547" s="367"/>
      <c r="BU547" s="367"/>
    </row>
    <row r="548" spans="1:73" ht="5.25" customHeight="1">
      <c r="A548" s="6"/>
      <c r="B548" s="97"/>
      <c r="C548" s="37"/>
      <c r="D548" s="37"/>
      <c r="E548" s="10"/>
      <c r="F548" s="10"/>
      <c r="G548" s="244"/>
      <c r="H548" s="244"/>
      <c r="I548" s="244"/>
      <c r="J548" s="244"/>
      <c r="K548" s="244"/>
      <c r="L548" s="244"/>
      <c r="M548" s="244"/>
      <c r="N548" s="244"/>
      <c r="O548" s="10"/>
      <c r="P548" s="10"/>
      <c r="Q548" s="10"/>
      <c r="R548" s="193"/>
      <c r="S548" s="10"/>
      <c r="T548" s="103"/>
      <c r="U548" s="103"/>
      <c r="V548" s="103"/>
      <c r="W548" s="366"/>
      <c r="X548" s="366"/>
      <c r="Y548" s="366"/>
      <c r="Z548" s="366"/>
      <c r="AA548" s="366"/>
      <c r="AB548" s="366"/>
      <c r="AC548" s="366"/>
      <c r="AD548" s="366"/>
      <c r="AE548" s="366"/>
      <c r="AF548" s="366"/>
      <c r="AG548" s="366"/>
      <c r="AH548" s="366"/>
      <c r="AI548" s="366"/>
      <c r="AJ548" s="366"/>
      <c r="AK548" s="366"/>
      <c r="AL548" s="366"/>
      <c r="AM548" s="366"/>
      <c r="AN548" s="366"/>
      <c r="AO548" s="366"/>
      <c r="AP548" s="366"/>
      <c r="AQ548" s="366"/>
      <c r="AR548" s="366"/>
      <c r="AS548" s="366"/>
      <c r="AT548" s="366"/>
      <c r="AU548" s="366"/>
      <c r="AV548" s="366"/>
      <c r="AW548" s="366"/>
      <c r="AX548" s="366"/>
      <c r="AY548" s="366"/>
      <c r="AZ548" s="366"/>
      <c r="BA548" s="366"/>
      <c r="BB548" s="366"/>
      <c r="BC548" s="366"/>
      <c r="BD548" s="366"/>
      <c r="BE548" s="366"/>
      <c r="BF548" s="366"/>
      <c r="BG548" s="366"/>
      <c r="BH548" s="366"/>
      <c r="BI548" s="366"/>
      <c r="BJ548" s="366"/>
      <c r="BK548" s="366"/>
      <c r="BL548" s="367"/>
      <c r="BM548" s="367"/>
      <c r="BN548" s="367"/>
      <c r="BO548" s="367"/>
      <c r="BP548" s="367"/>
      <c r="BQ548" s="367"/>
      <c r="BR548" s="367"/>
      <c r="BS548" s="367"/>
      <c r="BT548" s="367"/>
      <c r="BU548" s="367"/>
    </row>
    <row r="549" spans="1:73">
      <c r="A549" s="6"/>
      <c r="B549" s="97" t="s">
        <v>606</v>
      </c>
      <c r="C549" s="37"/>
      <c r="D549" s="147" t="s">
        <v>1045</v>
      </c>
      <c r="E549" s="200"/>
      <c r="F549" s="200"/>
      <c r="G549" s="568">
        <f ca="1">HLOOKUP('2.2 Input_General_Information'!H20,W558:BK564,5,FALSE)</f>
        <v>19959.462561813241</v>
      </c>
      <c r="H549" s="204"/>
      <c r="I549" s="204"/>
      <c r="J549" s="204"/>
      <c r="K549" s="204"/>
      <c r="L549" s="204"/>
      <c r="M549" s="204"/>
      <c r="N549" s="204"/>
      <c r="O549" s="411"/>
      <c r="P549" s="411"/>
      <c r="Q549" s="10"/>
      <c r="R549" s="193"/>
      <c r="S549" s="10"/>
      <c r="T549" s="103"/>
      <c r="U549" s="103"/>
      <c r="V549" s="103"/>
      <c r="W549" s="366"/>
      <c r="X549" s="366"/>
      <c r="Y549" s="366"/>
      <c r="Z549" s="366"/>
      <c r="AA549" s="366"/>
      <c r="AB549" s="366"/>
      <c r="AC549" s="366"/>
      <c r="AD549" s="366"/>
      <c r="AE549" s="366"/>
      <c r="AF549" s="366"/>
      <c r="AG549" s="366"/>
      <c r="AH549" s="366"/>
      <c r="AI549" s="366"/>
      <c r="AJ549" s="366"/>
      <c r="AK549" s="366"/>
      <c r="AL549" s="366"/>
      <c r="AM549" s="366"/>
      <c r="AN549" s="366"/>
      <c r="AO549" s="366"/>
      <c r="AP549" s="366"/>
      <c r="AQ549" s="366"/>
      <c r="AR549" s="366"/>
      <c r="AS549" s="366"/>
      <c r="AT549" s="366"/>
      <c r="AU549" s="366"/>
      <c r="AV549" s="366"/>
      <c r="AW549" s="366"/>
      <c r="AX549" s="366"/>
      <c r="AY549" s="366"/>
      <c r="AZ549" s="366"/>
      <c r="BA549" s="366"/>
      <c r="BB549" s="366"/>
      <c r="BC549" s="366"/>
      <c r="BD549" s="366"/>
      <c r="BE549" s="366"/>
      <c r="BF549" s="366"/>
      <c r="BG549" s="366"/>
      <c r="BH549" s="366"/>
      <c r="BI549" s="366"/>
      <c r="BJ549" s="366"/>
      <c r="BK549" s="366"/>
      <c r="BL549" s="367"/>
      <c r="BM549" s="367"/>
      <c r="BN549" s="367"/>
      <c r="BO549" s="367"/>
      <c r="BP549" s="367"/>
      <c r="BQ549" s="367"/>
      <c r="BR549" s="367"/>
      <c r="BS549" s="367"/>
      <c r="BT549" s="367"/>
      <c r="BU549" s="367"/>
    </row>
    <row r="550" spans="1:73" ht="5.25" customHeight="1">
      <c r="A550" s="6"/>
      <c r="B550" s="97"/>
      <c r="C550" s="37"/>
      <c r="D550" s="30"/>
      <c r="E550" s="23"/>
      <c r="F550" s="23"/>
      <c r="G550" s="599"/>
      <c r="H550" s="204"/>
      <c r="I550" s="204"/>
      <c r="J550" s="204"/>
      <c r="K550" s="204"/>
      <c r="L550" s="204"/>
      <c r="M550" s="204"/>
      <c r="N550" s="204"/>
      <c r="O550" s="411"/>
      <c r="P550" s="411"/>
      <c r="Q550" s="10"/>
      <c r="R550" s="193"/>
      <c r="S550" s="10"/>
      <c r="T550" s="103"/>
      <c r="U550" s="103"/>
      <c r="V550" s="103"/>
      <c r="W550" s="366"/>
      <c r="X550" s="366"/>
      <c r="Y550" s="366"/>
      <c r="Z550" s="366"/>
      <c r="AA550" s="366"/>
      <c r="AB550" s="366"/>
      <c r="AC550" s="366"/>
      <c r="AD550" s="366"/>
      <c r="AE550" s="366"/>
      <c r="AF550" s="366"/>
      <c r="AG550" s="366"/>
      <c r="AH550" s="366"/>
      <c r="AI550" s="366"/>
      <c r="AJ550" s="366"/>
      <c r="AK550" s="366"/>
      <c r="AL550" s="366"/>
      <c r="AM550" s="366"/>
      <c r="AN550" s="366"/>
      <c r="AO550" s="366"/>
      <c r="AP550" s="366"/>
      <c r="AQ550" s="366"/>
      <c r="AR550" s="366"/>
      <c r="AS550" s="366"/>
      <c r="AT550" s="366"/>
      <c r="AU550" s="366"/>
      <c r="AV550" s="366"/>
      <c r="AW550" s="366"/>
      <c r="AX550" s="366"/>
      <c r="AY550" s="366"/>
      <c r="AZ550" s="366"/>
      <c r="BA550" s="366"/>
      <c r="BB550" s="366"/>
      <c r="BC550" s="366"/>
      <c r="BD550" s="366"/>
      <c r="BE550" s="366"/>
      <c r="BF550" s="366"/>
      <c r="BG550" s="366"/>
      <c r="BH550" s="366"/>
      <c r="BI550" s="366"/>
      <c r="BJ550" s="366"/>
      <c r="BK550" s="366"/>
      <c r="BL550" s="367"/>
      <c r="BM550" s="367"/>
      <c r="BN550" s="367"/>
      <c r="BO550" s="367"/>
      <c r="BP550" s="367"/>
      <c r="BQ550" s="367"/>
      <c r="BR550" s="367"/>
      <c r="BS550" s="367"/>
      <c r="BT550" s="367"/>
      <c r="BU550" s="367"/>
    </row>
    <row r="551" spans="1:73">
      <c r="A551" s="6"/>
      <c r="B551" s="554" t="s">
        <v>1046</v>
      </c>
      <c r="C551" s="37"/>
      <c r="D551" s="147" t="s">
        <v>1047</v>
      </c>
      <c r="E551" s="200"/>
      <c r="F551" s="200"/>
      <c r="G551" s="568">
        <f ca="1">HLOOKUP('2.2 Input_General_Information'!H20,W558:BK564,6,FALSE)</f>
        <v>399189.25123626488</v>
      </c>
      <c r="H551" s="204"/>
      <c r="I551" s="204"/>
      <c r="J551" s="204"/>
      <c r="K551" s="204"/>
      <c r="L551" s="204"/>
      <c r="M551" s="204"/>
      <c r="N551" s="204"/>
      <c r="O551" s="411"/>
      <c r="P551" s="411"/>
      <c r="Q551" s="10"/>
      <c r="R551" s="193"/>
      <c r="S551" s="10"/>
      <c r="T551" s="103"/>
      <c r="V551" s="103"/>
      <c r="W551" s="366"/>
      <c r="X551" s="366"/>
      <c r="Y551" s="366"/>
      <c r="Z551" s="366"/>
      <c r="AA551" s="366"/>
      <c r="AB551" s="366"/>
      <c r="AC551" s="366"/>
      <c r="AD551" s="366"/>
      <c r="AE551" s="366"/>
      <c r="AF551" s="366"/>
      <c r="AG551" s="366"/>
      <c r="AH551" s="366"/>
      <c r="AI551" s="366"/>
      <c r="AJ551" s="366"/>
      <c r="AK551" s="366"/>
      <c r="AL551" s="366"/>
      <c r="AM551" s="366"/>
      <c r="AN551" s="366"/>
      <c r="AO551" s="366"/>
      <c r="AP551" s="366"/>
      <c r="AQ551" s="366"/>
      <c r="AR551" s="366"/>
      <c r="AS551" s="366"/>
      <c r="AT551" s="366"/>
      <c r="AU551" s="366"/>
      <c r="AV551" s="366"/>
      <c r="AW551" s="366"/>
      <c r="AX551" s="366"/>
      <c r="AY551" s="366"/>
      <c r="AZ551" s="366"/>
      <c r="BA551" s="366"/>
      <c r="BB551" s="366"/>
      <c r="BC551" s="366"/>
      <c r="BD551" s="366"/>
      <c r="BE551" s="366"/>
      <c r="BF551" s="366"/>
      <c r="BG551" s="366"/>
      <c r="BH551" s="366"/>
      <c r="BI551" s="366"/>
      <c r="BJ551" s="366"/>
      <c r="BK551" s="366"/>
      <c r="BL551" s="367"/>
      <c r="BM551" s="367"/>
      <c r="BN551" s="367"/>
      <c r="BO551" s="367"/>
      <c r="BP551" s="367"/>
      <c r="BQ551" s="367"/>
      <c r="BR551" s="367"/>
      <c r="BS551" s="367"/>
      <c r="BT551" s="367"/>
      <c r="BU551" s="367"/>
    </row>
    <row r="552" spans="1:73">
      <c r="A552" s="6"/>
      <c r="B552" s="97"/>
      <c r="C552" s="37"/>
      <c r="D552" s="37"/>
      <c r="E552" s="10"/>
      <c r="F552" s="10"/>
      <c r="G552" s="244"/>
      <c r="H552" s="244"/>
      <c r="I552" s="244"/>
      <c r="J552" s="244"/>
      <c r="K552" s="244"/>
      <c r="L552" s="244"/>
      <c r="M552" s="244"/>
      <c r="N552" s="244"/>
      <c r="O552" s="10"/>
      <c r="P552" s="10"/>
      <c r="Q552" s="10"/>
      <c r="R552" s="193"/>
      <c r="S552" s="10"/>
      <c r="T552" s="103"/>
      <c r="U552" s="103"/>
      <c r="V552" s="103"/>
      <c r="W552" s="366"/>
      <c r="X552" s="366"/>
      <c r="Y552" s="366"/>
      <c r="Z552" s="366"/>
      <c r="AA552" s="366"/>
      <c r="AB552" s="366"/>
      <c r="AC552" s="366"/>
      <c r="AD552" s="366"/>
      <c r="AE552" s="366"/>
      <c r="AF552" s="366"/>
      <c r="AG552" s="366"/>
      <c r="AH552" s="366"/>
      <c r="AI552" s="366"/>
      <c r="AJ552" s="366"/>
      <c r="AK552" s="366"/>
      <c r="AL552" s="366"/>
      <c r="AM552" s="366"/>
      <c r="AN552" s="366"/>
      <c r="AO552" s="366"/>
      <c r="AP552" s="366"/>
      <c r="AQ552" s="366"/>
      <c r="AR552" s="366"/>
      <c r="AS552" s="366"/>
      <c r="AT552" s="366"/>
      <c r="AU552" s="366"/>
      <c r="AV552" s="366"/>
      <c r="AW552" s="366"/>
      <c r="AX552" s="366"/>
      <c r="AY552" s="366"/>
      <c r="AZ552" s="366"/>
      <c r="BA552" s="366"/>
      <c r="BB552" s="366"/>
      <c r="BC552" s="366"/>
      <c r="BD552" s="366"/>
      <c r="BE552" s="366"/>
      <c r="BF552" s="366"/>
      <c r="BG552" s="366"/>
      <c r="BH552" s="366"/>
      <c r="BI552" s="366"/>
      <c r="BJ552" s="366"/>
      <c r="BK552" s="366"/>
      <c r="BL552" s="367"/>
      <c r="BM552" s="367"/>
      <c r="BN552" s="367"/>
      <c r="BO552" s="367"/>
      <c r="BP552" s="367"/>
      <c r="BQ552" s="367"/>
      <c r="BR552" s="367"/>
      <c r="BS552" s="367"/>
      <c r="BT552" s="367"/>
      <c r="BU552" s="367"/>
    </row>
    <row r="553" spans="1:73">
      <c r="A553" s="6"/>
      <c r="B553" s="97"/>
      <c r="C553" s="37"/>
      <c r="D553" s="44" t="str">
        <f>"Inputs on: "&amp;'2.3 Input_Main_Questionnaire'!F32</f>
        <v>Inputs on: Analysis of the data</v>
      </c>
      <c r="E553" s="45"/>
      <c r="F553" s="45"/>
      <c r="G553" s="142"/>
      <c r="H553" s="142"/>
      <c r="I553" s="142"/>
      <c r="J553" s="142"/>
      <c r="K553" s="142"/>
      <c r="L553" s="142"/>
      <c r="M553" s="142"/>
      <c r="N553" s="142"/>
      <c r="O553" s="1"/>
      <c r="P553" s="1"/>
      <c r="Q553" s="1"/>
      <c r="R553" s="162"/>
      <c r="S553" s="1"/>
      <c r="T553" s="103"/>
      <c r="U553" s="103"/>
      <c r="V553" s="103"/>
      <c r="W553" s="98"/>
      <c r="X553" s="98"/>
      <c r="Y553" s="98"/>
      <c r="Z553" s="98"/>
      <c r="AA553" s="98"/>
      <c r="AB553" s="98"/>
      <c r="AC553" s="98"/>
      <c r="AD553" s="98"/>
      <c r="AE553" s="98"/>
      <c r="AF553" s="98"/>
      <c r="AG553" s="98"/>
      <c r="AH553" s="98"/>
      <c r="AI553" s="98"/>
      <c r="AJ553" s="98"/>
      <c r="AK553" s="98"/>
      <c r="AL553" s="98"/>
      <c r="AM553" s="98"/>
      <c r="AN553" s="98"/>
      <c r="AO553" s="98"/>
      <c r="AP553" s="98"/>
      <c r="AQ553" s="98"/>
      <c r="AR553" s="98"/>
      <c r="AS553" s="98"/>
      <c r="AT553" s="98"/>
      <c r="AU553" s="98"/>
      <c r="AV553" s="98"/>
      <c r="AW553" s="98"/>
      <c r="AX553" s="98"/>
      <c r="AY553" s="98"/>
      <c r="AZ553" s="98"/>
      <c r="BA553" s="98"/>
      <c r="BB553" s="98"/>
      <c r="BC553" s="98"/>
      <c r="BD553" s="98"/>
      <c r="BE553" s="98"/>
      <c r="BF553" s="98"/>
      <c r="BG553" s="98"/>
      <c r="BH553" s="98"/>
      <c r="BI553" s="98"/>
      <c r="BJ553" s="98"/>
      <c r="BK553" s="98"/>
      <c r="BL553" s="99"/>
      <c r="BM553" s="99"/>
      <c r="BN553" s="99"/>
      <c r="BO553" s="99"/>
      <c r="BP553" s="99"/>
      <c r="BQ553" s="99"/>
      <c r="BR553" s="99"/>
      <c r="BS553" s="99"/>
      <c r="BT553" s="99"/>
      <c r="BU553" s="99"/>
    </row>
    <row r="554" spans="1:73" ht="5.25" customHeight="1">
      <c r="A554" s="6"/>
      <c r="B554" s="97"/>
      <c r="C554" s="37"/>
      <c r="D554" s="1"/>
      <c r="E554" s="1"/>
      <c r="F554" s="1"/>
      <c r="G554" s="3"/>
      <c r="H554" s="3"/>
      <c r="I554" s="3"/>
      <c r="J554" s="3"/>
      <c r="K554" s="3"/>
      <c r="L554" s="3"/>
      <c r="M554" s="3"/>
      <c r="N554" s="3"/>
      <c r="O554" s="1"/>
      <c r="P554" s="1"/>
      <c r="Q554" s="1"/>
      <c r="R554" s="162"/>
      <c r="S554" s="1"/>
      <c r="T554" s="103"/>
      <c r="U554" s="103"/>
      <c r="V554" s="103"/>
      <c r="W554" s="98"/>
      <c r="X554" s="98"/>
      <c r="Y554" s="98"/>
      <c r="Z554" s="98"/>
      <c r="AA554" s="98"/>
      <c r="AB554" s="98"/>
      <c r="AC554" s="98"/>
      <c r="AD554" s="98"/>
      <c r="AE554" s="98"/>
      <c r="AF554" s="98"/>
      <c r="AG554" s="98"/>
      <c r="AH554" s="98"/>
      <c r="AI554" s="98"/>
      <c r="AJ554" s="98"/>
      <c r="AK554" s="98"/>
      <c r="AL554" s="98"/>
      <c r="AM554" s="98"/>
      <c r="AN554" s="98"/>
      <c r="AO554" s="98"/>
      <c r="AP554" s="98"/>
      <c r="AQ554" s="98"/>
      <c r="AR554" s="98"/>
      <c r="AS554" s="98"/>
      <c r="AT554" s="98"/>
      <c r="AU554" s="98"/>
      <c r="AV554" s="98"/>
      <c r="AW554" s="98"/>
      <c r="AX554" s="98"/>
      <c r="AY554" s="98"/>
      <c r="AZ554" s="98"/>
      <c r="BA554" s="98"/>
      <c r="BB554" s="98"/>
      <c r="BC554" s="98"/>
      <c r="BD554" s="98"/>
      <c r="BE554" s="98"/>
      <c r="BF554" s="98"/>
      <c r="BG554" s="98"/>
      <c r="BH554" s="98"/>
      <c r="BI554" s="98"/>
      <c r="BJ554" s="98"/>
      <c r="BK554" s="98"/>
      <c r="BL554" s="99"/>
      <c r="BM554" s="99"/>
      <c r="BN554" s="99"/>
      <c r="BO554" s="99"/>
      <c r="BP554" s="99"/>
      <c r="BQ554" s="99"/>
      <c r="BR554" s="99"/>
      <c r="BS554" s="99"/>
      <c r="BT554" s="99"/>
      <c r="BU554" s="99"/>
    </row>
    <row r="555" spans="1:73">
      <c r="A555" s="6"/>
      <c r="B555" s="108"/>
      <c r="C555" s="1"/>
      <c r="D555" s="25"/>
      <c r="E555" s="12"/>
      <c r="F555" s="1"/>
      <c r="G555" s="43"/>
      <c r="H555" s="24"/>
      <c r="I555" s="24"/>
      <c r="J555" s="24"/>
      <c r="K555" s="24"/>
      <c r="L555" s="3"/>
      <c r="M555" s="3"/>
      <c r="N555" s="3"/>
      <c r="O555" s="1"/>
      <c r="P555" s="1"/>
      <c r="Q555" s="1"/>
      <c r="R555" s="162"/>
      <c r="S555" s="1"/>
      <c r="T555" s="81"/>
      <c r="U555" s="9" t="s">
        <v>5</v>
      </c>
      <c r="V555" s="81"/>
      <c r="W555" s="81"/>
      <c r="X555" s="81"/>
      <c r="Y555" s="81"/>
      <c r="Z555" s="81"/>
      <c r="AA555" s="81"/>
      <c r="AB555" s="81"/>
      <c r="AC555" s="81"/>
      <c r="AD555" s="81"/>
      <c r="AE555" s="81"/>
      <c r="AF555" s="81"/>
      <c r="AG555" s="81"/>
      <c r="AH555" s="81"/>
      <c r="AI555" s="81"/>
      <c r="AJ555" s="81"/>
      <c r="AK555" s="81"/>
      <c r="AL555" s="81"/>
      <c r="AM555" s="81"/>
      <c r="AN555" s="81"/>
      <c r="AO555" s="81"/>
      <c r="AP555" s="81"/>
      <c r="AQ555" s="81"/>
      <c r="AR555" s="81"/>
      <c r="AS555" s="81"/>
      <c r="AT555" s="81"/>
      <c r="AU555" s="81"/>
      <c r="AV555" s="81"/>
      <c r="AW555" s="81"/>
      <c r="AX555" s="81"/>
      <c r="AY555" s="81"/>
      <c r="AZ555" s="81"/>
      <c r="BA555" s="81"/>
      <c r="BB555" s="81"/>
      <c r="BC555" s="81"/>
      <c r="BD555" s="81"/>
      <c r="BE555" s="81"/>
      <c r="BF555" s="81"/>
      <c r="BG555" s="81"/>
      <c r="BH555" s="81"/>
      <c r="BI555" s="81"/>
      <c r="BJ555" s="81"/>
      <c r="BK555" s="81"/>
      <c r="BL555" s="6"/>
      <c r="BM555" s="6"/>
      <c r="BN555" s="6"/>
      <c r="BO555" s="6"/>
      <c r="BP555" s="6"/>
      <c r="BQ555" s="6"/>
      <c r="BR555" s="6"/>
      <c r="BS555" s="6"/>
      <c r="BT555" s="6"/>
      <c r="BU555" s="6"/>
    </row>
    <row r="556" spans="1:73">
      <c r="A556" s="6"/>
      <c r="B556" s="108"/>
      <c r="C556" s="1"/>
      <c r="H556" s="3"/>
      <c r="I556" s="3"/>
      <c r="J556" s="3"/>
      <c r="K556" s="3"/>
      <c r="L556" s="3"/>
      <c r="M556" s="3"/>
      <c r="N556" s="3"/>
      <c r="O556" s="1"/>
      <c r="P556" s="1"/>
      <c r="Q556" s="1"/>
      <c r="R556" s="162"/>
      <c r="S556" s="1"/>
      <c r="T556" s="103"/>
      <c r="V556" s="374" t="str">
        <f>D549</f>
        <v>Saving in time for internal reusers thanks to the implementation of the FAIR principles in creating, collection and integrating</v>
      </c>
      <c r="W556" s="8"/>
      <c r="X556" s="98"/>
      <c r="Y556" s="98"/>
      <c r="Z556" s="98"/>
      <c r="AA556" s="98"/>
      <c r="AB556" s="98"/>
      <c r="AC556" s="98"/>
      <c r="AD556" s="98"/>
      <c r="AE556" s="98"/>
      <c r="AF556" s="98"/>
      <c r="AG556" s="98"/>
      <c r="AH556" s="98"/>
      <c r="AI556" s="98"/>
      <c r="AJ556" s="98"/>
      <c r="AK556" s="98"/>
      <c r="AL556" s="98"/>
      <c r="AM556" s="98"/>
      <c r="AN556" s="98"/>
      <c r="AO556" s="98"/>
      <c r="AP556" s="98"/>
      <c r="AQ556" s="98"/>
      <c r="AR556" s="98"/>
      <c r="AS556" s="98"/>
      <c r="AT556" s="98"/>
      <c r="AU556" s="98"/>
      <c r="AV556" s="98"/>
      <c r="AW556" s="98"/>
      <c r="AX556" s="98"/>
      <c r="AY556" s="98"/>
      <c r="AZ556" s="98"/>
      <c r="BA556" s="98"/>
      <c r="BB556" s="98"/>
      <c r="BC556" s="98"/>
      <c r="BD556" s="98"/>
      <c r="BE556" s="98"/>
      <c r="BF556" s="98"/>
      <c r="BG556" s="98"/>
      <c r="BH556" s="98"/>
      <c r="BI556" s="98"/>
      <c r="BJ556" s="98"/>
      <c r="BK556" s="98"/>
      <c r="BL556" s="99"/>
      <c r="BM556" s="99"/>
      <c r="BN556" s="99"/>
      <c r="BO556" s="99"/>
      <c r="BP556" s="99"/>
      <c r="BQ556" s="99"/>
      <c r="BR556" s="99"/>
      <c r="BS556" s="99"/>
      <c r="BT556" s="99"/>
      <c r="BU556" s="99"/>
    </row>
    <row r="557" spans="1:73">
      <c r="A557" s="6"/>
      <c r="B557" s="108"/>
      <c r="C557" s="1"/>
      <c r="D557" s="1"/>
      <c r="E557" s="1"/>
      <c r="F557" s="1"/>
      <c r="G557" s="3"/>
      <c r="H557" s="3"/>
      <c r="I557" s="3"/>
      <c r="J557" s="3"/>
      <c r="K557" s="3"/>
      <c r="L557" s="3"/>
      <c r="M557" s="3"/>
      <c r="N557" s="3"/>
      <c r="O557" s="1"/>
      <c r="P557" s="1"/>
      <c r="Q557" s="1"/>
      <c r="R557" s="162"/>
      <c r="S557" s="1"/>
      <c r="T557" s="103"/>
      <c r="V557" s="101" t="s">
        <v>1048</v>
      </c>
      <c r="W557" s="157">
        <f>AVERAGE(Researchers_Salaries!N33,Researchers_Salaries!N66,Researchers_Salaries!N99)</f>
        <v>56400.485243078765</v>
      </c>
      <c r="X557" s="98"/>
      <c r="Y557" s="98"/>
      <c r="Z557" s="98"/>
      <c r="AA557" s="98"/>
      <c r="AB557" s="98"/>
      <c r="AC557" s="98"/>
      <c r="AD557" s="98"/>
      <c r="AE557" s="98"/>
      <c r="AF557" s="98"/>
      <c r="AG557" s="98"/>
      <c r="AH557" s="98"/>
      <c r="AI557" s="98"/>
      <c r="AJ557" s="98"/>
      <c r="AK557" s="98"/>
      <c r="AL557" s="98"/>
      <c r="AM557" s="98"/>
      <c r="AN557" s="98"/>
      <c r="AO557" s="98"/>
      <c r="AP557" s="98"/>
      <c r="AQ557" s="98"/>
      <c r="AR557" s="98"/>
      <c r="AS557" s="98"/>
      <c r="AT557" s="98"/>
      <c r="AU557" s="98"/>
      <c r="AV557" s="98"/>
      <c r="AW557" s="98"/>
      <c r="AX557" s="98"/>
      <c r="AY557" s="98"/>
      <c r="AZ557" s="98"/>
      <c r="BA557" s="98"/>
      <c r="BB557" s="98"/>
      <c r="BC557" s="98"/>
      <c r="BD557" s="98"/>
      <c r="BE557" s="98"/>
      <c r="BF557" s="98"/>
      <c r="BG557" s="98"/>
      <c r="BH557" s="98"/>
      <c r="BI557" s="98"/>
      <c r="BJ557" s="98"/>
      <c r="BK557" s="98"/>
      <c r="BL557" s="99"/>
      <c r="BM557" s="99"/>
      <c r="BN557" s="99"/>
      <c r="BO557" s="99"/>
      <c r="BP557" s="99"/>
      <c r="BQ557" s="99"/>
      <c r="BR557" s="99"/>
      <c r="BS557" s="99"/>
      <c r="BT557" s="99"/>
      <c r="BU557" s="99"/>
    </row>
    <row r="558" spans="1:73">
      <c r="A558" s="6"/>
      <c r="B558" s="108"/>
      <c r="C558" s="1"/>
      <c r="D558" s="1"/>
      <c r="E558" s="1"/>
      <c r="F558" s="1"/>
      <c r="G558" s="3"/>
      <c r="H558" s="3"/>
      <c r="I558" s="3"/>
      <c r="J558" s="3"/>
      <c r="K558" s="3"/>
      <c r="L558" s="3"/>
      <c r="M558" s="3"/>
      <c r="N558" s="3"/>
      <c r="O558" s="1"/>
      <c r="P558" s="1"/>
      <c r="Q558" s="1"/>
      <c r="R558" s="162"/>
      <c r="S558" s="1"/>
      <c r="T558" s="103"/>
      <c r="V558" s="101" t="s">
        <v>208</v>
      </c>
      <c r="W558" s="98">
        <f>Growth!B20</f>
        <v>2018</v>
      </c>
      <c r="X558" s="98">
        <f t="shared" ref="X558:BK558" si="84">W558+1</f>
        <v>2019</v>
      </c>
      <c r="Y558" s="98">
        <f t="shared" si="84"/>
        <v>2020</v>
      </c>
      <c r="Z558" s="98">
        <f t="shared" si="84"/>
        <v>2021</v>
      </c>
      <c r="AA558" s="98">
        <f t="shared" si="84"/>
        <v>2022</v>
      </c>
      <c r="AB558" s="98">
        <f t="shared" si="84"/>
        <v>2023</v>
      </c>
      <c r="AC558" s="98">
        <f t="shared" si="84"/>
        <v>2024</v>
      </c>
      <c r="AD558" s="98">
        <f t="shared" si="84"/>
        <v>2025</v>
      </c>
      <c r="AE558" s="98">
        <f t="shared" si="84"/>
        <v>2026</v>
      </c>
      <c r="AF558" s="98">
        <f t="shared" si="84"/>
        <v>2027</v>
      </c>
      <c r="AG558" s="98">
        <f t="shared" si="84"/>
        <v>2028</v>
      </c>
      <c r="AH558" s="98">
        <f t="shared" si="84"/>
        <v>2029</v>
      </c>
      <c r="AI558" s="98">
        <f t="shared" si="84"/>
        <v>2030</v>
      </c>
      <c r="AJ558" s="98">
        <f t="shared" si="84"/>
        <v>2031</v>
      </c>
      <c r="AK558" s="98">
        <f t="shared" si="84"/>
        <v>2032</v>
      </c>
      <c r="AL558" s="98">
        <f t="shared" si="84"/>
        <v>2033</v>
      </c>
      <c r="AM558" s="98">
        <f t="shared" si="84"/>
        <v>2034</v>
      </c>
      <c r="AN558" s="98">
        <f t="shared" si="84"/>
        <v>2035</v>
      </c>
      <c r="AO558" s="98">
        <f t="shared" si="84"/>
        <v>2036</v>
      </c>
      <c r="AP558" s="98">
        <f t="shared" si="84"/>
        <v>2037</v>
      </c>
      <c r="AQ558" s="98">
        <f t="shared" si="84"/>
        <v>2038</v>
      </c>
      <c r="AR558" s="98">
        <f t="shared" si="84"/>
        <v>2039</v>
      </c>
      <c r="AS558" s="98">
        <f t="shared" si="84"/>
        <v>2040</v>
      </c>
      <c r="AT558" s="98">
        <f t="shared" si="84"/>
        <v>2041</v>
      </c>
      <c r="AU558" s="98">
        <f t="shared" si="84"/>
        <v>2042</v>
      </c>
      <c r="AV558" s="98">
        <f t="shared" si="84"/>
        <v>2043</v>
      </c>
      <c r="AW558" s="98">
        <f t="shared" si="84"/>
        <v>2044</v>
      </c>
      <c r="AX558" s="98">
        <f t="shared" si="84"/>
        <v>2045</v>
      </c>
      <c r="AY558" s="98">
        <f t="shared" si="84"/>
        <v>2046</v>
      </c>
      <c r="AZ558" s="98">
        <f t="shared" si="84"/>
        <v>2047</v>
      </c>
      <c r="BA558" s="98">
        <f t="shared" si="84"/>
        <v>2048</v>
      </c>
      <c r="BB558" s="98">
        <f t="shared" si="84"/>
        <v>2049</v>
      </c>
      <c r="BC558" s="98">
        <f t="shared" si="84"/>
        <v>2050</v>
      </c>
      <c r="BD558" s="98">
        <f t="shared" si="84"/>
        <v>2051</v>
      </c>
      <c r="BE558" s="98">
        <f t="shared" si="84"/>
        <v>2052</v>
      </c>
      <c r="BF558" s="98">
        <f t="shared" si="84"/>
        <v>2053</v>
      </c>
      <c r="BG558" s="98">
        <f t="shared" si="84"/>
        <v>2054</v>
      </c>
      <c r="BH558" s="98">
        <f t="shared" si="84"/>
        <v>2055</v>
      </c>
      <c r="BI558" s="98">
        <f t="shared" si="84"/>
        <v>2056</v>
      </c>
      <c r="BJ558" s="98">
        <f t="shared" si="84"/>
        <v>2057</v>
      </c>
      <c r="BK558" s="98">
        <f t="shared" si="84"/>
        <v>2058</v>
      </c>
      <c r="BL558" s="99"/>
      <c r="BM558" s="99"/>
      <c r="BN558" s="99"/>
      <c r="BO558" s="99"/>
      <c r="BP558" s="99"/>
      <c r="BQ558" s="99"/>
      <c r="BR558" s="99"/>
      <c r="BS558" s="99"/>
      <c r="BT558" s="99"/>
      <c r="BU558" s="99"/>
    </row>
    <row r="559" spans="1:73">
      <c r="A559" s="6"/>
      <c r="B559" s="108"/>
      <c r="C559" s="1"/>
      <c r="D559" s="1"/>
      <c r="E559" s="1"/>
      <c r="F559" s="1"/>
      <c r="G559" s="3"/>
      <c r="H559" s="3"/>
      <c r="I559" s="3"/>
      <c r="J559" s="3"/>
      <c r="K559" s="3"/>
      <c r="L559" s="3"/>
      <c r="M559" s="3"/>
      <c r="N559" s="3"/>
      <c r="O559" s="1"/>
      <c r="P559" s="1"/>
      <c r="Q559" s="1"/>
      <c r="R559" s="162"/>
      <c r="S559" s="1"/>
      <c r="T559" s="103"/>
      <c r="U559" s="9"/>
      <c r="V559" s="101" t="s">
        <v>1049</v>
      </c>
      <c r="W559" s="373">
        <f ca="1">IF(W323+W333+W302+W313=0,0,IF(W$558&gt;='2.2 Input_General_Information'!$H$20,SUMPRODUCT('2.3 Input_Main_Questionnaire'!$H$29:$O$29,'2.2 Input_General_Information'!$H$92:$O$92)/SUM('2.2 Input_General_Information'!$H$92:$O$92)*(W323+W333+W302+W313)/'2.3 Input_Main_Questionnaire'!$H$29,0))</f>
        <v>0</v>
      </c>
      <c r="X559" s="373">
        <f ca="1">IF(X323+X333+X302+X313=0,0,IF(X$558&gt;='2.2 Input_General_Information'!$H$20,SUMPRODUCT('2.3 Input_Main_Questionnaire'!$H$29:$O$29,'2.2 Input_General_Information'!$H$92:$O$92)/SUM('2.2 Input_General_Information'!$H$92:$O$92)*(X323+X333+X302+X313)/'2.3 Input_Main_Questionnaire'!$H$29,0))</f>
        <v>1.9773856861859838E-3</v>
      </c>
      <c r="Y559" s="373">
        <f ca="1">IF(Y323+Y333+Y302+Y313=0,0,IF(Y$558&gt;='2.2 Input_General_Information'!$H$20,SUMPRODUCT('2.3 Input_Main_Questionnaire'!$H$29:$O$29,'2.2 Input_General_Information'!$H$92:$O$92)/SUM('2.2 Input_General_Information'!$H$92:$O$92)*(Y323+Y333+Y302+Y313)/'2.3 Input_Main_Questionnaire'!$H$29,0))</f>
        <v>1.9815337972538937E-3</v>
      </c>
      <c r="Z559" s="373">
        <f ca="1">IF(Z323+Z333+Z302+Z313=0,0,IF(Z$558&gt;='2.2 Input_General_Information'!$H$20,SUMPRODUCT('2.3 Input_Main_Questionnaire'!$H$29:$O$29,'2.2 Input_General_Information'!$H$92:$O$92)/SUM('2.2 Input_General_Information'!$H$92:$O$92)*(Z323+Z333+Z302+Z313)/'2.3 Input_Main_Questionnaire'!$H$29,0))</f>
        <v>1.9425659452813114E-3</v>
      </c>
      <c r="AA559" s="373">
        <f ca="1">IF(AA323+AA333+AA302+AA313=0,0,IF(AA$558&gt;='2.2 Input_General_Information'!$H$20,SUMPRODUCT('2.3 Input_Main_Questionnaire'!$H$29:$O$29,'2.2 Input_General_Information'!$H$92:$O$92)/SUM('2.2 Input_General_Information'!$H$92:$O$92)*(AA323+AA333+AA302+AA313)/'2.3 Input_Main_Questionnaire'!$H$29,0))</f>
        <v>1.8660649888329098E-3</v>
      </c>
      <c r="AB559" s="373">
        <f ca="1">IF(AB323+AB333+AB302+AB313=0,0,IF(AB$558&gt;='2.2 Input_General_Information'!$H$20,SUMPRODUCT('2.3 Input_Main_Questionnaire'!$H$29:$O$29,'2.2 Input_General_Information'!$H$92:$O$92)/SUM('2.2 Input_General_Information'!$H$92:$O$92)*(AB323+AB333+AB302+AB313)/'2.3 Input_Main_Questionnaire'!$H$29,0))</f>
        <v>1.7616547039968511E-3</v>
      </c>
      <c r="AC559" s="373">
        <f ca="1">IF(AC323+AC333+AC302+AC313=0,0,IF(AC$558&gt;='2.2 Input_General_Information'!$H$20,SUMPRODUCT('2.3 Input_Main_Questionnaire'!$H$29:$O$29,'2.2 Input_General_Information'!$H$92:$O$92)/SUM('2.2 Input_General_Information'!$H$92:$O$92)*(AC323+AC333+AC302+AC313)/'2.3 Input_Main_Questionnaire'!$H$29,0))</f>
        <v>1.6410646980590049E-3</v>
      </c>
      <c r="AD559" s="373">
        <f ca="1">IF(AD323+AD333+AD302+AD313=0,0,IF(AD$558&gt;='2.2 Input_General_Information'!$H$20,SUMPRODUCT('2.3 Input_Main_Questionnaire'!$H$29:$O$29,'2.2 Input_General_Information'!$H$92:$O$92)/SUM('2.2 Input_General_Information'!$H$92:$O$92)*(AD323+AD333+AD302+AD313)/'2.3 Input_Main_Questionnaire'!$H$29,0))</f>
        <v>1.5163388271973613E-3</v>
      </c>
      <c r="AE559" s="373">
        <f ca="1">IF(AE323+AE333+AE302+AE313=0,0,IF(AE$558&gt;='2.2 Input_General_Information'!$H$20,SUMPRODUCT('2.3 Input_Main_Questionnaire'!$H$29:$O$29,'2.2 Input_General_Information'!$H$92:$O$92)/SUM('2.2 Input_General_Information'!$H$92:$O$92)*(AE323+AE333+AE302+AE313)/'2.3 Input_Main_Questionnaire'!$H$29,0))</f>
        <v>1.3986906045344472E-3</v>
      </c>
      <c r="AF559" s="373">
        <f ca="1">IF(AF323+AF333+AF302+AF313=0,0,IF(AF$558&gt;='2.2 Input_General_Information'!$H$20,SUMPRODUCT('2.3 Input_Main_Questionnaire'!$H$29:$O$29,'2.2 Input_General_Information'!$H$92:$O$92)/SUM('2.2 Input_General_Information'!$H$92:$O$92)*(AF323+AF333+AF302+AF313)/'2.3 Input_Main_Questionnaire'!$H$29,0))</f>
        <v>1.2981745052373899E-3</v>
      </c>
      <c r="AG559" s="373">
        <f ca="1">IF(AG323+AG333+AG302+AG313=0,0,IF(AG$558&gt;='2.2 Input_General_Information'!$H$20,SUMPRODUCT('2.3 Input_Main_Questionnaire'!$H$29:$O$29,'2.2 Input_General_Information'!$H$92:$O$92)/SUM('2.2 Input_General_Information'!$H$92:$O$92)*(AG323+AG333+AG302+AG313)/'2.3 Input_Main_Questionnaire'!$H$29,0))</f>
        <v>1.2241806812739813E-3</v>
      </c>
      <c r="AH559" s="373">
        <f ca="1">IF(AH323+AH333+AH302+AH313=0,0,IF(AH$558&gt;='2.2 Input_General_Information'!$H$20,SUMPRODUCT('2.3 Input_Main_Questionnaire'!$H$29:$O$29,'2.2 Input_General_Information'!$H$92:$O$92)/SUM('2.2 Input_General_Information'!$H$92:$O$92)*(AH323+AH333+AH302+AH313)/'2.3 Input_Main_Questionnaire'!$H$29,0))</f>
        <v>1.1867125141094802E-3</v>
      </c>
      <c r="AI559" s="373">
        <f ca="1">IF(AI323+AI333+AI302+AI313=0,0,IF(AI$558&gt;='2.2 Input_General_Information'!$H$20,SUMPRODUCT('2.3 Input_Main_Questionnaire'!$H$29:$O$29,'2.2 Input_General_Information'!$H$92:$O$92)/SUM('2.2 Input_General_Information'!$H$92:$O$92)*(AI323+AI333+AI302+AI313)/'2.3 Input_Main_Questionnaire'!$H$29,0))</f>
        <v>1.1983552045361206E-3</v>
      </c>
      <c r="AJ559" s="373">
        <f ca="1">IF(AJ323+AJ333+AJ302+AJ313=0,0,IF(AJ$558&gt;='2.2 Input_General_Information'!$H$20,SUMPRODUCT('2.3 Input_Main_Questionnaire'!$H$29:$O$29,'2.2 Input_General_Information'!$H$92:$O$92)/SUM('2.2 Input_General_Information'!$H$92:$O$92)*(AJ323+AJ333+AJ302+AJ313)/'2.3 Input_Main_Questionnaire'!$H$29,0))</f>
        <v>1.2767603621159818E-3</v>
      </c>
      <c r="AK559" s="373">
        <f ca="1">IF(AK323+AK333+AK302+AK313=0,0,IF(AK$558&gt;='2.2 Input_General_Information'!$H$20,SUMPRODUCT('2.3 Input_Main_Questionnaire'!$H$29:$O$29,'2.2 Input_General_Information'!$H$92:$O$92)/SUM('2.2 Input_General_Information'!$H$92:$O$92)*(AK323+AK333+AK302+AK313)/'2.3 Input_Main_Questionnaire'!$H$29,0))</f>
        <v>1.4472565733066769E-3</v>
      </c>
      <c r="AL559" s="373">
        <f ca="1">IF(AL323+AL333+AL302+AL313=0,0,IF(AL$558&gt;='2.2 Input_General_Information'!$H$20,SUMPRODUCT('2.3 Input_Main_Questionnaire'!$H$29:$O$29,'2.2 Input_General_Information'!$H$92:$O$92)/SUM('2.2 Input_General_Information'!$H$92:$O$92)*(AL323+AL333+AL302+AL313)/'2.3 Input_Main_Questionnaire'!$H$29,0))</f>
        <v>1.7445461839750262E-3</v>
      </c>
      <c r="AM559" s="373">
        <f ca="1">IF(AM323+AM333+AM302+AM313=0,0,IF(AM$558&gt;='2.2 Input_General_Information'!$H$20,SUMPRODUCT('2.3 Input_Main_Questionnaire'!$H$29:$O$29,'2.2 Input_General_Information'!$H$92:$O$92)/SUM('2.2 Input_General_Information'!$H$92:$O$92)*(AM323+AM333+AM302+AM313)/'2.3 Input_Main_Questionnaire'!$H$29,0))</f>
        <v>2.2109110967311217E-3</v>
      </c>
      <c r="AN559" s="373">
        <f ca="1">IF(AN323+AN333+AN302+AN313=0,0,IF(AN$558&gt;='2.2 Input_General_Information'!$H$20,SUMPRODUCT('2.3 Input_Main_Questionnaire'!$H$29:$O$29,'2.2 Input_General_Information'!$H$92:$O$92)/SUM('2.2 Input_General_Information'!$H$92:$O$92)*(AN323+AN333+AN302+AN313)/'2.3 Input_Main_Questionnaire'!$H$29,0))</f>
        <v>2.8857275895313186E-3</v>
      </c>
      <c r="AO559" s="373">
        <f ca="1">IF(AO323+AO333+AO302+AO313=0,0,IF(AO$558&gt;='2.2 Input_General_Information'!$H$20,SUMPRODUCT('2.3 Input_Main_Questionnaire'!$H$29:$O$29,'2.2 Input_General_Information'!$H$92:$O$92)/SUM('2.2 Input_General_Information'!$H$92:$O$92)*(AO323+AO333+AO302+AO313)/'2.3 Input_Main_Questionnaire'!$H$29,0))</f>
        <v>3.778936678638916E-3</v>
      </c>
      <c r="AP559" s="373">
        <f ca="1">IF(AP323+AP333+AP302+AP313=0,0,IF(AP$558&gt;='2.2 Input_General_Information'!$H$20,SUMPRODUCT('2.3 Input_Main_Questionnaire'!$H$29:$O$29,'2.2 Input_General_Information'!$H$92:$O$92)/SUM('2.2 Input_General_Information'!$H$92:$O$92)*(AP323+AP333+AP302+AP313)/'2.3 Input_Main_Questionnaire'!$H$29,0))</f>
        <v>4.8258295976840232E-3</v>
      </c>
      <c r="AQ559" s="373">
        <f ca="1">IF(AQ323+AQ333+AQ302+AQ313=0,0,IF(AQ$558&gt;='2.2 Input_General_Information'!$H$20,SUMPRODUCT('2.3 Input_Main_Questionnaire'!$H$29:$O$29,'2.2 Input_General_Information'!$H$92:$O$92)/SUM('2.2 Input_General_Information'!$H$92:$O$92)*(AQ323+AQ333+AQ302+AQ313)/'2.3 Input_Main_Questionnaire'!$H$29,0))</f>
        <v>5.8431920487186859E-3</v>
      </c>
      <c r="AR559" s="373">
        <f ca="1">IF(AR323+AR333+AR302+AR313=0,0,IF(AR$558&gt;='2.2 Input_General_Information'!$H$20,SUMPRODUCT('2.3 Input_Main_Questionnaire'!$H$29:$O$29,'2.2 Input_General_Information'!$H$92:$O$92)/SUM('2.2 Input_General_Information'!$H$92:$O$92)*(AR323+AR333+AR302+AR313)/'2.3 Input_Main_Questionnaire'!$H$29,0))</f>
        <v>6.5435967715646391E-3</v>
      </c>
      <c r="AS559" s="373">
        <f ca="1">IF(AS323+AS333+AS302+AS313=0,0,IF(AS$558&gt;='2.2 Input_General_Information'!$H$20,SUMPRODUCT('2.3 Input_Main_Questionnaire'!$H$29:$O$29,'2.2 Input_General_Information'!$H$92:$O$92)/SUM('2.2 Input_General_Information'!$H$92:$O$92)*(AS323+AS333+AS302+AS313)/'2.3 Input_Main_Questionnaire'!$H$29,0))</f>
        <v>6.6594580388200219E-3</v>
      </c>
      <c r="AT559" s="373">
        <f ca="1">IF(AT323+AT333+AT302+AT313=0,0,IF(AT$558&gt;='2.2 Input_General_Information'!$H$20,SUMPRODUCT('2.3 Input_Main_Questionnaire'!$H$29:$O$29,'2.2 Input_General_Information'!$H$92:$O$92)/SUM('2.2 Input_General_Information'!$H$92:$O$92)*(AT323+AT333+AT302+AT313)/'2.3 Input_Main_Questionnaire'!$H$29,0))</f>
        <v>6.1182358586182551E-3</v>
      </c>
      <c r="AU559" s="373">
        <f ca="1">IF(AU323+AU333+AU302+AU313=0,0,IF(AU$558&gt;='2.2 Input_General_Information'!$H$20,SUMPRODUCT('2.3 Input_Main_Questionnaire'!$H$29:$O$29,'2.2 Input_General_Information'!$H$92:$O$92)/SUM('2.2 Input_General_Information'!$H$92:$O$92)*(AU323+AU333+AU302+AU313)/'2.3 Input_Main_Questionnaire'!$H$29,0))</f>
        <v>5.1008593318627457E-3</v>
      </c>
      <c r="AV559" s="373">
        <f ca="1">IF(AV323+AV333+AV302+AV313=0,0,IF(AV$558&gt;='2.2 Input_General_Information'!$H$20,SUMPRODUCT('2.3 Input_Main_Questionnaire'!$H$29:$O$29,'2.2 Input_General_Information'!$H$92:$O$92)/SUM('2.2 Input_General_Information'!$H$92:$O$92)*(AV323+AV333+AV302+AV313)/'2.3 Input_Main_Questionnaire'!$H$29,0))</f>
        <v>3.9149939770556398E-3</v>
      </c>
      <c r="AW559" s="373">
        <f ca="1">IF(AW323+AW333+AW302+AW313=0,0,IF(AW$558&gt;='2.2 Input_General_Information'!$H$20,SUMPRODUCT('2.3 Input_Main_Questionnaire'!$H$29:$O$29,'2.2 Input_General_Information'!$H$92:$O$92)/SUM('2.2 Input_General_Information'!$H$92:$O$92)*(AW323+AW333+AW302+AW313)/'2.3 Input_Main_Questionnaire'!$H$29,0))</f>
        <v>2.8184758046326404E-3</v>
      </c>
      <c r="AX559" s="373">
        <f ca="1">IF(AX323+AX333+AX302+AX313=0,0,IF(AX$558&gt;='2.2 Input_General_Information'!$H$20,SUMPRODUCT('2.3 Input_Main_Questionnaire'!$H$29:$O$29,'2.2 Input_General_Information'!$H$92:$O$92)/SUM('2.2 Input_General_Information'!$H$92:$O$92)*(AX323+AX333+AX302+AX313)/'2.3 Input_Main_Questionnaire'!$H$29,0))</f>
        <v>1.9391920601012148E-3</v>
      </c>
      <c r="AY559" s="373">
        <f ca="1">IF(AY323+AY333+AY302+AY313=0,0,IF(AY$558&gt;='2.2 Input_General_Information'!$H$20,SUMPRODUCT('2.3 Input_Main_Questionnaire'!$H$29:$O$29,'2.2 Input_General_Information'!$H$92:$O$92)/SUM('2.2 Input_General_Information'!$H$92:$O$92)*(AY323+AY333+AY302+AY313)/'2.3 Input_Main_Questionnaire'!$H$29,0))</f>
        <v>1.2961590358402477E-3</v>
      </c>
      <c r="AZ559" s="373">
        <f ca="1">IF(AZ323+AZ333+AZ302+AZ313=0,0,IF(AZ$558&gt;='2.2 Input_General_Information'!$H$20,SUMPRODUCT('2.3 Input_Main_Questionnaire'!$H$29:$O$29,'2.2 Input_General_Information'!$H$92:$O$92)/SUM('2.2 Input_General_Information'!$H$92:$O$92)*(AZ323+AZ333+AZ302+AZ313)/'2.3 Input_Main_Questionnaire'!$H$29,0))</f>
        <v>8.5315309489941813E-4</v>
      </c>
      <c r="BA559" s="373">
        <f ca="1">IF(BA323+BA333+BA302+BA313=0,0,IF(BA$558&gt;='2.2 Input_General_Information'!$H$20,SUMPRODUCT('2.3 Input_Main_Questionnaire'!$H$29:$O$29,'2.2 Input_General_Information'!$H$92:$O$92)/SUM('2.2 Input_General_Information'!$H$92:$O$92)*(BA323+BA333+BA302+BA313)/'2.3 Input_Main_Questionnaire'!$H$29,0))</f>
        <v>5.5941795039200369E-4</v>
      </c>
      <c r="BB559" s="373">
        <f ca="1">IF(BB323+BB333+BB302+BB313=0,0,IF(BB$558&gt;='2.2 Input_General_Information'!$H$20,SUMPRODUCT('2.3 Input_Main_Questionnaire'!$H$29:$O$29,'2.2 Input_General_Information'!$H$92:$O$92)/SUM('2.2 Input_General_Information'!$H$92:$O$92)*(BB323+BB333+BB302+BB313)/'2.3 Input_Main_Questionnaire'!$H$29,0))</f>
        <v>3.6931982996107925E-4</v>
      </c>
      <c r="BC559" s="373">
        <f ca="1">IF(BC323+BC333+BC302+BC313=0,0,IF(BC$558&gt;='2.2 Input_General_Information'!$H$20,SUMPRODUCT('2.3 Input_Main_Questionnaire'!$H$29:$O$29,'2.2 Input_General_Information'!$H$92:$O$92)/SUM('2.2 Input_General_Information'!$H$92:$O$92)*(BC323+BC333+BC302+BC313)/'2.3 Input_Main_Questionnaire'!$H$29,0))</f>
        <v>2.4813519145863852E-4</v>
      </c>
      <c r="BD559" s="373">
        <f ca="1">IF(BD323+BD333+BD302+BD313=0,0,IF(BD$558&gt;='2.2 Input_General_Information'!$H$20,SUMPRODUCT('2.3 Input_Main_Questionnaire'!$H$29:$O$29,'2.2 Input_General_Information'!$H$92:$O$92)/SUM('2.2 Input_General_Information'!$H$92:$O$92)*(BD323+BD333+BD302+BD313)/'2.3 Input_Main_Questionnaire'!$H$29,0))</f>
        <v>1.7158552643012782E-4</v>
      </c>
      <c r="BE559" s="373">
        <f ca="1">IF(BE323+BE333+BE302+BE313=0,0,IF(BE$558&gt;='2.2 Input_General_Information'!$H$20,SUMPRODUCT('2.3 Input_Main_Questionnaire'!$H$29:$O$29,'2.2 Input_General_Information'!$H$92:$O$92)/SUM('2.2 Input_General_Information'!$H$92:$O$92)*(BE323+BE333+BE302+BE313)/'2.3 Input_Main_Questionnaire'!$H$29,0))</f>
        <v>1.2348377134990861E-4</v>
      </c>
      <c r="BF559" s="373">
        <f ca="1">IF(BF323+BF333+BF302+BF313=0,0,IF(BF$558&gt;='2.2 Input_General_Information'!$H$20,SUMPRODUCT('2.3 Input_Main_Questionnaire'!$H$29:$O$29,'2.2 Input_General_Information'!$H$92:$O$92)/SUM('2.2 Input_General_Information'!$H$92:$O$92)*(BF323+BF333+BF302+BF313)/'2.3 Input_Main_Questionnaire'!$H$29,0))</f>
        <v>9.3335073586928624E-5</v>
      </c>
      <c r="BG559" s="373">
        <f ca="1">IF(BG323+BG333+BG302+BG313=0,0,IF(BG$558&gt;='2.2 Input_General_Information'!$H$20,SUMPRODUCT('2.3 Input_Main_Questionnaire'!$H$29:$O$29,'2.2 Input_General_Information'!$H$92:$O$92)/SUM('2.2 Input_General_Information'!$H$92:$O$92)*(BG323+BG333+BG302+BG313)/'2.3 Input_Main_Questionnaire'!$H$29,0))</f>
        <v>7.4448186623855464E-5</v>
      </c>
      <c r="BH559" s="373">
        <f ca="1">IF(BH323+BH333+BH302+BH313=0,0,IF(BH$558&gt;='2.2 Input_General_Information'!$H$20,SUMPRODUCT('2.3 Input_Main_Questionnaire'!$H$29:$O$29,'2.2 Input_General_Information'!$H$92:$O$92)/SUM('2.2 Input_General_Information'!$H$92:$O$92)*(BH323+BH333+BH302+BH313)/'2.3 Input_Main_Questionnaire'!$H$29,0))</f>
        <v>6.259988084626015E-5</v>
      </c>
      <c r="BI559" s="373">
        <f ca="1">IF(BI323+BI333+BI302+BI313=0,0,IF(BI$558&gt;='2.2 Input_General_Information'!$H$20,SUMPRODUCT('2.3 Input_Main_Questionnaire'!$H$29:$O$29,'2.2 Input_General_Information'!$H$92:$O$92)/SUM('2.2 Input_General_Information'!$H$92:$O$92)*(BI323+BI333+BI302+BI313)/'2.3 Input_Main_Questionnaire'!$H$29,0))</f>
        <v>5.5140818445566694E-5</v>
      </c>
      <c r="BJ559" s="373">
        <f ca="1">IF(BJ323+BJ333+BJ302+BJ313=0,0,IF(BJ$558&gt;='2.2 Input_General_Information'!$H$20,SUMPRODUCT('2.3 Input_Main_Questionnaire'!$H$29:$O$29,'2.2 Input_General_Information'!$H$92:$O$92)/SUM('2.2 Input_General_Information'!$H$92:$O$92)*(BJ323+BJ333+BJ302+BJ313)/'2.3 Input_Main_Questionnaire'!$H$29,0))</f>
        <v>5.0415019899400925E-5</v>
      </c>
      <c r="BK559" s="373">
        <f ca="1">IF(BK323+BK333+BK302+BK313=0,0,IF(BK$558&gt;='2.2 Input_General_Information'!$H$20,SUMPRODUCT('2.3 Input_Main_Questionnaire'!$H$29:$O$29,'2.2 Input_General_Information'!$H$92:$O$92)/SUM('2.2 Input_General_Information'!$H$92:$O$92)*(BK323+BK333+BK302+BK313)/'2.3 Input_Main_Questionnaire'!$H$29,0))</f>
        <v>4.7389597494634603E-5</v>
      </c>
      <c r="BL559" s="99"/>
      <c r="BM559" s="99"/>
      <c r="BN559" s="99"/>
      <c r="BO559" s="99"/>
      <c r="BP559" s="99"/>
      <c r="BQ559" s="99"/>
      <c r="BR559" s="99"/>
      <c r="BS559" s="99"/>
      <c r="BT559" s="99"/>
      <c r="BU559" s="99"/>
    </row>
    <row r="560" spans="1:73">
      <c r="A560" s="6"/>
      <c r="B560" s="108"/>
      <c r="C560" s="1"/>
      <c r="D560" s="1"/>
      <c r="E560" s="1"/>
      <c r="F560" s="1"/>
      <c r="G560" s="3"/>
      <c r="H560" s="3"/>
      <c r="I560" s="3"/>
      <c r="J560" s="3"/>
      <c r="K560" s="3"/>
      <c r="L560" s="3"/>
      <c r="M560" s="3"/>
      <c r="N560" s="3"/>
      <c r="O560" s="1"/>
      <c r="P560" s="1"/>
      <c r="Q560" s="1"/>
      <c r="R560" s="162"/>
      <c r="S560" s="1"/>
      <c r="T560" s="103"/>
      <c r="U560" s="9"/>
      <c r="V560" s="101" t="s">
        <v>1050</v>
      </c>
      <c r="W560" s="373">
        <f ca="1">IF(W526+W537=0,0,IF(W$558&gt;='2.2 Input_General_Information'!$H$20,SUMPRODUCT('2.3 Input_Main_Questionnaire'!$H$31:$O$31,'2.2 Input_General_Information'!$H$92:$O$92)/SUM('2.2 Input_General_Information'!$H$92:$O$92)*(W526+W537)/'2.3 Input_Main_Questionnaire'!$H$31,0))</f>
        <v>3.5388813546178816E-2</v>
      </c>
      <c r="X560" s="373">
        <f ca="1">IF(X526+X537=0,0,IF(X$558&gt;='2.2 Input_General_Information'!$H$20,SUMPRODUCT('2.3 Input_Main_Questionnaire'!$H$31:$O$31,'2.2 Input_General_Information'!$H$92:$O$92)/SUM('2.2 Input_General_Information'!$H$92:$O$92)*(X526+X537)/'2.3 Input_Main_Questionnaire'!$H$31,0))</f>
        <v>3.5519752030221244E-2</v>
      </c>
      <c r="Y560" s="373">
        <f ca="1">IF(Y526+Y537=0,0,IF(Y$558&gt;='2.2 Input_General_Information'!$H$20,SUMPRODUCT('2.3 Input_Main_Questionnaire'!$H$31:$O$31,'2.2 Input_General_Information'!$H$92:$O$92)/SUM('2.2 Input_General_Information'!$H$92:$O$92)*(Y526+Y537)/'2.3 Input_Main_Questionnaire'!$H$31,0))</f>
        <v>3.5515762855588648E-2</v>
      </c>
      <c r="Z560" s="373">
        <f ca="1">IF(Z526+Z537=0,0,IF(Z$558&gt;='2.2 Input_General_Information'!$H$20,SUMPRODUCT('2.3 Input_Main_Questionnaire'!$H$31:$O$31,'2.2 Input_General_Information'!$H$92:$O$92)/SUM('2.2 Input_General_Information'!$H$92:$O$92)*(Z526+Z537)/'2.3 Input_Main_Questionnaire'!$H$31,0))</f>
        <v>3.5505813029944662E-2</v>
      </c>
      <c r="AA560" s="373">
        <f ca="1">IF(AA526+AA537=0,0,IF(AA$558&gt;='2.2 Input_General_Information'!$H$20,SUMPRODUCT('2.3 Input_Main_Questionnaire'!$H$31:$O$31,'2.2 Input_General_Information'!$H$92:$O$92)/SUM('2.2 Input_General_Information'!$H$92:$O$92)*(AA526+AA537)/'2.3 Input_Main_Questionnaire'!$H$31,0))</f>
        <v>3.5489440315987733E-2</v>
      </c>
      <c r="AB560" s="373">
        <f ca="1">IF(AB526+AB537=0,0,IF(AB$558&gt;='2.2 Input_General_Information'!$H$20,SUMPRODUCT('2.3 Input_Main_Questionnaire'!$H$31:$O$31,'2.2 Input_General_Information'!$H$92:$O$92)/SUM('2.2 Input_General_Information'!$H$92:$O$92)*(AB526+AB537)/'2.3 Input_Main_Questionnaire'!$H$31,0))</f>
        <v>3.5465908930745138E-2</v>
      </c>
      <c r="AC560" s="373">
        <f ca="1">IF(AC526+AC537=0,0,IF(AC$558&gt;='2.2 Input_General_Information'!$H$20,SUMPRODUCT('2.3 Input_Main_Questionnaire'!$H$31:$O$31,'2.2 Input_General_Information'!$H$92:$O$92)/SUM('2.2 Input_General_Information'!$H$92:$O$92)*(AC526+AC537)/'2.3 Input_Main_Questionnaire'!$H$31,0))</f>
        <v>3.5433637779042584E-2</v>
      </c>
      <c r="AD560" s="373">
        <f ca="1">IF(AD526+AD537=0,0,IF(AD$558&gt;='2.2 Input_General_Information'!$H$20,SUMPRODUCT('2.3 Input_Main_Questionnaire'!$H$31:$O$31,'2.2 Input_General_Information'!$H$92:$O$92)/SUM('2.2 Input_General_Information'!$H$92:$O$92)*(AD526+AD537)/'2.3 Input_Main_Questionnaire'!$H$31,0))</f>
        <v>3.5389435956067646E-2</v>
      </c>
      <c r="AE560" s="373">
        <f ca="1">IF(AE526+AE537=0,0,IF(AE$558&gt;='2.2 Input_General_Information'!$H$20,SUMPRODUCT('2.3 Input_Main_Questionnaire'!$H$31:$O$31,'2.2 Input_General_Information'!$H$92:$O$92)/SUM('2.2 Input_General_Information'!$H$92:$O$92)*(AE526+AE537)/'2.3 Input_Main_Questionnaire'!$H$31,0))</f>
        <v>3.5327486777227801E-2</v>
      </c>
      <c r="AF560" s="373">
        <f ca="1">IF(AF526+AF537=0,0,IF(AF$558&gt;='2.2 Input_General_Information'!$H$20,SUMPRODUCT('2.3 Input_Main_Questionnaire'!$H$31:$O$31,'2.2 Input_General_Information'!$H$92:$O$92)/SUM('2.2 Input_General_Information'!$H$92:$O$92)*(AF526+AF537)/'2.3 Input_Main_Questionnaire'!$H$31,0))</f>
        <v>3.5237933281202817E-2</v>
      </c>
      <c r="AG560" s="373">
        <f ca="1">IF(AG526+AG537=0,0,IF(AG$558&gt;='2.2 Input_General_Information'!$H$20,SUMPRODUCT('2.3 Input_Main_Questionnaire'!$H$31:$O$31,'2.2 Input_General_Information'!$H$92:$O$92)/SUM('2.2 Input_General_Information'!$H$92:$O$92)*(AG526+AG537)/'2.3 Input_Main_Questionnaire'!$H$31,0))</f>
        <v>3.5104826170879747E-2</v>
      </c>
      <c r="AH560" s="373">
        <f ca="1">IF(AH526+AH537=0,0,IF(AH$558&gt;='2.2 Input_General_Information'!$H$20,SUMPRODUCT('2.3 Input_Main_Questionnaire'!$H$31:$O$31,'2.2 Input_General_Information'!$H$92:$O$92)/SUM('2.2 Input_General_Information'!$H$92:$O$92)*(AH526+AH537)/'2.3 Input_Main_Questionnaire'!$H$31,0))</f>
        <v>3.4903129084727889E-2</v>
      </c>
      <c r="AI560" s="373">
        <f ca="1">IF(AI526+AI537=0,0,IF(AI$558&gt;='2.2 Input_General_Information'!$H$20,SUMPRODUCT('2.3 Input_Main_Questionnaire'!$H$31:$O$31,'2.2 Input_General_Information'!$H$92:$O$92)/SUM('2.2 Input_General_Information'!$H$92:$O$92)*(AI526+AI537)/'2.3 Input_Main_Questionnaire'!$H$31,0))</f>
        <v>3.4594496994685885E-2</v>
      </c>
      <c r="AJ560" s="373">
        <f ca="1">IF(AJ526+AJ537=0,0,IF(AJ$558&gt;='2.2 Input_General_Information'!$H$20,SUMPRODUCT('2.3 Input_Main_Questionnaire'!$H$31:$O$31,'2.2 Input_General_Information'!$H$92:$O$92)/SUM('2.2 Input_General_Information'!$H$92:$O$92)*(AJ526+AJ537)/'2.3 Input_Main_Questionnaire'!$H$31,0))</f>
        <v>3.4121806765568641E-2</v>
      </c>
      <c r="AK560" s="373">
        <f ca="1">IF(AK526+AK537=0,0,IF(AK$558&gt;='2.2 Input_General_Information'!$H$20,SUMPRODUCT('2.3 Input_Main_Questionnaire'!$H$31:$O$31,'2.2 Input_General_Information'!$H$92:$O$92)/SUM('2.2 Input_General_Information'!$H$92:$O$92)*(AK526+AK537)/'2.3 Input_Main_Questionnaire'!$H$31,0))</f>
        <v>3.3403265851328308E-2</v>
      </c>
      <c r="AL560" s="373">
        <f ca="1">IF(AL526+AL537=0,0,IF(AL$558&gt;='2.2 Input_General_Information'!$H$20,SUMPRODUCT('2.3 Input_Main_Questionnaire'!$H$31:$O$31,'2.2 Input_General_Information'!$H$92:$O$92)/SUM('2.2 Input_General_Information'!$H$92:$O$92)*(AL526+AL537)/'2.3 Input_Main_Questionnaire'!$H$31,0))</f>
        <v>3.2328926426037574E-2</v>
      </c>
      <c r="AM560" s="373">
        <f ca="1">IF(AM526+AM537=0,0,IF(AM$558&gt;='2.2 Input_General_Information'!$H$20,SUMPRODUCT('2.3 Input_Main_Questionnaire'!$H$31:$O$31,'2.2 Input_General_Information'!$H$92:$O$92)/SUM('2.2 Input_General_Information'!$H$92:$O$92)*(AM526+AM537)/'2.3 Input_Main_Questionnaire'!$H$31,0))</f>
        <v>3.0766049285755753E-2</v>
      </c>
      <c r="AN560" s="373">
        <f ca="1">IF(AN526+AN537=0,0,IF(AN$558&gt;='2.2 Input_General_Information'!$H$20,SUMPRODUCT('2.3 Input_Main_Questionnaire'!$H$31:$O$31,'2.2 Input_General_Information'!$H$92:$O$92)/SUM('2.2 Input_General_Information'!$H$92:$O$92)*(AN526+AN537)/'2.3 Input_Main_Questionnaire'!$H$31,0))</f>
        <v>2.858382652833898E-2</v>
      </c>
      <c r="AO560" s="373">
        <f ca="1">IF(AO526+AO537=0,0,IF(AO$558&gt;='2.2 Input_General_Information'!$H$20,SUMPRODUCT('2.3 Input_Main_Questionnaire'!$H$31:$O$31,'2.2 Input_General_Information'!$H$92:$O$92)/SUM('2.2 Input_General_Information'!$H$92:$O$92)*(AO526+AO537)/'2.3 Input_Main_Questionnaire'!$H$31,0))</f>
        <v>2.5706560967899448E-2</v>
      </c>
      <c r="AP560" s="373">
        <f ca="1">IF(AP526+AP537=0,0,IF(AP$558&gt;='2.2 Input_General_Information'!$H$20,SUMPRODUCT('2.3 Input_Main_Questionnaire'!$H$31:$O$31,'2.2 Input_General_Information'!$H$92:$O$92)/SUM('2.2 Input_General_Information'!$H$92:$O$92)*(AP526+AP537)/'2.3 Input_Main_Questionnaire'!$H$31,0))</f>
        <v>2.2186451768603316E-2</v>
      </c>
      <c r="AQ560" s="373">
        <f ca="1">IF(AQ526+AQ537=0,0,IF(AQ$558&gt;='2.2 Input_General_Information'!$H$20,SUMPRODUCT('2.3 Input_Main_Questionnaire'!$H$31:$O$31,'2.2 Input_General_Information'!$H$92:$O$92)/SUM('2.2 Input_General_Information'!$H$92:$O$92)*(AQ526+AQ537)/'2.3 Input_Main_Questionnaire'!$H$31,0))</f>
        <v>1.8251760166048479E-2</v>
      </c>
      <c r="AR560" s="373">
        <f ca="1">IF(AR526+AR537=0,0,IF(AR$558&gt;='2.2 Input_General_Information'!$H$20,SUMPRODUCT('2.3 Input_Main_Questionnaire'!$H$31:$O$31,'2.2 Input_General_Information'!$H$92:$O$92)/SUM('2.2 Input_General_Information'!$H$92:$O$92)*(AR526+AR537)/'2.3 Input_Main_Questionnaire'!$H$31,0))</f>
        <v>1.4270502200175575E-2</v>
      </c>
      <c r="AS560" s="373">
        <f ca="1">IF(AS526+AS537=0,0,IF(AS$558&gt;='2.2 Input_General_Information'!$H$20,SUMPRODUCT('2.3 Input_Main_Questionnaire'!$H$31:$O$31,'2.2 Input_General_Information'!$H$92:$O$92)/SUM('2.2 Input_General_Information'!$H$92:$O$92)*(AS526+AS537)/'2.3 Input_Main_Questionnaire'!$H$31,0))</f>
        <v>1.0624557177355451E-2</v>
      </c>
      <c r="AT560" s="373">
        <f ca="1">IF(AT526+AT537=0,0,IF(AT$558&gt;='2.2 Input_General_Information'!$H$20,SUMPRODUCT('2.3 Input_Main_Questionnaire'!$H$31:$O$31,'2.2 Input_General_Information'!$H$92:$O$92)/SUM('2.2 Input_General_Information'!$H$92:$O$92)*(AT526+AT537)/'2.3 Input_Main_Questionnaire'!$H$31,0))</f>
        <v>7.576302550299412E-3</v>
      </c>
      <c r="AU560" s="373">
        <f ca="1">IF(AU526+AU537=0,0,IF(AU$558&gt;='2.2 Input_General_Information'!$H$20,SUMPRODUCT('2.3 Input_Main_Questionnaire'!$H$31:$O$31,'2.2 Input_General_Information'!$H$92:$O$92)/SUM('2.2 Input_General_Information'!$H$92:$O$92)*(AU526+AU537)/'2.3 Input_Main_Questionnaire'!$H$31,0))</f>
        <v>5.2158285881544102E-3</v>
      </c>
      <c r="AV560" s="373">
        <f ca="1">IF(AV526+AV537=0,0,IF(AV$558&gt;='2.2 Input_General_Information'!$H$20,SUMPRODUCT('2.3 Input_Main_Questionnaire'!$H$31:$O$31,'2.2 Input_General_Information'!$H$92:$O$92)/SUM('2.2 Input_General_Information'!$H$92:$O$92)*(AV526+AV537)/'2.3 Input_Main_Questionnaire'!$H$31,0))</f>
        <v>3.4951961219906644E-3</v>
      </c>
      <c r="AW560" s="373">
        <f ca="1">IF(AW526+AW537=0,0,IF(AW$558&gt;='2.2 Input_General_Information'!$H$20,SUMPRODUCT('2.3 Input_Main_Questionnaire'!$H$31:$O$31,'2.2 Input_General_Information'!$H$92:$O$92)/SUM('2.2 Input_General_Information'!$H$92:$O$92)*(AW526+AW537)/'2.3 Input_Main_Questionnaire'!$H$31,0))</f>
        <v>2.2965426291848673E-3</v>
      </c>
      <c r="AX560" s="373">
        <f ca="1">IF(AX526+AX537=0,0,IF(AX$558&gt;='2.2 Input_General_Information'!$H$20,SUMPRODUCT('2.3 Input_Main_Questionnaire'!$H$31:$O$31,'2.2 Input_General_Information'!$H$92:$O$92)/SUM('2.2 Input_General_Information'!$H$92:$O$92)*(AX526+AX537)/'2.3 Input_Main_Questionnaire'!$H$31,0))</f>
        <v>1.488305817231611E-3</v>
      </c>
      <c r="AY560" s="373">
        <f ca="1">IF(AY526+AY537=0,0,IF(AY$558&gt;='2.2 Input_General_Information'!$H$20,SUMPRODUCT('2.3 Input_Main_Questionnaire'!$H$31:$O$31,'2.2 Input_General_Information'!$H$92:$O$92)/SUM('2.2 Input_General_Information'!$H$92:$O$92)*(AY526+AY537)/'2.3 Input_Main_Questionnaire'!$H$31,0))</f>
        <v>9.5553725191291859E-4</v>
      </c>
      <c r="AZ560" s="373">
        <f ca="1">IF(AZ526+AZ537=0,0,IF(AZ$558&gt;='2.2 Input_General_Information'!$H$20,SUMPRODUCT('2.3 Input_Main_Questionnaire'!$H$31:$O$31,'2.2 Input_General_Information'!$H$92:$O$92)/SUM('2.2 Input_General_Information'!$H$92:$O$92)*(AZ526+AZ537)/'2.3 Input_Main_Questionnaire'!$H$31,0))</f>
        <v>6.0969153731668722E-4</v>
      </c>
      <c r="BA560" s="373">
        <f ca="1">IF(BA526+BA537=0,0,IF(BA$558&gt;='2.2 Input_General_Information'!$H$20,SUMPRODUCT('2.3 Input_Main_Questionnaire'!$H$31:$O$31,'2.2 Input_General_Information'!$H$92:$O$92)/SUM('2.2 Input_General_Information'!$H$92:$O$92)*(BA526+BA537)/'2.3 Input_Main_Questionnaire'!$H$31,0))</f>
        <v>3.8745147323745544E-4</v>
      </c>
      <c r="BB560" s="373">
        <f ca="1">IF(BB526+BB537=0,0,IF(BB$558&gt;='2.2 Input_General_Information'!$H$20,SUMPRODUCT('2.3 Input_Main_Questionnaire'!$H$31:$O$31,'2.2 Input_General_Information'!$H$92:$O$92)/SUM('2.2 Input_General_Information'!$H$92:$O$92)*(BB526+BB537)/'2.3 Input_Main_Questionnaire'!$H$31,0))</f>
        <v>2.4558020881728547E-4</v>
      </c>
      <c r="BC560" s="373">
        <f ca="1">IF(BC526+BC537=0,0,IF(BC$558&gt;='2.2 Input_General_Information'!$H$20,SUMPRODUCT('2.3 Input_Main_Questionnaire'!$H$31:$O$31,'2.2 Input_General_Information'!$H$92:$O$92)/SUM('2.2 Input_General_Information'!$H$92:$O$92)*(BC526+BC537)/'2.3 Input_Main_Questionnaire'!$H$31,0))</f>
        <v>1.5539828424396116E-4</v>
      </c>
      <c r="BD560" s="373">
        <f ca="1">IF(BD526+BD537=0,0,IF(BD$558&gt;='2.2 Input_General_Information'!$H$20,SUMPRODUCT('2.3 Input_Main_Questionnaire'!$H$31:$O$31,'2.2 Input_General_Information'!$H$92:$O$92)/SUM('2.2 Input_General_Information'!$H$92:$O$92)*(BD526+BD537)/'2.3 Input_Main_Questionnaire'!$H$31,0))</f>
        <v>9.8228849882347531E-5</v>
      </c>
      <c r="BE560" s="373">
        <f ca="1">IF(BE526+BE537=0,0,IF(BE$558&gt;='2.2 Input_General_Information'!$H$20,SUMPRODUCT('2.3 Input_Main_Questionnaire'!$H$31:$O$31,'2.2 Input_General_Information'!$H$92:$O$92)/SUM('2.2 Input_General_Information'!$H$92:$O$92)*(BE526+BE537)/'2.3 Input_Main_Questionnaire'!$H$31,0))</f>
        <v>6.2049784849309555E-5</v>
      </c>
      <c r="BF560" s="373">
        <f ca="1">IF(BF526+BF537=0,0,IF(BF$558&gt;='2.2 Input_General_Information'!$H$20,SUMPRODUCT('2.3 Input_Main_Questionnaire'!$H$31:$O$31,'2.2 Input_General_Information'!$H$92:$O$92)/SUM('2.2 Input_General_Information'!$H$92:$O$92)*(BF526+BF537)/'2.3 Input_Main_Questionnaire'!$H$31,0))</f>
        <v>3.9179334371010825E-5</v>
      </c>
      <c r="BG560" s="373">
        <f ca="1">IF(BG526+BG537=0,0,IF(BG$558&gt;='2.2 Input_General_Information'!$H$20,SUMPRODUCT('2.3 Input_Main_Questionnaire'!$H$31:$O$31,'2.2 Input_General_Information'!$H$92:$O$92)/SUM('2.2 Input_General_Information'!$H$92:$O$92)*(BG526+BG537)/'2.3 Input_Main_Questionnaire'!$H$31,0))</f>
        <v>2.4731892331562354E-5</v>
      </c>
      <c r="BH560" s="373">
        <f ca="1">IF(BH526+BH537=0,0,IF(BH$558&gt;='2.2 Input_General_Information'!$H$20,SUMPRODUCT('2.3 Input_Main_Questionnaire'!$H$31:$O$31,'2.2 Input_General_Information'!$H$92:$O$92)/SUM('2.2 Input_General_Information'!$H$92:$O$92)*(BH526+BH537)/'2.3 Input_Main_Questionnaire'!$H$31,0))</f>
        <v>1.5609326594009909E-5</v>
      </c>
      <c r="BI560" s="373">
        <f ca="1">IF(BI526+BI537=0,0,IF(BI$558&gt;='2.2 Input_General_Information'!$H$20,SUMPRODUCT('2.3 Input_Main_Questionnaire'!$H$31:$O$31,'2.2 Input_General_Information'!$H$92:$O$92)/SUM('2.2 Input_General_Information'!$H$92:$O$92)*(BI526+BI537)/'2.3 Input_Main_Questionnaire'!$H$31,0))</f>
        <v>9.8506453587212517E-6</v>
      </c>
      <c r="BJ560" s="373">
        <f ca="1">IF(BJ526+BJ537=0,0,IF(BJ$558&gt;='2.2 Input_General_Information'!$H$20,SUMPRODUCT('2.3 Input_Main_Questionnaire'!$H$31:$O$31,'2.2 Input_General_Information'!$H$92:$O$92)/SUM('2.2 Input_General_Information'!$H$92:$O$92)*(BJ526+BJ537)/'2.3 Input_Main_Questionnaire'!$H$31,0))</f>
        <v>6.2160720944769408E-6</v>
      </c>
      <c r="BK560" s="373">
        <f ca="1">IF(BK526+BK537=0,0,IF(BK$558&gt;='2.2 Input_General_Information'!$H$20,SUMPRODUCT('2.3 Input_Main_Questionnaire'!$H$31:$O$31,'2.2 Input_General_Information'!$H$92:$O$92)/SUM('2.2 Input_General_Information'!$H$92:$O$92)*(BK526+BK537)/'2.3 Input_Main_Questionnaire'!$H$31,0))</f>
        <v>3.9223744886892702E-6</v>
      </c>
      <c r="BL560" s="99"/>
      <c r="BM560" s="99"/>
      <c r="BN560" s="99"/>
      <c r="BO560" s="99"/>
      <c r="BP560" s="99"/>
      <c r="BQ560" s="99"/>
      <c r="BR560" s="99"/>
      <c r="BS560" s="99"/>
      <c r="BT560" s="99"/>
      <c r="BU560" s="99"/>
    </row>
    <row r="561" spans="1:73">
      <c r="A561" s="6"/>
      <c r="B561" s="108"/>
      <c r="C561" s="1"/>
      <c r="D561" s="1"/>
      <c r="E561" s="1"/>
      <c r="F561" s="1"/>
      <c r="G561" s="3"/>
      <c r="H561" s="3"/>
      <c r="I561" s="3"/>
      <c r="J561" s="3"/>
      <c r="K561" s="3"/>
      <c r="L561" s="3"/>
      <c r="M561" s="3"/>
      <c r="N561" s="3"/>
      <c r="O561" s="1"/>
      <c r="P561" s="1"/>
      <c r="Q561" s="1"/>
      <c r="R561" s="162"/>
      <c r="S561" s="1"/>
      <c r="T561" s="103"/>
      <c r="U561" s="9"/>
      <c r="V561" s="101" t="s">
        <v>932</v>
      </c>
      <c r="W561" s="373">
        <f ca="1">IF(W$558&gt;='2.2 Input_General_Information'!$H$20,W559+W560,)</f>
        <v>3.5388813546178816E-2</v>
      </c>
      <c r="X561" s="373">
        <f ca="1">IF(X$558&gt;='2.2 Input_General_Information'!$H$20,X559+X560,)</f>
        <v>3.7497137716407225E-2</v>
      </c>
      <c r="Y561" s="373">
        <f ca="1">IF(Y$558&gt;='2.2 Input_General_Information'!$H$20,Y559+Y560,)</f>
        <v>3.7497296652842543E-2</v>
      </c>
      <c r="Z561" s="373">
        <f ca="1">IF(Z$558&gt;='2.2 Input_General_Information'!$H$20,Z559+Z560,)</f>
        <v>3.7448378975225974E-2</v>
      </c>
      <c r="AA561" s="373">
        <f ca="1">IF(AA$558&gt;='2.2 Input_General_Information'!$H$20,AA559+AA560,)</f>
        <v>3.7355505304820645E-2</v>
      </c>
      <c r="AB561" s="373">
        <f ca="1">IF(AB$558&gt;='2.2 Input_General_Information'!$H$20,AB559+AB560,)</f>
        <v>3.7227563634741986E-2</v>
      </c>
      <c r="AC561" s="373">
        <f ca="1">IF(AC$558&gt;='2.2 Input_General_Information'!$H$20,AC559+AC560,)</f>
        <v>3.7074702477101588E-2</v>
      </c>
      <c r="AD561" s="373">
        <f ca="1">IF(AD$558&gt;='2.2 Input_General_Information'!$H$20,AD559+AD560,)</f>
        <v>3.6905774783265004E-2</v>
      </c>
      <c r="AE561" s="373">
        <f ca="1">IF(AE$558&gt;='2.2 Input_General_Information'!$H$20,AE559+AE560,)</f>
        <v>3.6726177381762246E-2</v>
      </c>
      <c r="AF561" s="373">
        <f ca="1">IF(AF$558&gt;='2.2 Input_General_Information'!$H$20,AF559+AF560,)</f>
        <v>3.653610778644021E-2</v>
      </c>
      <c r="AG561" s="373">
        <f ca="1">IF(AG$558&gt;='2.2 Input_General_Information'!$H$20,AG559+AG560,)</f>
        <v>3.6329006852153727E-2</v>
      </c>
      <c r="AH561" s="373">
        <f ca="1">IF(AH$558&gt;='2.2 Input_General_Information'!$H$20,AH559+AH560,)</f>
        <v>3.6089841598837366E-2</v>
      </c>
      <c r="AI561" s="373">
        <f ca="1">IF(AI$558&gt;='2.2 Input_General_Information'!$H$20,AI559+AI560,)</f>
        <v>3.5792852199222007E-2</v>
      </c>
      <c r="AJ561" s="373">
        <f ca="1">IF(AJ$558&gt;='2.2 Input_General_Information'!$H$20,AJ559+AJ560,)</f>
        <v>3.5398567127684626E-2</v>
      </c>
      <c r="AK561" s="373">
        <f ca="1">IF(AK$558&gt;='2.2 Input_General_Information'!$H$20,AK559+AK560,)</f>
        <v>3.4850522424634982E-2</v>
      </c>
      <c r="AL561" s="373">
        <f ca="1">IF(AL$558&gt;='2.2 Input_General_Information'!$H$20,AL559+AL560,)</f>
        <v>3.4073472610012603E-2</v>
      </c>
      <c r="AM561" s="373">
        <f ca="1">IF(AM$558&gt;='2.2 Input_General_Information'!$H$20,AM559+AM560,)</f>
        <v>3.2976960382486875E-2</v>
      </c>
      <c r="AN561" s="373">
        <f ca="1">IF(AN$558&gt;='2.2 Input_General_Information'!$H$20,AN559+AN560,)</f>
        <v>3.1469554117870301E-2</v>
      </c>
      <c r="AO561" s="373">
        <f ca="1">IF(AO$558&gt;='2.2 Input_General_Information'!$H$20,AO559+AO560,)</f>
        <v>2.9485497646538364E-2</v>
      </c>
      <c r="AP561" s="373">
        <f ca="1">IF(AP$558&gt;='2.2 Input_General_Information'!$H$20,AP559+AP560,)</f>
        <v>2.701228136628734E-2</v>
      </c>
      <c r="AQ561" s="373">
        <f ca="1">IF(AQ$558&gt;='2.2 Input_General_Information'!$H$20,AQ559+AQ560,)</f>
        <v>2.4094952214767165E-2</v>
      </c>
      <c r="AR561" s="373">
        <f ca="1">IF(AR$558&gt;='2.2 Input_General_Information'!$H$20,AR559+AR560,)</f>
        <v>2.0814098971740212E-2</v>
      </c>
      <c r="AS561" s="373">
        <f ca="1">IF(AS$558&gt;='2.2 Input_General_Information'!$H$20,AS559+AS560,)</f>
        <v>1.7284015216175473E-2</v>
      </c>
      <c r="AT561" s="373">
        <f ca="1">IF(AT$558&gt;='2.2 Input_General_Information'!$H$20,AT559+AT560,)</f>
        <v>1.3694538408917666E-2</v>
      </c>
      <c r="AU561" s="373">
        <f ca="1">IF(AU$558&gt;='2.2 Input_General_Information'!$H$20,AU559+AU560,)</f>
        <v>1.0316687920017156E-2</v>
      </c>
      <c r="AV561" s="373">
        <f ca="1">IF(AV$558&gt;='2.2 Input_General_Information'!$H$20,AV559+AV560,)</f>
        <v>7.4101900990463047E-3</v>
      </c>
      <c r="AW561" s="373">
        <f ca="1">IF(AW$558&gt;='2.2 Input_General_Information'!$H$20,AW559+AW560,)</f>
        <v>5.1150184338175078E-3</v>
      </c>
      <c r="AX561" s="373">
        <f ca="1">IF(AX$558&gt;='2.2 Input_General_Information'!$H$20,AX559+AX560,)</f>
        <v>3.427497877332826E-3</v>
      </c>
      <c r="AY561" s="373">
        <f ca="1">IF(AY$558&gt;='2.2 Input_General_Information'!$H$20,AY559+AY560,)</f>
        <v>2.2516962877531664E-3</v>
      </c>
      <c r="AZ561" s="373">
        <f ca="1">IF(AZ$558&gt;='2.2 Input_General_Information'!$H$20,AZ559+AZ560,)</f>
        <v>1.4628446322161055E-3</v>
      </c>
      <c r="BA561" s="373">
        <f ca="1">IF(BA$558&gt;='2.2 Input_General_Information'!$H$20,BA559+BA560,)</f>
        <v>9.4686942362945913E-4</v>
      </c>
      <c r="BB561" s="373">
        <f ca="1">IF(BB$558&gt;='2.2 Input_General_Information'!$H$20,BB559+BB560,)</f>
        <v>6.1490003877836467E-4</v>
      </c>
      <c r="BC561" s="373">
        <f ca="1">IF(BC$558&gt;='2.2 Input_General_Information'!$H$20,BC559+BC560,)</f>
        <v>4.0353347570259968E-4</v>
      </c>
      <c r="BD561" s="373">
        <f ca="1">IF(BD$558&gt;='2.2 Input_General_Information'!$H$20,BD559+BD560,)</f>
        <v>2.6981437631247538E-4</v>
      </c>
      <c r="BE561" s="373">
        <f ca="1">IF(BE$558&gt;='2.2 Input_General_Information'!$H$20,BE559+BE560,)</f>
        <v>1.8553355619921818E-4</v>
      </c>
      <c r="BF561" s="373">
        <f ca="1">IF(BF$558&gt;='2.2 Input_General_Information'!$H$20,BF559+BF560,)</f>
        <v>1.3251440795793946E-4</v>
      </c>
      <c r="BG561" s="373">
        <f ca="1">IF(BG$558&gt;='2.2 Input_General_Information'!$H$20,BG559+BG560,)</f>
        <v>9.9180078955417815E-5</v>
      </c>
      <c r="BH561" s="373">
        <f ca="1">IF(BH$558&gt;='2.2 Input_General_Information'!$H$20,BH559+BH560,)</f>
        <v>7.8209207440270063E-5</v>
      </c>
      <c r="BI561" s="373">
        <f ca="1">IF(BI$558&gt;='2.2 Input_General_Information'!$H$20,BI559+BI560,)</f>
        <v>6.4991463804287946E-5</v>
      </c>
      <c r="BJ561" s="373">
        <f ca="1">IF(BJ$558&gt;='2.2 Input_General_Information'!$H$20,BJ559+BJ560,)</f>
        <v>5.6631091993877868E-5</v>
      </c>
      <c r="BK561" s="373">
        <f ca="1">IF(BK$558&gt;='2.2 Input_General_Information'!$H$20,BK559+BK560,)</f>
        <v>5.1311971983323876E-5</v>
      </c>
      <c r="BL561" s="99"/>
      <c r="BM561" s="99"/>
      <c r="BN561" s="99"/>
      <c r="BO561" s="99"/>
      <c r="BP561" s="99"/>
      <c r="BQ561" s="99"/>
      <c r="BR561" s="99"/>
      <c r="BS561" s="99"/>
      <c r="BT561" s="99"/>
      <c r="BU561" s="99"/>
    </row>
    <row r="562" spans="1:73">
      <c r="A562" s="6"/>
      <c r="B562" s="108"/>
      <c r="C562" s="1"/>
      <c r="D562" s="1"/>
      <c r="E562" s="1"/>
      <c r="F562" s="1"/>
      <c r="G562" s="3"/>
      <c r="H562" s="3"/>
      <c r="I562" s="3"/>
      <c r="J562" s="3"/>
      <c r="K562" s="3"/>
      <c r="L562" s="3"/>
      <c r="M562" s="3"/>
      <c r="N562" s="3"/>
      <c r="O562" s="1"/>
      <c r="P562" s="1"/>
      <c r="Q562" s="1"/>
      <c r="R562" s="162"/>
      <c r="S562" s="1"/>
      <c r="T562" s="103"/>
      <c r="U562" s="9"/>
      <c r="V562" s="101" t="str">
        <f>D549</f>
        <v>Saving in time for internal reusers thanks to the implementation of the FAIR principles in creating, collection and integrating</v>
      </c>
      <c r="W562" s="157">
        <f ca="1">IF(W$558&gt;='2.2 Input_General_Information'!$H$20,W561*('2.3 Input_Main_Questionnaire'!$H$255*$W$557),)</f>
        <v>19959.462561813241</v>
      </c>
      <c r="X562" s="157">
        <f ca="1">IF(X$558&gt;='2.2 Input_General_Information'!$H$20,X561*('2.3 Input_Main_Questionnaire'!$H$255*$W$557),)</f>
        <v>21148.567624319177</v>
      </c>
      <c r="Y562" s="157">
        <f ca="1">IF(Y$558&gt;='2.2 Input_General_Information'!$H$20,Y561*('2.3 Input_Main_Questionnaire'!$H$255*$W$557),)</f>
        <v>21148.657265239926</v>
      </c>
      <c r="Z562" s="157">
        <f ca="1">IF(Z$558&gt;='2.2 Input_General_Information'!$H$20,Z561*('2.3 Input_Main_Questionnaire'!$H$255*$W$557),)</f>
        <v>21121.067457694535</v>
      </c>
      <c r="AA562" s="157">
        <f ca="1">IF(AA$558&gt;='2.2 Input_General_Information'!$H$20,AA561*('2.3 Input_Main_Questionnaire'!$H$255*$W$557),)</f>
        <v>21068.686256922872</v>
      </c>
      <c r="AB562" s="157">
        <f ca="1">IF(AB$558&gt;='2.2 Input_General_Information'!$H$20,AB561*('2.3 Input_Main_Questionnaire'!$H$255*$W$557),)</f>
        <v>20996.526534170411</v>
      </c>
      <c r="AC562" s="157">
        <f ca="1">IF(AC$558&gt;='2.2 Input_General_Information'!$H$20,AC561*('2.3 Input_Main_Questionnaire'!$H$255*$W$557),)</f>
        <v>20910.312099513038</v>
      </c>
      <c r="AD562" s="157">
        <f ca="1">IF(AD$558&gt;='2.2 Input_General_Information'!$H$20,AD561*('2.3 Input_Main_Questionnaire'!$H$255*$W$557),)</f>
        <v>20815.036060479262</v>
      </c>
      <c r="AE562" s="157">
        <f ca="1">IF(AE$558&gt;='2.2 Input_General_Information'!$H$20,AE561*('2.3 Input_Main_Questionnaire'!$H$255*$W$557),)</f>
        <v>20713.742254547746</v>
      </c>
      <c r="AF562" s="157">
        <f ca="1">IF(AF$558&gt;='2.2 Input_General_Information'!$H$20,AF561*('2.3 Input_Main_Questionnaire'!$H$255*$W$557),)</f>
        <v>20606.542080486561</v>
      </c>
      <c r="AG562" s="157">
        <f ca="1">IF(AG$558&gt;='2.2 Input_General_Information'!$H$20,AG561*('2.3 Input_Main_Questionnaire'!$H$255*$W$557),)</f>
        <v>20489.736148606036</v>
      </c>
      <c r="AH562" s="157">
        <f ca="1">IF(AH$558&gt;='2.2 Input_General_Information'!$H$20,AH561*('2.3 Input_Main_Questionnaire'!$H$255*$W$557),)</f>
        <v>20354.845785202771</v>
      </c>
      <c r="AI562" s="157">
        <f ca="1">IF(AI$558&gt;='2.2 Input_General_Information'!$H$20,AI561*('2.3 Input_Main_Questionnaire'!$H$255*$W$557),)</f>
        <v>20187.342322699202</v>
      </c>
      <c r="AJ562" s="157">
        <f ca="1">IF(AJ$558&gt;='2.2 Input_General_Information'!$H$20,AJ561*('2.3 Input_Main_Questionnaire'!$H$255*$W$557),)</f>
        <v>19964.963629111098</v>
      </c>
      <c r="AK562" s="157">
        <f ca="1">IF(AK$558&gt;='2.2 Input_General_Information'!$H$20,AK561*('2.3 Input_Main_Questionnaire'!$H$255*$W$557),)</f>
        <v>19655.863757242107</v>
      </c>
      <c r="AL562" s="157">
        <f ca="1">IF(AL$558&gt;='2.2 Input_General_Information'!$H$20,AL561*('2.3 Input_Main_Questionnaire'!$H$255*$W$557),)</f>
        <v>19217.603891214643</v>
      </c>
      <c r="AM562" s="157">
        <f ca="1">IF(AM$558&gt;='2.2 Input_General_Information'!$H$20,AM561*('2.3 Input_Main_Questionnaire'!$H$255*$W$557),)</f>
        <v>18599.16567414044</v>
      </c>
      <c r="AN562" s="157">
        <f ca="1">IF(AN$558&gt;='2.2 Input_General_Information'!$H$20,AN561*('2.3 Input_Main_Questionnaire'!$H$255*$W$557),)</f>
        <v>17748.981226312124</v>
      </c>
      <c r="AO562" s="157">
        <f ca="1">IF(AO$558&gt;='2.2 Input_General_Information'!$H$20,AO561*('2.3 Input_Main_Questionnaire'!$H$255*$W$557),)</f>
        <v>16629.963748984206</v>
      </c>
      <c r="AP562" s="157">
        <f ca="1">IF(AP$558&gt;='2.2 Input_General_Information'!$H$20,AP561*('2.3 Input_Main_Questionnaire'!$H$255*$W$557),)</f>
        <v>15235.057765811805</v>
      </c>
      <c r="AQ562" s="157">
        <f ca="1">IF(AQ$558&gt;='2.2 Input_General_Information'!$H$20,AQ561*('2.3 Input_Main_Questionnaire'!$H$255*$W$557),)</f>
        <v>13589.669968216635</v>
      </c>
      <c r="AR562" s="157">
        <f ca="1">IF(AR$558&gt;='2.2 Input_General_Information'!$H$20,AR561*('2.3 Input_Main_Questionnaire'!$H$255*$W$557),)</f>
        <v>11739.252819036146</v>
      </c>
      <c r="AS562" s="157">
        <f ca="1">IF(AS$558&gt;='2.2 Input_General_Information'!$H$20,AS561*('2.3 Input_Main_Questionnaire'!$H$255*$W$557),)</f>
        <v>9748.2684514105349</v>
      </c>
      <c r="AT562" s="157">
        <f ca="1">IF(AT$558&gt;='2.2 Input_General_Information'!$H$20,AT561*('2.3 Input_Main_Questionnaire'!$H$255*$W$557),)</f>
        <v>7723.786114429362</v>
      </c>
      <c r="AU562" s="157">
        <f ca="1">IF(AU$558&gt;='2.2 Input_General_Information'!$H$20,AU561*('2.3 Input_Main_Questionnaire'!$H$255*$W$557),)</f>
        <v>5818.6620479037656</v>
      </c>
      <c r="AV562" s="157">
        <f ca="1">IF(AV$558&gt;='2.2 Input_General_Information'!$H$20,AV561*('2.3 Input_Main_Questionnaire'!$H$255*$W$557),)</f>
        <v>4179.3831732966946</v>
      </c>
      <c r="AW562" s="157">
        <f ca="1">IF(AW$558&gt;='2.2 Input_General_Information'!$H$20,AW561*('2.3 Input_Main_Questionnaire'!$H$255*$W$557),)</f>
        <v>2884.8952169460022</v>
      </c>
      <c r="AX562" s="157">
        <f ca="1">IF(AX$558&gt;='2.2 Input_General_Information'!$H$20,AX561*('2.3 Input_Main_Questionnaire'!$H$255*$W$557),)</f>
        <v>1933.1254345119385</v>
      </c>
      <c r="AY562" s="157">
        <f ca="1">IF(AY$558&gt;='2.2 Input_General_Information'!$H$20,AY561*('2.3 Input_Main_Questionnaire'!$H$255*$W$557),)</f>
        <v>1269.967632493177</v>
      </c>
      <c r="AZ562" s="157">
        <f ca="1">IF(AZ$558&gt;='2.2 Input_General_Information'!$H$20,AZ561*('2.3 Input_Main_Questionnaire'!$H$255*$W$557),)</f>
        <v>825.05147092221432</v>
      </c>
      <c r="BA562" s="157">
        <f ca="1">IF(BA$558&gt;='2.2 Input_General_Information'!$H$20,BA561*('2.3 Input_Main_Questionnaire'!$H$255*$W$557),)</f>
        <v>534.03894954535804</v>
      </c>
      <c r="BB562" s="157">
        <f ca="1">IF(BB$558&gt;='2.2 Input_General_Information'!$H$20,BB561*('2.3 Input_Main_Questionnaire'!$H$255*$W$557),)</f>
        <v>346.80660563087719</v>
      </c>
      <c r="BC562" s="157">
        <f ca="1">IF(BC$558&gt;='2.2 Input_General_Information'!$H$20,BC561*('2.3 Input_Main_Questionnaire'!$H$255*$W$557),)</f>
        <v>227.59483841452757</v>
      </c>
      <c r="BD562" s="157">
        <f ca="1">IF(BD$558&gt;='2.2 Input_General_Information'!$H$20,BD561*('2.3 Input_Main_Questionnaire'!$H$255*$W$557),)</f>
        <v>152.17661749582268</v>
      </c>
      <c r="BE562" s="157">
        <f ca="1">IF(BE$558&gt;='2.2 Input_General_Information'!$H$20,BE561*('2.3 Input_Main_Questionnaire'!$H$255*$W$557),)</f>
        <v>104.64182598509929</v>
      </c>
      <c r="BF562" s="157">
        <f ca="1">IF(BF$558&gt;='2.2 Input_General_Information'!$H$20,BF561*('2.3 Input_Main_Questionnaire'!$H$255*$W$557),)</f>
        <v>74.738769105270833</v>
      </c>
      <c r="BG562" s="157">
        <f ca="1">IF(BG$558&gt;='2.2 Input_General_Information'!$H$20,BG561*('2.3 Input_Main_Questionnaire'!$H$255*$W$557),)</f>
        <v>55.938045795324292</v>
      </c>
      <c r="BH562" s="157">
        <f ca="1">IF(BH$558&gt;='2.2 Input_General_Information'!$H$20,BH561*('2.3 Input_Main_Questionnaire'!$H$255*$W$557),)</f>
        <v>44.110372501078373</v>
      </c>
      <c r="BI562" s="157">
        <f ca="1">IF(BI$558&gt;='2.2 Input_General_Information'!$H$20,BI561*('2.3 Input_Main_Questionnaire'!$H$255*$W$557),)</f>
        <v>36.655500952198302</v>
      </c>
      <c r="BJ562" s="157">
        <f ca="1">IF(BJ$558&gt;='2.2 Input_General_Information'!$H$20,BJ561*('2.3 Input_Main_Questionnaire'!$H$255*$W$557),)</f>
        <v>31.940210683001446</v>
      </c>
      <c r="BK562" s="157">
        <f ca="1">IF(BK$558&gt;='2.2 Input_General_Information'!$H$20,BK561*('2.3 Input_Main_Questionnaire'!$H$255*$W$557),)</f>
        <v>28.940201186387291</v>
      </c>
      <c r="BL562" s="99"/>
      <c r="BM562" s="99"/>
      <c r="BN562" s="99"/>
      <c r="BO562" s="99"/>
      <c r="BP562" s="99"/>
      <c r="BQ562" s="99"/>
      <c r="BR562" s="99"/>
      <c r="BS562" s="99"/>
      <c r="BT562" s="99"/>
      <c r="BU562" s="99"/>
    </row>
    <row r="563" spans="1:73">
      <c r="A563" s="6"/>
      <c r="B563" s="108"/>
      <c r="C563" s="1"/>
      <c r="D563" s="1"/>
      <c r="E563" s="1"/>
      <c r="F563" s="1"/>
      <c r="G563" s="3"/>
      <c r="H563" s="3"/>
      <c r="I563" s="3"/>
      <c r="J563" s="3"/>
      <c r="K563" s="3"/>
      <c r="L563" s="3"/>
      <c r="M563" s="3"/>
      <c r="N563" s="3"/>
      <c r="O563" s="1"/>
      <c r="P563" s="1"/>
      <c r="Q563" s="1"/>
      <c r="R563" s="162"/>
      <c r="S563" s="1"/>
      <c r="T563" s="103"/>
      <c r="U563" s="9"/>
      <c r="V563" s="101" t="str">
        <f>D551</f>
        <v>Saving in time for external reusers thanks to the implementation of the FAIR principles in creating, collection and integrating</v>
      </c>
      <c r="W563" s="157">
        <f ca="1">IF(W$558&gt;='2.2 Input_General_Information'!$H$20,W561*('2.3 Input_Main_Questionnaire'!$I$255*$W$557),)</f>
        <v>399189.25123626488</v>
      </c>
      <c r="X563" s="157">
        <f ca="1">IF(X$558&gt;='2.2 Input_General_Information'!$H$20,X561*('2.3 Input_Main_Questionnaire'!$I$255*$W$557),)</f>
        <v>422971.35248638358</v>
      </c>
      <c r="Y563" s="157">
        <f ca="1">IF(Y$558&gt;='2.2 Input_General_Information'!$H$20,Y561*('2.3 Input_Main_Questionnaire'!$I$255*$W$557),)</f>
        <v>422973.14530479856</v>
      </c>
      <c r="Z563" s="157">
        <f ca="1">IF(Z$558&gt;='2.2 Input_General_Information'!$H$20,Z561*('2.3 Input_Main_Questionnaire'!$I$255*$W$557),)</f>
        <v>422421.34915389074</v>
      </c>
      <c r="AA563" s="157">
        <f ca="1">IF(AA$558&gt;='2.2 Input_General_Information'!$H$20,AA561*('2.3 Input_Main_Questionnaire'!$I$255*$W$557),)</f>
        <v>421373.72513845749</v>
      </c>
      <c r="AB563" s="157">
        <f ca="1">IF(AB$558&gt;='2.2 Input_General_Information'!$H$20,AB561*('2.3 Input_Main_Questionnaire'!$I$255*$W$557),)</f>
        <v>419930.53068340826</v>
      </c>
      <c r="AC563" s="157">
        <f ca="1">IF(AC$558&gt;='2.2 Input_General_Information'!$H$20,AC561*('2.3 Input_Main_Questionnaire'!$I$255*$W$557),)</f>
        <v>418206.24199026078</v>
      </c>
      <c r="AD563" s="157">
        <f ca="1">IF(AD$558&gt;='2.2 Input_General_Information'!$H$20,AD561*('2.3 Input_Main_Questionnaire'!$I$255*$W$557),)</f>
        <v>416300.72120958526</v>
      </c>
      <c r="AE563" s="157">
        <f ca="1">IF(AE$558&gt;='2.2 Input_General_Information'!$H$20,AE561*('2.3 Input_Main_Questionnaire'!$I$255*$W$557),)</f>
        <v>414274.84509095497</v>
      </c>
      <c r="AF563" s="157">
        <f ca="1">IF(AF$558&gt;='2.2 Input_General_Information'!$H$20,AF561*('2.3 Input_Main_Questionnaire'!$I$255*$W$557),)</f>
        <v>412130.84160973126</v>
      </c>
      <c r="AG563" s="157">
        <f ca="1">IF(AG$558&gt;='2.2 Input_General_Information'!$H$20,AG561*('2.3 Input_Main_Questionnaire'!$I$255*$W$557),)</f>
        <v>409794.72297212074</v>
      </c>
      <c r="AH563" s="157">
        <f ca="1">IF(AH$558&gt;='2.2 Input_General_Information'!$H$20,AH561*('2.3 Input_Main_Questionnaire'!$I$255*$W$557),)</f>
        <v>407096.9157040554</v>
      </c>
      <c r="AI563" s="157">
        <f ca="1">IF(AI$558&gt;='2.2 Input_General_Information'!$H$20,AI561*('2.3 Input_Main_Questionnaire'!$I$255*$W$557),)</f>
        <v>403746.84645398404</v>
      </c>
      <c r="AJ563" s="157">
        <f ca="1">IF(AJ$558&gt;='2.2 Input_General_Information'!$H$20,AJ561*('2.3 Input_Main_Questionnaire'!$I$255*$W$557),)</f>
        <v>399299.27258222201</v>
      </c>
      <c r="AK563" s="157">
        <f ca="1">IF(AK$558&gt;='2.2 Input_General_Information'!$H$20,AK561*('2.3 Input_Main_Questionnaire'!$I$255*$W$557),)</f>
        <v>393117.27514484222</v>
      </c>
      <c r="AL563" s="157">
        <f ca="1">IF(AL$558&gt;='2.2 Input_General_Information'!$H$20,AL561*('2.3 Input_Main_Questionnaire'!$I$255*$W$557),)</f>
        <v>384352.07782429288</v>
      </c>
      <c r="AM563" s="157">
        <f ca="1">IF(AM$558&gt;='2.2 Input_General_Information'!$H$20,AM561*('2.3 Input_Main_Questionnaire'!$I$255*$W$557),)</f>
        <v>371983.31348280882</v>
      </c>
      <c r="AN563" s="157">
        <f ca="1">IF(AN$558&gt;='2.2 Input_General_Information'!$H$20,AN561*('2.3 Input_Main_Questionnaire'!$I$255*$W$557),)</f>
        <v>354979.62452624249</v>
      </c>
      <c r="AO563" s="157">
        <f ca="1">IF(AO$558&gt;='2.2 Input_General_Information'!$H$20,AO561*('2.3 Input_Main_Questionnaire'!$I$255*$W$557),)</f>
        <v>332599.27497968415</v>
      </c>
      <c r="AP563" s="157">
        <f ca="1">IF(AP$558&gt;='2.2 Input_General_Information'!$H$20,AP561*('2.3 Input_Main_Questionnaire'!$I$255*$W$557),)</f>
        <v>304701.15531623614</v>
      </c>
      <c r="AQ563" s="157">
        <f ca="1">IF(AQ$558&gt;='2.2 Input_General_Information'!$H$20,AQ561*('2.3 Input_Main_Questionnaire'!$I$255*$W$557),)</f>
        <v>271793.39936433273</v>
      </c>
      <c r="AR563" s="157">
        <f ca="1">IF(AR$558&gt;='2.2 Input_General_Information'!$H$20,AR561*('2.3 Input_Main_Questionnaire'!$I$255*$W$557),)</f>
        <v>234785.05638072296</v>
      </c>
      <c r="AS563" s="157">
        <f ca="1">IF(AS$558&gt;='2.2 Input_General_Information'!$H$20,AS561*('2.3 Input_Main_Questionnaire'!$I$255*$W$557),)</f>
        <v>194965.36902821073</v>
      </c>
      <c r="AT563" s="157">
        <f ca="1">IF(AT$558&gt;='2.2 Input_General_Information'!$H$20,AT561*('2.3 Input_Main_Questionnaire'!$I$255*$W$557),)</f>
        <v>154475.72228858725</v>
      </c>
      <c r="AU563" s="157">
        <f ca="1">IF(AU$558&gt;='2.2 Input_General_Information'!$H$20,AU561*('2.3 Input_Main_Questionnaire'!$I$255*$W$557),)</f>
        <v>116373.24095807532</v>
      </c>
      <c r="AV563" s="157">
        <f ca="1">IF(AV$558&gt;='2.2 Input_General_Information'!$H$20,AV561*('2.3 Input_Main_Questionnaire'!$I$255*$W$557),)</f>
        <v>83587.663465933903</v>
      </c>
      <c r="AW563" s="157">
        <f ca="1">IF(AW$558&gt;='2.2 Input_General_Information'!$H$20,AW561*('2.3 Input_Main_Questionnaire'!$I$255*$W$557),)</f>
        <v>57697.904338920045</v>
      </c>
      <c r="AX563" s="157">
        <f ca="1">IF(AX$558&gt;='2.2 Input_General_Information'!$H$20,AX561*('2.3 Input_Main_Questionnaire'!$I$255*$W$557),)</f>
        <v>38662.50869023877</v>
      </c>
      <c r="AY563" s="157">
        <f ca="1">IF(AY$558&gt;='2.2 Input_General_Information'!$H$20,AY561*('2.3 Input_Main_Questionnaire'!$I$255*$W$557),)</f>
        <v>25399.35264986354</v>
      </c>
      <c r="AZ563" s="157">
        <f ca="1">IF(AZ$558&gt;='2.2 Input_General_Information'!$H$20,AZ561*('2.3 Input_Main_Questionnaire'!$I$255*$W$557),)</f>
        <v>16501.02941844429</v>
      </c>
      <c r="BA563" s="157">
        <f ca="1">IF(BA$558&gt;='2.2 Input_General_Information'!$H$20,BA561*('2.3 Input_Main_Questionnaire'!$I$255*$W$557),)</f>
        <v>10680.778990907162</v>
      </c>
      <c r="BB563" s="157">
        <f ca="1">IF(BB$558&gt;='2.2 Input_General_Information'!$H$20,BB561*('2.3 Input_Main_Questionnaire'!$I$255*$W$557),)</f>
        <v>6936.1321126175435</v>
      </c>
      <c r="BC563" s="157">
        <f ca="1">IF(BC$558&gt;='2.2 Input_General_Information'!$H$20,BC561*('2.3 Input_Main_Questionnaire'!$I$255*$W$557),)</f>
        <v>4551.8967682905513</v>
      </c>
      <c r="BD563" s="157">
        <f ca="1">IF(BD$558&gt;='2.2 Input_General_Information'!$H$20,BD561*('2.3 Input_Main_Questionnaire'!$I$255*$W$557),)</f>
        <v>3043.5323499164538</v>
      </c>
      <c r="BE563" s="157">
        <f ca="1">IF(BE$558&gt;='2.2 Input_General_Information'!$H$20,BE561*('2.3 Input_Main_Questionnaire'!$I$255*$W$557),)</f>
        <v>2092.8365197019862</v>
      </c>
      <c r="BF563" s="157">
        <f ca="1">IF(BF$558&gt;='2.2 Input_General_Information'!$H$20,BF561*('2.3 Input_Main_Questionnaire'!$I$255*$W$557),)</f>
        <v>1494.7753821054168</v>
      </c>
      <c r="BG563" s="157">
        <f ca="1">IF(BG$558&gt;='2.2 Input_General_Information'!$H$20,BG561*('2.3 Input_Main_Questionnaire'!$I$255*$W$557),)</f>
        <v>1118.7609159064859</v>
      </c>
      <c r="BH563" s="157">
        <f ca="1">IF(BH$558&gt;='2.2 Input_General_Information'!$H$20,BH561*('2.3 Input_Main_Questionnaire'!$I$255*$W$557),)</f>
        <v>882.20745002156752</v>
      </c>
      <c r="BI563" s="157">
        <f ca="1">IF(BI$558&gt;='2.2 Input_General_Information'!$H$20,BI561*('2.3 Input_Main_Questionnaire'!$I$255*$W$557),)</f>
        <v>733.11001904396608</v>
      </c>
      <c r="BJ563" s="157">
        <f ca="1">IF(BJ$558&gt;='2.2 Input_General_Information'!$H$20,BJ561*('2.3 Input_Main_Questionnaire'!$I$255*$W$557),)</f>
        <v>638.80421366002895</v>
      </c>
      <c r="BK563" s="157">
        <f ca="1">IF(BK$558&gt;='2.2 Input_General_Information'!$H$20,BK561*('2.3 Input_Main_Questionnaire'!$I$255*$W$557),)</f>
        <v>578.80402372774586</v>
      </c>
      <c r="BL563" s="99"/>
      <c r="BM563" s="99"/>
      <c r="BN563" s="99"/>
      <c r="BO563" s="99"/>
      <c r="BP563" s="99"/>
      <c r="BQ563" s="99"/>
      <c r="BR563" s="99"/>
      <c r="BS563" s="99"/>
      <c r="BT563" s="99"/>
      <c r="BU563" s="99"/>
    </row>
    <row r="564" spans="1:73">
      <c r="A564" s="6"/>
      <c r="B564" s="108"/>
      <c r="C564" s="1"/>
      <c r="D564" s="1"/>
      <c r="E564" s="1"/>
      <c r="F564" s="1"/>
      <c r="G564" s="3"/>
      <c r="H564" s="3"/>
      <c r="I564" s="3"/>
      <c r="J564" s="3"/>
      <c r="K564" s="3"/>
      <c r="L564" s="3"/>
      <c r="M564" s="3"/>
      <c r="N564" s="3"/>
      <c r="O564" s="1"/>
      <c r="P564" s="1"/>
      <c r="Q564" s="1"/>
      <c r="R564" s="162"/>
      <c r="S564" s="1"/>
      <c r="T564" s="103"/>
      <c r="U564" s="9"/>
      <c r="V564" s="101" t="s">
        <v>932</v>
      </c>
      <c r="W564" s="157">
        <f ca="1">IF(W$166&gt;='2.2 Input_General_Information'!$H$20,SUM(W562:W563),)</f>
        <v>419148.71379807813</v>
      </c>
      <c r="X564" s="157">
        <f ca="1">IF(X$166&gt;='2.2 Input_General_Information'!$H$20,SUM(X562:X563),)</f>
        <v>444119.92011070275</v>
      </c>
      <c r="Y564" s="157">
        <f ca="1">IF(Y$166&gt;='2.2 Input_General_Information'!$H$20,SUM(Y562:Y563),)</f>
        <v>444121.80257003848</v>
      </c>
      <c r="Z564" s="157">
        <f ca="1">IF(Z$166&gt;='2.2 Input_General_Information'!$H$20,SUM(Z562:Z563),)</f>
        <v>443542.4166115853</v>
      </c>
      <c r="AA564" s="157">
        <f ca="1">IF(AA$166&gt;='2.2 Input_General_Information'!$H$20,SUM(AA562:AA563),)</f>
        <v>442442.41139538039</v>
      </c>
      <c r="AB564" s="157">
        <f ca="1">IF(AB$166&gt;='2.2 Input_General_Information'!$H$20,SUM(AB562:AB563),)</f>
        <v>440927.05721757869</v>
      </c>
      <c r="AC564" s="157">
        <f ca="1">IF(AC$166&gt;='2.2 Input_General_Information'!$H$20,SUM(AC562:AC563),)</f>
        <v>439116.5540897738</v>
      </c>
      <c r="AD564" s="157">
        <f ca="1">IF(AD$166&gt;='2.2 Input_General_Information'!$H$20,SUM(AD562:AD563),)</f>
        <v>437115.7572700645</v>
      </c>
      <c r="AE564" s="157">
        <f ca="1">IF(AE$166&gt;='2.2 Input_General_Information'!$H$20,SUM(AE562:AE563),)</f>
        <v>434988.58734550269</v>
      </c>
      <c r="AF564" s="157">
        <f ca="1">IF(AF$166&gt;='2.2 Input_General_Information'!$H$20,SUM(AF562:AF563),)</f>
        <v>432737.3836902178</v>
      </c>
      <c r="AG564" s="157">
        <f ca="1">IF(AG$166&gt;='2.2 Input_General_Information'!$H$20,SUM(AG562:AG563),)</f>
        <v>430284.45912072679</v>
      </c>
      <c r="AH564" s="157">
        <f ca="1">IF(AH$166&gt;='2.2 Input_General_Information'!$H$20,SUM(AH562:AH563),)</f>
        <v>427451.76148925815</v>
      </c>
      <c r="AI564" s="157">
        <f ca="1">IF(AI$166&gt;='2.2 Input_General_Information'!$H$20,SUM(AI562:AI563),)</f>
        <v>423934.18877668324</v>
      </c>
      <c r="AJ564" s="157">
        <f ca="1">IF(AJ$166&gt;='2.2 Input_General_Information'!$H$20,SUM(AJ562:AJ563),)</f>
        <v>419264.23621133313</v>
      </c>
      <c r="AK564" s="157">
        <f ca="1">IF(AK$166&gt;='2.2 Input_General_Information'!$H$20,SUM(AK562:AK563),)</f>
        <v>412773.13890208432</v>
      </c>
      <c r="AL564" s="157">
        <f ca="1">IF(AL$166&gt;='2.2 Input_General_Information'!$H$20,SUM(AL562:AL563),)</f>
        <v>403569.68171550753</v>
      </c>
      <c r="AM564" s="157">
        <f ca="1">IF(AM$166&gt;='2.2 Input_General_Information'!$H$20,SUM(AM562:AM563),)</f>
        <v>390582.47915694927</v>
      </c>
      <c r="AN564" s="157">
        <f ca="1">IF(AN$166&gt;='2.2 Input_General_Information'!$H$20,SUM(AN562:AN563),)</f>
        <v>372728.60575255461</v>
      </c>
      <c r="AO564" s="157">
        <f ca="1">IF(AO$166&gt;='2.2 Input_General_Information'!$H$20,SUM(AO562:AO563),)</f>
        <v>349229.23872866837</v>
      </c>
      <c r="AP564" s="157">
        <f ca="1">IF(AP$166&gt;='2.2 Input_General_Information'!$H$20,SUM(AP562:AP563),)</f>
        <v>319936.21308204794</v>
      </c>
      <c r="AQ564" s="157">
        <f ca="1">IF(AQ$166&gt;='2.2 Input_General_Information'!$H$20,SUM(AQ562:AQ563),)</f>
        <v>285383.06933254935</v>
      </c>
      <c r="AR564" s="157">
        <f ca="1">IF(AR$166&gt;='2.2 Input_General_Information'!$H$20,SUM(AR562:AR563),)</f>
        <v>246524.3091997591</v>
      </c>
      <c r="AS564" s="157">
        <f ca="1">IF(AS$166&gt;='2.2 Input_General_Information'!$H$20,SUM(AS562:AS563),)</f>
        <v>204713.63747962128</v>
      </c>
      <c r="AT564" s="157">
        <f ca="1">IF(AT$166&gt;='2.2 Input_General_Information'!$H$20,SUM(AT562:AT563),)</f>
        <v>162199.5084030166</v>
      </c>
      <c r="AU564" s="157">
        <f ca="1">IF(AU$166&gt;='2.2 Input_General_Information'!$H$20,SUM(AU562:AU563),)</f>
        <v>122191.90300597908</v>
      </c>
      <c r="AV564" s="157">
        <f ca="1">IF(AV$166&gt;='2.2 Input_General_Information'!$H$20,SUM(AV562:AV563),)</f>
        <v>87767.046639230597</v>
      </c>
      <c r="AW564" s="157">
        <f ca="1">IF(AW$166&gt;='2.2 Input_General_Information'!$H$20,SUM(AW562:AW563),)</f>
        <v>60582.799555866048</v>
      </c>
      <c r="AX564" s="157">
        <f ca="1">IF(AX$166&gt;='2.2 Input_General_Information'!$H$20,SUM(AX562:AX563),)</f>
        <v>40595.634124750708</v>
      </c>
      <c r="AY564" s="157">
        <f ca="1">IF(AY$166&gt;='2.2 Input_General_Information'!$H$20,SUM(AY562:AY563),)</f>
        <v>26669.320282356719</v>
      </c>
      <c r="AZ564" s="157">
        <f ca="1">IF(AZ$166&gt;='2.2 Input_General_Information'!$H$20,SUM(AZ562:AZ563),)</f>
        <v>17326.080889366505</v>
      </c>
      <c r="BA564" s="157">
        <f ca="1">IF(BA$166&gt;='2.2 Input_General_Information'!$H$20,SUM(BA562:BA563),)</f>
        <v>11214.81794045252</v>
      </c>
      <c r="BB564" s="157">
        <f ca="1">IF(BB$166&gt;='2.2 Input_General_Information'!$H$20,SUM(BB562:BB563),)</f>
        <v>7282.9387182484206</v>
      </c>
      <c r="BC564" s="157">
        <f ca="1">IF(BC$166&gt;='2.2 Input_General_Information'!$H$20,SUM(BC562:BC563),)</f>
        <v>4779.491606705079</v>
      </c>
      <c r="BD564" s="157">
        <f ca="1">IF(BD$166&gt;='2.2 Input_General_Information'!$H$20,SUM(BD562:BD563),)</f>
        <v>3195.7089674122763</v>
      </c>
      <c r="BE564" s="157">
        <f ca="1">IF(BE$166&gt;='2.2 Input_General_Information'!$H$20,SUM(BE562:BE563),)</f>
        <v>2197.4783456870855</v>
      </c>
      <c r="BF564" s="157">
        <f ca="1">IF(BF$166&gt;='2.2 Input_General_Information'!$H$20,SUM(BF562:BF563),)</f>
        <v>1569.5141512106877</v>
      </c>
      <c r="BG564" s="157">
        <f ca="1">IF(BG$166&gt;='2.2 Input_General_Information'!$H$20,SUM(BG562:BG563),)</f>
        <v>1174.6989617018103</v>
      </c>
      <c r="BH564" s="157">
        <f ca="1">IF(BH$166&gt;='2.2 Input_General_Information'!$H$20,SUM(BH562:BH563),)</f>
        <v>926.31782252264588</v>
      </c>
      <c r="BI564" s="157">
        <f ca="1">IF(BI$166&gt;='2.2 Input_General_Information'!$H$20,SUM(BI562:BI563),)</f>
        <v>769.76551999616436</v>
      </c>
      <c r="BJ564" s="157">
        <f ca="1">IF(BJ$166&gt;='2.2 Input_General_Information'!$H$20,SUM(BJ562:BJ563),)</f>
        <v>670.74442434303035</v>
      </c>
      <c r="BK564" s="157">
        <f ca="1">IF(BK$166&gt;='2.2 Input_General_Information'!$H$20,SUM(BK562:BK563),)</f>
        <v>607.74422491413316</v>
      </c>
      <c r="BL564" s="99"/>
      <c r="BM564" s="99"/>
      <c r="BN564" s="99"/>
      <c r="BO564" s="99"/>
      <c r="BP564" s="99"/>
      <c r="BQ564" s="99"/>
      <c r="BR564" s="99"/>
      <c r="BS564" s="99"/>
      <c r="BT564" s="99"/>
      <c r="BU564" s="99"/>
    </row>
    <row r="565" spans="1:73">
      <c r="A565" s="6"/>
      <c r="B565" s="108"/>
      <c r="C565" s="1"/>
      <c r="D565" s="1"/>
      <c r="E565" s="1"/>
      <c r="F565" s="1"/>
      <c r="G565" s="3"/>
      <c r="H565" s="3"/>
      <c r="I565" s="3"/>
      <c r="J565" s="3"/>
      <c r="K565" s="3"/>
      <c r="L565" s="3"/>
      <c r="M565" s="3"/>
      <c r="N565" s="3"/>
      <c r="O565" s="1"/>
      <c r="P565" s="1"/>
      <c r="Q565" s="1"/>
      <c r="R565" s="162"/>
      <c r="S565" s="1"/>
      <c r="T565" s="103"/>
      <c r="U565" s="9" t="s">
        <v>29</v>
      </c>
      <c r="V565" s="103"/>
      <c r="W565" s="98"/>
      <c r="X565" s="98"/>
      <c r="Y565" s="98"/>
      <c r="Z565" s="98"/>
      <c r="AA565" s="98"/>
      <c r="AB565" s="98"/>
      <c r="AC565" s="98"/>
      <c r="AD565" s="98"/>
      <c r="AE565" s="98"/>
      <c r="AF565" s="98"/>
      <c r="AG565" s="98"/>
      <c r="AH565" s="98"/>
      <c r="AI565" s="98"/>
      <c r="AJ565" s="98"/>
      <c r="AK565" s="98"/>
      <c r="AL565" s="98"/>
      <c r="AM565" s="98"/>
      <c r="AN565" s="98"/>
      <c r="AO565" s="98"/>
      <c r="AP565" s="98"/>
      <c r="AQ565" s="98"/>
      <c r="AR565" s="98"/>
      <c r="AS565" s="98"/>
      <c r="AT565" s="98"/>
      <c r="AU565" s="98"/>
      <c r="AV565" s="98"/>
      <c r="AW565" s="98"/>
      <c r="AX565" s="98"/>
      <c r="AY565" s="98"/>
      <c r="AZ565" s="98"/>
      <c r="BA565" s="98"/>
      <c r="BB565" s="98"/>
      <c r="BC565" s="98"/>
      <c r="BD565" s="98"/>
      <c r="BE565" s="98"/>
      <c r="BF565" s="98"/>
      <c r="BG565" s="98"/>
      <c r="BH565" s="98"/>
      <c r="BI565" s="98"/>
      <c r="BJ565" s="98"/>
      <c r="BK565" s="98"/>
      <c r="BL565" s="99"/>
      <c r="BM565" s="99"/>
      <c r="BN565" s="99"/>
      <c r="BO565" s="99"/>
      <c r="BP565" s="99"/>
      <c r="BQ565" s="99"/>
      <c r="BR565" s="99"/>
      <c r="BS565" s="99"/>
      <c r="BT565" s="99"/>
      <c r="BU565" s="99"/>
    </row>
    <row r="566" spans="1:73">
      <c r="A566" s="6"/>
      <c r="B566" s="108"/>
      <c r="C566" s="1"/>
      <c r="D566" s="25"/>
      <c r="E566" s="12"/>
      <c r="F566" s="1"/>
      <c r="G566" s="43"/>
      <c r="H566" s="24"/>
      <c r="I566" s="24"/>
      <c r="J566" s="24"/>
      <c r="K566" s="24"/>
      <c r="L566" s="3"/>
      <c r="M566" s="3"/>
      <c r="N566" s="3"/>
      <c r="O566" s="1"/>
      <c r="P566" s="1"/>
      <c r="Q566" s="1"/>
      <c r="R566" s="162"/>
      <c r="S566" s="1"/>
      <c r="T566" s="81"/>
      <c r="U566" s="81"/>
      <c r="V566" s="81"/>
      <c r="W566" s="81"/>
      <c r="X566" s="81"/>
      <c r="Y566" s="81"/>
      <c r="Z566" s="81"/>
      <c r="AA566" s="81"/>
      <c r="AB566" s="81"/>
      <c r="AC566" s="81"/>
      <c r="AD566" s="81"/>
      <c r="AE566" s="81"/>
      <c r="AF566" s="81"/>
      <c r="AG566" s="81"/>
      <c r="AH566" s="81"/>
      <c r="AI566" s="81"/>
      <c r="AJ566" s="81"/>
      <c r="AK566" s="81"/>
      <c r="AL566" s="81"/>
      <c r="AM566" s="81"/>
      <c r="AN566" s="81"/>
      <c r="AO566" s="81"/>
      <c r="AP566" s="81"/>
      <c r="AQ566" s="81"/>
      <c r="AR566" s="81"/>
      <c r="AS566" s="81"/>
      <c r="AT566" s="81"/>
      <c r="AU566" s="81"/>
      <c r="AV566" s="81"/>
      <c r="AW566" s="81"/>
      <c r="AX566" s="81"/>
      <c r="AY566" s="81"/>
      <c r="AZ566" s="81"/>
      <c r="BA566" s="81"/>
      <c r="BB566" s="81"/>
      <c r="BC566" s="81"/>
      <c r="BD566" s="81"/>
      <c r="BE566" s="81"/>
      <c r="BF566" s="81"/>
      <c r="BG566" s="81"/>
      <c r="BH566" s="81"/>
      <c r="BI566" s="81"/>
      <c r="BJ566" s="81"/>
      <c r="BK566" s="81"/>
      <c r="BL566" s="6"/>
      <c r="BM566" s="6"/>
      <c r="BN566" s="6"/>
      <c r="BO566" s="6"/>
      <c r="BP566" s="6"/>
      <c r="BQ566" s="6"/>
      <c r="BR566" s="6"/>
      <c r="BS566" s="6"/>
      <c r="BT566" s="6"/>
      <c r="BU566" s="6"/>
    </row>
    <row r="567" spans="1:73" ht="15.75" thickBot="1">
      <c r="A567" s="6"/>
      <c r="B567" s="108"/>
      <c r="C567" s="1"/>
      <c r="D567" s="25" t="s">
        <v>1051</v>
      </c>
      <c r="E567" s="12"/>
      <c r="F567" s="1"/>
      <c r="G567" s="43" t="s">
        <v>315</v>
      </c>
      <c r="H567" s="557" t="s">
        <v>1018</v>
      </c>
      <c r="I567" s="557" t="s">
        <v>1052</v>
      </c>
      <c r="J567" s="557" t="s">
        <v>1053</v>
      </c>
      <c r="K567" s="24"/>
      <c r="L567" s="3"/>
      <c r="M567" s="3"/>
      <c r="N567" s="3"/>
      <c r="O567" s="1"/>
      <c r="P567" s="1"/>
      <c r="Q567" s="1"/>
      <c r="R567" s="162"/>
      <c r="S567" s="1"/>
      <c r="T567" s="81"/>
      <c r="U567" s="81"/>
      <c r="V567" s="81"/>
      <c r="W567" s="81"/>
      <c r="X567" s="81"/>
      <c r="Y567" s="81"/>
      <c r="Z567" s="81"/>
      <c r="AA567" s="81"/>
      <c r="AB567" s="81"/>
      <c r="AC567" s="81"/>
      <c r="AD567" s="81"/>
      <c r="AE567" s="81"/>
      <c r="AF567" s="81"/>
      <c r="AG567" s="81"/>
      <c r="AH567" s="81"/>
      <c r="AI567" s="81"/>
      <c r="AJ567" s="81"/>
      <c r="AK567" s="81"/>
      <c r="AL567" s="81"/>
      <c r="AM567" s="81"/>
      <c r="AN567" s="81"/>
      <c r="AO567" s="81"/>
      <c r="AP567" s="81"/>
      <c r="AQ567" s="81"/>
      <c r="AR567" s="81"/>
      <c r="AS567" s="81"/>
      <c r="AT567" s="81"/>
      <c r="AU567" s="81"/>
      <c r="AV567" s="81"/>
      <c r="AW567" s="81"/>
      <c r="AX567" s="81"/>
      <c r="AY567" s="81"/>
      <c r="AZ567" s="81"/>
      <c r="BA567" s="81"/>
      <c r="BB567" s="81"/>
      <c r="BC567" s="81"/>
      <c r="BD567" s="81"/>
      <c r="BE567" s="81"/>
      <c r="BF567" s="81"/>
      <c r="BG567" s="81"/>
      <c r="BH567" s="81"/>
      <c r="BI567" s="81"/>
      <c r="BJ567" s="81"/>
      <c r="BK567" s="81"/>
      <c r="BL567" s="6"/>
      <c r="BM567" s="6"/>
      <c r="BN567" s="6"/>
      <c r="BO567" s="6"/>
      <c r="BP567" s="6"/>
      <c r="BQ567" s="6"/>
      <c r="BR567" s="6"/>
      <c r="BS567" s="6"/>
      <c r="BT567" s="6"/>
      <c r="BU567" s="6"/>
    </row>
    <row r="568" spans="1:73" ht="5.25" customHeight="1">
      <c r="A568" s="6"/>
      <c r="B568" s="108"/>
      <c r="C568" s="1"/>
      <c r="D568" s="12"/>
      <c r="E568" s="12"/>
      <c r="F568" s="1"/>
      <c r="G568" s="43"/>
      <c r="H568" s="43"/>
      <c r="I568" s="43"/>
      <c r="J568" s="43"/>
      <c r="K568" s="3"/>
      <c r="L568" s="3"/>
      <c r="M568" s="3"/>
      <c r="N568" s="3"/>
      <c r="O568" s="1"/>
      <c r="P568" s="1"/>
      <c r="Q568" s="1"/>
      <c r="R568" s="162"/>
      <c r="S568" s="1"/>
      <c r="T568" s="81"/>
      <c r="U568" s="81"/>
      <c r="V568" s="81"/>
      <c r="W568" s="81"/>
      <c r="X568" s="81"/>
      <c r="Y568" s="81"/>
      <c r="Z568" s="81"/>
      <c r="AA568" s="81"/>
      <c r="AB568" s="81"/>
      <c r="AC568" s="81"/>
      <c r="AD568" s="81"/>
      <c r="AE568" s="81"/>
      <c r="AF568" s="81"/>
      <c r="AG568" s="81"/>
      <c r="AH568" s="81"/>
      <c r="AI568" s="81"/>
      <c r="AJ568" s="81"/>
      <c r="AK568" s="81"/>
      <c r="AL568" s="81"/>
      <c r="AM568" s="81"/>
      <c r="AN568" s="81"/>
      <c r="AO568" s="81"/>
      <c r="AP568" s="81"/>
      <c r="AQ568" s="81"/>
      <c r="AR568" s="81"/>
      <c r="AS568" s="81"/>
      <c r="AT568" s="81"/>
      <c r="AU568" s="81"/>
      <c r="AV568" s="81"/>
      <c r="AW568" s="81"/>
      <c r="AX568" s="81"/>
      <c r="AY568" s="81"/>
      <c r="AZ568" s="81"/>
      <c r="BA568" s="81"/>
      <c r="BB568" s="81"/>
      <c r="BC568" s="81"/>
      <c r="BD568" s="81"/>
      <c r="BE568" s="81"/>
      <c r="BF568" s="81"/>
      <c r="BG568" s="81"/>
      <c r="BH568" s="81"/>
      <c r="BI568" s="81"/>
      <c r="BJ568" s="81"/>
      <c r="BK568" s="81"/>
      <c r="BL568" s="6"/>
      <c r="BM568" s="6"/>
      <c r="BN568" s="6"/>
      <c r="BO568" s="6"/>
      <c r="BP568" s="6"/>
      <c r="BQ568" s="6"/>
      <c r="BR568" s="6"/>
      <c r="BS568" s="6"/>
      <c r="BT568" s="6"/>
      <c r="BU568" s="6"/>
    </row>
    <row r="569" spans="1:73">
      <c r="A569" s="6"/>
      <c r="B569" s="108"/>
      <c r="C569" s="1"/>
      <c r="D569" s="49" t="s">
        <v>289</v>
      </c>
      <c r="E569" s="12" t="s">
        <v>435</v>
      </c>
      <c r="F569" s="1"/>
      <c r="G569" s="605">
        <f>IF('2.3 Input_Main_Questionnaire'!$H$261=E569,'2.3 Input_Main_Questionnaire'!$H$263,0)</f>
        <v>0</v>
      </c>
      <c r="H569" s="628">
        <v>1</v>
      </c>
      <c r="I569" s="538">
        <f t="shared" ref="I569:I573" si="85">$H$569/H569-1</f>
        <v>0</v>
      </c>
      <c r="J569" s="538">
        <f t="shared" ref="J569:J573" si="86">IFERROR(I569*G569,0)</f>
        <v>0</v>
      </c>
      <c r="K569" s="3"/>
      <c r="L569" s="3"/>
      <c r="M569" s="3"/>
      <c r="N569" s="3"/>
      <c r="O569" s="1"/>
      <c r="P569" s="1"/>
      <c r="Q569" s="1"/>
      <c r="R569" s="162"/>
      <c r="S569" s="1"/>
      <c r="T569" s="81"/>
      <c r="U569" s="81"/>
      <c r="V569" s="81"/>
      <c r="W569" s="81"/>
      <c r="X569" s="81"/>
      <c r="Y569" s="81"/>
      <c r="Z569" s="81"/>
      <c r="AA569" s="81"/>
      <c r="AB569" s="81"/>
      <c r="AC569" s="81"/>
      <c r="AD569" s="81"/>
      <c r="AE569" s="81"/>
      <c r="AF569" s="81"/>
      <c r="AG569" s="81"/>
      <c r="AH569" s="81"/>
      <c r="AI569" s="81"/>
      <c r="AJ569" s="81"/>
      <c r="AK569" s="81"/>
      <c r="AL569" s="81"/>
      <c r="AM569" s="81"/>
      <c r="AN569" s="81"/>
      <c r="AO569" s="81"/>
      <c r="AP569" s="81"/>
      <c r="AQ569" s="81"/>
      <c r="AR569" s="81"/>
      <c r="AS569" s="81"/>
      <c r="AT569" s="81"/>
      <c r="AU569" s="81"/>
      <c r="AV569" s="81"/>
      <c r="AW569" s="81"/>
      <c r="AX569" s="81"/>
      <c r="AY569" s="81"/>
      <c r="AZ569" s="81"/>
      <c r="BA569" s="81"/>
      <c r="BB569" s="81"/>
      <c r="BC569" s="81"/>
      <c r="BD569" s="81"/>
      <c r="BE569" s="81"/>
      <c r="BF569" s="81"/>
      <c r="BG569" s="81"/>
      <c r="BH569" s="81"/>
      <c r="BI569" s="81"/>
      <c r="BJ569" s="81"/>
      <c r="BK569" s="81"/>
      <c r="BL569" s="6"/>
      <c r="BM569" s="6"/>
      <c r="BN569" s="6"/>
      <c r="BO569" s="6"/>
      <c r="BP569" s="6"/>
      <c r="BQ569" s="6"/>
      <c r="BR569" s="6"/>
      <c r="BS569" s="6"/>
      <c r="BT569" s="6"/>
      <c r="BU569" s="6"/>
    </row>
    <row r="570" spans="1:73">
      <c r="A570" s="6"/>
      <c r="B570" s="108"/>
      <c r="C570" s="1"/>
      <c r="D570" s="49" t="s">
        <v>289</v>
      </c>
      <c r="E570" s="12" t="s">
        <v>433</v>
      </c>
      <c r="F570" s="1"/>
      <c r="G570" s="605">
        <f>IF('2.3 Input_Main_Questionnaire'!$H$261=E570,'2.3 Input_Main_Questionnaire'!$H$263,0)</f>
        <v>0.15</v>
      </c>
      <c r="H570" s="629">
        <v>0.75</v>
      </c>
      <c r="I570" s="538">
        <f t="shared" si="85"/>
        <v>0.33333333333333326</v>
      </c>
      <c r="J570" s="538">
        <f t="shared" si="86"/>
        <v>4.9999999999999989E-2</v>
      </c>
      <c r="K570" s="3"/>
      <c r="L570" s="3"/>
      <c r="M570" s="3"/>
      <c r="N570" s="3"/>
      <c r="O570" s="1"/>
      <c r="P570" s="1"/>
      <c r="Q570" s="1"/>
      <c r="R570" s="162"/>
      <c r="S570" s="1"/>
      <c r="T570" s="81"/>
      <c r="U570" s="81"/>
      <c r="V570" s="81"/>
      <c r="W570" s="81"/>
      <c r="X570" s="81"/>
      <c r="Y570" s="81"/>
      <c r="Z570" s="81"/>
      <c r="AA570" s="81"/>
      <c r="AB570" s="81"/>
      <c r="AC570" s="81"/>
      <c r="AD570" s="81"/>
      <c r="AE570" s="81"/>
      <c r="AF570" s="81"/>
      <c r="AG570" s="81"/>
      <c r="AH570" s="81"/>
      <c r="AI570" s="81"/>
      <c r="AJ570" s="81"/>
      <c r="AK570" s="81"/>
      <c r="AL570" s="81"/>
      <c r="AM570" s="81"/>
      <c r="AN570" s="81"/>
      <c r="AO570" s="81"/>
      <c r="AP570" s="81"/>
      <c r="AQ570" s="81"/>
      <c r="AR570" s="81"/>
      <c r="AS570" s="81"/>
      <c r="AT570" s="81"/>
      <c r="AU570" s="81"/>
      <c r="AV570" s="81"/>
      <c r="AW570" s="81"/>
      <c r="AX570" s="81"/>
      <c r="AY570" s="81"/>
      <c r="AZ570" s="81"/>
      <c r="BA570" s="81"/>
      <c r="BB570" s="81"/>
      <c r="BC570" s="81"/>
      <c r="BD570" s="81"/>
      <c r="BE570" s="81"/>
      <c r="BF570" s="81"/>
      <c r="BG570" s="81"/>
      <c r="BH570" s="81"/>
      <c r="BI570" s="81"/>
      <c r="BJ570" s="81"/>
      <c r="BK570" s="81"/>
      <c r="BL570" s="6"/>
      <c r="BM570" s="6"/>
      <c r="BN570" s="6"/>
      <c r="BO570" s="6"/>
      <c r="BP570" s="6"/>
      <c r="BQ570" s="6"/>
      <c r="BR570" s="6"/>
      <c r="BS570" s="6"/>
      <c r="BT570" s="6"/>
      <c r="BU570" s="6"/>
    </row>
    <row r="571" spans="1:73">
      <c r="A571" s="6"/>
      <c r="B571" s="108"/>
      <c r="C571" s="1"/>
      <c r="D571" s="49" t="s">
        <v>289</v>
      </c>
      <c r="E571" s="12" t="s">
        <v>436</v>
      </c>
      <c r="F571" s="1"/>
      <c r="G571" s="605">
        <f>IF('2.3 Input_Main_Questionnaire'!$H$261=E571,'2.3 Input_Main_Questionnaire'!$H$263,0)</f>
        <v>0</v>
      </c>
      <c r="H571" s="629">
        <v>0.5</v>
      </c>
      <c r="I571" s="538">
        <f t="shared" si="85"/>
        <v>1</v>
      </c>
      <c r="J571" s="538">
        <f t="shared" si="86"/>
        <v>0</v>
      </c>
      <c r="K571" s="3"/>
      <c r="L571" s="3"/>
      <c r="M571" s="3"/>
      <c r="N571" s="3"/>
      <c r="O571" s="1"/>
      <c r="P571" s="1"/>
      <c r="Q571" s="1"/>
      <c r="R571" s="162"/>
      <c r="S571" s="1"/>
      <c r="T571" s="81"/>
      <c r="U571" s="81"/>
      <c r="V571" s="81"/>
      <c r="W571" s="81"/>
      <c r="X571" s="81"/>
      <c r="Y571" s="81"/>
      <c r="Z571" s="81"/>
      <c r="AA571" s="81"/>
      <c r="AB571" s="81"/>
      <c r="AC571" s="81"/>
      <c r="AD571" s="81"/>
      <c r="AE571" s="81"/>
      <c r="AF571" s="81"/>
      <c r="AG571" s="81"/>
      <c r="AH571" s="81"/>
      <c r="AI571" s="81"/>
      <c r="AJ571" s="81"/>
      <c r="AK571" s="81"/>
      <c r="AL571" s="81"/>
      <c r="AM571" s="81"/>
      <c r="AN571" s="81"/>
      <c r="AO571" s="81"/>
      <c r="AP571" s="81"/>
      <c r="AQ571" s="81"/>
      <c r="AR571" s="81"/>
      <c r="AS571" s="81"/>
      <c r="AT571" s="81"/>
      <c r="AU571" s="81"/>
      <c r="AV571" s="81"/>
      <c r="AW571" s="81"/>
      <c r="AX571" s="81"/>
      <c r="AY571" s="81"/>
      <c r="AZ571" s="81"/>
      <c r="BA571" s="81"/>
      <c r="BB571" s="81"/>
      <c r="BC571" s="81"/>
      <c r="BD571" s="81"/>
      <c r="BE571" s="81"/>
      <c r="BF571" s="81"/>
      <c r="BG571" s="81"/>
      <c r="BH571" s="81"/>
      <c r="BI571" s="81"/>
      <c r="BJ571" s="81"/>
      <c r="BK571" s="81"/>
      <c r="BL571" s="6"/>
      <c r="BM571" s="6"/>
      <c r="BN571" s="6"/>
      <c r="BO571" s="6"/>
      <c r="BP571" s="6"/>
      <c r="BQ571" s="6"/>
      <c r="BR571" s="6"/>
      <c r="BS571" s="6"/>
      <c r="BT571" s="6"/>
      <c r="BU571" s="6"/>
    </row>
    <row r="572" spans="1:73">
      <c r="A572" s="6"/>
      <c r="B572" s="108"/>
      <c r="C572" s="1"/>
      <c r="D572" s="49" t="s">
        <v>289</v>
      </c>
      <c r="E572" s="12" t="s">
        <v>437</v>
      </c>
      <c r="F572" s="1"/>
      <c r="G572" s="605">
        <f>IF('2.3 Input_Main_Questionnaire'!$H$261=E572,'2.3 Input_Main_Questionnaire'!$H$263,0)</f>
        <v>0</v>
      </c>
      <c r="H572" s="629">
        <v>0.25</v>
      </c>
      <c r="I572" s="538">
        <f t="shared" si="85"/>
        <v>3</v>
      </c>
      <c r="J572" s="538">
        <f t="shared" si="86"/>
        <v>0</v>
      </c>
      <c r="K572" s="3"/>
      <c r="L572" s="3"/>
      <c r="M572" s="3"/>
      <c r="N572" s="3"/>
      <c r="O572" s="1"/>
      <c r="P572" s="1"/>
      <c r="Q572" s="1"/>
      <c r="R572" s="162"/>
      <c r="S572" s="1"/>
      <c r="T572" s="81"/>
      <c r="U572" s="81"/>
      <c r="V572" s="81"/>
      <c r="W572" s="81"/>
      <c r="X572" s="81"/>
      <c r="Y572" s="81"/>
      <c r="Z572" s="81"/>
      <c r="AA572" s="81"/>
      <c r="AB572" s="81"/>
      <c r="AC572" s="81"/>
      <c r="AD572" s="81"/>
      <c r="AE572" s="81"/>
      <c r="AF572" s="81"/>
      <c r="AG572" s="81"/>
      <c r="AH572" s="81"/>
      <c r="AI572" s="81"/>
      <c r="AJ572" s="81"/>
      <c r="AK572" s="81"/>
      <c r="AL572" s="81"/>
      <c r="AM572" s="81"/>
      <c r="AN572" s="81"/>
      <c r="AO572" s="81"/>
      <c r="AP572" s="81"/>
      <c r="AQ572" s="81"/>
      <c r="AR572" s="81"/>
      <c r="AS572" s="81"/>
      <c r="AT572" s="81"/>
      <c r="AU572" s="81"/>
      <c r="AV572" s="81"/>
      <c r="AW572" s="81"/>
      <c r="AX572" s="81"/>
      <c r="AY572" s="81"/>
      <c r="AZ572" s="81"/>
      <c r="BA572" s="81"/>
      <c r="BB572" s="81"/>
      <c r="BC572" s="81"/>
      <c r="BD572" s="81"/>
      <c r="BE572" s="81"/>
      <c r="BF572" s="81"/>
      <c r="BG572" s="81"/>
      <c r="BH572" s="81"/>
      <c r="BI572" s="81"/>
      <c r="BJ572" s="81"/>
      <c r="BK572" s="81"/>
      <c r="BL572" s="6"/>
      <c r="BM572" s="6"/>
      <c r="BN572" s="6"/>
      <c r="BO572" s="6"/>
      <c r="BP572" s="6"/>
      <c r="BQ572" s="6"/>
      <c r="BR572" s="6"/>
      <c r="BS572" s="6"/>
      <c r="BT572" s="6"/>
      <c r="BU572" s="6"/>
    </row>
    <row r="573" spans="1:73">
      <c r="A573" s="6"/>
      <c r="B573" s="108"/>
      <c r="C573" s="1"/>
      <c r="D573" s="49" t="s">
        <v>289</v>
      </c>
      <c r="E573" s="12" t="s">
        <v>438</v>
      </c>
      <c r="F573" s="1"/>
      <c r="G573" s="605">
        <f>IF('2.3 Input_Main_Questionnaire'!$H$261=E573,'2.3 Input_Main_Questionnaire'!$H$263,0)</f>
        <v>0</v>
      </c>
      <c r="H573" s="630">
        <v>0.01</v>
      </c>
      <c r="I573" s="538">
        <f t="shared" si="85"/>
        <v>99</v>
      </c>
      <c r="J573" s="538">
        <f t="shared" si="86"/>
        <v>0</v>
      </c>
      <c r="K573" s="3"/>
      <c r="L573" s="3"/>
      <c r="M573" s="3"/>
      <c r="N573" s="3"/>
      <c r="O573" s="1"/>
      <c r="P573" s="1"/>
      <c r="Q573" s="1"/>
      <c r="R573" s="162"/>
      <c r="S573" s="1"/>
      <c r="T573" s="81"/>
      <c r="U573" s="81"/>
      <c r="V573" s="81"/>
      <c r="W573" s="81"/>
      <c r="X573" s="81"/>
      <c r="Y573" s="81"/>
      <c r="Z573" s="81"/>
      <c r="AA573" s="81"/>
      <c r="AB573" s="81"/>
      <c r="AC573" s="81"/>
      <c r="AD573" s="81"/>
      <c r="AE573" s="81"/>
      <c r="AF573" s="81"/>
      <c r="AG573" s="81"/>
      <c r="AH573" s="81"/>
      <c r="AI573" s="81"/>
      <c r="AJ573" s="81"/>
      <c r="AK573" s="81"/>
      <c r="AL573" s="81"/>
      <c r="AM573" s="81"/>
      <c r="AN573" s="81"/>
      <c r="AO573" s="81"/>
      <c r="AP573" s="81"/>
      <c r="AQ573" s="81"/>
      <c r="AR573" s="81"/>
      <c r="AS573" s="81"/>
      <c r="AT573" s="81"/>
      <c r="AU573" s="81"/>
      <c r="AV573" s="81"/>
      <c r="AW573" s="81"/>
      <c r="AX573" s="81"/>
      <c r="AY573" s="81"/>
      <c r="AZ573" s="81"/>
      <c r="BA573" s="81"/>
      <c r="BB573" s="81"/>
      <c r="BC573" s="81"/>
      <c r="BD573" s="81"/>
      <c r="BE573" s="81"/>
      <c r="BF573" s="81"/>
      <c r="BG573" s="81"/>
      <c r="BH573" s="81"/>
      <c r="BI573" s="81"/>
      <c r="BJ573" s="81"/>
      <c r="BK573" s="81"/>
      <c r="BL573" s="6"/>
      <c r="BM573" s="6"/>
      <c r="BN573" s="6"/>
      <c r="BO573" s="6"/>
      <c r="BP573" s="6"/>
      <c r="BQ573" s="6"/>
      <c r="BR573" s="6"/>
      <c r="BS573" s="6"/>
      <c r="BT573" s="6"/>
      <c r="BU573" s="6"/>
    </row>
    <row r="574" spans="1:73" ht="13.5" customHeight="1">
      <c r="A574" s="6"/>
      <c r="B574" s="108"/>
      <c r="C574" s="1"/>
      <c r="D574" s="1"/>
      <c r="E574" s="1"/>
      <c r="F574" s="1"/>
      <c r="G574" s="3"/>
      <c r="H574" s="3"/>
      <c r="I574" s="3"/>
      <c r="J574" s="3"/>
      <c r="K574" s="3"/>
      <c r="L574" s="3"/>
      <c r="M574" s="3"/>
      <c r="N574" s="3"/>
      <c r="O574" s="1"/>
      <c r="P574" s="1"/>
      <c r="Q574" s="1"/>
      <c r="R574" s="162"/>
      <c r="S574" s="1"/>
      <c r="T574" s="103"/>
      <c r="U574" s="103"/>
      <c r="V574" s="103"/>
      <c r="W574" s="98"/>
      <c r="X574" s="98"/>
      <c r="Y574" s="98"/>
      <c r="Z574" s="98"/>
      <c r="AA574" s="98"/>
      <c r="AB574" s="98"/>
      <c r="AC574" s="98"/>
      <c r="AD574" s="98"/>
      <c r="AE574" s="98"/>
      <c r="AF574" s="98"/>
      <c r="AG574" s="98"/>
      <c r="AH574" s="98"/>
      <c r="AI574" s="98"/>
      <c r="AJ574" s="98"/>
      <c r="AK574" s="98"/>
      <c r="AL574" s="98"/>
      <c r="AM574" s="98"/>
      <c r="AN574" s="98"/>
      <c r="AO574" s="98"/>
      <c r="AP574" s="98"/>
      <c r="AQ574" s="98"/>
      <c r="AR574" s="98"/>
      <c r="AS574" s="98"/>
      <c r="AT574" s="98"/>
      <c r="AU574" s="98"/>
      <c r="AV574" s="98"/>
      <c r="AW574" s="98"/>
      <c r="AX574" s="98"/>
      <c r="AY574" s="98"/>
      <c r="AZ574" s="98"/>
      <c r="BA574" s="98"/>
      <c r="BB574" s="98"/>
      <c r="BC574" s="98"/>
      <c r="BD574" s="98"/>
      <c r="BE574" s="98"/>
      <c r="BF574" s="98"/>
      <c r="BG574" s="98"/>
      <c r="BH574" s="98"/>
      <c r="BI574" s="98"/>
      <c r="BJ574" s="98"/>
      <c r="BK574" s="98"/>
      <c r="BL574" s="99"/>
      <c r="BM574" s="99"/>
      <c r="BN574" s="99"/>
      <c r="BO574" s="99"/>
      <c r="BP574" s="99"/>
      <c r="BQ574" s="99"/>
      <c r="BR574" s="99"/>
      <c r="BS574" s="99"/>
      <c r="BT574" s="99"/>
      <c r="BU574" s="99"/>
    </row>
    <row r="575" spans="1:73">
      <c r="A575" s="6"/>
      <c r="B575" s="108"/>
      <c r="C575" s="1"/>
      <c r="D575" s="41" t="s">
        <v>1054</v>
      </c>
      <c r="E575" s="46"/>
      <c r="F575" s="46"/>
      <c r="G575" s="72" t="str">
        <f t="shared" ref="G575:N575" si="87">G$10</f>
        <v>PhD researcher</v>
      </c>
      <c r="H575" s="72" t="str">
        <f t="shared" si="87"/>
        <v>Lecturer assistant/Research assistant (Academic)</v>
      </c>
      <c r="I575" s="72" t="str">
        <f t="shared" si="87"/>
        <v>Lecturer/Researcher (Academic)</v>
      </c>
      <c r="J575" s="72" t="str">
        <f t="shared" si="87"/>
        <v>Other</v>
      </c>
      <c r="K575" s="72" t="str">
        <f t="shared" si="87"/>
        <v>Profile 5</v>
      </c>
      <c r="L575" s="72" t="str">
        <f t="shared" si="87"/>
        <v>Profile 6</v>
      </c>
      <c r="M575" s="72" t="str">
        <f t="shared" si="87"/>
        <v>Profile 7</v>
      </c>
      <c r="N575" s="72" t="str">
        <f t="shared" si="87"/>
        <v>Profile 8</v>
      </c>
      <c r="O575" s="1"/>
      <c r="P575" s="1"/>
      <c r="Q575" s="1"/>
      <c r="R575" s="162"/>
      <c r="S575" s="1"/>
      <c r="T575" s="103"/>
      <c r="U575" s="103"/>
      <c r="V575" s="103"/>
      <c r="W575" s="98"/>
      <c r="X575" s="98"/>
      <c r="Y575" s="98"/>
      <c r="Z575" s="98"/>
      <c r="AA575" s="98"/>
      <c r="AB575" s="98"/>
      <c r="AC575" s="98"/>
      <c r="AD575" s="98"/>
      <c r="AE575" s="98"/>
      <c r="AF575" s="98"/>
      <c r="AG575" s="98"/>
      <c r="AH575" s="98"/>
      <c r="AI575" s="98"/>
      <c r="AJ575" s="98"/>
      <c r="AK575" s="98"/>
      <c r="AL575" s="98"/>
      <c r="AM575" s="98"/>
      <c r="AN575" s="98"/>
      <c r="AO575" s="98"/>
      <c r="AP575" s="98"/>
      <c r="AQ575" s="98"/>
      <c r="AR575" s="98"/>
      <c r="AS575" s="98"/>
      <c r="AT575" s="98"/>
      <c r="AU575" s="98"/>
      <c r="AV575" s="98"/>
      <c r="AW575" s="98"/>
      <c r="AX575" s="98"/>
      <c r="AY575" s="98"/>
      <c r="AZ575" s="98"/>
      <c r="BA575" s="98"/>
      <c r="BB575" s="98"/>
      <c r="BC575" s="98"/>
      <c r="BD575" s="98"/>
      <c r="BE575" s="98"/>
      <c r="BF575" s="98"/>
      <c r="BG575" s="98"/>
      <c r="BH575" s="98"/>
      <c r="BI575" s="98"/>
      <c r="BJ575" s="98"/>
      <c r="BK575" s="98"/>
      <c r="BL575" s="99"/>
      <c r="BM575" s="99"/>
      <c r="BN575" s="99"/>
      <c r="BO575" s="99"/>
      <c r="BP575" s="99"/>
      <c r="BQ575" s="99"/>
      <c r="BR575" s="99"/>
      <c r="BS575" s="99"/>
      <c r="BT575" s="99"/>
      <c r="BU575" s="99"/>
    </row>
    <row r="576" spans="1:73" ht="5.25" customHeight="1" thickTop="1">
      <c r="A576" s="6"/>
      <c r="B576" s="108"/>
      <c r="C576" s="1"/>
      <c r="D576" s="25"/>
      <c r="E576" s="4"/>
      <c r="F576" s="4"/>
      <c r="G576" s="79"/>
      <c r="H576" s="79"/>
      <c r="I576" s="79"/>
      <c r="J576" s="79"/>
      <c r="K576" s="79"/>
      <c r="L576" s="79"/>
      <c r="M576" s="79"/>
      <c r="N576" s="79"/>
      <c r="O576" s="1"/>
      <c r="P576" s="1"/>
      <c r="Q576" s="1"/>
      <c r="R576" s="162"/>
      <c r="S576" s="1"/>
      <c r="T576" s="103"/>
      <c r="U576" s="103"/>
      <c r="V576" s="103"/>
      <c r="W576" s="98"/>
      <c r="X576" s="98"/>
      <c r="Y576" s="98"/>
      <c r="Z576" s="98"/>
      <c r="AA576" s="98"/>
      <c r="AB576" s="98"/>
      <c r="AC576" s="98"/>
      <c r="AD576" s="98"/>
      <c r="AE576" s="98"/>
      <c r="AF576" s="98"/>
      <c r="AG576" s="98"/>
      <c r="AH576" s="98"/>
      <c r="AI576" s="98"/>
      <c r="AJ576" s="98"/>
      <c r="AK576" s="98"/>
      <c r="AL576" s="98"/>
      <c r="AM576" s="98"/>
      <c r="AN576" s="98"/>
      <c r="AO576" s="98"/>
      <c r="AP576" s="98"/>
      <c r="AQ576" s="98"/>
      <c r="AR576" s="98"/>
      <c r="AS576" s="98"/>
      <c r="AT576" s="98"/>
      <c r="AU576" s="98"/>
      <c r="AV576" s="98"/>
      <c r="AW576" s="98"/>
      <c r="AX576" s="98"/>
      <c r="AY576" s="98"/>
      <c r="AZ576" s="98"/>
      <c r="BA576" s="98"/>
      <c r="BB576" s="98"/>
      <c r="BC576" s="98"/>
      <c r="BD576" s="98"/>
      <c r="BE576" s="98"/>
      <c r="BF576" s="98"/>
      <c r="BG576" s="98"/>
      <c r="BH576" s="98"/>
      <c r="BI576" s="98"/>
      <c r="BJ576" s="98"/>
      <c r="BK576" s="98"/>
      <c r="BL576" s="99"/>
      <c r="BM576" s="99"/>
      <c r="BN576" s="99"/>
      <c r="BO576" s="99"/>
      <c r="BP576" s="99"/>
      <c r="BQ576" s="99"/>
      <c r="BR576" s="99"/>
      <c r="BS576" s="99"/>
      <c r="BT576" s="99"/>
      <c r="BU576" s="99"/>
    </row>
    <row r="577" spans="1:73">
      <c r="A577" s="6"/>
      <c r="B577" s="97" t="s">
        <v>648</v>
      </c>
      <c r="C577" s="37"/>
      <c r="D577" s="147" t="s">
        <v>1055</v>
      </c>
      <c r="E577" s="200"/>
      <c r="F577" s="200"/>
      <c r="G577" s="365">
        <f>-SUM($J$569:$J$573)*'2.3 Input_Main_Questionnaire'!H32</f>
        <v>-8.2449999999999971E-3</v>
      </c>
      <c r="H577" s="365">
        <f>-SUM($J$569:$J$573)*'2.3 Input_Main_Questionnaire'!I32</f>
        <v>-4.1499999999999992E-3</v>
      </c>
      <c r="I577" s="365">
        <f>-SUM($J$569:$J$573)*'2.3 Input_Main_Questionnaire'!J32</f>
        <v>-3.0199999999999992E-3</v>
      </c>
      <c r="J577" s="365">
        <f>-SUM($J$569:$J$573)*'2.3 Input_Main_Questionnaire'!K32</f>
        <v>-8.6599999999999976E-3</v>
      </c>
      <c r="K577" s="365">
        <f>-SUM($J$569:$J$573)*'2.3 Input_Main_Questionnaire'!L32</f>
        <v>-6.0187499999999989E-3</v>
      </c>
      <c r="L577" s="365">
        <f>-SUM($J$569:$J$573)*'2.3 Input_Main_Questionnaire'!M32</f>
        <v>-6.0187499999999989E-3</v>
      </c>
      <c r="M577" s="365">
        <f>-SUM($J$569:$J$573)*'2.3 Input_Main_Questionnaire'!N32</f>
        <v>-6.0187499999999989E-3</v>
      </c>
      <c r="N577" s="365">
        <f>-SUM($J$569:$J$573)*'2.3 Input_Main_Questionnaire'!O32</f>
        <v>-6.0187499999999989E-3</v>
      </c>
      <c r="O577" s="1"/>
      <c r="P577" s="1"/>
      <c r="Q577" s="1"/>
      <c r="R577" s="162"/>
      <c r="S577" s="1"/>
      <c r="T577" s="81"/>
      <c r="U577" s="81"/>
      <c r="W577" s="81"/>
      <c r="X577" s="81"/>
      <c r="Y577" s="81"/>
      <c r="Z577" s="81"/>
      <c r="AA577" s="81"/>
      <c r="AB577" s="81"/>
      <c r="AC577" s="81"/>
      <c r="AD577" s="81"/>
      <c r="AE577" s="81"/>
      <c r="AF577" s="81"/>
      <c r="AG577" s="81"/>
      <c r="AH577" s="81"/>
      <c r="AI577" s="81"/>
      <c r="AJ577" s="81"/>
      <c r="AK577" s="81"/>
      <c r="AL577" s="81"/>
      <c r="AM577" s="81"/>
      <c r="AN577" s="81"/>
      <c r="AO577" s="81"/>
      <c r="AP577" s="81"/>
      <c r="AQ577" s="81"/>
      <c r="AR577" s="81"/>
      <c r="AS577" s="81"/>
      <c r="AT577" s="81"/>
      <c r="AU577" s="81"/>
      <c r="AV577" s="81"/>
      <c r="AW577" s="81"/>
      <c r="AX577" s="81"/>
      <c r="AY577" s="81"/>
      <c r="AZ577" s="81"/>
      <c r="BA577" s="81"/>
      <c r="BB577" s="81"/>
      <c r="BC577" s="81"/>
      <c r="BD577" s="81"/>
      <c r="BE577" s="81"/>
      <c r="BF577" s="81"/>
      <c r="BG577" s="81"/>
      <c r="BH577" s="81"/>
      <c r="BI577" s="81"/>
      <c r="BJ577" s="81"/>
      <c r="BK577" s="81"/>
      <c r="BL577" s="6"/>
      <c r="BM577" s="6"/>
      <c r="BN577" s="6"/>
      <c r="BO577" s="6"/>
      <c r="BP577" s="6"/>
      <c r="BQ577" s="6"/>
      <c r="BR577" s="6"/>
      <c r="BS577" s="6"/>
      <c r="BT577" s="6"/>
      <c r="BU577" s="6"/>
    </row>
    <row r="578" spans="1:73" ht="15.95" customHeight="1">
      <c r="A578" s="6"/>
      <c r="B578" s="108"/>
      <c r="C578" s="1"/>
      <c r="D578" s="1"/>
      <c r="E578" s="1"/>
      <c r="F578" s="1"/>
      <c r="G578" s="3"/>
      <c r="H578" s="3"/>
      <c r="I578" s="3"/>
      <c r="J578" s="3"/>
      <c r="K578" s="3"/>
      <c r="L578" s="3"/>
      <c r="M578" s="3"/>
      <c r="N578" s="3"/>
      <c r="O578" s="1"/>
      <c r="P578" s="1"/>
      <c r="Q578" s="1"/>
      <c r="R578" s="162"/>
      <c r="S578" s="1"/>
      <c r="T578" s="103"/>
      <c r="U578" s="9" t="s">
        <v>5</v>
      </c>
      <c r="V578" s="100"/>
      <c r="W578" s="8"/>
      <c r="X578" s="8"/>
      <c r="Y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99"/>
      <c r="BM578" s="99"/>
      <c r="BN578" s="99"/>
      <c r="BO578" s="99"/>
      <c r="BP578" s="99"/>
      <c r="BQ578" s="99"/>
      <c r="BR578" s="99"/>
      <c r="BS578" s="99"/>
      <c r="BT578" s="99"/>
      <c r="BU578" s="99"/>
    </row>
    <row r="579" spans="1:73">
      <c r="A579" s="6"/>
      <c r="B579" s="108"/>
      <c r="C579" s="1"/>
      <c r="D579" s="1"/>
      <c r="E579" s="1"/>
      <c r="F579" s="1"/>
      <c r="G579" s="3"/>
      <c r="H579" s="3"/>
      <c r="I579" s="3"/>
      <c r="J579" s="3"/>
      <c r="K579" s="3"/>
      <c r="L579" s="3"/>
      <c r="M579" s="3"/>
      <c r="N579" s="3"/>
      <c r="O579" s="1"/>
      <c r="P579" s="1"/>
      <c r="Q579" s="1"/>
      <c r="R579" s="162"/>
      <c r="S579" s="1"/>
      <c r="T579" s="103"/>
      <c r="U579" s="103"/>
      <c r="V579" s="100" t="str">
        <f>D577</f>
        <v>Time spent documenting steps of the analysis process</v>
      </c>
      <c r="W579" s="8"/>
      <c r="X579" s="8"/>
      <c r="Y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99"/>
      <c r="BM579" s="99"/>
      <c r="BN579" s="99"/>
      <c r="BO579" s="99"/>
      <c r="BP579" s="99"/>
      <c r="BQ579" s="99"/>
      <c r="BR579" s="99"/>
      <c r="BS579" s="99"/>
      <c r="BT579" s="99"/>
      <c r="BU579" s="99"/>
    </row>
    <row r="580" spans="1:73">
      <c r="A580" s="6"/>
      <c r="B580" s="108"/>
      <c r="C580" s="1"/>
      <c r="D580" s="1"/>
      <c r="E580" s="1"/>
      <c r="F580" s="1"/>
      <c r="G580" s="3"/>
      <c r="H580" s="3"/>
      <c r="I580" s="3"/>
      <c r="J580" s="3"/>
      <c r="K580" s="3"/>
      <c r="L580" s="3"/>
      <c r="M580" s="3"/>
      <c r="N580" s="3"/>
      <c r="O580" s="1"/>
      <c r="P580" s="1"/>
      <c r="Q580" s="1"/>
      <c r="R580" s="162"/>
      <c r="S580" s="1"/>
      <c r="T580" s="101" t="s">
        <v>865</v>
      </c>
      <c r="U580" s="372" t="s">
        <v>866</v>
      </c>
      <c r="V580" s="103" t="s">
        <v>208</v>
      </c>
      <c r="W580" s="98">
        <f>Growth!B20</f>
        <v>2018</v>
      </c>
      <c r="X580" s="98">
        <f t="shared" ref="X580:BK580" si="88">W580+1</f>
        <v>2019</v>
      </c>
      <c r="Y580" s="98">
        <f t="shared" si="88"/>
        <v>2020</v>
      </c>
      <c r="Z580" s="98">
        <f t="shared" si="88"/>
        <v>2021</v>
      </c>
      <c r="AA580" s="98">
        <f t="shared" si="88"/>
        <v>2022</v>
      </c>
      <c r="AB580" s="98">
        <f t="shared" si="88"/>
        <v>2023</v>
      </c>
      <c r="AC580" s="98">
        <f t="shared" si="88"/>
        <v>2024</v>
      </c>
      <c r="AD580" s="98">
        <f t="shared" si="88"/>
        <v>2025</v>
      </c>
      <c r="AE580" s="98">
        <f t="shared" si="88"/>
        <v>2026</v>
      </c>
      <c r="AF580" s="98">
        <f t="shared" si="88"/>
        <v>2027</v>
      </c>
      <c r="AG580" s="98">
        <f t="shared" si="88"/>
        <v>2028</v>
      </c>
      <c r="AH580" s="98">
        <f t="shared" si="88"/>
        <v>2029</v>
      </c>
      <c r="AI580" s="98">
        <f t="shared" si="88"/>
        <v>2030</v>
      </c>
      <c r="AJ580" s="98">
        <f t="shared" si="88"/>
        <v>2031</v>
      </c>
      <c r="AK580" s="98">
        <f t="shared" si="88"/>
        <v>2032</v>
      </c>
      <c r="AL580" s="98">
        <f t="shared" si="88"/>
        <v>2033</v>
      </c>
      <c r="AM580" s="98">
        <f t="shared" si="88"/>
        <v>2034</v>
      </c>
      <c r="AN580" s="98">
        <f t="shared" si="88"/>
        <v>2035</v>
      </c>
      <c r="AO580" s="98">
        <f t="shared" si="88"/>
        <v>2036</v>
      </c>
      <c r="AP580" s="98">
        <f t="shared" si="88"/>
        <v>2037</v>
      </c>
      <c r="AQ580" s="98">
        <f t="shared" si="88"/>
        <v>2038</v>
      </c>
      <c r="AR580" s="98">
        <f t="shared" si="88"/>
        <v>2039</v>
      </c>
      <c r="AS580" s="98">
        <f t="shared" si="88"/>
        <v>2040</v>
      </c>
      <c r="AT580" s="98">
        <f t="shared" si="88"/>
        <v>2041</v>
      </c>
      <c r="AU580" s="98">
        <f t="shared" si="88"/>
        <v>2042</v>
      </c>
      <c r="AV580" s="98">
        <f t="shared" si="88"/>
        <v>2043</v>
      </c>
      <c r="AW580" s="98">
        <f t="shared" si="88"/>
        <v>2044</v>
      </c>
      <c r="AX580" s="98">
        <f t="shared" si="88"/>
        <v>2045</v>
      </c>
      <c r="AY580" s="98">
        <f t="shared" si="88"/>
        <v>2046</v>
      </c>
      <c r="AZ580" s="98">
        <f t="shared" si="88"/>
        <v>2047</v>
      </c>
      <c r="BA580" s="98">
        <f t="shared" si="88"/>
        <v>2048</v>
      </c>
      <c r="BB580" s="98">
        <f t="shared" si="88"/>
        <v>2049</v>
      </c>
      <c r="BC580" s="98">
        <f t="shared" si="88"/>
        <v>2050</v>
      </c>
      <c r="BD580" s="98">
        <f t="shared" si="88"/>
        <v>2051</v>
      </c>
      <c r="BE580" s="98">
        <f t="shared" si="88"/>
        <v>2052</v>
      </c>
      <c r="BF580" s="98">
        <f t="shared" si="88"/>
        <v>2053</v>
      </c>
      <c r="BG580" s="98">
        <f t="shared" si="88"/>
        <v>2054</v>
      </c>
      <c r="BH580" s="98">
        <f t="shared" si="88"/>
        <v>2055</v>
      </c>
      <c r="BI580" s="98">
        <f t="shared" si="88"/>
        <v>2056</v>
      </c>
      <c r="BJ580" s="98">
        <f t="shared" si="88"/>
        <v>2057</v>
      </c>
      <c r="BK580" s="98">
        <f t="shared" si="88"/>
        <v>2058</v>
      </c>
      <c r="BL580" s="381"/>
      <c r="BM580" s="381"/>
      <c r="BN580" s="381"/>
      <c r="BO580" s="381"/>
      <c r="BP580" s="381"/>
      <c r="BQ580" s="381"/>
      <c r="BR580" s="381"/>
      <c r="BS580" s="381"/>
      <c r="BT580" s="381"/>
      <c r="BU580" s="381"/>
    </row>
    <row r="581" spans="1:73">
      <c r="A581" s="6"/>
      <c r="B581" s="108"/>
      <c r="C581" s="1"/>
      <c r="D581" s="1"/>
      <c r="E581" s="1"/>
      <c r="F581" s="1"/>
      <c r="G581" s="3"/>
      <c r="H581" s="3"/>
      <c r="I581" s="3"/>
      <c r="J581" s="3"/>
      <c r="K581" s="3"/>
      <c r="L581" s="3"/>
      <c r="M581" s="3"/>
      <c r="N581" s="3"/>
      <c r="O581" s="1"/>
      <c r="P581" s="1"/>
      <c r="Q581" s="1"/>
      <c r="R581" s="162"/>
      <c r="S581" s="1"/>
      <c r="T581" s="103"/>
      <c r="U581" s="103"/>
      <c r="V581" s="103" t="str">
        <f>G$10</f>
        <v>PhD researcher</v>
      </c>
      <c r="W581" s="373">
        <f ca="1">IF(W$580 &gt;='2.2 Input_General_Information'!$H$20, IF(W$580 &lt;= '2.2 Input_General_Information'!$H$20 + '2.2 Input_General_Information'!$H$40, $G$577 * (1+ (1-VLOOKUP(W$580, Growth!$B$130:$M$170, 12, FALSE))),V581),"")</f>
        <v>-1.0306250000000447E-2</v>
      </c>
      <c r="X581" s="373">
        <f ca="1">IF(X$580 &gt;='2.2 Input_General_Information'!$H$20, IF(X$580 &lt;= '2.2 Input_General_Information'!$H$20 + '2.2 Input_General_Information'!$H$40, $G$577 * (1+ (1-VLOOKUP(X$580, Growth!$B$130:$M$170, 12, FALSE))),W581),"")</f>
        <v>-8.4249725042492632E-3</v>
      </c>
      <c r="Y581" s="373">
        <f ca="1">IF(Y$580 &gt;='2.2 Input_General_Information'!$H$20, IF(Y$580 &lt;= '2.2 Input_General_Information'!$H$20 + '2.2 Input_General_Information'!$H$40, $G$577 * (1+ (1-VLOOKUP(Y$580, Growth!$B$130:$M$170, 12, FALSE))),X581),"")</f>
        <v>-8.2572988419520113E-3</v>
      </c>
      <c r="Z581" s="373">
        <f ca="1">IF(Z$580 &gt;='2.2 Input_General_Information'!$H$20, IF(Z$580 &lt;= '2.2 Input_General_Information'!$H$20 + '2.2 Input_General_Information'!$H$40, $G$577 * (1+ (1-VLOOKUP(Z$580, Growth!$B$130:$M$170, 12, FALSE))),Y581),"")</f>
        <v>-8.2458244999999951E-3</v>
      </c>
      <c r="AA581" s="373">
        <f ca="1">IF(AA$580 &gt;='2.2 Input_General_Information'!$H$20, IF(AA$580 &lt;= '2.2 Input_General_Information'!$H$20 + '2.2 Input_General_Information'!$H$40, $G$577 * (1+ (1-VLOOKUP(AA$580, Growth!$B$130:$M$170, 12, FALSE))),Z581),"")</f>
        <v>-8.2458244999999951E-3</v>
      </c>
      <c r="AB581" s="373">
        <f ca="1">IF(AB$580 &gt;='2.2 Input_General_Information'!$H$20, IF(AB$580 &lt;= '2.2 Input_General_Information'!$H$20 + '2.2 Input_General_Information'!$H$40, $G$577 * (1+ (1-VLOOKUP(AB$580, Growth!$B$130:$M$170, 12, FALSE))),AA581),"")</f>
        <v>-8.2458244999999951E-3</v>
      </c>
      <c r="AC581" s="373">
        <f ca="1">IF(AC$580 &gt;='2.2 Input_General_Information'!$H$20, IF(AC$580 &lt;= '2.2 Input_General_Information'!$H$20 + '2.2 Input_General_Information'!$H$40, $G$577 * (1+ (1-VLOOKUP(AC$580, Growth!$B$130:$M$170, 12, FALSE))),AB581),"")</f>
        <v>-8.2458244999999951E-3</v>
      </c>
      <c r="AD581" s="373">
        <f ca="1">IF(AD$580 &gt;='2.2 Input_General_Information'!$H$20, IF(AD$580 &lt;= '2.2 Input_General_Information'!$H$20 + '2.2 Input_General_Information'!$H$40, $G$577 * (1+ (1-VLOOKUP(AD$580, Growth!$B$130:$M$170, 12, FALSE))),AC581),"")</f>
        <v>-8.2458244999999951E-3</v>
      </c>
      <c r="AE581" s="373">
        <f ca="1">IF(AE$580 &gt;='2.2 Input_General_Information'!$H$20, IF(AE$580 &lt;= '2.2 Input_General_Information'!$H$20 + '2.2 Input_General_Information'!$H$40, $G$577 * (1+ (1-VLOOKUP(AE$580, Growth!$B$130:$M$170, 12, FALSE))),AD581),"")</f>
        <v>-8.2458244999999951E-3</v>
      </c>
      <c r="AF581" s="373">
        <f ca="1">IF(AF$580 &gt;='2.2 Input_General_Information'!$H$20, IF(AF$580 &lt;= '2.2 Input_General_Information'!$H$20 + '2.2 Input_General_Information'!$H$40, $G$577 * (1+ (1-VLOOKUP(AF$580, Growth!$B$130:$M$170, 12, FALSE))),AE581),"")</f>
        <v>-8.2458244999999951E-3</v>
      </c>
      <c r="AG581" s="373">
        <f ca="1">IF(AG$580 &gt;='2.2 Input_General_Information'!$H$20, IF(AG$580 &lt;= '2.2 Input_General_Information'!$H$20 + '2.2 Input_General_Information'!$H$40, $G$577 * (1+ (1-VLOOKUP(AG$580, Growth!$B$130:$M$170, 12, FALSE))),AF581),"")</f>
        <v>-8.2458244999999951E-3</v>
      </c>
      <c r="AH581" s="373">
        <f ca="1">IF(AH$580 &gt;='2.2 Input_General_Information'!$H$20, IF(AH$580 &lt;= '2.2 Input_General_Information'!$H$20 + '2.2 Input_General_Information'!$H$40, $G$577 * (1+ (1-VLOOKUP(AH$580, Growth!$B$130:$M$170, 12, FALSE))),AG581),"")</f>
        <v>-8.2458244999999951E-3</v>
      </c>
      <c r="AI581" s="373">
        <f ca="1">IF(AI$580 &gt;='2.2 Input_General_Information'!$H$20, IF(AI$580 &lt;= '2.2 Input_General_Information'!$H$20 + '2.2 Input_General_Information'!$H$40, $G$577 * (1+ (1-VLOOKUP(AI$580, Growth!$B$130:$M$170, 12, FALSE))),AH581),"")</f>
        <v>-8.2458244999999951E-3</v>
      </c>
      <c r="AJ581" s="373">
        <f ca="1">IF(AJ$580 &gt;='2.2 Input_General_Information'!$H$20, IF(AJ$580 &lt;= '2.2 Input_General_Information'!$H$20 + '2.2 Input_General_Information'!$H$40, $G$577 * (1+ (1-VLOOKUP(AJ$580, Growth!$B$130:$M$170, 12, FALSE))),AI581),"")</f>
        <v>-8.2458244999999951E-3</v>
      </c>
      <c r="AK581" s="373">
        <f ca="1">IF(AK$580 &gt;='2.2 Input_General_Information'!$H$20, IF(AK$580 &lt;= '2.2 Input_General_Information'!$H$20 + '2.2 Input_General_Information'!$H$40, $G$577 * (1+ (1-VLOOKUP(AK$580, Growth!$B$130:$M$170, 12, FALSE))),AJ581),"")</f>
        <v>-8.2458244999999951E-3</v>
      </c>
      <c r="AL581" s="373">
        <f ca="1">IF(AL$580 &gt;='2.2 Input_General_Information'!$H$20, IF(AL$580 &lt;= '2.2 Input_General_Information'!$H$20 + '2.2 Input_General_Information'!$H$40, $G$577 * (1+ (1-VLOOKUP(AL$580, Growth!$B$130:$M$170, 12, FALSE))),AK581),"")</f>
        <v>-8.2458244999999951E-3</v>
      </c>
      <c r="AM581" s="373">
        <f ca="1">IF(AM$580 &gt;='2.2 Input_General_Information'!$H$20, IF(AM$580 &lt;= '2.2 Input_General_Information'!$H$20 + '2.2 Input_General_Information'!$H$40, $G$577 * (1+ (1-VLOOKUP(AM$580, Growth!$B$130:$M$170, 12, FALSE))),AL581),"")</f>
        <v>-8.2458244999999951E-3</v>
      </c>
      <c r="AN581" s="373">
        <f ca="1">IF(AN$580 &gt;='2.2 Input_General_Information'!$H$20, IF(AN$580 &lt;= '2.2 Input_General_Information'!$H$20 + '2.2 Input_General_Information'!$H$40, $G$577 * (1+ (1-VLOOKUP(AN$580, Growth!$B$130:$M$170, 12, FALSE))),AM581),"")</f>
        <v>-8.2458244999999951E-3</v>
      </c>
      <c r="AO581" s="373">
        <f ca="1">IF(AO$580 &gt;='2.2 Input_General_Information'!$H$20, IF(AO$580 &lt;= '2.2 Input_General_Information'!$H$20 + '2.2 Input_General_Information'!$H$40, $G$577 * (1+ (1-VLOOKUP(AO$580, Growth!$B$130:$M$170, 12, FALSE))),AN581),"")</f>
        <v>-8.2458244999999951E-3</v>
      </c>
      <c r="AP581" s="373">
        <f ca="1">IF(AP$580 &gt;='2.2 Input_General_Information'!$H$20, IF(AP$580 &lt;= '2.2 Input_General_Information'!$H$20 + '2.2 Input_General_Information'!$H$40, $G$577 * (1+ (1-VLOOKUP(AP$580, Growth!$B$130:$M$170, 12, FALSE))),AO581),"")</f>
        <v>-8.2458244999999951E-3</v>
      </c>
      <c r="AQ581" s="373">
        <f ca="1">IF(AQ$580 &gt;='2.2 Input_General_Information'!$H$20, IF(AQ$580 &lt;= '2.2 Input_General_Information'!$H$20 + '2.2 Input_General_Information'!$H$40, $G$577 * (1+ (1-VLOOKUP(AQ$580, Growth!$B$130:$M$170, 12, FALSE))),AP581),"")</f>
        <v>-8.2458244999999951E-3</v>
      </c>
      <c r="AR581" s="373">
        <f ca="1">IF(AR$580 &gt;='2.2 Input_General_Information'!$H$20, IF(AR$580 &lt;= '2.2 Input_General_Information'!$H$20 + '2.2 Input_General_Information'!$H$40, $G$577 * (1+ (1-VLOOKUP(AR$580, Growth!$B$130:$M$170, 12, FALSE))),AQ581),"")</f>
        <v>-8.2458244999999951E-3</v>
      </c>
      <c r="AS581" s="373">
        <f ca="1">IF(AS$580 &gt;='2.2 Input_General_Information'!$H$20, IF(AS$580 &lt;= '2.2 Input_General_Information'!$H$20 + '2.2 Input_General_Information'!$H$40, $G$577 * (1+ (1-VLOOKUP(AS$580, Growth!$B$130:$M$170, 12, FALSE))),AR581),"")</f>
        <v>-8.2458244999999951E-3</v>
      </c>
      <c r="AT581" s="373">
        <f ca="1">IF(AT$580 &gt;='2.2 Input_General_Information'!$H$20, IF(AT$580 &lt;= '2.2 Input_General_Information'!$H$20 + '2.2 Input_General_Information'!$H$40, $G$577 * (1+ (1-VLOOKUP(AT$580, Growth!$B$130:$M$170, 12, FALSE))),AS581),"")</f>
        <v>-8.2458244999999951E-3</v>
      </c>
      <c r="AU581" s="373">
        <f ca="1">IF(AU$580 &gt;='2.2 Input_General_Information'!$H$20, IF(AU$580 &lt;= '2.2 Input_General_Information'!$H$20 + '2.2 Input_General_Information'!$H$40, $G$577 * (1+ (1-VLOOKUP(AU$580, Growth!$B$130:$M$170, 12, FALSE))),AT581),"")</f>
        <v>-8.2458244999999951E-3</v>
      </c>
      <c r="AV581" s="373">
        <f ca="1">IF(AV$580 &gt;='2.2 Input_General_Information'!$H$20, IF(AV$580 &lt;= '2.2 Input_General_Information'!$H$20 + '2.2 Input_General_Information'!$H$40, $G$577 * (1+ (1-VLOOKUP(AV$580, Growth!$B$130:$M$170, 12, FALSE))),AU581),"")</f>
        <v>-8.2458244999999951E-3</v>
      </c>
      <c r="AW581" s="373">
        <f ca="1">IF(AW$580 &gt;='2.2 Input_General_Information'!$H$20, IF(AW$580 &lt;= '2.2 Input_General_Information'!$H$20 + '2.2 Input_General_Information'!$H$40, $G$577 * (1+ (1-VLOOKUP(AW$580, Growth!$B$130:$M$170, 12, FALSE))),AV581),"")</f>
        <v>-8.2458244999999951E-3</v>
      </c>
      <c r="AX581" s="373">
        <f ca="1">IF(AX$580 &gt;='2.2 Input_General_Information'!$H$20, IF(AX$580 &lt;= '2.2 Input_General_Information'!$H$20 + '2.2 Input_General_Information'!$H$40, $G$577 * (1+ (1-VLOOKUP(AX$580, Growth!$B$130:$M$170, 12, FALSE))),AW581),"")</f>
        <v>-8.2458244999999951E-3</v>
      </c>
      <c r="AY581" s="373">
        <f ca="1">IF(AY$580 &gt;='2.2 Input_General_Information'!$H$20, IF(AY$580 &lt;= '2.2 Input_General_Information'!$H$20 + '2.2 Input_General_Information'!$H$40, $G$577 * (1+ (1-VLOOKUP(AY$580, Growth!$B$130:$M$170, 12, FALSE))),AX581),"")</f>
        <v>-8.2458244999999951E-3</v>
      </c>
      <c r="AZ581" s="373">
        <f ca="1">IF(AZ$580 &gt;='2.2 Input_General_Information'!$H$20, IF(AZ$580 &lt;= '2.2 Input_General_Information'!$H$20 + '2.2 Input_General_Information'!$H$40, $G$577 * (1+ (1-VLOOKUP(AZ$580, Growth!$B$130:$M$170, 12, FALSE))),AY581),"")</f>
        <v>-8.2458244999999951E-3</v>
      </c>
      <c r="BA581" s="373">
        <f ca="1">IF(BA$580 &gt;='2.2 Input_General_Information'!$H$20, IF(BA$580 &lt;= '2.2 Input_General_Information'!$H$20 + '2.2 Input_General_Information'!$H$40, $G$577 * (1+ (1-VLOOKUP(BA$580, Growth!$B$130:$M$170, 12, FALSE))),AZ581),"")</f>
        <v>-8.2458244999999951E-3</v>
      </c>
      <c r="BB581" s="373">
        <f ca="1">IF(BB$580 &gt;='2.2 Input_General_Information'!$H$20, IF(BB$580 &lt;= '2.2 Input_General_Information'!$H$20 + '2.2 Input_General_Information'!$H$40, $G$577 * (1+ (1-VLOOKUP(BB$580, Growth!$B$130:$M$170, 12, FALSE))),BA581),"")</f>
        <v>-8.2458244999999951E-3</v>
      </c>
      <c r="BC581" s="373">
        <f ca="1">IF(BC$580 &gt;='2.2 Input_General_Information'!$H$20, IF(BC$580 &lt;= '2.2 Input_General_Information'!$H$20 + '2.2 Input_General_Information'!$H$40, $G$577 * (1+ (1-VLOOKUP(BC$580, Growth!$B$130:$M$170, 12, FALSE))),BB581),"")</f>
        <v>-8.2458244999999951E-3</v>
      </c>
      <c r="BD581" s="373">
        <f ca="1">IF(BD$580 &gt;='2.2 Input_General_Information'!$H$20, IF(BD$580 &lt;= '2.2 Input_General_Information'!$H$20 + '2.2 Input_General_Information'!$H$40, $G$577 * (1+ (1-VLOOKUP(BD$580, Growth!$B$130:$M$170, 12, FALSE))),BC581),"")</f>
        <v>-8.2458244999999951E-3</v>
      </c>
      <c r="BE581" s="373">
        <f ca="1">IF(BE$580 &gt;='2.2 Input_General_Information'!$H$20, IF(BE$580 &lt;= '2.2 Input_General_Information'!$H$20 + '2.2 Input_General_Information'!$H$40, $G$577 * (1+ (1-VLOOKUP(BE$580, Growth!$B$130:$M$170, 12, FALSE))),BD581),"")</f>
        <v>-8.2458244999999951E-3</v>
      </c>
      <c r="BF581" s="373">
        <f ca="1">IF(BF$580 &gt;='2.2 Input_General_Information'!$H$20, IF(BF$580 &lt;= '2.2 Input_General_Information'!$H$20 + '2.2 Input_General_Information'!$H$40, $G$577 * (1+ (1-VLOOKUP(BF$580, Growth!$B$130:$M$170, 12, FALSE))),BE581),"")</f>
        <v>-8.2458244999999951E-3</v>
      </c>
      <c r="BG581" s="373">
        <f ca="1">IF(BG$580 &gt;='2.2 Input_General_Information'!$H$20, IF(BG$580 &lt;= '2.2 Input_General_Information'!$H$20 + '2.2 Input_General_Information'!$H$40, $G$577 * (1+ (1-VLOOKUP(BG$580, Growth!$B$130:$M$170, 12, FALSE))),BF581),"")</f>
        <v>-8.2458244999999951E-3</v>
      </c>
      <c r="BH581" s="373">
        <f ca="1">IF(BH$580 &gt;='2.2 Input_General_Information'!$H$20, IF(BH$580 &lt;= '2.2 Input_General_Information'!$H$20 + '2.2 Input_General_Information'!$H$40, $G$577 * (1+ (1-VLOOKUP(BH$580, Growth!$B$130:$M$170, 12, FALSE))),BG581),"")</f>
        <v>-8.2458244999999951E-3</v>
      </c>
      <c r="BI581" s="373">
        <f ca="1">IF(BI$580 &gt;='2.2 Input_General_Information'!$H$20, IF(BI$580 &lt;= '2.2 Input_General_Information'!$H$20 + '2.2 Input_General_Information'!$H$40, $G$577 * (1+ (1-VLOOKUP(BI$580, Growth!$B$130:$M$170, 12, FALSE))),BH581),"")</f>
        <v>-8.2458244999999951E-3</v>
      </c>
      <c r="BJ581" s="373">
        <f ca="1">IF(BJ$580 &gt;='2.2 Input_General_Information'!$H$20, IF(BJ$580 &lt;= '2.2 Input_General_Information'!$H$20 + '2.2 Input_General_Information'!$H$40, $G$577 * (1+ (1-VLOOKUP(BJ$580, Growth!$B$130:$M$170, 12, FALSE))),BI581),"")</f>
        <v>-8.2458244999999951E-3</v>
      </c>
      <c r="BK581" s="373">
        <f ca="1">IF(BK$580 &gt;='2.2 Input_General_Information'!$H$20, IF(BK$580 &lt;= '2.2 Input_General_Information'!$H$20 + '2.2 Input_General_Information'!$H$40, $G$577 * (1+ (1-VLOOKUP(BK$580, Growth!$B$130:$M$170, 12, FALSE))),BJ581),"")</f>
        <v>-8.2458244999999951E-3</v>
      </c>
      <c r="BL581" s="381"/>
      <c r="BM581" s="381"/>
      <c r="BN581" s="381"/>
      <c r="BO581" s="381"/>
      <c r="BP581" s="381"/>
      <c r="BQ581" s="381"/>
      <c r="BR581" s="381"/>
      <c r="BS581" s="381"/>
      <c r="BT581" s="381"/>
      <c r="BU581" s="381"/>
    </row>
    <row r="582" spans="1:73">
      <c r="A582" s="6"/>
      <c r="B582" s="108"/>
      <c r="C582" s="1"/>
      <c r="D582" s="1"/>
      <c r="E582" s="1"/>
      <c r="F582" s="1"/>
      <c r="G582" s="3"/>
      <c r="H582" s="3"/>
      <c r="I582" s="3"/>
      <c r="J582" s="3"/>
      <c r="K582" s="3"/>
      <c r="L582" s="3"/>
      <c r="M582" s="3"/>
      <c r="N582" s="3"/>
      <c r="O582" s="1"/>
      <c r="P582" s="1"/>
      <c r="Q582" s="1"/>
      <c r="R582" s="162"/>
      <c r="S582" s="1"/>
      <c r="T582" s="103"/>
      <c r="U582" s="103"/>
      <c r="V582" s="103" t="str">
        <f>$H$10</f>
        <v>Lecturer assistant/Research assistant (Academic)</v>
      </c>
      <c r="W582" s="373">
        <f ca="1">IF(W$580 &gt;='2.2 Input_General_Information'!$H$20, IF(W$580 &lt;= '2.2 Input_General_Information'!$H$20 + '2.2 Input_General_Information'!$H$40, $H$577 * (1+ (1-VLOOKUP(W$580, Growth!$B$130:$M$170, 12, FALSE))),V582),"")</f>
        <v>-5.1875000000002258E-3</v>
      </c>
      <c r="X582" s="373">
        <f ca="1">IF(X$580 &gt;='2.2 Input_General_Information'!$H$20, IF(X$580 &lt;= '2.2 Input_General_Information'!$H$20 + '2.2 Input_General_Information'!$H$40, $H$577 * (1+ (1-VLOOKUP(X$580, Growth!$B$130:$M$170, 12, FALSE))),W582),"")</f>
        <v>-4.2405865242734321E-3</v>
      </c>
      <c r="Y582" s="373">
        <f ca="1">IF(Y$580 &gt;='2.2 Input_General_Information'!$H$20, IF(Y$580 &lt;= '2.2 Input_General_Information'!$H$20 + '2.2 Input_General_Information'!$H$40, $H$577 * (1+ (1-VLOOKUP(Y$580, Growth!$B$130:$M$170, 12, FALSE))),X582),"")</f>
        <v>-4.1561904419770588E-3</v>
      </c>
      <c r="Z582" s="373">
        <f ca="1">IF(Z$580 &gt;='2.2 Input_General_Information'!$H$20, IF(Z$580 &lt;= '2.2 Input_General_Information'!$H$20 + '2.2 Input_General_Information'!$H$40, $H$577 * (1+ (1-VLOOKUP(Z$580, Growth!$B$130:$M$170, 12, FALSE))),Y582),"")</f>
        <v>-4.1504149999999984E-3</v>
      </c>
      <c r="AA582" s="373">
        <f ca="1">IF(AA$580 &gt;='2.2 Input_General_Information'!$H$20, IF(AA$580 &lt;= '2.2 Input_General_Information'!$H$20 + '2.2 Input_General_Information'!$H$40, $H$577 * (1+ (1-VLOOKUP(AA$580, Growth!$B$130:$M$170, 12, FALSE))),Z582),"")</f>
        <v>-4.1504149999999984E-3</v>
      </c>
      <c r="AB582" s="373">
        <f ca="1">IF(AB$580 &gt;='2.2 Input_General_Information'!$H$20, IF(AB$580 &lt;= '2.2 Input_General_Information'!$H$20 + '2.2 Input_General_Information'!$H$40, $H$577 * (1+ (1-VLOOKUP(AB$580, Growth!$B$130:$M$170, 12, FALSE))),AA582),"")</f>
        <v>-4.1504149999999984E-3</v>
      </c>
      <c r="AC582" s="373">
        <f ca="1">IF(AC$580 &gt;='2.2 Input_General_Information'!$H$20, IF(AC$580 &lt;= '2.2 Input_General_Information'!$H$20 + '2.2 Input_General_Information'!$H$40, $H$577 * (1+ (1-VLOOKUP(AC$580, Growth!$B$130:$M$170, 12, FALSE))),AB582),"")</f>
        <v>-4.1504149999999984E-3</v>
      </c>
      <c r="AD582" s="373">
        <f ca="1">IF(AD$580 &gt;='2.2 Input_General_Information'!$H$20, IF(AD$580 &lt;= '2.2 Input_General_Information'!$H$20 + '2.2 Input_General_Information'!$H$40, $H$577 * (1+ (1-VLOOKUP(AD$580, Growth!$B$130:$M$170, 12, FALSE))),AC582),"")</f>
        <v>-4.1504149999999984E-3</v>
      </c>
      <c r="AE582" s="373">
        <f ca="1">IF(AE$580 &gt;='2.2 Input_General_Information'!$H$20, IF(AE$580 &lt;= '2.2 Input_General_Information'!$H$20 + '2.2 Input_General_Information'!$H$40, $H$577 * (1+ (1-VLOOKUP(AE$580, Growth!$B$130:$M$170, 12, FALSE))),AD582),"")</f>
        <v>-4.1504149999999984E-3</v>
      </c>
      <c r="AF582" s="373">
        <f ca="1">IF(AF$580 &gt;='2.2 Input_General_Information'!$H$20, IF(AF$580 &lt;= '2.2 Input_General_Information'!$H$20 + '2.2 Input_General_Information'!$H$40, $H$577 * (1+ (1-VLOOKUP(AF$580, Growth!$B$130:$M$170, 12, FALSE))),AE582),"")</f>
        <v>-4.1504149999999984E-3</v>
      </c>
      <c r="AG582" s="373">
        <f ca="1">IF(AG$580 &gt;='2.2 Input_General_Information'!$H$20, IF(AG$580 &lt;= '2.2 Input_General_Information'!$H$20 + '2.2 Input_General_Information'!$H$40, $H$577 * (1+ (1-VLOOKUP(AG$580, Growth!$B$130:$M$170, 12, FALSE))),AF582),"")</f>
        <v>-4.1504149999999984E-3</v>
      </c>
      <c r="AH582" s="373">
        <f ca="1">IF(AH$580 &gt;='2.2 Input_General_Information'!$H$20, IF(AH$580 &lt;= '2.2 Input_General_Information'!$H$20 + '2.2 Input_General_Information'!$H$40, $H$577 * (1+ (1-VLOOKUP(AH$580, Growth!$B$130:$M$170, 12, FALSE))),AG582),"")</f>
        <v>-4.1504149999999984E-3</v>
      </c>
      <c r="AI582" s="373">
        <f ca="1">IF(AI$580 &gt;='2.2 Input_General_Information'!$H$20, IF(AI$580 &lt;= '2.2 Input_General_Information'!$H$20 + '2.2 Input_General_Information'!$H$40, $H$577 * (1+ (1-VLOOKUP(AI$580, Growth!$B$130:$M$170, 12, FALSE))),AH582),"")</f>
        <v>-4.1504149999999984E-3</v>
      </c>
      <c r="AJ582" s="373">
        <f ca="1">IF(AJ$580 &gt;='2.2 Input_General_Information'!$H$20, IF(AJ$580 &lt;= '2.2 Input_General_Information'!$H$20 + '2.2 Input_General_Information'!$H$40, $H$577 * (1+ (1-VLOOKUP(AJ$580, Growth!$B$130:$M$170, 12, FALSE))),AI582),"")</f>
        <v>-4.1504149999999984E-3</v>
      </c>
      <c r="AK582" s="373">
        <f ca="1">IF(AK$580 &gt;='2.2 Input_General_Information'!$H$20, IF(AK$580 &lt;= '2.2 Input_General_Information'!$H$20 + '2.2 Input_General_Information'!$H$40, $H$577 * (1+ (1-VLOOKUP(AK$580, Growth!$B$130:$M$170, 12, FALSE))),AJ582),"")</f>
        <v>-4.1504149999999984E-3</v>
      </c>
      <c r="AL582" s="373">
        <f ca="1">IF(AL$580 &gt;='2.2 Input_General_Information'!$H$20, IF(AL$580 &lt;= '2.2 Input_General_Information'!$H$20 + '2.2 Input_General_Information'!$H$40, $H$577 * (1+ (1-VLOOKUP(AL$580, Growth!$B$130:$M$170, 12, FALSE))),AK582),"")</f>
        <v>-4.1504149999999984E-3</v>
      </c>
      <c r="AM582" s="373">
        <f ca="1">IF(AM$580 &gt;='2.2 Input_General_Information'!$H$20, IF(AM$580 &lt;= '2.2 Input_General_Information'!$H$20 + '2.2 Input_General_Information'!$H$40, $H$577 * (1+ (1-VLOOKUP(AM$580, Growth!$B$130:$M$170, 12, FALSE))),AL582),"")</f>
        <v>-4.1504149999999984E-3</v>
      </c>
      <c r="AN582" s="373">
        <f ca="1">IF(AN$580 &gt;='2.2 Input_General_Information'!$H$20, IF(AN$580 &lt;= '2.2 Input_General_Information'!$H$20 + '2.2 Input_General_Information'!$H$40, $H$577 * (1+ (1-VLOOKUP(AN$580, Growth!$B$130:$M$170, 12, FALSE))),AM582),"")</f>
        <v>-4.1504149999999984E-3</v>
      </c>
      <c r="AO582" s="373">
        <f ca="1">IF(AO$580 &gt;='2.2 Input_General_Information'!$H$20, IF(AO$580 &lt;= '2.2 Input_General_Information'!$H$20 + '2.2 Input_General_Information'!$H$40, $H$577 * (1+ (1-VLOOKUP(AO$580, Growth!$B$130:$M$170, 12, FALSE))),AN582),"")</f>
        <v>-4.1504149999999984E-3</v>
      </c>
      <c r="AP582" s="373">
        <f ca="1">IF(AP$580 &gt;='2.2 Input_General_Information'!$H$20, IF(AP$580 &lt;= '2.2 Input_General_Information'!$H$20 + '2.2 Input_General_Information'!$H$40, $H$577 * (1+ (1-VLOOKUP(AP$580, Growth!$B$130:$M$170, 12, FALSE))),AO582),"")</f>
        <v>-4.1504149999999984E-3</v>
      </c>
      <c r="AQ582" s="373">
        <f ca="1">IF(AQ$580 &gt;='2.2 Input_General_Information'!$H$20, IF(AQ$580 &lt;= '2.2 Input_General_Information'!$H$20 + '2.2 Input_General_Information'!$H$40, $H$577 * (1+ (1-VLOOKUP(AQ$580, Growth!$B$130:$M$170, 12, FALSE))),AP582),"")</f>
        <v>-4.1504149999999984E-3</v>
      </c>
      <c r="AR582" s="373">
        <f ca="1">IF(AR$580 &gt;='2.2 Input_General_Information'!$H$20, IF(AR$580 &lt;= '2.2 Input_General_Information'!$H$20 + '2.2 Input_General_Information'!$H$40, $H$577 * (1+ (1-VLOOKUP(AR$580, Growth!$B$130:$M$170, 12, FALSE))),AQ582),"")</f>
        <v>-4.1504149999999984E-3</v>
      </c>
      <c r="AS582" s="373">
        <f ca="1">IF(AS$580 &gt;='2.2 Input_General_Information'!$H$20, IF(AS$580 &lt;= '2.2 Input_General_Information'!$H$20 + '2.2 Input_General_Information'!$H$40, $H$577 * (1+ (1-VLOOKUP(AS$580, Growth!$B$130:$M$170, 12, FALSE))),AR582),"")</f>
        <v>-4.1504149999999984E-3</v>
      </c>
      <c r="AT582" s="373">
        <f ca="1">IF(AT$580 &gt;='2.2 Input_General_Information'!$H$20, IF(AT$580 &lt;= '2.2 Input_General_Information'!$H$20 + '2.2 Input_General_Information'!$H$40, $H$577 * (1+ (1-VLOOKUP(AT$580, Growth!$B$130:$M$170, 12, FALSE))),AS582),"")</f>
        <v>-4.1504149999999984E-3</v>
      </c>
      <c r="AU582" s="373">
        <f ca="1">IF(AU$580 &gt;='2.2 Input_General_Information'!$H$20, IF(AU$580 &lt;= '2.2 Input_General_Information'!$H$20 + '2.2 Input_General_Information'!$H$40, $H$577 * (1+ (1-VLOOKUP(AU$580, Growth!$B$130:$M$170, 12, FALSE))),AT582),"")</f>
        <v>-4.1504149999999984E-3</v>
      </c>
      <c r="AV582" s="373">
        <f ca="1">IF(AV$580 &gt;='2.2 Input_General_Information'!$H$20, IF(AV$580 &lt;= '2.2 Input_General_Information'!$H$20 + '2.2 Input_General_Information'!$H$40, $H$577 * (1+ (1-VLOOKUP(AV$580, Growth!$B$130:$M$170, 12, FALSE))),AU582),"")</f>
        <v>-4.1504149999999984E-3</v>
      </c>
      <c r="AW582" s="373">
        <f ca="1">IF(AW$580 &gt;='2.2 Input_General_Information'!$H$20, IF(AW$580 &lt;= '2.2 Input_General_Information'!$H$20 + '2.2 Input_General_Information'!$H$40, $H$577 * (1+ (1-VLOOKUP(AW$580, Growth!$B$130:$M$170, 12, FALSE))),AV582),"")</f>
        <v>-4.1504149999999984E-3</v>
      </c>
      <c r="AX582" s="373">
        <f ca="1">IF(AX$580 &gt;='2.2 Input_General_Information'!$H$20, IF(AX$580 &lt;= '2.2 Input_General_Information'!$H$20 + '2.2 Input_General_Information'!$H$40, $H$577 * (1+ (1-VLOOKUP(AX$580, Growth!$B$130:$M$170, 12, FALSE))),AW582),"")</f>
        <v>-4.1504149999999984E-3</v>
      </c>
      <c r="AY582" s="373">
        <f ca="1">IF(AY$580 &gt;='2.2 Input_General_Information'!$H$20, IF(AY$580 &lt;= '2.2 Input_General_Information'!$H$20 + '2.2 Input_General_Information'!$H$40, $H$577 * (1+ (1-VLOOKUP(AY$580, Growth!$B$130:$M$170, 12, FALSE))),AX582),"")</f>
        <v>-4.1504149999999984E-3</v>
      </c>
      <c r="AZ582" s="373">
        <f ca="1">IF(AZ$580 &gt;='2.2 Input_General_Information'!$H$20, IF(AZ$580 &lt;= '2.2 Input_General_Information'!$H$20 + '2.2 Input_General_Information'!$H$40, $H$577 * (1+ (1-VLOOKUP(AZ$580, Growth!$B$130:$M$170, 12, FALSE))),AY582),"")</f>
        <v>-4.1504149999999984E-3</v>
      </c>
      <c r="BA582" s="373">
        <f ca="1">IF(BA$580 &gt;='2.2 Input_General_Information'!$H$20, IF(BA$580 &lt;= '2.2 Input_General_Information'!$H$20 + '2.2 Input_General_Information'!$H$40, $H$577 * (1+ (1-VLOOKUP(BA$580, Growth!$B$130:$M$170, 12, FALSE))),AZ582),"")</f>
        <v>-4.1504149999999984E-3</v>
      </c>
      <c r="BB582" s="373">
        <f ca="1">IF(BB$580 &gt;='2.2 Input_General_Information'!$H$20, IF(BB$580 &lt;= '2.2 Input_General_Information'!$H$20 + '2.2 Input_General_Information'!$H$40, $H$577 * (1+ (1-VLOOKUP(BB$580, Growth!$B$130:$M$170, 12, FALSE))),BA582),"")</f>
        <v>-4.1504149999999984E-3</v>
      </c>
      <c r="BC582" s="373">
        <f ca="1">IF(BC$580 &gt;='2.2 Input_General_Information'!$H$20, IF(BC$580 &lt;= '2.2 Input_General_Information'!$H$20 + '2.2 Input_General_Information'!$H$40, $H$577 * (1+ (1-VLOOKUP(BC$580, Growth!$B$130:$M$170, 12, FALSE))),BB582),"")</f>
        <v>-4.1504149999999984E-3</v>
      </c>
      <c r="BD582" s="373">
        <f ca="1">IF(BD$580 &gt;='2.2 Input_General_Information'!$H$20, IF(BD$580 &lt;= '2.2 Input_General_Information'!$H$20 + '2.2 Input_General_Information'!$H$40, $H$577 * (1+ (1-VLOOKUP(BD$580, Growth!$B$130:$M$170, 12, FALSE))),BC582),"")</f>
        <v>-4.1504149999999984E-3</v>
      </c>
      <c r="BE582" s="373">
        <f ca="1">IF(BE$580 &gt;='2.2 Input_General_Information'!$H$20, IF(BE$580 &lt;= '2.2 Input_General_Information'!$H$20 + '2.2 Input_General_Information'!$H$40, $H$577 * (1+ (1-VLOOKUP(BE$580, Growth!$B$130:$M$170, 12, FALSE))),BD582),"")</f>
        <v>-4.1504149999999984E-3</v>
      </c>
      <c r="BF582" s="373">
        <f ca="1">IF(BF$580 &gt;='2.2 Input_General_Information'!$H$20, IF(BF$580 &lt;= '2.2 Input_General_Information'!$H$20 + '2.2 Input_General_Information'!$H$40, $H$577 * (1+ (1-VLOOKUP(BF$580, Growth!$B$130:$M$170, 12, FALSE))),BE582),"")</f>
        <v>-4.1504149999999984E-3</v>
      </c>
      <c r="BG582" s="373">
        <f ca="1">IF(BG$580 &gt;='2.2 Input_General_Information'!$H$20, IF(BG$580 &lt;= '2.2 Input_General_Information'!$H$20 + '2.2 Input_General_Information'!$H$40, $H$577 * (1+ (1-VLOOKUP(BG$580, Growth!$B$130:$M$170, 12, FALSE))),BF582),"")</f>
        <v>-4.1504149999999984E-3</v>
      </c>
      <c r="BH582" s="373">
        <f ca="1">IF(BH$580 &gt;='2.2 Input_General_Information'!$H$20, IF(BH$580 &lt;= '2.2 Input_General_Information'!$H$20 + '2.2 Input_General_Information'!$H$40, $H$577 * (1+ (1-VLOOKUP(BH$580, Growth!$B$130:$M$170, 12, FALSE))),BG582),"")</f>
        <v>-4.1504149999999984E-3</v>
      </c>
      <c r="BI582" s="373">
        <f ca="1">IF(BI$580 &gt;='2.2 Input_General_Information'!$H$20, IF(BI$580 &lt;= '2.2 Input_General_Information'!$H$20 + '2.2 Input_General_Information'!$H$40, $H$577 * (1+ (1-VLOOKUP(BI$580, Growth!$B$130:$M$170, 12, FALSE))),BH582),"")</f>
        <v>-4.1504149999999984E-3</v>
      </c>
      <c r="BJ582" s="373">
        <f ca="1">IF(BJ$580 &gt;='2.2 Input_General_Information'!$H$20, IF(BJ$580 &lt;= '2.2 Input_General_Information'!$H$20 + '2.2 Input_General_Information'!$H$40, $H$577 * (1+ (1-VLOOKUP(BJ$580, Growth!$B$130:$M$170, 12, FALSE))),BI582),"")</f>
        <v>-4.1504149999999984E-3</v>
      </c>
      <c r="BK582" s="373">
        <f ca="1">IF(BK$580 &gt;='2.2 Input_General_Information'!$H$20, IF(BK$580 &lt;= '2.2 Input_General_Information'!$H$20 + '2.2 Input_General_Information'!$H$40, $H$577 * (1+ (1-VLOOKUP(BK$580, Growth!$B$130:$M$170, 12, FALSE))),BJ582),"")</f>
        <v>-4.1504149999999984E-3</v>
      </c>
      <c r="BL582" s="381"/>
      <c r="BM582" s="381"/>
      <c r="BN582" s="381"/>
      <c r="BO582" s="381"/>
      <c r="BP582" s="381"/>
      <c r="BQ582" s="381"/>
      <c r="BR582" s="381"/>
      <c r="BS582" s="381"/>
      <c r="BT582" s="381"/>
      <c r="BU582" s="381"/>
    </row>
    <row r="583" spans="1:73">
      <c r="A583" s="6"/>
      <c r="B583" s="108"/>
      <c r="C583" s="1"/>
      <c r="D583" s="1"/>
      <c r="E583" s="1"/>
      <c r="F583" s="1"/>
      <c r="G583" s="3"/>
      <c r="H583" s="3"/>
      <c r="I583" s="3"/>
      <c r="J583" s="3"/>
      <c r="K583" s="3"/>
      <c r="L583" s="3"/>
      <c r="M583" s="3"/>
      <c r="N583" s="3"/>
      <c r="O583" s="1"/>
      <c r="P583" s="1"/>
      <c r="Q583" s="1"/>
      <c r="R583" s="162"/>
      <c r="S583" s="1"/>
      <c r="T583" s="103"/>
      <c r="U583" s="103"/>
      <c r="V583" s="103" t="str">
        <f>$I$10</f>
        <v>Lecturer/Researcher (Academic)</v>
      </c>
      <c r="W583" s="373">
        <f ca="1">IF(W$580 &gt;='2.2 Input_General_Information'!$H$20, IF(W$580 &lt;= '2.2 Input_General_Information'!$H$20 + '2.2 Input_General_Information'!$H$40, $I$577 * (1+ (1-VLOOKUP(W$580, Growth!$B$130:$M$170, 12, FALSE))),V583),"")</f>
        <v>-3.7750000000001641E-3</v>
      </c>
      <c r="X583" s="373">
        <f ca="1">IF(X$580 &gt;='2.2 Input_General_Information'!$H$20, IF(X$580 &lt;= '2.2 Input_General_Information'!$H$20 + '2.2 Input_General_Information'!$H$40, $I$577 * (1+ (1-VLOOKUP(X$580, Growth!$B$130:$M$170, 12, FALSE))),W583),"")</f>
        <v>-3.0859207959772926E-3</v>
      </c>
      <c r="Y583" s="373">
        <f ca="1">IF(Y$580 &gt;='2.2 Input_General_Information'!$H$20, IF(Y$580 &lt;= '2.2 Input_General_Information'!$H$20 + '2.2 Input_General_Information'!$H$40, $I$577 * (1+ (1-VLOOKUP(Y$580, Growth!$B$130:$M$170, 12, FALSE))),X583),"")</f>
        <v>-3.0245048517519801E-3</v>
      </c>
      <c r="Z583" s="373">
        <f ca="1">IF(Z$580 &gt;='2.2 Input_General_Information'!$H$20, IF(Z$580 &lt;= '2.2 Input_General_Information'!$H$20 + '2.2 Input_General_Information'!$H$40, $I$577 * (1+ (1-VLOOKUP(Z$580, Growth!$B$130:$M$170, 12, FALSE))),Y583),"")</f>
        <v>-3.0203019999999986E-3</v>
      </c>
      <c r="AA583" s="373">
        <f ca="1">IF(AA$580 &gt;='2.2 Input_General_Information'!$H$20, IF(AA$580 &lt;= '2.2 Input_General_Information'!$H$20 + '2.2 Input_General_Information'!$H$40, $I$577 * (1+ (1-VLOOKUP(AA$580, Growth!$B$130:$M$170, 12, FALSE))),Z583),"")</f>
        <v>-3.0203019999999986E-3</v>
      </c>
      <c r="AB583" s="373">
        <f ca="1">IF(AB$580 &gt;='2.2 Input_General_Information'!$H$20, IF(AB$580 &lt;= '2.2 Input_General_Information'!$H$20 + '2.2 Input_General_Information'!$H$40, $I$577 * (1+ (1-VLOOKUP(AB$580, Growth!$B$130:$M$170, 12, FALSE))),AA583),"")</f>
        <v>-3.0203019999999986E-3</v>
      </c>
      <c r="AC583" s="373">
        <f ca="1">IF(AC$580 &gt;='2.2 Input_General_Information'!$H$20, IF(AC$580 &lt;= '2.2 Input_General_Information'!$H$20 + '2.2 Input_General_Information'!$H$40, $I$577 * (1+ (1-VLOOKUP(AC$580, Growth!$B$130:$M$170, 12, FALSE))),AB583),"")</f>
        <v>-3.0203019999999986E-3</v>
      </c>
      <c r="AD583" s="373">
        <f ca="1">IF(AD$580 &gt;='2.2 Input_General_Information'!$H$20, IF(AD$580 &lt;= '2.2 Input_General_Information'!$H$20 + '2.2 Input_General_Information'!$H$40, $I$577 * (1+ (1-VLOOKUP(AD$580, Growth!$B$130:$M$170, 12, FALSE))),AC583),"")</f>
        <v>-3.0203019999999986E-3</v>
      </c>
      <c r="AE583" s="373">
        <f ca="1">IF(AE$580 &gt;='2.2 Input_General_Information'!$H$20, IF(AE$580 &lt;= '2.2 Input_General_Information'!$H$20 + '2.2 Input_General_Information'!$H$40, $I$577 * (1+ (1-VLOOKUP(AE$580, Growth!$B$130:$M$170, 12, FALSE))),AD583),"")</f>
        <v>-3.0203019999999986E-3</v>
      </c>
      <c r="AF583" s="373">
        <f ca="1">IF(AF$580 &gt;='2.2 Input_General_Information'!$H$20, IF(AF$580 &lt;= '2.2 Input_General_Information'!$H$20 + '2.2 Input_General_Information'!$H$40, $I$577 * (1+ (1-VLOOKUP(AF$580, Growth!$B$130:$M$170, 12, FALSE))),AE583),"")</f>
        <v>-3.0203019999999986E-3</v>
      </c>
      <c r="AG583" s="373">
        <f ca="1">IF(AG$580 &gt;='2.2 Input_General_Information'!$H$20, IF(AG$580 &lt;= '2.2 Input_General_Information'!$H$20 + '2.2 Input_General_Information'!$H$40, $I$577 * (1+ (1-VLOOKUP(AG$580, Growth!$B$130:$M$170, 12, FALSE))),AF583),"")</f>
        <v>-3.0203019999999986E-3</v>
      </c>
      <c r="AH583" s="373">
        <f ca="1">IF(AH$580 &gt;='2.2 Input_General_Information'!$H$20, IF(AH$580 &lt;= '2.2 Input_General_Information'!$H$20 + '2.2 Input_General_Information'!$H$40, $I$577 * (1+ (1-VLOOKUP(AH$580, Growth!$B$130:$M$170, 12, FALSE))),AG583),"")</f>
        <v>-3.0203019999999986E-3</v>
      </c>
      <c r="AI583" s="373">
        <f ca="1">IF(AI$580 &gt;='2.2 Input_General_Information'!$H$20, IF(AI$580 &lt;= '2.2 Input_General_Information'!$H$20 + '2.2 Input_General_Information'!$H$40, $I$577 * (1+ (1-VLOOKUP(AI$580, Growth!$B$130:$M$170, 12, FALSE))),AH583),"")</f>
        <v>-3.0203019999999986E-3</v>
      </c>
      <c r="AJ583" s="373">
        <f ca="1">IF(AJ$580 &gt;='2.2 Input_General_Information'!$H$20, IF(AJ$580 &lt;= '2.2 Input_General_Information'!$H$20 + '2.2 Input_General_Information'!$H$40, $I$577 * (1+ (1-VLOOKUP(AJ$580, Growth!$B$130:$M$170, 12, FALSE))),AI583),"")</f>
        <v>-3.0203019999999986E-3</v>
      </c>
      <c r="AK583" s="373">
        <f ca="1">IF(AK$580 &gt;='2.2 Input_General_Information'!$H$20, IF(AK$580 &lt;= '2.2 Input_General_Information'!$H$20 + '2.2 Input_General_Information'!$H$40, $I$577 * (1+ (1-VLOOKUP(AK$580, Growth!$B$130:$M$170, 12, FALSE))),AJ583),"")</f>
        <v>-3.0203019999999986E-3</v>
      </c>
      <c r="AL583" s="373">
        <f ca="1">IF(AL$580 &gt;='2.2 Input_General_Information'!$H$20, IF(AL$580 &lt;= '2.2 Input_General_Information'!$H$20 + '2.2 Input_General_Information'!$H$40, $I$577 * (1+ (1-VLOOKUP(AL$580, Growth!$B$130:$M$170, 12, FALSE))),AK583),"")</f>
        <v>-3.0203019999999986E-3</v>
      </c>
      <c r="AM583" s="373">
        <f ca="1">IF(AM$580 &gt;='2.2 Input_General_Information'!$H$20, IF(AM$580 &lt;= '2.2 Input_General_Information'!$H$20 + '2.2 Input_General_Information'!$H$40, $I$577 * (1+ (1-VLOOKUP(AM$580, Growth!$B$130:$M$170, 12, FALSE))),AL583),"")</f>
        <v>-3.0203019999999986E-3</v>
      </c>
      <c r="AN583" s="373">
        <f ca="1">IF(AN$580 &gt;='2.2 Input_General_Information'!$H$20, IF(AN$580 &lt;= '2.2 Input_General_Information'!$H$20 + '2.2 Input_General_Information'!$H$40, $I$577 * (1+ (1-VLOOKUP(AN$580, Growth!$B$130:$M$170, 12, FALSE))),AM583),"")</f>
        <v>-3.0203019999999986E-3</v>
      </c>
      <c r="AO583" s="373">
        <f ca="1">IF(AO$580 &gt;='2.2 Input_General_Information'!$H$20, IF(AO$580 &lt;= '2.2 Input_General_Information'!$H$20 + '2.2 Input_General_Information'!$H$40, $I$577 * (1+ (1-VLOOKUP(AO$580, Growth!$B$130:$M$170, 12, FALSE))),AN583),"")</f>
        <v>-3.0203019999999986E-3</v>
      </c>
      <c r="AP583" s="373">
        <f ca="1">IF(AP$580 &gt;='2.2 Input_General_Information'!$H$20, IF(AP$580 &lt;= '2.2 Input_General_Information'!$H$20 + '2.2 Input_General_Information'!$H$40, $I$577 * (1+ (1-VLOOKUP(AP$580, Growth!$B$130:$M$170, 12, FALSE))),AO583),"")</f>
        <v>-3.0203019999999986E-3</v>
      </c>
      <c r="AQ583" s="373">
        <f ca="1">IF(AQ$580 &gt;='2.2 Input_General_Information'!$H$20, IF(AQ$580 &lt;= '2.2 Input_General_Information'!$H$20 + '2.2 Input_General_Information'!$H$40, $I$577 * (1+ (1-VLOOKUP(AQ$580, Growth!$B$130:$M$170, 12, FALSE))),AP583),"")</f>
        <v>-3.0203019999999986E-3</v>
      </c>
      <c r="AR583" s="373">
        <f ca="1">IF(AR$580 &gt;='2.2 Input_General_Information'!$H$20, IF(AR$580 &lt;= '2.2 Input_General_Information'!$H$20 + '2.2 Input_General_Information'!$H$40, $I$577 * (1+ (1-VLOOKUP(AR$580, Growth!$B$130:$M$170, 12, FALSE))),AQ583),"")</f>
        <v>-3.0203019999999986E-3</v>
      </c>
      <c r="AS583" s="373">
        <f ca="1">IF(AS$580 &gt;='2.2 Input_General_Information'!$H$20, IF(AS$580 &lt;= '2.2 Input_General_Information'!$H$20 + '2.2 Input_General_Information'!$H$40, $I$577 * (1+ (1-VLOOKUP(AS$580, Growth!$B$130:$M$170, 12, FALSE))),AR583),"")</f>
        <v>-3.0203019999999986E-3</v>
      </c>
      <c r="AT583" s="373">
        <f ca="1">IF(AT$580 &gt;='2.2 Input_General_Information'!$H$20, IF(AT$580 &lt;= '2.2 Input_General_Information'!$H$20 + '2.2 Input_General_Information'!$H$40, $I$577 * (1+ (1-VLOOKUP(AT$580, Growth!$B$130:$M$170, 12, FALSE))),AS583),"")</f>
        <v>-3.0203019999999986E-3</v>
      </c>
      <c r="AU583" s="373">
        <f ca="1">IF(AU$580 &gt;='2.2 Input_General_Information'!$H$20, IF(AU$580 &lt;= '2.2 Input_General_Information'!$H$20 + '2.2 Input_General_Information'!$H$40, $I$577 * (1+ (1-VLOOKUP(AU$580, Growth!$B$130:$M$170, 12, FALSE))),AT583),"")</f>
        <v>-3.0203019999999986E-3</v>
      </c>
      <c r="AV583" s="373">
        <f ca="1">IF(AV$580 &gt;='2.2 Input_General_Information'!$H$20, IF(AV$580 &lt;= '2.2 Input_General_Information'!$H$20 + '2.2 Input_General_Information'!$H$40, $I$577 * (1+ (1-VLOOKUP(AV$580, Growth!$B$130:$M$170, 12, FALSE))),AU583),"")</f>
        <v>-3.0203019999999986E-3</v>
      </c>
      <c r="AW583" s="373">
        <f ca="1">IF(AW$580 &gt;='2.2 Input_General_Information'!$H$20, IF(AW$580 &lt;= '2.2 Input_General_Information'!$H$20 + '2.2 Input_General_Information'!$H$40, $I$577 * (1+ (1-VLOOKUP(AW$580, Growth!$B$130:$M$170, 12, FALSE))),AV583),"")</f>
        <v>-3.0203019999999986E-3</v>
      </c>
      <c r="AX583" s="373">
        <f ca="1">IF(AX$580 &gt;='2.2 Input_General_Information'!$H$20, IF(AX$580 &lt;= '2.2 Input_General_Information'!$H$20 + '2.2 Input_General_Information'!$H$40, $I$577 * (1+ (1-VLOOKUP(AX$580, Growth!$B$130:$M$170, 12, FALSE))),AW583),"")</f>
        <v>-3.0203019999999986E-3</v>
      </c>
      <c r="AY583" s="373">
        <f ca="1">IF(AY$580 &gt;='2.2 Input_General_Information'!$H$20, IF(AY$580 &lt;= '2.2 Input_General_Information'!$H$20 + '2.2 Input_General_Information'!$H$40, $I$577 * (1+ (1-VLOOKUP(AY$580, Growth!$B$130:$M$170, 12, FALSE))),AX583),"")</f>
        <v>-3.0203019999999986E-3</v>
      </c>
      <c r="AZ583" s="373">
        <f ca="1">IF(AZ$580 &gt;='2.2 Input_General_Information'!$H$20, IF(AZ$580 &lt;= '2.2 Input_General_Information'!$H$20 + '2.2 Input_General_Information'!$H$40, $I$577 * (1+ (1-VLOOKUP(AZ$580, Growth!$B$130:$M$170, 12, FALSE))),AY583),"")</f>
        <v>-3.0203019999999986E-3</v>
      </c>
      <c r="BA583" s="373">
        <f ca="1">IF(BA$580 &gt;='2.2 Input_General_Information'!$H$20, IF(BA$580 &lt;= '2.2 Input_General_Information'!$H$20 + '2.2 Input_General_Information'!$H$40, $I$577 * (1+ (1-VLOOKUP(BA$580, Growth!$B$130:$M$170, 12, FALSE))),AZ583),"")</f>
        <v>-3.0203019999999986E-3</v>
      </c>
      <c r="BB583" s="373">
        <f ca="1">IF(BB$580 &gt;='2.2 Input_General_Information'!$H$20, IF(BB$580 &lt;= '2.2 Input_General_Information'!$H$20 + '2.2 Input_General_Information'!$H$40, $I$577 * (1+ (1-VLOOKUP(BB$580, Growth!$B$130:$M$170, 12, FALSE))),BA583),"")</f>
        <v>-3.0203019999999986E-3</v>
      </c>
      <c r="BC583" s="373">
        <f ca="1">IF(BC$580 &gt;='2.2 Input_General_Information'!$H$20, IF(BC$580 &lt;= '2.2 Input_General_Information'!$H$20 + '2.2 Input_General_Information'!$H$40, $I$577 * (1+ (1-VLOOKUP(BC$580, Growth!$B$130:$M$170, 12, FALSE))),BB583),"")</f>
        <v>-3.0203019999999986E-3</v>
      </c>
      <c r="BD583" s="373">
        <f ca="1">IF(BD$580 &gt;='2.2 Input_General_Information'!$H$20, IF(BD$580 &lt;= '2.2 Input_General_Information'!$H$20 + '2.2 Input_General_Information'!$H$40, $I$577 * (1+ (1-VLOOKUP(BD$580, Growth!$B$130:$M$170, 12, FALSE))),BC583),"")</f>
        <v>-3.0203019999999986E-3</v>
      </c>
      <c r="BE583" s="373">
        <f ca="1">IF(BE$580 &gt;='2.2 Input_General_Information'!$H$20, IF(BE$580 &lt;= '2.2 Input_General_Information'!$H$20 + '2.2 Input_General_Information'!$H$40, $I$577 * (1+ (1-VLOOKUP(BE$580, Growth!$B$130:$M$170, 12, FALSE))),BD583),"")</f>
        <v>-3.0203019999999986E-3</v>
      </c>
      <c r="BF583" s="373">
        <f ca="1">IF(BF$580 &gt;='2.2 Input_General_Information'!$H$20, IF(BF$580 &lt;= '2.2 Input_General_Information'!$H$20 + '2.2 Input_General_Information'!$H$40, $I$577 * (1+ (1-VLOOKUP(BF$580, Growth!$B$130:$M$170, 12, FALSE))),BE583),"")</f>
        <v>-3.0203019999999986E-3</v>
      </c>
      <c r="BG583" s="373">
        <f ca="1">IF(BG$580 &gt;='2.2 Input_General_Information'!$H$20, IF(BG$580 &lt;= '2.2 Input_General_Information'!$H$20 + '2.2 Input_General_Information'!$H$40, $I$577 * (1+ (1-VLOOKUP(BG$580, Growth!$B$130:$M$170, 12, FALSE))),BF583),"")</f>
        <v>-3.0203019999999986E-3</v>
      </c>
      <c r="BH583" s="373">
        <f ca="1">IF(BH$580 &gt;='2.2 Input_General_Information'!$H$20, IF(BH$580 &lt;= '2.2 Input_General_Information'!$H$20 + '2.2 Input_General_Information'!$H$40, $I$577 * (1+ (1-VLOOKUP(BH$580, Growth!$B$130:$M$170, 12, FALSE))),BG583),"")</f>
        <v>-3.0203019999999986E-3</v>
      </c>
      <c r="BI583" s="373">
        <f ca="1">IF(BI$580 &gt;='2.2 Input_General_Information'!$H$20, IF(BI$580 &lt;= '2.2 Input_General_Information'!$H$20 + '2.2 Input_General_Information'!$H$40, $I$577 * (1+ (1-VLOOKUP(BI$580, Growth!$B$130:$M$170, 12, FALSE))),BH583),"")</f>
        <v>-3.0203019999999986E-3</v>
      </c>
      <c r="BJ583" s="373">
        <f ca="1">IF(BJ$580 &gt;='2.2 Input_General_Information'!$H$20, IF(BJ$580 &lt;= '2.2 Input_General_Information'!$H$20 + '2.2 Input_General_Information'!$H$40, $I$577 * (1+ (1-VLOOKUP(BJ$580, Growth!$B$130:$M$170, 12, FALSE))),BI583),"")</f>
        <v>-3.0203019999999986E-3</v>
      </c>
      <c r="BK583" s="373">
        <f ca="1">IF(BK$580 &gt;='2.2 Input_General_Information'!$H$20, IF(BK$580 &lt;= '2.2 Input_General_Information'!$H$20 + '2.2 Input_General_Information'!$H$40, $I$577 * (1+ (1-VLOOKUP(BK$580, Growth!$B$130:$M$170, 12, FALSE))),BJ583),"")</f>
        <v>-3.0203019999999986E-3</v>
      </c>
      <c r="BL583" s="381"/>
      <c r="BM583" s="381"/>
      <c r="BN583" s="381"/>
      <c r="BO583" s="381"/>
      <c r="BP583" s="381"/>
      <c r="BQ583" s="381"/>
      <c r="BR583" s="381"/>
      <c r="BS583" s="381"/>
      <c r="BT583" s="381"/>
      <c r="BU583" s="381"/>
    </row>
    <row r="584" spans="1:73">
      <c r="A584" s="6"/>
      <c r="B584" s="108"/>
      <c r="C584" s="1"/>
      <c r="D584" s="1"/>
      <c r="E584" s="1"/>
      <c r="F584" s="1"/>
      <c r="G584" s="3"/>
      <c r="H584" s="3"/>
      <c r="I584" s="3"/>
      <c r="J584" s="3"/>
      <c r="K584" s="3"/>
      <c r="L584" s="3"/>
      <c r="M584" s="3"/>
      <c r="N584" s="3"/>
      <c r="O584" s="1"/>
      <c r="P584" s="1"/>
      <c r="Q584" s="1"/>
      <c r="R584" s="162"/>
      <c r="S584" s="1"/>
      <c r="T584" s="103"/>
      <c r="U584" s="103"/>
      <c r="V584" s="103" t="str">
        <f>$J$10</f>
        <v>Other</v>
      </c>
      <c r="W584" s="373">
        <f ca="1">IF(W$580 &gt;='2.2 Input_General_Information'!$H$20, IF(W$580 &lt;= '2.2 Input_General_Information'!$H$20 + '2.2 Input_General_Information'!$H$40, $J$577 * (1+ (1-VLOOKUP(W$580, Growth!$B$130:$M$170, 12, FALSE))),V584),"")</f>
        <v>-1.082500000000047E-2</v>
      </c>
      <c r="X584" s="373">
        <f ca="1">IF(X$580 &gt;='2.2 Input_General_Information'!$H$20, IF(X$580 &lt;= '2.2 Input_General_Information'!$H$20 + '2.2 Input_General_Information'!$H$40, $J$577 * (1+ (1-VLOOKUP(X$580, Growth!$B$130:$M$170, 12, FALSE))),W584),"")</f>
        <v>-8.849031156676606E-3</v>
      </c>
      <c r="Y584" s="373">
        <f ca="1">IF(Y$580 &gt;='2.2 Input_General_Information'!$H$20, IF(Y$580 &lt;= '2.2 Input_General_Information'!$H$20 + '2.2 Input_General_Information'!$H$40, $J$577 * (1+ (1-VLOOKUP(Y$580, Growth!$B$130:$M$170, 12, FALSE))),X584),"")</f>
        <v>-8.6729178861497166E-3</v>
      </c>
      <c r="Z584" s="373">
        <f ca="1">IF(Z$580 &gt;='2.2 Input_General_Information'!$H$20, IF(Z$580 &lt;= '2.2 Input_General_Information'!$H$20 + '2.2 Input_General_Information'!$H$40, $J$577 * (1+ (1-VLOOKUP(Z$580, Growth!$B$130:$M$170, 12, FALSE))),Y584),"")</f>
        <v>-8.6608659999999962E-3</v>
      </c>
      <c r="AA584" s="373">
        <f ca="1">IF(AA$580 &gt;='2.2 Input_General_Information'!$H$20, IF(AA$580 &lt;= '2.2 Input_General_Information'!$H$20 + '2.2 Input_General_Information'!$H$40, $J$577 * (1+ (1-VLOOKUP(AA$580, Growth!$B$130:$M$170, 12, FALSE))),Z584),"")</f>
        <v>-8.6608659999999962E-3</v>
      </c>
      <c r="AB584" s="373">
        <f ca="1">IF(AB$580 &gt;='2.2 Input_General_Information'!$H$20, IF(AB$580 &lt;= '2.2 Input_General_Information'!$H$20 + '2.2 Input_General_Information'!$H$40, $J$577 * (1+ (1-VLOOKUP(AB$580, Growth!$B$130:$M$170, 12, FALSE))),AA584),"")</f>
        <v>-8.6608659999999962E-3</v>
      </c>
      <c r="AC584" s="373">
        <f ca="1">IF(AC$580 &gt;='2.2 Input_General_Information'!$H$20, IF(AC$580 &lt;= '2.2 Input_General_Information'!$H$20 + '2.2 Input_General_Information'!$H$40, $J$577 * (1+ (1-VLOOKUP(AC$580, Growth!$B$130:$M$170, 12, FALSE))),AB584),"")</f>
        <v>-8.6608659999999962E-3</v>
      </c>
      <c r="AD584" s="373">
        <f ca="1">IF(AD$580 &gt;='2.2 Input_General_Information'!$H$20, IF(AD$580 &lt;= '2.2 Input_General_Information'!$H$20 + '2.2 Input_General_Information'!$H$40, $J$577 * (1+ (1-VLOOKUP(AD$580, Growth!$B$130:$M$170, 12, FALSE))),AC584),"")</f>
        <v>-8.6608659999999962E-3</v>
      </c>
      <c r="AE584" s="373">
        <f ca="1">IF(AE$580 &gt;='2.2 Input_General_Information'!$H$20, IF(AE$580 &lt;= '2.2 Input_General_Information'!$H$20 + '2.2 Input_General_Information'!$H$40, $J$577 * (1+ (1-VLOOKUP(AE$580, Growth!$B$130:$M$170, 12, FALSE))),AD584),"")</f>
        <v>-8.6608659999999962E-3</v>
      </c>
      <c r="AF584" s="373">
        <f ca="1">IF(AF$580 &gt;='2.2 Input_General_Information'!$H$20, IF(AF$580 &lt;= '2.2 Input_General_Information'!$H$20 + '2.2 Input_General_Information'!$H$40, $J$577 * (1+ (1-VLOOKUP(AF$580, Growth!$B$130:$M$170, 12, FALSE))),AE584),"")</f>
        <v>-8.6608659999999962E-3</v>
      </c>
      <c r="AG584" s="373">
        <f ca="1">IF(AG$580 &gt;='2.2 Input_General_Information'!$H$20, IF(AG$580 &lt;= '2.2 Input_General_Information'!$H$20 + '2.2 Input_General_Information'!$H$40, $J$577 * (1+ (1-VLOOKUP(AG$580, Growth!$B$130:$M$170, 12, FALSE))),AF584),"")</f>
        <v>-8.6608659999999962E-3</v>
      </c>
      <c r="AH584" s="373">
        <f ca="1">IF(AH$580 &gt;='2.2 Input_General_Information'!$H$20, IF(AH$580 &lt;= '2.2 Input_General_Information'!$H$20 + '2.2 Input_General_Information'!$H$40, $J$577 * (1+ (1-VLOOKUP(AH$580, Growth!$B$130:$M$170, 12, FALSE))),AG584),"")</f>
        <v>-8.6608659999999962E-3</v>
      </c>
      <c r="AI584" s="373">
        <f ca="1">IF(AI$580 &gt;='2.2 Input_General_Information'!$H$20, IF(AI$580 &lt;= '2.2 Input_General_Information'!$H$20 + '2.2 Input_General_Information'!$H$40, $J$577 * (1+ (1-VLOOKUP(AI$580, Growth!$B$130:$M$170, 12, FALSE))),AH584),"")</f>
        <v>-8.6608659999999962E-3</v>
      </c>
      <c r="AJ584" s="373">
        <f ca="1">IF(AJ$580 &gt;='2.2 Input_General_Information'!$H$20, IF(AJ$580 &lt;= '2.2 Input_General_Information'!$H$20 + '2.2 Input_General_Information'!$H$40, $J$577 * (1+ (1-VLOOKUP(AJ$580, Growth!$B$130:$M$170, 12, FALSE))),AI584),"")</f>
        <v>-8.6608659999999962E-3</v>
      </c>
      <c r="AK584" s="373">
        <f ca="1">IF(AK$580 &gt;='2.2 Input_General_Information'!$H$20, IF(AK$580 &lt;= '2.2 Input_General_Information'!$H$20 + '2.2 Input_General_Information'!$H$40, $J$577 * (1+ (1-VLOOKUP(AK$580, Growth!$B$130:$M$170, 12, FALSE))),AJ584),"")</f>
        <v>-8.6608659999999962E-3</v>
      </c>
      <c r="AL584" s="373">
        <f ca="1">IF(AL$580 &gt;='2.2 Input_General_Information'!$H$20, IF(AL$580 &lt;= '2.2 Input_General_Information'!$H$20 + '2.2 Input_General_Information'!$H$40, $J$577 * (1+ (1-VLOOKUP(AL$580, Growth!$B$130:$M$170, 12, FALSE))),AK584),"")</f>
        <v>-8.6608659999999962E-3</v>
      </c>
      <c r="AM584" s="373">
        <f ca="1">IF(AM$580 &gt;='2.2 Input_General_Information'!$H$20, IF(AM$580 &lt;= '2.2 Input_General_Information'!$H$20 + '2.2 Input_General_Information'!$H$40, $J$577 * (1+ (1-VLOOKUP(AM$580, Growth!$B$130:$M$170, 12, FALSE))),AL584),"")</f>
        <v>-8.6608659999999962E-3</v>
      </c>
      <c r="AN584" s="373">
        <f ca="1">IF(AN$580 &gt;='2.2 Input_General_Information'!$H$20, IF(AN$580 &lt;= '2.2 Input_General_Information'!$H$20 + '2.2 Input_General_Information'!$H$40, $J$577 * (1+ (1-VLOOKUP(AN$580, Growth!$B$130:$M$170, 12, FALSE))),AM584),"")</f>
        <v>-8.6608659999999962E-3</v>
      </c>
      <c r="AO584" s="373">
        <f ca="1">IF(AO$580 &gt;='2.2 Input_General_Information'!$H$20, IF(AO$580 &lt;= '2.2 Input_General_Information'!$H$20 + '2.2 Input_General_Information'!$H$40, $J$577 * (1+ (1-VLOOKUP(AO$580, Growth!$B$130:$M$170, 12, FALSE))),AN584),"")</f>
        <v>-8.6608659999999962E-3</v>
      </c>
      <c r="AP584" s="373">
        <f ca="1">IF(AP$580 &gt;='2.2 Input_General_Information'!$H$20, IF(AP$580 &lt;= '2.2 Input_General_Information'!$H$20 + '2.2 Input_General_Information'!$H$40, $J$577 * (1+ (1-VLOOKUP(AP$580, Growth!$B$130:$M$170, 12, FALSE))),AO584),"")</f>
        <v>-8.6608659999999962E-3</v>
      </c>
      <c r="AQ584" s="373">
        <f ca="1">IF(AQ$580 &gt;='2.2 Input_General_Information'!$H$20, IF(AQ$580 &lt;= '2.2 Input_General_Information'!$H$20 + '2.2 Input_General_Information'!$H$40, $J$577 * (1+ (1-VLOOKUP(AQ$580, Growth!$B$130:$M$170, 12, FALSE))),AP584),"")</f>
        <v>-8.6608659999999962E-3</v>
      </c>
      <c r="AR584" s="373">
        <f ca="1">IF(AR$580 &gt;='2.2 Input_General_Information'!$H$20, IF(AR$580 &lt;= '2.2 Input_General_Information'!$H$20 + '2.2 Input_General_Information'!$H$40, $J$577 * (1+ (1-VLOOKUP(AR$580, Growth!$B$130:$M$170, 12, FALSE))),AQ584),"")</f>
        <v>-8.6608659999999962E-3</v>
      </c>
      <c r="AS584" s="373">
        <f ca="1">IF(AS$580 &gt;='2.2 Input_General_Information'!$H$20, IF(AS$580 &lt;= '2.2 Input_General_Information'!$H$20 + '2.2 Input_General_Information'!$H$40, $J$577 * (1+ (1-VLOOKUP(AS$580, Growth!$B$130:$M$170, 12, FALSE))),AR584),"")</f>
        <v>-8.6608659999999962E-3</v>
      </c>
      <c r="AT584" s="373">
        <f ca="1">IF(AT$580 &gt;='2.2 Input_General_Information'!$H$20, IF(AT$580 &lt;= '2.2 Input_General_Information'!$H$20 + '2.2 Input_General_Information'!$H$40, $J$577 * (1+ (1-VLOOKUP(AT$580, Growth!$B$130:$M$170, 12, FALSE))),AS584),"")</f>
        <v>-8.6608659999999962E-3</v>
      </c>
      <c r="AU584" s="373">
        <f ca="1">IF(AU$580 &gt;='2.2 Input_General_Information'!$H$20, IF(AU$580 &lt;= '2.2 Input_General_Information'!$H$20 + '2.2 Input_General_Information'!$H$40, $J$577 * (1+ (1-VLOOKUP(AU$580, Growth!$B$130:$M$170, 12, FALSE))),AT584),"")</f>
        <v>-8.6608659999999962E-3</v>
      </c>
      <c r="AV584" s="373">
        <f ca="1">IF(AV$580 &gt;='2.2 Input_General_Information'!$H$20, IF(AV$580 &lt;= '2.2 Input_General_Information'!$H$20 + '2.2 Input_General_Information'!$H$40, $J$577 * (1+ (1-VLOOKUP(AV$580, Growth!$B$130:$M$170, 12, FALSE))),AU584),"")</f>
        <v>-8.6608659999999962E-3</v>
      </c>
      <c r="AW584" s="373">
        <f ca="1">IF(AW$580 &gt;='2.2 Input_General_Information'!$H$20, IF(AW$580 &lt;= '2.2 Input_General_Information'!$H$20 + '2.2 Input_General_Information'!$H$40, $J$577 * (1+ (1-VLOOKUP(AW$580, Growth!$B$130:$M$170, 12, FALSE))),AV584),"")</f>
        <v>-8.6608659999999962E-3</v>
      </c>
      <c r="AX584" s="373">
        <f ca="1">IF(AX$580 &gt;='2.2 Input_General_Information'!$H$20, IF(AX$580 &lt;= '2.2 Input_General_Information'!$H$20 + '2.2 Input_General_Information'!$H$40, $J$577 * (1+ (1-VLOOKUP(AX$580, Growth!$B$130:$M$170, 12, FALSE))),AW584),"")</f>
        <v>-8.6608659999999962E-3</v>
      </c>
      <c r="AY584" s="373">
        <f ca="1">IF(AY$580 &gt;='2.2 Input_General_Information'!$H$20, IF(AY$580 &lt;= '2.2 Input_General_Information'!$H$20 + '2.2 Input_General_Information'!$H$40, $J$577 * (1+ (1-VLOOKUP(AY$580, Growth!$B$130:$M$170, 12, FALSE))),AX584),"")</f>
        <v>-8.6608659999999962E-3</v>
      </c>
      <c r="AZ584" s="373">
        <f ca="1">IF(AZ$580 &gt;='2.2 Input_General_Information'!$H$20, IF(AZ$580 &lt;= '2.2 Input_General_Information'!$H$20 + '2.2 Input_General_Information'!$H$40, $J$577 * (1+ (1-VLOOKUP(AZ$580, Growth!$B$130:$M$170, 12, FALSE))),AY584),"")</f>
        <v>-8.6608659999999962E-3</v>
      </c>
      <c r="BA584" s="373">
        <f ca="1">IF(BA$580 &gt;='2.2 Input_General_Information'!$H$20, IF(BA$580 &lt;= '2.2 Input_General_Information'!$H$20 + '2.2 Input_General_Information'!$H$40, $J$577 * (1+ (1-VLOOKUP(BA$580, Growth!$B$130:$M$170, 12, FALSE))),AZ584),"")</f>
        <v>-8.6608659999999962E-3</v>
      </c>
      <c r="BB584" s="373">
        <f ca="1">IF(BB$580 &gt;='2.2 Input_General_Information'!$H$20, IF(BB$580 &lt;= '2.2 Input_General_Information'!$H$20 + '2.2 Input_General_Information'!$H$40, $J$577 * (1+ (1-VLOOKUP(BB$580, Growth!$B$130:$M$170, 12, FALSE))),BA584),"")</f>
        <v>-8.6608659999999962E-3</v>
      </c>
      <c r="BC584" s="373">
        <f ca="1">IF(BC$580 &gt;='2.2 Input_General_Information'!$H$20, IF(BC$580 &lt;= '2.2 Input_General_Information'!$H$20 + '2.2 Input_General_Information'!$H$40, $J$577 * (1+ (1-VLOOKUP(BC$580, Growth!$B$130:$M$170, 12, FALSE))),BB584),"")</f>
        <v>-8.6608659999999962E-3</v>
      </c>
      <c r="BD584" s="373">
        <f ca="1">IF(BD$580 &gt;='2.2 Input_General_Information'!$H$20, IF(BD$580 &lt;= '2.2 Input_General_Information'!$H$20 + '2.2 Input_General_Information'!$H$40, $J$577 * (1+ (1-VLOOKUP(BD$580, Growth!$B$130:$M$170, 12, FALSE))),BC584),"")</f>
        <v>-8.6608659999999962E-3</v>
      </c>
      <c r="BE584" s="373">
        <f ca="1">IF(BE$580 &gt;='2.2 Input_General_Information'!$H$20, IF(BE$580 &lt;= '2.2 Input_General_Information'!$H$20 + '2.2 Input_General_Information'!$H$40, $J$577 * (1+ (1-VLOOKUP(BE$580, Growth!$B$130:$M$170, 12, FALSE))),BD584),"")</f>
        <v>-8.6608659999999962E-3</v>
      </c>
      <c r="BF584" s="373">
        <f ca="1">IF(BF$580 &gt;='2.2 Input_General_Information'!$H$20, IF(BF$580 &lt;= '2.2 Input_General_Information'!$H$20 + '2.2 Input_General_Information'!$H$40, $J$577 * (1+ (1-VLOOKUP(BF$580, Growth!$B$130:$M$170, 12, FALSE))),BE584),"")</f>
        <v>-8.6608659999999962E-3</v>
      </c>
      <c r="BG584" s="373">
        <f ca="1">IF(BG$580 &gt;='2.2 Input_General_Information'!$H$20, IF(BG$580 &lt;= '2.2 Input_General_Information'!$H$20 + '2.2 Input_General_Information'!$H$40, $J$577 * (1+ (1-VLOOKUP(BG$580, Growth!$B$130:$M$170, 12, FALSE))),BF584),"")</f>
        <v>-8.6608659999999962E-3</v>
      </c>
      <c r="BH584" s="373">
        <f ca="1">IF(BH$580 &gt;='2.2 Input_General_Information'!$H$20, IF(BH$580 &lt;= '2.2 Input_General_Information'!$H$20 + '2.2 Input_General_Information'!$H$40, $J$577 * (1+ (1-VLOOKUP(BH$580, Growth!$B$130:$M$170, 12, FALSE))),BG584),"")</f>
        <v>-8.6608659999999962E-3</v>
      </c>
      <c r="BI584" s="373">
        <f ca="1">IF(BI$580 &gt;='2.2 Input_General_Information'!$H$20, IF(BI$580 &lt;= '2.2 Input_General_Information'!$H$20 + '2.2 Input_General_Information'!$H$40, $J$577 * (1+ (1-VLOOKUP(BI$580, Growth!$B$130:$M$170, 12, FALSE))),BH584),"")</f>
        <v>-8.6608659999999962E-3</v>
      </c>
      <c r="BJ584" s="373">
        <f ca="1">IF(BJ$580 &gt;='2.2 Input_General_Information'!$H$20, IF(BJ$580 &lt;= '2.2 Input_General_Information'!$H$20 + '2.2 Input_General_Information'!$H$40, $J$577 * (1+ (1-VLOOKUP(BJ$580, Growth!$B$130:$M$170, 12, FALSE))),BI584),"")</f>
        <v>-8.6608659999999962E-3</v>
      </c>
      <c r="BK584" s="373">
        <f ca="1">IF(BK$580 &gt;='2.2 Input_General_Information'!$H$20, IF(BK$580 &lt;= '2.2 Input_General_Information'!$H$20 + '2.2 Input_General_Information'!$H$40, $J$577 * (1+ (1-VLOOKUP(BK$580, Growth!$B$130:$M$170, 12, FALSE))),BJ584),"")</f>
        <v>-8.6608659999999962E-3</v>
      </c>
      <c r="BL584" s="381"/>
      <c r="BM584" s="381"/>
      <c r="BN584" s="381"/>
      <c r="BO584" s="381"/>
      <c r="BP584" s="381"/>
      <c r="BQ584" s="381"/>
      <c r="BR584" s="381"/>
      <c r="BS584" s="381"/>
      <c r="BT584" s="381"/>
      <c r="BU584" s="381"/>
    </row>
    <row r="585" spans="1:73">
      <c r="A585" s="6"/>
      <c r="B585" s="108"/>
      <c r="C585" s="1"/>
      <c r="D585" s="1"/>
      <c r="E585" s="1"/>
      <c r="F585" s="1"/>
      <c r="G585" s="3"/>
      <c r="H585" s="3"/>
      <c r="I585" s="3"/>
      <c r="J585" s="3"/>
      <c r="K585" s="3"/>
      <c r="L585" s="3"/>
      <c r="M585" s="3"/>
      <c r="N585" s="3"/>
      <c r="O585" s="1"/>
      <c r="P585" s="1"/>
      <c r="Q585" s="1"/>
      <c r="R585" s="162"/>
      <c r="S585" s="1"/>
      <c r="T585" s="103"/>
      <c r="U585" s="103"/>
      <c r="V585" s="103" t="str">
        <f>$K$10</f>
        <v>Profile 5</v>
      </c>
      <c r="W585" s="373">
        <f ca="1">IF(W$580 &gt;='2.2 Input_General_Information'!$H$20, IF(W$580 &lt;= '2.2 Input_General_Information'!$H$20 + '2.2 Input_General_Information'!$H$40, $K$577 * (1+ (1-VLOOKUP(W$580, Growth!$B$130:$M$170, 12, FALSE))),V585),"")</f>
        <v>-7.5234375000003276E-3</v>
      </c>
      <c r="X585" s="373">
        <f ca="1">IF(X$580 &gt;='2.2 Input_General_Information'!$H$20, IF(X$580 &lt;= '2.2 Input_General_Information'!$H$20 + '2.2 Input_General_Information'!$H$40, $K$577 * (1+ (1-VLOOKUP(X$580, Growth!$B$130:$M$170, 12, FALSE))),W585),"")</f>
        <v>-6.1501277452941493E-3</v>
      </c>
      <c r="Y585" s="373">
        <f ca="1">IF(Y$580 &gt;='2.2 Input_General_Information'!$H$20, IF(Y$580 &lt;= '2.2 Input_General_Information'!$H$20 + '2.2 Input_General_Information'!$H$40, $K$577 * (1+ (1-VLOOKUP(Y$580, Growth!$B$130:$M$170, 12, FALSE))),X585),"")</f>
        <v>-6.027728005457692E-3</v>
      </c>
      <c r="Z585" s="373">
        <f ca="1">IF(Z$580 &gt;='2.2 Input_General_Information'!$H$20, IF(Z$580 &lt;= '2.2 Input_General_Information'!$H$20 + '2.2 Input_General_Information'!$H$40, $K$577 * (1+ (1-VLOOKUP(Z$580, Growth!$B$130:$M$170, 12, FALSE))),Y585),"")</f>
        <v>-6.0193518749999978E-3</v>
      </c>
      <c r="AA585" s="373">
        <f ca="1">IF(AA$580 &gt;='2.2 Input_General_Information'!$H$20, IF(AA$580 &lt;= '2.2 Input_General_Information'!$H$20 + '2.2 Input_General_Information'!$H$40, $K$577 * (1+ (1-VLOOKUP(AA$580, Growth!$B$130:$M$170, 12, FALSE))),Z585),"")</f>
        <v>-6.0193518749999978E-3</v>
      </c>
      <c r="AB585" s="373">
        <f ca="1">IF(AB$580 &gt;='2.2 Input_General_Information'!$H$20, IF(AB$580 &lt;= '2.2 Input_General_Information'!$H$20 + '2.2 Input_General_Information'!$H$40, $K$577 * (1+ (1-VLOOKUP(AB$580, Growth!$B$130:$M$170, 12, FALSE))),AA585),"")</f>
        <v>-6.0193518749999978E-3</v>
      </c>
      <c r="AC585" s="373">
        <f ca="1">IF(AC$580 &gt;='2.2 Input_General_Information'!$H$20, IF(AC$580 &lt;= '2.2 Input_General_Information'!$H$20 + '2.2 Input_General_Information'!$H$40, $K$577 * (1+ (1-VLOOKUP(AC$580, Growth!$B$130:$M$170, 12, FALSE))),AB585),"")</f>
        <v>-6.0193518749999978E-3</v>
      </c>
      <c r="AD585" s="373">
        <f ca="1">IF(AD$580 &gt;='2.2 Input_General_Information'!$H$20, IF(AD$580 &lt;= '2.2 Input_General_Information'!$H$20 + '2.2 Input_General_Information'!$H$40, $K$577 * (1+ (1-VLOOKUP(AD$580, Growth!$B$130:$M$170, 12, FALSE))),AC585),"")</f>
        <v>-6.0193518749999978E-3</v>
      </c>
      <c r="AE585" s="373">
        <f ca="1">IF(AE$580 &gt;='2.2 Input_General_Information'!$H$20, IF(AE$580 &lt;= '2.2 Input_General_Information'!$H$20 + '2.2 Input_General_Information'!$H$40, $K$577 * (1+ (1-VLOOKUP(AE$580, Growth!$B$130:$M$170, 12, FALSE))),AD585),"")</f>
        <v>-6.0193518749999978E-3</v>
      </c>
      <c r="AF585" s="373">
        <f ca="1">IF(AF$580 &gt;='2.2 Input_General_Information'!$H$20, IF(AF$580 &lt;= '2.2 Input_General_Information'!$H$20 + '2.2 Input_General_Information'!$H$40, $K$577 * (1+ (1-VLOOKUP(AF$580, Growth!$B$130:$M$170, 12, FALSE))),AE585),"")</f>
        <v>-6.0193518749999978E-3</v>
      </c>
      <c r="AG585" s="373">
        <f ca="1">IF(AG$580 &gt;='2.2 Input_General_Information'!$H$20, IF(AG$580 &lt;= '2.2 Input_General_Information'!$H$20 + '2.2 Input_General_Information'!$H$40, $K$577 * (1+ (1-VLOOKUP(AG$580, Growth!$B$130:$M$170, 12, FALSE))),AF585),"")</f>
        <v>-6.0193518749999978E-3</v>
      </c>
      <c r="AH585" s="373">
        <f ca="1">IF(AH$580 &gt;='2.2 Input_General_Information'!$H$20, IF(AH$580 &lt;= '2.2 Input_General_Information'!$H$20 + '2.2 Input_General_Information'!$H$40, $K$577 * (1+ (1-VLOOKUP(AH$580, Growth!$B$130:$M$170, 12, FALSE))),AG585),"")</f>
        <v>-6.0193518749999978E-3</v>
      </c>
      <c r="AI585" s="373">
        <f ca="1">IF(AI$580 &gt;='2.2 Input_General_Information'!$H$20, IF(AI$580 &lt;= '2.2 Input_General_Information'!$H$20 + '2.2 Input_General_Information'!$H$40, $K$577 * (1+ (1-VLOOKUP(AI$580, Growth!$B$130:$M$170, 12, FALSE))),AH585),"")</f>
        <v>-6.0193518749999978E-3</v>
      </c>
      <c r="AJ585" s="373">
        <f ca="1">IF(AJ$580 &gt;='2.2 Input_General_Information'!$H$20, IF(AJ$580 &lt;= '2.2 Input_General_Information'!$H$20 + '2.2 Input_General_Information'!$H$40, $K$577 * (1+ (1-VLOOKUP(AJ$580, Growth!$B$130:$M$170, 12, FALSE))),AI585),"")</f>
        <v>-6.0193518749999978E-3</v>
      </c>
      <c r="AK585" s="373">
        <f ca="1">IF(AK$580 &gt;='2.2 Input_General_Information'!$H$20, IF(AK$580 &lt;= '2.2 Input_General_Information'!$H$20 + '2.2 Input_General_Information'!$H$40, $K$577 * (1+ (1-VLOOKUP(AK$580, Growth!$B$130:$M$170, 12, FALSE))),AJ585),"")</f>
        <v>-6.0193518749999978E-3</v>
      </c>
      <c r="AL585" s="373">
        <f ca="1">IF(AL$580 &gt;='2.2 Input_General_Information'!$H$20, IF(AL$580 &lt;= '2.2 Input_General_Information'!$H$20 + '2.2 Input_General_Information'!$H$40, $K$577 * (1+ (1-VLOOKUP(AL$580, Growth!$B$130:$M$170, 12, FALSE))),AK585),"")</f>
        <v>-6.0193518749999978E-3</v>
      </c>
      <c r="AM585" s="373">
        <f ca="1">IF(AM$580 &gt;='2.2 Input_General_Information'!$H$20, IF(AM$580 &lt;= '2.2 Input_General_Information'!$H$20 + '2.2 Input_General_Information'!$H$40, $K$577 * (1+ (1-VLOOKUP(AM$580, Growth!$B$130:$M$170, 12, FALSE))),AL585),"")</f>
        <v>-6.0193518749999978E-3</v>
      </c>
      <c r="AN585" s="373">
        <f ca="1">IF(AN$580 &gt;='2.2 Input_General_Information'!$H$20, IF(AN$580 &lt;= '2.2 Input_General_Information'!$H$20 + '2.2 Input_General_Information'!$H$40, $K$577 * (1+ (1-VLOOKUP(AN$580, Growth!$B$130:$M$170, 12, FALSE))),AM585),"")</f>
        <v>-6.0193518749999978E-3</v>
      </c>
      <c r="AO585" s="373">
        <f ca="1">IF(AO$580 &gt;='2.2 Input_General_Information'!$H$20, IF(AO$580 &lt;= '2.2 Input_General_Information'!$H$20 + '2.2 Input_General_Information'!$H$40, $K$577 * (1+ (1-VLOOKUP(AO$580, Growth!$B$130:$M$170, 12, FALSE))),AN585),"")</f>
        <v>-6.0193518749999978E-3</v>
      </c>
      <c r="AP585" s="373">
        <f ca="1">IF(AP$580 &gt;='2.2 Input_General_Information'!$H$20, IF(AP$580 &lt;= '2.2 Input_General_Information'!$H$20 + '2.2 Input_General_Information'!$H$40, $K$577 * (1+ (1-VLOOKUP(AP$580, Growth!$B$130:$M$170, 12, FALSE))),AO585),"")</f>
        <v>-6.0193518749999978E-3</v>
      </c>
      <c r="AQ585" s="373">
        <f ca="1">IF(AQ$580 &gt;='2.2 Input_General_Information'!$H$20, IF(AQ$580 &lt;= '2.2 Input_General_Information'!$H$20 + '2.2 Input_General_Information'!$H$40, $K$577 * (1+ (1-VLOOKUP(AQ$580, Growth!$B$130:$M$170, 12, FALSE))),AP585),"")</f>
        <v>-6.0193518749999978E-3</v>
      </c>
      <c r="AR585" s="373">
        <f ca="1">IF(AR$580 &gt;='2.2 Input_General_Information'!$H$20, IF(AR$580 &lt;= '2.2 Input_General_Information'!$H$20 + '2.2 Input_General_Information'!$H$40, $K$577 * (1+ (1-VLOOKUP(AR$580, Growth!$B$130:$M$170, 12, FALSE))),AQ585),"")</f>
        <v>-6.0193518749999978E-3</v>
      </c>
      <c r="AS585" s="373">
        <f ca="1">IF(AS$580 &gt;='2.2 Input_General_Information'!$H$20, IF(AS$580 &lt;= '2.2 Input_General_Information'!$H$20 + '2.2 Input_General_Information'!$H$40, $K$577 * (1+ (1-VLOOKUP(AS$580, Growth!$B$130:$M$170, 12, FALSE))),AR585),"")</f>
        <v>-6.0193518749999978E-3</v>
      </c>
      <c r="AT585" s="373">
        <f ca="1">IF(AT$580 &gt;='2.2 Input_General_Information'!$H$20, IF(AT$580 &lt;= '2.2 Input_General_Information'!$H$20 + '2.2 Input_General_Information'!$H$40, $K$577 * (1+ (1-VLOOKUP(AT$580, Growth!$B$130:$M$170, 12, FALSE))),AS585),"")</f>
        <v>-6.0193518749999978E-3</v>
      </c>
      <c r="AU585" s="373">
        <f ca="1">IF(AU$580 &gt;='2.2 Input_General_Information'!$H$20, IF(AU$580 &lt;= '2.2 Input_General_Information'!$H$20 + '2.2 Input_General_Information'!$H$40, $K$577 * (1+ (1-VLOOKUP(AU$580, Growth!$B$130:$M$170, 12, FALSE))),AT585),"")</f>
        <v>-6.0193518749999978E-3</v>
      </c>
      <c r="AV585" s="373">
        <f ca="1">IF(AV$580 &gt;='2.2 Input_General_Information'!$H$20, IF(AV$580 &lt;= '2.2 Input_General_Information'!$H$20 + '2.2 Input_General_Information'!$H$40, $K$577 * (1+ (1-VLOOKUP(AV$580, Growth!$B$130:$M$170, 12, FALSE))),AU585),"")</f>
        <v>-6.0193518749999978E-3</v>
      </c>
      <c r="AW585" s="373">
        <f ca="1">IF(AW$580 &gt;='2.2 Input_General_Information'!$H$20, IF(AW$580 &lt;= '2.2 Input_General_Information'!$H$20 + '2.2 Input_General_Information'!$H$40, $K$577 * (1+ (1-VLOOKUP(AW$580, Growth!$B$130:$M$170, 12, FALSE))),AV585),"")</f>
        <v>-6.0193518749999978E-3</v>
      </c>
      <c r="AX585" s="373">
        <f ca="1">IF(AX$580 &gt;='2.2 Input_General_Information'!$H$20, IF(AX$580 &lt;= '2.2 Input_General_Information'!$H$20 + '2.2 Input_General_Information'!$H$40, $K$577 * (1+ (1-VLOOKUP(AX$580, Growth!$B$130:$M$170, 12, FALSE))),AW585),"")</f>
        <v>-6.0193518749999978E-3</v>
      </c>
      <c r="AY585" s="373">
        <f ca="1">IF(AY$580 &gt;='2.2 Input_General_Information'!$H$20, IF(AY$580 &lt;= '2.2 Input_General_Information'!$H$20 + '2.2 Input_General_Information'!$H$40, $K$577 * (1+ (1-VLOOKUP(AY$580, Growth!$B$130:$M$170, 12, FALSE))),AX585),"")</f>
        <v>-6.0193518749999978E-3</v>
      </c>
      <c r="AZ585" s="373">
        <f ca="1">IF(AZ$580 &gt;='2.2 Input_General_Information'!$H$20, IF(AZ$580 &lt;= '2.2 Input_General_Information'!$H$20 + '2.2 Input_General_Information'!$H$40, $K$577 * (1+ (1-VLOOKUP(AZ$580, Growth!$B$130:$M$170, 12, FALSE))),AY585),"")</f>
        <v>-6.0193518749999978E-3</v>
      </c>
      <c r="BA585" s="373">
        <f ca="1">IF(BA$580 &gt;='2.2 Input_General_Information'!$H$20, IF(BA$580 &lt;= '2.2 Input_General_Information'!$H$20 + '2.2 Input_General_Information'!$H$40, $K$577 * (1+ (1-VLOOKUP(BA$580, Growth!$B$130:$M$170, 12, FALSE))),AZ585),"")</f>
        <v>-6.0193518749999978E-3</v>
      </c>
      <c r="BB585" s="373">
        <f ca="1">IF(BB$580 &gt;='2.2 Input_General_Information'!$H$20, IF(BB$580 &lt;= '2.2 Input_General_Information'!$H$20 + '2.2 Input_General_Information'!$H$40, $K$577 * (1+ (1-VLOOKUP(BB$580, Growth!$B$130:$M$170, 12, FALSE))),BA585),"")</f>
        <v>-6.0193518749999978E-3</v>
      </c>
      <c r="BC585" s="373">
        <f ca="1">IF(BC$580 &gt;='2.2 Input_General_Information'!$H$20, IF(BC$580 &lt;= '2.2 Input_General_Information'!$H$20 + '2.2 Input_General_Information'!$H$40, $K$577 * (1+ (1-VLOOKUP(BC$580, Growth!$B$130:$M$170, 12, FALSE))),BB585),"")</f>
        <v>-6.0193518749999978E-3</v>
      </c>
      <c r="BD585" s="373">
        <f ca="1">IF(BD$580 &gt;='2.2 Input_General_Information'!$H$20, IF(BD$580 &lt;= '2.2 Input_General_Information'!$H$20 + '2.2 Input_General_Information'!$H$40, $K$577 * (1+ (1-VLOOKUP(BD$580, Growth!$B$130:$M$170, 12, FALSE))),BC585),"")</f>
        <v>-6.0193518749999978E-3</v>
      </c>
      <c r="BE585" s="373">
        <f ca="1">IF(BE$580 &gt;='2.2 Input_General_Information'!$H$20, IF(BE$580 &lt;= '2.2 Input_General_Information'!$H$20 + '2.2 Input_General_Information'!$H$40, $K$577 * (1+ (1-VLOOKUP(BE$580, Growth!$B$130:$M$170, 12, FALSE))),BD585),"")</f>
        <v>-6.0193518749999978E-3</v>
      </c>
      <c r="BF585" s="373">
        <f ca="1">IF(BF$580 &gt;='2.2 Input_General_Information'!$H$20, IF(BF$580 &lt;= '2.2 Input_General_Information'!$H$20 + '2.2 Input_General_Information'!$H$40, $K$577 * (1+ (1-VLOOKUP(BF$580, Growth!$B$130:$M$170, 12, FALSE))),BE585),"")</f>
        <v>-6.0193518749999978E-3</v>
      </c>
      <c r="BG585" s="373">
        <f ca="1">IF(BG$580 &gt;='2.2 Input_General_Information'!$H$20, IF(BG$580 &lt;= '2.2 Input_General_Information'!$H$20 + '2.2 Input_General_Information'!$H$40, $K$577 * (1+ (1-VLOOKUP(BG$580, Growth!$B$130:$M$170, 12, FALSE))),BF585),"")</f>
        <v>-6.0193518749999978E-3</v>
      </c>
      <c r="BH585" s="373">
        <f ca="1">IF(BH$580 &gt;='2.2 Input_General_Information'!$H$20, IF(BH$580 &lt;= '2.2 Input_General_Information'!$H$20 + '2.2 Input_General_Information'!$H$40, $K$577 * (1+ (1-VLOOKUP(BH$580, Growth!$B$130:$M$170, 12, FALSE))),BG585),"")</f>
        <v>-6.0193518749999978E-3</v>
      </c>
      <c r="BI585" s="373">
        <f ca="1">IF(BI$580 &gt;='2.2 Input_General_Information'!$H$20, IF(BI$580 &lt;= '2.2 Input_General_Information'!$H$20 + '2.2 Input_General_Information'!$H$40, $K$577 * (1+ (1-VLOOKUP(BI$580, Growth!$B$130:$M$170, 12, FALSE))),BH585),"")</f>
        <v>-6.0193518749999978E-3</v>
      </c>
      <c r="BJ585" s="373">
        <f ca="1">IF(BJ$580 &gt;='2.2 Input_General_Information'!$H$20, IF(BJ$580 &lt;= '2.2 Input_General_Information'!$H$20 + '2.2 Input_General_Information'!$H$40, $K$577 * (1+ (1-VLOOKUP(BJ$580, Growth!$B$130:$M$170, 12, FALSE))),BI585),"")</f>
        <v>-6.0193518749999978E-3</v>
      </c>
      <c r="BK585" s="373">
        <f ca="1">IF(BK$580 &gt;='2.2 Input_General_Information'!$H$20, IF(BK$580 &lt;= '2.2 Input_General_Information'!$H$20 + '2.2 Input_General_Information'!$H$40, $K$577 * (1+ (1-VLOOKUP(BK$580, Growth!$B$130:$M$170, 12, FALSE))),BJ585),"")</f>
        <v>-6.0193518749999978E-3</v>
      </c>
      <c r="BL585" s="381"/>
      <c r="BM585" s="381"/>
      <c r="BN585" s="381"/>
      <c r="BO585" s="381"/>
      <c r="BP585" s="381"/>
      <c r="BQ585" s="381"/>
      <c r="BR585" s="381"/>
      <c r="BS585" s="381"/>
      <c r="BT585" s="381"/>
      <c r="BU585" s="381"/>
    </row>
    <row r="586" spans="1:73">
      <c r="A586" s="6"/>
      <c r="B586" s="108"/>
      <c r="C586" s="1"/>
      <c r="D586" s="1"/>
      <c r="E586" s="1"/>
      <c r="F586" s="1"/>
      <c r="G586" s="3"/>
      <c r="H586" s="3"/>
      <c r="I586" s="3"/>
      <c r="J586" s="3"/>
      <c r="K586" s="3"/>
      <c r="L586" s="3"/>
      <c r="M586" s="3"/>
      <c r="N586" s="3"/>
      <c r="O586" s="1"/>
      <c r="P586" s="1"/>
      <c r="Q586" s="1"/>
      <c r="R586" s="162"/>
      <c r="S586" s="1"/>
      <c r="T586" s="103"/>
      <c r="U586" s="103"/>
      <c r="V586" s="103" t="str">
        <f>$L$10</f>
        <v>Profile 6</v>
      </c>
      <c r="W586" s="373">
        <f ca="1">IF(W$580 &gt;='2.2 Input_General_Information'!$H$20, IF(W$580 &lt;= '2.2 Input_General_Information'!$H$20 + '2.2 Input_General_Information'!$H$40, $L$577 * (1+ (1-VLOOKUP(W$580, Growth!$B$130:$M$170, 12, FALSE))),V586),"")</f>
        <v>-7.5234375000003276E-3</v>
      </c>
      <c r="X586" s="373">
        <f ca="1">IF(X$580 &gt;='2.2 Input_General_Information'!$H$20, IF(X$580 &lt;= '2.2 Input_General_Information'!$H$20 + '2.2 Input_General_Information'!$H$40, $L$577 * (1+ (1-VLOOKUP(X$580, Growth!$B$130:$M$170, 12, FALSE))),W586),"")</f>
        <v>-6.1501277452941493E-3</v>
      </c>
      <c r="Y586" s="373">
        <f ca="1">IF(Y$580 &gt;='2.2 Input_General_Information'!$H$20, IF(Y$580 &lt;= '2.2 Input_General_Information'!$H$20 + '2.2 Input_General_Information'!$H$40, $L$577 * (1+ (1-VLOOKUP(Y$580, Growth!$B$130:$M$170, 12, FALSE))),X586),"")</f>
        <v>-6.027728005457692E-3</v>
      </c>
      <c r="Z586" s="373">
        <f ca="1">IF(Z$580 &gt;='2.2 Input_General_Information'!$H$20, IF(Z$580 &lt;= '2.2 Input_General_Information'!$H$20 + '2.2 Input_General_Information'!$H$40, $L$577 * (1+ (1-VLOOKUP(Z$580, Growth!$B$130:$M$170, 12, FALSE))),Y586),"")</f>
        <v>-6.0193518749999978E-3</v>
      </c>
      <c r="AA586" s="373">
        <f ca="1">IF(AA$580 &gt;='2.2 Input_General_Information'!$H$20, IF(AA$580 &lt;= '2.2 Input_General_Information'!$H$20 + '2.2 Input_General_Information'!$H$40, $L$577 * (1+ (1-VLOOKUP(AA$580, Growth!$B$130:$M$170, 12, FALSE))),Z586),"")</f>
        <v>-6.0193518749999978E-3</v>
      </c>
      <c r="AB586" s="373">
        <f ca="1">IF(AB$580 &gt;='2.2 Input_General_Information'!$H$20, IF(AB$580 &lt;= '2.2 Input_General_Information'!$H$20 + '2.2 Input_General_Information'!$H$40, $L$577 * (1+ (1-VLOOKUP(AB$580, Growth!$B$130:$M$170, 12, FALSE))),AA586),"")</f>
        <v>-6.0193518749999978E-3</v>
      </c>
      <c r="AC586" s="373">
        <f ca="1">IF(AC$580 &gt;='2.2 Input_General_Information'!$H$20, IF(AC$580 &lt;= '2.2 Input_General_Information'!$H$20 + '2.2 Input_General_Information'!$H$40, $L$577 * (1+ (1-VLOOKUP(AC$580, Growth!$B$130:$M$170, 12, FALSE))),AB586),"")</f>
        <v>-6.0193518749999978E-3</v>
      </c>
      <c r="AD586" s="373">
        <f ca="1">IF(AD$580 &gt;='2.2 Input_General_Information'!$H$20, IF(AD$580 &lt;= '2.2 Input_General_Information'!$H$20 + '2.2 Input_General_Information'!$H$40, $L$577 * (1+ (1-VLOOKUP(AD$580, Growth!$B$130:$M$170, 12, FALSE))),AC586),"")</f>
        <v>-6.0193518749999978E-3</v>
      </c>
      <c r="AE586" s="373">
        <f ca="1">IF(AE$580 &gt;='2.2 Input_General_Information'!$H$20, IF(AE$580 &lt;= '2.2 Input_General_Information'!$H$20 + '2.2 Input_General_Information'!$H$40, $L$577 * (1+ (1-VLOOKUP(AE$580, Growth!$B$130:$M$170, 12, FALSE))),AD586),"")</f>
        <v>-6.0193518749999978E-3</v>
      </c>
      <c r="AF586" s="373">
        <f ca="1">IF(AF$580 &gt;='2.2 Input_General_Information'!$H$20, IF(AF$580 &lt;= '2.2 Input_General_Information'!$H$20 + '2.2 Input_General_Information'!$H$40, $L$577 * (1+ (1-VLOOKUP(AF$580, Growth!$B$130:$M$170, 12, FALSE))),AE586),"")</f>
        <v>-6.0193518749999978E-3</v>
      </c>
      <c r="AG586" s="373">
        <f ca="1">IF(AG$580 &gt;='2.2 Input_General_Information'!$H$20, IF(AG$580 &lt;= '2.2 Input_General_Information'!$H$20 + '2.2 Input_General_Information'!$H$40, $L$577 * (1+ (1-VLOOKUP(AG$580, Growth!$B$130:$M$170, 12, FALSE))),AF586),"")</f>
        <v>-6.0193518749999978E-3</v>
      </c>
      <c r="AH586" s="373">
        <f ca="1">IF(AH$580 &gt;='2.2 Input_General_Information'!$H$20, IF(AH$580 &lt;= '2.2 Input_General_Information'!$H$20 + '2.2 Input_General_Information'!$H$40, $L$577 * (1+ (1-VLOOKUP(AH$580, Growth!$B$130:$M$170, 12, FALSE))),AG586),"")</f>
        <v>-6.0193518749999978E-3</v>
      </c>
      <c r="AI586" s="373">
        <f ca="1">IF(AI$580 &gt;='2.2 Input_General_Information'!$H$20, IF(AI$580 &lt;= '2.2 Input_General_Information'!$H$20 + '2.2 Input_General_Information'!$H$40, $L$577 * (1+ (1-VLOOKUP(AI$580, Growth!$B$130:$M$170, 12, FALSE))),AH586),"")</f>
        <v>-6.0193518749999978E-3</v>
      </c>
      <c r="AJ586" s="373">
        <f ca="1">IF(AJ$580 &gt;='2.2 Input_General_Information'!$H$20, IF(AJ$580 &lt;= '2.2 Input_General_Information'!$H$20 + '2.2 Input_General_Information'!$H$40, $L$577 * (1+ (1-VLOOKUP(AJ$580, Growth!$B$130:$M$170, 12, FALSE))),AI586),"")</f>
        <v>-6.0193518749999978E-3</v>
      </c>
      <c r="AK586" s="373">
        <f ca="1">IF(AK$580 &gt;='2.2 Input_General_Information'!$H$20, IF(AK$580 &lt;= '2.2 Input_General_Information'!$H$20 + '2.2 Input_General_Information'!$H$40, $L$577 * (1+ (1-VLOOKUP(AK$580, Growth!$B$130:$M$170, 12, FALSE))),AJ586),"")</f>
        <v>-6.0193518749999978E-3</v>
      </c>
      <c r="AL586" s="373">
        <f ca="1">IF(AL$580 &gt;='2.2 Input_General_Information'!$H$20, IF(AL$580 &lt;= '2.2 Input_General_Information'!$H$20 + '2.2 Input_General_Information'!$H$40, $L$577 * (1+ (1-VLOOKUP(AL$580, Growth!$B$130:$M$170, 12, FALSE))),AK586),"")</f>
        <v>-6.0193518749999978E-3</v>
      </c>
      <c r="AM586" s="373">
        <f ca="1">IF(AM$580 &gt;='2.2 Input_General_Information'!$H$20, IF(AM$580 &lt;= '2.2 Input_General_Information'!$H$20 + '2.2 Input_General_Information'!$H$40, $L$577 * (1+ (1-VLOOKUP(AM$580, Growth!$B$130:$M$170, 12, FALSE))),AL586),"")</f>
        <v>-6.0193518749999978E-3</v>
      </c>
      <c r="AN586" s="373">
        <f ca="1">IF(AN$580 &gt;='2.2 Input_General_Information'!$H$20, IF(AN$580 &lt;= '2.2 Input_General_Information'!$H$20 + '2.2 Input_General_Information'!$H$40, $L$577 * (1+ (1-VLOOKUP(AN$580, Growth!$B$130:$M$170, 12, FALSE))),AM586),"")</f>
        <v>-6.0193518749999978E-3</v>
      </c>
      <c r="AO586" s="373">
        <f ca="1">IF(AO$580 &gt;='2.2 Input_General_Information'!$H$20, IF(AO$580 &lt;= '2.2 Input_General_Information'!$H$20 + '2.2 Input_General_Information'!$H$40, $L$577 * (1+ (1-VLOOKUP(AO$580, Growth!$B$130:$M$170, 12, FALSE))),AN586),"")</f>
        <v>-6.0193518749999978E-3</v>
      </c>
      <c r="AP586" s="373">
        <f ca="1">IF(AP$580 &gt;='2.2 Input_General_Information'!$H$20, IF(AP$580 &lt;= '2.2 Input_General_Information'!$H$20 + '2.2 Input_General_Information'!$H$40, $L$577 * (1+ (1-VLOOKUP(AP$580, Growth!$B$130:$M$170, 12, FALSE))),AO586),"")</f>
        <v>-6.0193518749999978E-3</v>
      </c>
      <c r="AQ586" s="373">
        <f ca="1">IF(AQ$580 &gt;='2.2 Input_General_Information'!$H$20, IF(AQ$580 &lt;= '2.2 Input_General_Information'!$H$20 + '2.2 Input_General_Information'!$H$40, $L$577 * (1+ (1-VLOOKUP(AQ$580, Growth!$B$130:$M$170, 12, FALSE))),AP586),"")</f>
        <v>-6.0193518749999978E-3</v>
      </c>
      <c r="AR586" s="373">
        <f ca="1">IF(AR$580 &gt;='2.2 Input_General_Information'!$H$20, IF(AR$580 &lt;= '2.2 Input_General_Information'!$H$20 + '2.2 Input_General_Information'!$H$40, $L$577 * (1+ (1-VLOOKUP(AR$580, Growth!$B$130:$M$170, 12, FALSE))),AQ586),"")</f>
        <v>-6.0193518749999978E-3</v>
      </c>
      <c r="AS586" s="373">
        <f ca="1">IF(AS$580 &gt;='2.2 Input_General_Information'!$H$20, IF(AS$580 &lt;= '2.2 Input_General_Information'!$H$20 + '2.2 Input_General_Information'!$H$40, $L$577 * (1+ (1-VLOOKUP(AS$580, Growth!$B$130:$M$170, 12, FALSE))),AR586),"")</f>
        <v>-6.0193518749999978E-3</v>
      </c>
      <c r="AT586" s="373">
        <f ca="1">IF(AT$580 &gt;='2.2 Input_General_Information'!$H$20, IF(AT$580 &lt;= '2.2 Input_General_Information'!$H$20 + '2.2 Input_General_Information'!$H$40, $L$577 * (1+ (1-VLOOKUP(AT$580, Growth!$B$130:$M$170, 12, FALSE))),AS586),"")</f>
        <v>-6.0193518749999978E-3</v>
      </c>
      <c r="AU586" s="373">
        <f ca="1">IF(AU$580 &gt;='2.2 Input_General_Information'!$H$20, IF(AU$580 &lt;= '2.2 Input_General_Information'!$H$20 + '2.2 Input_General_Information'!$H$40, $L$577 * (1+ (1-VLOOKUP(AU$580, Growth!$B$130:$M$170, 12, FALSE))),AT586),"")</f>
        <v>-6.0193518749999978E-3</v>
      </c>
      <c r="AV586" s="373">
        <f ca="1">IF(AV$580 &gt;='2.2 Input_General_Information'!$H$20, IF(AV$580 &lt;= '2.2 Input_General_Information'!$H$20 + '2.2 Input_General_Information'!$H$40, $L$577 * (1+ (1-VLOOKUP(AV$580, Growth!$B$130:$M$170, 12, FALSE))),AU586),"")</f>
        <v>-6.0193518749999978E-3</v>
      </c>
      <c r="AW586" s="373">
        <f ca="1">IF(AW$580 &gt;='2.2 Input_General_Information'!$H$20, IF(AW$580 &lt;= '2.2 Input_General_Information'!$H$20 + '2.2 Input_General_Information'!$H$40, $L$577 * (1+ (1-VLOOKUP(AW$580, Growth!$B$130:$M$170, 12, FALSE))),AV586),"")</f>
        <v>-6.0193518749999978E-3</v>
      </c>
      <c r="AX586" s="373">
        <f ca="1">IF(AX$580 &gt;='2.2 Input_General_Information'!$H$20, IF(AX$580 &lt;= '2.2 Input_General_Information'!$H$20 + '2.2 Input_General_Information'!$H$40, $L$577 * (1+ (1-VLOOKUP(AX$580, Growth!$B$130:$M$170, 12, FALSE))),AW586),"")</f>
        <v>-6.0193518749999978E-3</v>
      </c>
      <c r="AY586" s="373">
        <f ca="1">IF(AY$580 &gt;='2.2 Input_General_Information'!$H$20, IF(AY$580 &lt;= '2.2 Input_General_Information'!$H$20 + '2.2 Input_General_Information'!$H$40, $L$577 * (1+ (1-VLOOKUP(AY$580, Growth!$B$130:$M$170, 12, FALSE))),AX586),"")</f>
        <v>-6.0193518749999978E-3</v>
      </c>
      <c r="AZ586" s="373">
        <f ca="1">IF(AZ$580 &gt;='2.2 Input_General_Information'!$H$20, IF(AZ$580 &lt;= '2.2 Input_General_Information'!$H$20 + '2.2 Input_General_Information'!$H$40, $L$577 * (1+ (1-VLOOKUP(AZ$580, Growth!$B$130:$M$170, 12, FALSE))),AY586),"")</f>
        <v>-6.0193518749999978E-3</v>
      </c>
      <c r="BA586" s="373">
        <f ca="1">IF(BA$580 &gt;='2.2 Input_General_Information'!$H$20, IF(BA$580 &lt;= '2.2 Input_General_Information'!$H$20 + '2.2 Input_General_Information'!$H$40, $L$577 * (1+ (1-VLOOKUP(BA$580, Growth!$B$130:$M$170, 12, FALSE))),AZ586),"")</f>
        <v>-6.0193518749999978E-3</v>
      </c>
      <c r="BB586" s="373">
        <f ca="1">IF(BB$580 &gt;='2.2 Input_General_Information'!$H$20, IF(BB$580 &lt;= '2.2 Input_General_Information'!$H$20 + '2.2 Input_General_Information'!$H$40, $L$577 * (1+ (1-VLOOKUP(BB$580, Growth!$B$130:$M$170, 12, FALSE))),BA586),"")</f>
        <v>-6.0193518749999978E-3</v>
      </c>
      <c r="BC586" s="373">
        <f ca="1">IF(BC$580 &gt;='2.2 Input_General_Information'!$H$20, IF(BC$580 &lt;= '2.2 Input_General_Information'!$H$20 + '2.2 Input_General_Information'!$H$40, $L$577 * (1+ (1-VLOOKUP(BC$580, Growth!$B$130:$M$170, 12, FALSE))),BB586),"")</f>
        <v>-6.0193518749999978E-3</v>
      </c>
      <c r="BD586" s="373">
        <f ca="1">IF(BD$580 &gt;='2.2 Input_General_Information'!$H$20, IF(BD$580 &lt;= '2.2 Input_General_Information'!$H$20 + '2.2 Input_General_Information'!$H$40, $L$577 * (1+ (1-VLOOKUP(BD$580, Growth!$B$130:$M$170, 12, FALSE))),BC586),"")</f>
        <v>-6.0193518749999978E-3</v>
      </c>
      <c r="BE586" s="373">
        <f ca="1">IF(BE$580 &gt;='2.2 Input_General_Information'!$H$20, IF(BE$580 &lt;= '2.2 Input_General_Information'!$H$20 + '2.2 Input_General_Information'!$H$40, $L$577 * (1+ (1-VLOOKUP(BE$580, Growth!$B$130:$M$170, 12, FALSE))),BD586),"")</f>
        <v>-6.0193518749999978E-3</v>
      </c>
      <c r="BF586" s="373">
        <f ca="1">IF(BF$580 &gt;='2.2 Input_General_Information'!$H$20, IF(BF$580 &lt;= '2.2 Input_General_Information'!$H$20 + '2.2 Input_General_Information'!$H$40, $L$577 * (1+ (1-VLOOKUP(BF$580, Growth!$B$130:$M$170, 12, FALSE))),BE586),"")</f>
        <v>-6.0193518749999978E-3</v>
      </c>
      <c r="BG586" s="373">
        <f ca="1">IF(BG$580 &gt;='2.2 Input_General_Information'!$H$20, IF(BG$580 &lt;= '2.2 Input_General_Information'!$H$20 + '2.2 Input_General_Information'!$H$40, $L$577 * (1+ (1-VLOOKUP(BG$580, Growth!$B$130:$M$170, 12, FALSE))),BF586),"")</f>
        <v>-6.0193518749999978E-3</v>
      </c>
      <c r="BH586" s="373">
        <f ca="1">IF(BH$580 &gt;='2.2 Input_General_Information'!$H$20, IF(BH$580 &lt;= '2.2 Input_General_Information'!$H$20 + '2.2 Input_General_Information'!$H$40, $L$577 * (1+ (1-VLOOKUP(BH$580, Growth!$B$130:$M$170, 12, FALSE))),BG586),"")</f>
        <v>-6.0193518749999978E-3</v>
      </c>
      <c r="BI586" s="373">
        <f ca="1">IF(BI$580 &gt;='2.2 Input_General_Information'!$H$20, IF(BI$580 &lt;= '2.2 Input_General_Information'!$H$20 + '2.2 Input_General_Information'!$H$40, $L$577 * (1+ (1-VLOOKUP(BI$580, Growth!$B$130:$M$170, 12, FALSE))),BH586),"")</f>
        <v>-6.0193518749999978E-3</v>
      </c>
      <c r="BJ586" s="373">
        <f ca="1">IF(BJ$580 &gt;='2.2 Input_General_Information'!$H$20, IF(BJ$580 &lt;= '2.2 Input_General_Information'!$H$20 + '2.2 Input_General_Information'!$H$40, $L$577 * (1+ (1-VLOOKUP(BJ$580, Growth!$B$130:$M$170, 12, FALSE))),BI586),"")</f>
        <v>-6.0193518749999978E-3</v>
      </c>
      <c r="BK586" s="373">
        <f ca="1">IF(BK$580 &gt;='2.2 Input_General_Information'!$H$20, IF(BK$580 &lt;= '2.2 Input_General_Information'!$H$20 + '2.2 Input_General_Information'!$H$40, $L$577 * (1+ (1-VLOOKUP(BK$580, Growth!$B$130:$M$170, 12, FALSE))),BJ586),"")</f>
        <v>-6.0193518749999978E-3</v>
      </c>
      <c r="BL586" s="381"/>
      <c r="BM586" s="381"/>
      <c r="BN586" s="381"/>
      <c r="BO586" s="381"/>
      <c r="BP586" s="381"/>
      <c r="BQ586" s="381"/>
      <c r="BR586" s="381"/>
      <c r="BS586" s="381"/>
      <c r="BT586" s="381"/>
      <c r="BU586" s="381"/>
    </row>
    <row r="587" spans="1:73">
      <c r="A587" s="6"/>
      <c r="B587" s="108"/>
      <c r="C587" s="1"/>
      <c r="D587" s="1"/>
      <c r="E587" s="1"/>
      <c r="F587" s="1"/>
      <c r="G587" s="3"/>
      <c r="H587" s="3"/>
      <c r="I587" s="3"/>
      <c r="J587" s="3"/>
      <c r="K587" s="3"/>
      <c r="L587" s="3"/>
      <c r="M587" s="3"/>
      <c r="N587" s="3"/>
      <c r="O587" s="1"/>
      <c r="P587" s="1"/>
      <c r="Q587" s="1"/>
      <c r="R587" s="162"/>
      <c r="S587" s="1"/>
      <c r="T587" s="103"/>
      <c r="U587" s="103"/>
      <c r="V587" s="103" t="str">
        <f>$M$10</f>
        <v>Profile 7</v>
      </c>
      <c r="W587" s="373">
        <f ca="1">IF(W$580 &gt;='2.2 Input_General_Information'!$H$20, IF(W$580 &lt;= '2.2 Input_General_Information'!$H$20 + '2.2 Input_General_Information'!$H$40, $M$577 * (1+ (1-VLOOKUP(W$580, Growth!$B$130:$M$170, 12, FALSE))),V587),"")</f>
        <v>-7.5234375000003276E-3</v>
      </c>
      <c r="X587" s="373">
        <f ca="1">IF(X$580 &gt;='2.2 Input_General_Information'!$H$20, IF(X$580 &lt;= '2.2 Input_General_Information'!$H$20 + '2.2 Input_General_Information'!$H$40, $M$577 * (1+ (1-VLOOKUP(X$580, Growth!$B$130:$M$170, 12, FALSE))),W587),"")</f>
        <v>-6.1501277452941493E-3</v>
      </c>
      <c r="Y587" s="373">
        <f ca="1">IF(Y$580 &gt;='2.2 Input_General_Information'!$H$20, IF(Y$580 &lt;= '2.2 Input_General_Information'!$H$20 + '2.2 Input_General_Information'!$H$40, $M$577 * (1+ (1-VLOOKUP(Y$580, Growth!$B$130:$M$170, 12, FALSE))),X587),"")</f>
        <v>-6.027728005457692E-3</v>
      </c>
      <c r="Z587" s="373">
        <f ca="1">IF(Z$580 &gt;='2.2 Input_General_Information'!$H$20, IF(Z$580 &lt;= '2.2 Input_General_Information'!$H$20 + '2.2 Input_General_Information'!$H$40, $M$577 * (1+ (1-VLOOKUP(Z$580, Growth!$B$130:$M$170, 12, FALSE))),Y587),"")</f>
        <v>-6.0193518749999978E-3</v>
      </c>
      <c r="AA587" s="373">
        <f ca="1">IF(AA$580 &gt;='2.2 Input_General_Information'!$H$20, IF(AA$580 &lt;= '2.2 Input_General_Information'!$H$20 + '2.2 Input_General_Information'!$H$40, $M$577 * (1+ (1-VLOOKUP(AA$580, Growth!$B$130:$M$170, 12, FALSE))),Z587),"")</f>
        <v>-6.0193518749999978E-3</v>
      </c>
      <c r="AB587" s="373">
        <f ca="1">IF(AB$580 &gt;='2.2 Input_General_Information'!$H$20, IF(AB$580 &lt;= '2.2 Input_General_Information'!$H$20 + '2.2 Input_General_Information'!$H$40, $M$577 * (1+ (1-VLOOKUP(AB$580, Growth!$B$130:$M$170, 12, FALSE))),AA587),"")</f>
        <v>-6.0193518749999978E-3</v>
      </c>
      <c r="AC587" s="373">
        <f ca="1">IF(AC$580 &gt;='2.2 Input_General_Information'!$H$20, IF(AC$580 &lt;= '2.2 Input_General_Information'!$H$20 + '2.2 Input_General_Information'!$H$40, $M$577 * (1+ (1-VLOOKUP(AC$580, Growth!$B$130:$M$170, 12, FALSE))),AB587),"")</f>
        <v>-6.0193518749999978E-3</v>
      </c>
      <c r="AD587" s="373">
        <f ca="1">IF(AD$580 &gt;='2.2 Input_General_Information'!$H$20, IF(AD$580 &lt;= '2.2 Input_General_Information'!$H$20 + '2.2 Input_General_Information'!$H$40, $M$577 * (1+ (1-VLOOKUP(AD$580, Growth!$B$130:$M$170, 12, FALSE))),AC587),"")</f>
        <v>-6.0193518749999978E-3</v>
      </c>
      <c r="AE587" s="373">
        <f ca="1">IF(AE$580 &gt;='2.2 Input_General_Information'!$H$20, IF(AE$580 &lt;= '2.2 Input_General_Information'!$H$20 + '2.2 Input_General_Information'!$H$40, $M$577 * (1+ (1-VLOOKUP(AE$580, Growth!$B$130:$M$170, 12, FALSE))),AD587),"")</f>
        <v>-6.0193518749999978E-3</v>
      </c>
      <c r="AF587" s="373">
        <f ca="1">IF(AF$580 &gt;='2.2 Input_General_Information'!$H$20, IF(AF$580 &lt;= '2.2 Input_General_Information'!$H$20 + '2.2 Input_General_Information'!$H$40, $M$577 * (1+ (1-VLOOKUP(AF$580, Growth!$B$130:$M$170, 12, FALSE))),AE587),"")</f>
        <v>-6.0193518749999978E-3</v>
      </c>
      <c r="AG587" s="373">
        <f ca="1">IF(AG$580 &gt;='2.2 Input_General_Information'!$H$20, IF(AG$580 &lt;= '2.2 Input_General_Information'!$H$20 + '2.2 Input_General_Information'!$H$40, $M$577 * (1+ (1-VLOOKUP(AG$580, Growth!$B$130:$M$170, 12, FALSE))),AF587),"")</f>
        <v>-6.0193518749999978E-3</v>
      </c>
      <c r="AH587" s="373">
        <f ca="1">IF(AH$580 &gt;='2.2 Input_General_Information'!$H$20, IF(AH$580 &lt;= '2.2 Input_General_Information'!$H$20 + '2.2 Input_General_Information'!$H$40, $M$577 * (1+ (1-VLOOKUP(AH$580, Growth!$B$130:$M$170, 12, FALSE))),AG587),"")</f>
        <v>-6.0193518749999978E-3</v>
      </c>
      <c r="AI587" s="373">
        <f ca="1">IF(AI$580 &gt;='2.2 Input_General_Information'!$H$20, IF(AI$580 &lt;= '2.2 Input_General_Information'!$H$20 + '2.2 Input_General_Information'!$H$40, $M$577 * (1+ (1-VLOOKUP(AI$580, Growth!$B$130:$M$170, 12, FALSE))),AH587),"")</f>
        <v>-6.0193518749999978E-3</v>
      </c>
      <c r="AJ587" s="373">
        <f ca="1">IF(AJ$580 &gt;='2.2 Input_General_Information'!$H$20, IF(AJ$580 &lt;= '2.2 Input_General_Information'!$H$20 + '2.2 Input_General_Information'!$H$40, $M$577 * (1+ (1-VLOOKUP(AJ$580, Growth!$B$130:$M$170, 12, FALSE))),AI587),"")</f>
        <v>-6.0193518749999978E-3</v>
      </c>
      <c r="AK587" s="373">
        <f ca="1">IF(AK$580 &gt;='2.2 Input_General_Information'!$H$20, IF(AK$580 &lt;= '2.2 Input_General_Information'!$H$20 + '2.2 Input_General_Information'!$H$40, $M$577 * (1+ (1-VLOOKUP(AK$580, Growth!$B$130:$M$170, 12, FALSE))),AJ587),"")</f>
        <v>-6.0193518749999978E-3</v>
      </c>
      <c r="AL587" s="373">
        <f ca="1">IF(AL$580 &gt;='2.2 Input_General_Information'!$H$20, IF(AL$580 &lt;= '2.2 Input_General_Information'!$H$20 + '2.2 Input_General_Information'!$H$40, $M$577 * (1+ (1-VLOOKUP(AL$580, Growth!$B$130:$M$170, 12, FALSE))),AK587),"")</f>
        <v>-6.0193518749999978E-3</v>
      </c>
      <c r="AM587" s="373">
        <f ca="1">IF(AM$580 &gt;='2.2 Input_General_Information'!$H$20, IF(AM$580 &lt;= '2.2 Input_General_Information'!$H$20 + '2.2 Input_General_Information'!$H$40, $M$577 * (1+ (1-VLOOKUP(AM$580, Growth!$B$130:$M$170, 12, FALSE))),AL587),"")</f>
        <v>-6.0193518749999978E-3</v>
      </c>
      <c r="AN587" s="373">
        <f ca="1">IF(AN$580 &gt;='2.2 Input_General_Information'!$H$20, IF(AN$580 &lt;= '2.2 Input_General_Information'!$H$20 + '2.2 Input_General_Information'!$H$40, $M$577 * (1+ (1-VLOOKUP(AN$580, Growth!$B$130:$M$170, 12, FALSE))),AM587),"")</f>
        <v>-6.0193518749999978E-3</v>
      </c>
      <c r="AO587" s="373">
        <f ca="1">IF(AO$580 &gt;='2.2 Input_General_Information'!$H$20, IF(AO$580 &lt;= '2.2 Input_General_Information'!$H$20 + '2.2 Input_General_Information'!$H$40, $M$577 * (1+ (1-VLOOKUP(AO$580, Growth!$B$130:$M$170, 12, FALSE))),AN587),"")</f>
        <v>-6.0193518749999978E-3</v>
      </c>
      <c r="AP587" s="373">
        <f ca="1">IF(AP$580 &gt;='2.2 Input_General_Information'!$H$20, IF(AP$580 &lt;= '2.2 Input_General_Information'!$H$20 + '2.2 Input_General_Information'!$H$40, $M$577 * (1+ (1-VLOOKUP(AP$580, Growth!$B$130:$M$170, 12, FALSE))),AO587),"")</f>
        <v>-6.0193518749999978E-3</v>
      </c>
      <c r="AQ587" s="373">
        <f ca="1">IF(AQ$580 &gt;='2.2 Input_General_Information'!$H$20, IF(AQ$580 &lt;= '2.2 Input_General_Information'!$H$20 + '2.2 Input_General_Information'!$H$40, $M$577 * (1+ (1-VLOOKUP(AQ$580, Growth!$B$130:$M$170, 12, FALSE))),AP587),"")</f>
        <v>-6.0193518749999978E-3</v>
      </c>
      <c r="AR587" s="373">
        <f ca="1">IF(AR$580 &gt;='2.2 Input_General_Information'!$H$20, IF(AR$580 &lt;= '2.2 Input_General_Information'!$H$20 + '2.2 Input_General_Information'!$H$40, $M$577 * (1+ (1-VLOOKUP(AR$580, Growth!$B$130:$M$170, 12, FALSE))),AQ587),"")</f>
        <v>-6.0193518749999978E-3</v>
      </c>
      <c r="AS587" s="373">
        <f ca="1">IF(AS$580 &gt;='2.2 Input_General_Information'!$H$20, IF(AS$580 &lt;= '2.2 Input_General_Information'!$H$20 + '2.2 Input_General_Information'!$H$40, $M$577 * (1+ (1-VLOOKUP(AS$580, Growth!$B$130:$M$170, 12, FALSE))),AR587),"")</f>
        <v>-6.0193518749999978E-3</v>
      </c>
      <c r="AT587" s="373">
        <f ca="1">IF(AT$580 &gt;='2.2 Input_General_Information'!$H$20, IF(AT$580 &lt;= '2.2 Input_General_Information'!$H$20 + '2.2 Input_General_Information'!$H$40, $M$577 * (1+ (1-VLOOKUP(AT$580, Growth!$B$130:$M$170, 12, FALSE))),AS587),"")</f>
        <v>-6.0193518749999978E-3</v>
      </c>
      <c r="AU587" s="373">
        <f ca="1">IF(AU$580 &gt;='2.2 Input_General_Information'!$H$20, IF(AU$580 &lt;= '2.2 Input_General_Information'!$H$20 + '2.2 Input_General_Information'!$H$40, $M$577 * (1+ (1-VLOOKUP(AU$580, Growth!$B$130:$M$170, 12, FALSE))),AT587),"")</f>
        <v>-6.0193518749999978E-3</v>
      </c>
      <c r="AV587" s="373">
        <f ca="1">IF(AV$580 &gt;='2.2 Input_General_Information'!$H$20, IF(AV$580 &lt;= '2.2 Input_General_Information'!$H$20 + '2.2 Input_General_Information'!$H$40, $M$577 * (1+ (1-VLOOKUP(AV$580, Growth!$B$130:$M$170, 12, FALSE))),AU587),"")</f>
        <v>-6.0193518749999978E-3</v>
      </c>
      <c r="AW587" s="373">
        <f ca="1">IF(AW$580 &gt;='2.2 Input_General_Information'!$H$20, IF(AW$580 &lt;= '2.2 Input_General_Information'!$H$20 + '2.2 Input_General_Information'!$H$40, $M$577 * (1+ (1-VLOOKUP(AW$580, Growth!$B$130:$M$170, 12, FALSE))),AV587),"")</f>
        <v>-6.0193518749999978E-3</v>
      </c>
      <c r="AX587" s="373">
        <f ca="1">IF(AX$580 &gt;='2.2 Input_General_Information'!$H$20, IF(AX$580 &lt;= '2.2 Input_General_Information'!$H$20 + '2.2 Input_General_Information'!$H$40, $M$577 * (1+ (1-VLOOKUP(AX$580, Growth!$B$130:$M$170, 12, FALSE))),AW587),"")</f>
        <v>-6.0193518749999978E-3</v>
      </c>
      <c r="AY587" s="373">
        <f ca="1">IF(AY$580 &gt;='2.2 Input_General_Information'!$H$20, IF(AY$580 &lt;= '2.2 Input_General_Information'!$H$20 + '2.2 Input_General_Information'!$H$40, $M$577 * (1+ (1-VLOOKUP(AY$580, Growth!$B$130:$M$170, 12, FALSE))),AX587),"")</f>
        <v>-6.0193518749999978E-3</v>
      </c>
      <c r="AZ587" s="373">
        <f ca="1">IF(AZ$580 &gt;='2.2 Input_General_Information'!$H$20, IF(AZ$580 &lt;= '2.2 Input_General_Information'!$H$20 + '2.2 Input_General_Information'!$H$40, $M$577 * (1+ (1-VLOOKUP(AZ$580, Growth!$B$130:$M$170, 12, FALSE))),AY587),"")</f>
        <v>-6.0193518749999978E-3</v>
      </c>
      <c r="BA587" s="373">
        <f ca="1">IF(BA$580 &gt;='2.2 Input_General_Information'!$H$20, IF(BA$580 &lt;= '2.2 Input_General_Information'!$H$20 + '2.2 Input_General_Information'!$H$40, $M$577 * (1+ (1-VLOOKUP(BA$580, Growth!$B$130:$M$170, 12, FALSE))),AZ587),"")</f>
        <v>-6.0193518749999978E-3</v>
      </c>
      <c r="BB587" s="373">
        <f ca="1">IF(BB$580 &gt;='2.2 Input_General_Information'!$H$20, IF(BB$580 &lt;= '2.2 Input_General_Information'!$H$20 + '2.2 Input_General_Information'!$H$40, $M$577 * (1+ (1-VLOOKUP(BB$580, Growth!$B$130:$M$170, 12, FALSE))),BA587),"")</f>
        <v>-6.0193518749999978E-3</v>
      </c>
      <c r="BC587" s="373">
        <f ca="1">IF(BC$580 &gt;='2.2 Input_General_Information'!$H$20, IF(BC$580 &lt;= '2.2 Input_General_Information'!$H$20 + '2.2 Input_General_Information'!$H$40, $M$577 * (1+ (1-VLOOKUP(BC$580, Growth!$B$130:$M$170, 12, FALSE))),BB587),"")</f>
        <v>-6.0193518749999978E-3</v>
      </c>
      <c r="BD587" s="373">
        <f ca="1">IF(BD$580 &gt;='2.2 Input_General_Information'!$H$20, IF(BD$580 &lt;= '2.2 Input_General_Information'!$H$20 + '2.2 Input_General_Information'!$H$40, $M$577 * (1+ (1-VLOOKUP(BD$580, Growth!$B$130:$M$170, 12, FALSE))),BC587),"")</f>
        <v>-6.0193518749999978E-3</v>
      </c>
      <c r="BE587" s="373">
        <f ca="1">IF(BE$580 &gt;='2.2 Input_General_Information'!$H$20, IF(BE$580 &lt;= '2.2 Input_General_Information'!$H$20 + '2.2 Input_General_Information'!$H$40, $M$577 * (1+ (1-VLOOKUP(BE$580, Growth!$B$130:$M$170, 12, FALSE))),BD587),"")</f>
        <v>-6.0193518749999978E-3</v>
      </c>
      <c r="BF587" s="373">
        <f ca="1">IF(BF$580 &gt;='2.2 Input_General_Information'!$H$20, IF(BF$580 &lt;= '2.2 Input_General_Information'!$H$20 + '2.2 Input_General_Information'!$H$40, $M$577 * (1+ (1-VLOOKUP(BF$580, Growth!$B$130:$M$170, 12, FALSE))),BE587),"")</f>
        <v>-6.0193518749999978E-3</v>
      </c>
      <c r="BG587" s="373">
        <f ca="1">IF(BG$580 &gt;='2.2 Input_General_Information'!$H$20, IF(BG$580 &lt;= '2.2 Input_General_Information'!$H$20 + '2.2 Input_General_Information'!$H$40, $M$577 * (1+ (1-VLOOKUP(BG$580, Growth!$B$130:$M$170, 12, FALSE))),BF587),"")</f>
        <v>-6.0193518749999978E-3</v>
      </c>
      <c r="BH587" s="373">
        <f ca="1">IF(BH$580 &gt;='2.2 Input_General_Information'!$H$20, IF(BH$580 &lt;= '2.2 Input_General_Information'!$H$20 + '2.2 Input_General_Information'!$H$40, $M$577 * (1+ (1-VLOOKUP(BH$580, Growth!$B$130:$M$170, 12, FALSE))),BG587),"")</f>
        <v>-6.0193518749999978E-3</v>
      </c>
      <c r="BI587" s="373">
        <f ca="1">IF(BI$580 &gt;='2.2 Input_General_Information'!$H$20, IF(BI$580 &lt;= '2.2 Input_General_Information'!$H$20 + '2.2 Input_General_Information'!$H$40, $M$577 * (1+ (1-VLOOKUP(BI$580, Growth!$B$130:$M$170, 12, FALSE))),BH587),"")</f>
        <v>-6.0193518749999978E-3</v>
      </c>
      <c r="BJ587" s="373">
        <f ca="1">IF(BJ$580 &gt;='2.2 Input_General_Information'!$H$20, IF(BJ$580 &lt;= '2.2 Input_General_Information'!$H$20 + '2.2 Input_General_Information'!$H$40, $M$577 * (1+ (1-VLOOKUP(BJ$580, Growth!$B$130:$M$170, 12, FALSE))),BI587),"")</f>
        <v>-6.0193518749999978E-3</v>
      </c>
      <c r="BK587" s="373">
        <f ca="1">IF(BK$580 &gt;='2.2 Input_General_Information'!$H$20, IF(BK$580 &lt;= '2.2 Input_General_Information'!$H$20 + '2.2 Input_General_Information'!$H$40, $M$577 * (1+ (1-VLOOKUP(BK$580, Growth!$B$130:$M$170, 12, FALSE))),BJ587),"")</f>
        <v>-6.0193518749999978E-3</v>
      </c>
      <c r="BL587" s="381"/>
      <c r="BM587" s="381"/>
      <c r="BN587" s="381"/>
      <c r="BO587" s="381"/>
      <c r="BP587" s="381"/>
      <c r="BQ587" s="381"/>
      <c r="BR587" s="381"/>
      <c r="BS587" s="381"/>
      <c r="BT587" s="381"/>
      <c r="BU587" s="381"/>
    </row>
    <row r="588" spans="1:73">
      <c r="A588" s="6"/>
      <c r="B588" s="108"/>
      <c r="C588" s="1"/>
      <c r="D588" s="1"/>
      <c r="E588" s="1"/>
      <c r="F588" s="1"/>
      <c r="G588" s="3"/>
      <c r="H588" s="3"/>
      <c r="I588" s="3"/>
      <c r="J588" s="3"/>
      <c r="K588" s="3"/>
      <c r="L588" s="3"/>
      <c r="M588" s="3"/>
      <c r="N588" s="3"/>
      <c r="O588" s="1"/>
      <c r="P588" s="1"/>
      <c r="Q588" s="1"/>
      <c r="R588" s="162"/>
      <c r="S588" s="1"/>
      <c r="T588" s="103"/>
      <c r="U588" s="103"/>
      <c r="V588" s="103" t="str">
        <f>$N$10</f>
        <v>Profile 8</v>
      </c>
      <c r="W588" s="373">
        <f ca="1">IF(W$580 &gt;='2.2 Input_General_Information'!$H$20, IF(W$580 &lt;= '2.2 Input_General_Information'!$H$20 + '2.2 Input_General_Information'!$H$40, $N$577 * (1+ (1-VLOOKUP(W$580, Growth!$B$130:$M$170, 12, FALSE))),V588),"")</f>
        <v>-7.5234375000003276E-3</v>
      </c>
      <c r="X588" s="373">
        <f ca="1">IF(X$580 &gt;='2.2 Input_General_Information'!$H$20, IF(X$580 &lt;= '2.2 Input_General_Information'!$H$20 + '2.2 Input_General_Information'!$H$40, $N$577 * (1+ (1-VLOOKUP(X$580, Growth!$B$130:$M$170, 12, FALSE))),W588),"")</f>
        <v>-6.1501277452941493E-3</v>
      </c>
      <c r="Y588" s="373">
        <f ca="1">IF(Y$580 &gt;='2.2 Input_General_Information'!$H$20, IF(Y$580 &lt;= '2.2 Input_General_Information'!$H$20 + '2.2 Input_General_Information'!$H$40, $N$577 * (1+ (1-VLOOKUP(Y$580, Growth!$B$130:$M$170, 12, FALSE))),X588),"")</f>
        <v>-6.027728005457692E-3</v>
      </c>
      <c r="Z588" s="373">
        <f ca="1">IF(Z$580 &gt;='2.2 Input_General_Information'!$H$20, IF(Z$580 &lt;= '2.2 Input_General_Information'!$H$20 + '2.2 Input_General_Information'!$H$40, $N$577 * (1+ (1-VLOOKUP(Z$580, Growth!$B$130:$M$170, 12, FALSE))),Y588),"")</f>
        <v>-6.0193518749999978E-3</v>
      </c>
      <c r="AA588" s="373">
        <f ca="1">IF(AA$580 &gt;='2.2 Input_General_Information'!$H$20, IF(AA$580 &lt;= '2.2 Input_General_Information'!$H$20 + '2.2 Input_General_Information'!$H$40, $N$577 * (1+ (1-VLOOKUP(AA$580, Growth!$B$130:$M$170, 12, FALSE))),Z588),"")</f>
        <v>-6.0193518749999978E-3</v>
      </c>
      <c r="AB588" s="373">
        <f ca="1">IF(AB$580 &gt;='2.2 Input_General_Information'!$H$20, IF(AB$580 &lt;= '2.2 Input_General_Information'!$H$20 + '2.2 Input_General_Information'!$H$40, $N$577 * (1+ (1-VLOOKUP(AB$580, Growth!$B$130:$M$170, 12, FALSE))),AA588),"")</f>
        <v>-6.0193518749999978E-3</v>
      </c>
      <c r="AC588" s="373">
        <f ca="1">IF(AC$580 &gt;='2.2 Input_General_Information'!$H$20, IF(AC$580 &lt;= '2.2 Input_General_Information'!$H$20 + '2.2 Input_General_Information'!$H$40, $N$577 * (1+ (1-VLOOKUP(AC$580, Growth!$B$130:$M$170, 12, FALSE))),AB588),"")</f>
        <v>-6.0193518749999978E-3</v>
      </c>
      <c r="AD588" s="373">
        <f ca="1">IF(AD$580 &gt;='2.2 Input_General_Information'!$H$20, IF(AD$580 &lt;= '2.2 Input_General_Information'!$H$20 + '2.2 Input_General_Information'!$H$40, $N$577 * (1+ (1-VLOOKUP(AD$580, Growth!$B$130:$M$170, 12, FALSE))),AC588),"")</f>
        <v>-6.0193518749999978E-3</v>
      </c>
      <c r="AE588" s="373">
        <f ca="1">IF(AE$580 &gt;='2.2 Input_General_Information'!$H$20, IF(AE$580 &lt;= '2.2 Input_General_Information'!$H$20 + '2.2 Input_General_Information'!$H$40, $N$577 * (1+ (1-VLOOKUP(AE$580, Growth!$B$130:$M$170, 12, FALSE))),AD588),"")</f>
        <v>-6.0193518749999978E-3</v>
      </c>
      <c r="AF588" s="373">
        <f ca="1">IF(AF$580 &gt;='2.2 Input_General_Information'!$H$20, IF(AF$580 &lt;= '2.2 Input_General_Information'!$H$20 + '2.2 Input_General_Information'!$H$40, $N$577 * (1+ (1-VLOOKUP(AF$580, Growth!$B$130:$M$170, 12, FALSE))),AE588),"")</f>
        <v>-6.0193518749999978E-3</v>
      </c>
      <c r="AG588" s="373">
        <f ca="1">IF(AG$580 &gt;='2.2 Input_General_Information'!$H$20, IF(AG$580 &lt;= '2.2 Input_General_Information'!$H$20 + '2.2 Input_General_Information'!$H$40, $N$577 * (1+ (1-VLOOKUP(AG$580, Growth!$B$130:$M$170, 12, FALSE))),AF588),"")</f>
        <v>-6.0193518749999978E-3</v>
      </c>
      <c r="AH588" s="373">
        <f ca="1">IF(AH$580 &gt;='2.2 Input_General_Information'!$H$20, IF(AH$580 &lt;= '2.2 Input_General_Information'!$H$20 + '2.2 Input_General_Information'!$H$40, $N$577 * (1+ (1-VLOOKUP(AH$580, Growth!$B$130:$M$170, 12, FALSE))),AG588),"")</f>
        <v>-6.0193518749999978E-3</v>
      </c>
      <c r="AI588" s="373">
        <f ca="1">IF(AI$580 &gt;='2.2 Input_General_Information'!$H$20, IF(AI$580 &lt;= '2.2 Input_General_Information'!$H$20 + '2.2 Input_General_Information'!$H$40, $N$577 * (1+ (1-VLOOKUP(AI$580, Growth!$B$130:$M$170, 12, FALSE))),AH588),"")</f>
        <v>-6.0193518749999978E-3</v>
      </c>
      <c r="AJ588" s="373">
        <f ca="1">IF(AJ$580 &gt;='2.2 Input_General_Information'!$H$20, IF(AJ$580 &lt;= '2.2 Input_General_Information'!$H$20 + '2.2 Input_General_Information'!$H$40, $N$577 * (1+ (1-VLOOKUP(AJ$580, Growth!$B$130:$M$170, 12, FALSE))),AI588),"")</f>
        <v>-6.0193518749999978E-3</v>
      </c>
      <c r="AK588" s="373">
        <f ca="1">IF(AK$580 &gt;='2.2 Input_General_Information'!$H$20, IF(AK$580 &lt;= '2.2 Input_General_Information'!$H$20 + '2.2 Input_General_Information'!$H$40, $N$577 * (1+ (1-VLOOKUP(AK$580, Growth!$B$130:$M$170, 12, FALSE))),AJ588),"")</f>
        <v>-6.0193518749999978E-3</v>
      </c>
      <c r="AL588" s="373">
        <f ca="1">IF(AL$580 &gt;='2.2 Input_General_Information'!$H$20, IF(AL$580 &lt;= '2.2 Input_General_Information'!$H$20 + '2.2 Input_General_Information'!$H$40, $N$577 * (1+ (1-VLOOKUP(AL$580, Growth!$B$130:$M$170, 12, FALSE))),AK588),"")</f>
        <v>-6.0193518749999978E-3</v>
      </c>
      <c r="AM588" s="373">
        <f ca="1">IF(AM$580 &gt;='2.2 Input_General_Information'!$H$20, IF(AM$580 &lt;= '2.2 Input_General_Information'!$H$20 + '2.2 Input_General_Information'!$H$40, $N$577 * (1+ (1-VLOOKUP(AM$580, Growth!$B$130:$M$170, 12, FALSE))),AL588),"")</f>
        <v>-6.0193518749999978E-3</v>
      </c>
      <c r="AN588" s="373">
        <f ca="1">IF(AN$580 &gt;='2.2 Input_General_Information'!$H$20, IF(AN$580 &lt;= '2.2 Input_General_Information'!$H$20 + '2.2 Input_General_Information'!$H$40, $N$577 * (1+ (1-VLOOKUP(AN$580, Growth!$B$130:$M$170, 12, FALSE))),AM588),"")</f>
        <v>-6.0193518749999978E-3</v>
      </c>
      <c r="AO588" s="373">
        <f ca="1">IF(AO$580 &gt;='2.2 Input_General_Information'!$H$20, IF(AO$580 &lt;= '2.2 Input_General_Information'!$H$20 + '2.2 Input_General_Information'!$H$40, $N$577 * (1+ (1-VLOOKUP(AO$580, Growth!$B$130:$M$170, 12, FALSE))),AN588),"")</f>
        <v>-6.0193518749999978E-3</v>
      </c>
      <c r="AP588" s="373">
        <f ca="1">IF(AP$580 &gt;='2.2 Input_General_Information'!$H$20, IF(AP$580 &lt;= '2.2 Input_General_Information'!$H$20 + '2.2 Input_General_Information'!$H$40, $N$577 * (1+ (1-VLOOKUP(AP$580, Growth!$B$130:$M$170, 12, FALSE))),AO588),"")</f>
        <v>-6.0193518749999978E-3</v>
      </c>
      <c r="AQ588" s="373">
        <f ca="1">IF(AQ$580 &gt;='2.2 Input_General_Information'!$H$20, IF(AQ$580 &lt;= '2.2 Input_General_Information'!$H$20 + '2.2 Input_General_Information'!$H$40, $N$577 * (1+ (1-VLOOKUP(AQ$580, Growth!$B$130:$M$170, 12, FALSE))),AP588),"")</f>
        <v>-6.0193518749999978E-3</v>
      </c>
      <c r="AR588" s="373">
        <f ca="1">IF(AR$580 &gt;='2.2 Input_General_Information'!$H$20, IF(AR$580 &lt;= '2.2 Input_General_Information'!$H$20 + '2.2 Input_General_Information'!$H$40, $N$577 * (1+ (1-VLOOKUP(AR$580, Growth!$B$130:$M$170, 12, FALSE))),AQ588),"")</f>
        <v>-6.0193518749999978E-3</v>
      </c>
      <c r="AS588" s="373">
        <f ca="1">IF(AS$580 &gt;='2.2 Input_General_Information'!$H$20, IF(AS$580 &lt;= '2.2 Input_General_Information'!$H$20 + '2.2 Input_General_Information'!$H$40, $N$577 * (1+ (1-VLOOKUP(AS$580, Growth!$B$130:$M$170, 12, FALSE))),AR588),"")</f>
        <v>-6.0193518749999978E-3</v>
      </c>
      <c r="AT588" s="373">
        <f ca="1">IF(AT$580 &gt;='2.2 Input_General_Information'!$H$20, IF(AT$580 &lt;= '2.2 Input_General_Information'!$H$20 + '2.2 Input_General_Information'!$H$40, $N$577 * (1+ (1-VLOOKUP(AT$580, Growth!$B$130:$M$170, 12, FALSE))),AS588),"")</f>
        <v>-6.0193518749999978E-3</v>
      </c>
      <c r="AU588" s="373">
        <f ca="1">IF(AU$580 &gt;='2.2 Input_General_Information'!$H$20, IF(AU$580 &lt;= '2.2 Input_General_Information'!$H$20 + '2.2 Input_General_Information'!$H$40, $N$577 * (1+ (1-VLOOKUP(AU$580, Growth!$B$130:$M$170, 12, FALSE))),AT588),"")</f>
        <v>-6.0193518749999978E-3</v>
      </c>
      <c r="AV588" s="373">
        <f ca="1">IF(AV$580 &gt;='2.2 Input_General_Information'!$H$20, IF(AV$580 &lt;= '2.2 Input_General_Information'!$H$20 + '2.2 Input_General_Information'!$H$40, $N$577 * (1+ (1-VLOOKUP(AV$580, Growth!$B$130:$M$170, 12, FALSE))),AU588),"")</f>
        <v>-6.0193518749999978E-3</v>
      </c>
      <c r="AW588" s="373">
        <f ca="1">IF(AW$580 &gt;='2.2 Input_General_Information'!$H$20, IF(AW$580 &lt;= '2.2 Input_General_Information'!$H$20 + '2.2 Input_General_Information'!$H$40, $N$577 * (1+ (1-VLOOKUP(AW$580, Growth!$B$130:$M$170, 12, FALSE))),AV588),"")</f>
        <v>-6.0193518749999978E-3</v>
      </c>
      <c r="AX588" s="373">
        <f ca="1">IF(AX$580 &gt;='2.2 Input_General_Information'!$H$20, IF(AX$580 &lt;= '2.2 Input_General_Information'!$H$20 + '2.2 Input_General_Information'!$H$40, $N$577 * (1+ (1-VLOOKUP(AX$580, Growth!$B$130:$M$170, 12, FALSE))),AW588),"")</f>
        <v>-6.0193518749999978E-3</v>
      </c>
      <c r="AY588" s="373">
        <f ca="1">IF(AY$580 &gt;='2.2 Input_General_Information'!$H$20, IF(AY$580 &lt;= '2.2 Input_General_Information'!$H$20 + '2.2 Input_General_Information'!$H$40, $N$577 * (1+ (1-VLOOKUP(AY$580, Growth!$B$130:$M$170, 12, FALSE))),AX588),"")</f>
        <v>-6.0193518749999978E-3</v>
      </c>
      <c r="AZ588" s="373">
        <f ca="1">IF(AZ$580 &gt;='2.2 Input_General_Information'!$H$20, IF(AZ$580 &lt;= '2.2 Input_General_Information'!$H$20 + '2.2 Input_General_Information'!$H$40, $N$577 * (1+ (1-VLOOKUP(AZ$580, Growth!$B$130:$M$170, 12, FALSE))),AY588),"")</f>
        <v>-6.0193518749999978E-3</v>
      </c>
      <c r="BA588" s="373">
        <f ca="1">IF(BA$580 &gt;='2.2 Input_General_Information'!$H$20, IF(BA$580 &lt;= '2.2 Input_General_Information'!$H$20 + '2.2 Input_General_Information'!$H$40, $N$577 * (1+ (1-VLOOKUP(BA$580, Growth!$B$130:$M$170, 12, FALSE))),AZ588),"")</f>
        <v>-6.0193518749999978E-3</v>
      </c>
      <c r="BB588" s="373">
        <f ca="1">IF(BB$580 &gt;='2.2 Input_General_Information'!$H$20, IF(BB$580 &lt;= '2.2 Input_General_Information'!$H$20 + '2.2 Input_General_Information'!$H$40, $N$577 * (1+ (1-VLOOKUP(BB$580, Growth!$B$130:$M$170, 12, FALSE))),BA588),"")</f>
        <v>-6.0193518749999978E-3</v>
      </c>
      <c r="BC588" s="373">
        <f ca="1">IF(BC$580 &gt;='2.2 Input_General_Information'!$H$20, IF(BC$580 &lt;= '2.2 Input_General_Information'!$H$20 + '2.2 Input_General_Information'!$H$40, $N$577 * (1+ (1-VLOOKUP(BC$580, Growth!$B$130:$M$170, 12, FALSE))),BB588),"")</f>
        <v>-6.0193518749999978E-3</v>
      </c>
      <c r="BD588" s="373">
        <f ca="1">IF(BD$580 &gt;='2.2 Input_General_Information'!$H$20, IF(BD$580 &lt;= '2.2 Input_General_Information'!$H$20 + '2.2 Input_General_Information'!$H$40, $N$577 * (1+ (1-VLOOKUP(BD$580, Growth!$B$130:$M$170, 12, FALSE))),BC588),"")</f>
        <v>-6.0193518749999978E-3</v>
      </c>
      <c r="BE588" s="373">
        <f ca="1">IF(BE$580 &gt;='2.2 Input_General_Information'!$H$20, IF(BE$580 &lt;= '2.2 Input_General_Information'!$H$20 + '2.2 Input_General_Information'!$H$40, $N$577 * (1+ (1-VLOOKUP(BE$580, Growth!$B$130:$M$170, 12, FALSE))),BD588),"")</f>
        <v>-6.0193518749999978E-3</v>
      </c>
      <c r="BF588" s="373">
        <f ca="1">IF(BF$580 &gt;='2.2 Input_General_Information'!$H$20, IF(BF$580 &lt;= '2.2 Input_General_Information'!$H$20 + '2.2 Input_General_Information'!$H$40, $N$577 * (1+ (1-VLOOKUP(BF$580, Growth!$B$130:$M$170, 12, FALSE))),BE588),"")</f>
        <v>-6.0193518749999978E-3</v>
      </c>
      <c r="BG588" s="373">
        <f ca="1">IF(BG$580 &gt;='2.2 Input_General_Information'!$H$20, IF(BG$580 &lt;= '2.2 Input_General_Information'!$H$20 + '2.2 Input_General_Information'!$H$40, $N$577 * (1+ (1-VLOOKUP(BG$580, Growth!$B$130:$M$170, 12, FALSE))),BF588),"")</f>
        <v>-6.0193518749999978E-3</v>
      </c>
      <c r="BH588" s="373">
        <f ca="1">IF(BH$580 &gt;='2.2 Input_General_Information'!$H$20, IF(BH$580 &lt;= '2.2 Input_General_Information'!$H$20 + '2.2 Input_General_Information'!$H$40, $N$577 * (1+ (1-VLOOKUP(BH$580, Growth!$B$130:$M$170, 12, FALSE))),BG588),"")</f>
        <v>-6.0193518749999978E-3</v>
      </c>
      <c r="BI588" s="373">
        <f ca="1">IF(BI$580 &gt;='2.2 Input_General_Information'!$H$20, IF(BI$580 &lt;= '2.2 Input_General_Information'!$H$20 + '2.2 Input_General_Information'!$H$40, $N$577 * (1+ (1-VLOOKUP(BI$580, Growth!$B$130:$M$170, 12, FALSE))),BH588),"")</f>
        <v>-6.0193518749999978E-3</v>
      </c>
      <c r="BJ588" s="373">
        <f ca="1">IF(BJ$580 &gt;='2.2 Input_General_Information'!$H$20, IF(BJ$580 &lt;= '2.2 Input_General_Information'!$H$20 + '2.2 Input_General_Information'!$H$40, $N$577 * (1+ (1-VLOOKUP(BJ$580, Growth!$B$130:$M$170, 12, FALSE))),BI588),"")</f>
        <v>-6.0193518749999978E-3</v>
      </c>
      <c r="BK588" s="373">
        <f ca="1">IF(BK$580 &gt;='2.2 Input_General_Information'!$H$20, IF(BK$580 &lt;= '2.2 Input_General_Information'!$H$20 + '2.2 Input_General_Information'!$H$40, $N$577 * (1+ (1-VLOOKUP(BK$580, Growth!$B$130:$M$170, 12, FALSE))),BJ588),"")</f>
        <v>-6.0193518749999978E-3</v>
      </c>
      <c r="BL588" s="381"/>
      <c r="BM588" s="381"/>
      <c r="BN588" s="381"/>
      <c r="BO588" s="381"/>
      <c r="BP588" s="381"/>
      <c r="BQ588" s="381"/>
      <c r="BR588" s="381"/>
      <c r="BS588" s="381"/>
      <c r="BT588" s="381"/>
      <c r="BU588" s="381"/>
    </row>
    <row r="589" spans="1:73">
      <c r="A589" s="6"/>
      <c r="B589" s="108"/>
      <c r="C589" s="1"/>
      <c r="D589" s="1"/>
      <c r="E589" s="1"/>
      <c r="F589" s="1"/>
      <c r="G589" s="3"/>
      <c r="H589" s="3"/>
      <c r="I589" s="3"/>
      <c r="J589" s="3"/>
      <c r="K589" s="3"/>
      <c r="L589" s="3"/>
      <c r="M589" s="3"/>
      <c r="N589" s="3"/>
      <c r="O589" s="1"/>
      <c r="P589" s="1"/>
      <c r="Q589" s="1"/>
      <c r="R589" s="162"/>
      <c r="S589" s="1"/>
      <c r="T589" s="103"/>
      <c r="U589" s="9" t="s">
        <v>29</v>
      </c>
      <c r="V589" s="103"/>
      <c r="W589" s="373"/>
      <c r="X589" s="98"/>
      <c r="Y589" s="98"/>
      <c r="Z589" s="98"/>
      <c r="AA589" s="98"/>
      <c r="AB589" s="98"/>
      <c r="AC589" s="98"/>
      <c r="AD589" s="98"/>
      <c r="AE589" s="98"/>
      <c r="AF589" s="98"/>
      <c r="AG589" s="98"/>
      <c r="AH589" s="98"/>
      <c r="AI589" s="98"/>
      <c r="AJ589" s="98"/>
      <c r="AK589" s="98"/>
      <c r="AL589" s="98"/>
      <c r="AM589" s="98"/>
      <c r="AN589" s="98"/>
      <c r="AO589" s="98"/>
      <c r="AP589" s="98"/>
      <c r="AQ589" s="98"/>
      <c r="AR589" s="98"/>
      <c r="AS589" s="98"/>
      <c r="AT589" s="98"/>
      <c r="AU589" s="98"/>
      <c r="AV589" s="98"/>
      <c r="AW589" s="98"/>
      <c r="AX589" s="98"/>
      <c r="AY589" s="98"/>
      <c r="AZ589" s="98"/>
      <c r="BA589" s="98"/>
      <c r="BB589" s="98"/>
      <c r="BC589" s="98"/>
      <c r="BD589" s="98"/>
      <c r="BE589" s="98"/>
      <c r="BF589" s="98"/>
      <c r="BG589" s="98"/>
      <c r="BH589" s="98"/>
      <c r="BI589" s="98"/>
      <c r="BJ589" s="98"/>
      <c r="BK589" s="98"/>
      <c r="BL589" s="99"/>
      <c r="BM589" s="99"/>
      <c r="BN589" s="99"/>
      <c r="BO589" s="99"/>
      <c r="BP589" s="99"/>
      <c r="BQ589" s="99"/>
      <c r="BR589" s="99"/>
      <c r="BS589" s="99"/>
      <c r="BT589" s="99"/>
      <c r="BU589" s="99"/>
    </row>
    <row r="590" spans="1:73">
      <c r="A590" s="6"/>
      <c r="B590" s="108"/>
      <c r="C590" s="1"/>
      <c r="D590" s="1"/>
      <c r="E590" s="1"/>
      <c r="F590" s="1"/>
      <c r="G590" s="3"/>
      <c r="H590" s="3"/>
      <c r="I590" s="3"/>
      <c r="J590" s="3"/>
      <c r="K590" s="3"/>
      <c r="L590" s="3"/>
      <c r="M590" s="3"/>
      <c r="N590" s="3"/>
      <c r="O590" s="1"/>
      <c r="P590" s="1"/>
      <c r="Q590" s="1"/>
      <c r="R590" s="162"/>
      <c r="S590" s="1"/>
      <c r="T590" s="103"/>
      <c r="U590" s="103"/>
      <c r="V590" s="103"/>
      <c r="W590" s="373"/>
      <c r="X590" s="98"/>
      <c r="Y590" s="98"/>
      <c r="Z590" s="98"/>
      <c r="AA590" s="98"/>
      <c r="AB590" s="98"/>
      <c r="AC590" s="98"/>
      <c r="AD590" s="98"/>
      <c r="AE590" s="98"/>
      <c r="AF590" s="98"/>
      <c r="AG590" s="98"/>
      <c r="AH590" s="98"/>
      <c r="AI590" s="98"/>
      <c r="AJ590" s="98"/>
      <c r="AK590" s="98"/>
      <c r="AL590" s="98"/>
      <c r="AM590" s="98"/>
      <c r="AN590" s="98"/>
      <c r="AO590" s="98"/>
      <c r="AP590" s="98"/>
      <c r="AQ590" s="98"/>
      <c r="AR590" s="98"/>
      <c r="AS590" s="98"/>
      <c r="AT590" s="98"/>
      <c r="AU590" s="98"/>
      <c r="AV590" s="98"/>
      <c r="AW590" s="98"/>
      <c r="AX590" s="98"/>
      <c r="AY590" s="98"/>
      <c r="AZ590" s="98"/>
      <c r="BA590" s="98"/>
      <c r="BB590" s="98"/>
      <c r="BC590" s="98"/>
      <c r="BD590" s="98"/>
      <c r="BE590" s="98"/>
      <c r="BF590" s="98"/>
      <c r="BG590" s="98"/>
      <c r="BH590" s="98"/>
      <c r="BI590" s="98"/>
      <c r="BJ590" s="98"/>
      <c r="BK590" s="98"/>
      <c r="BL590" s="99"/>
      <c r="BM590" s="99"/>
      <c r="BN590" s="99"/>
      <c r="BO590" s="99"/>
      <c r="BP590" s="99"/>
      <c r="BQ590" s="99"/>
      <c r="BR590" s="99"/>
      <c r="BS590" s="99"/>
      <c r="BT590" s="99"/>
      <c r="BU590" s="99"/>
    </row>
    <row r="591" spans="1:73">
      <c r="A591" s="6"/>
      <c r="B591" s="108"/>
      <c r="C591" s="1"/>
      <c r="D591" s="44" t="str">
        <f>"Inputs on: "&amp;'2.3 Input_Main_Questionnaire'!F34</f>
        <v>Inputs on: Publication</v>
      </c>
      <c r="E591" s="45"/>
      <c r="F591" s="45"/>
      <c r="G591" s="142"/>
      <c r="H591" s="142"/>
      <c r="I591" s="142"/>
      <c r="J591" s="142"/>
      <c r="K591" s="142"/>
      <c r="L591" s="142"/>
      <c r="M591" s="142"/>
      <c r="N591" s="142"/>
      <c r="O591" s="1"/>
      <c r="P591" s="1"/>
      <c r="Q591" s="1"/>
      <c r="R591" s="162"/>
      <c r="S591" s="1"/>
      <c r="T591" s="103"/>
      <c r="U591" s="103"/>
      <c r="V591" s="103"/>
      <c r="W591" s="98"/>
      <c r="X591" s="98"/>
      <c r="Y591" s="98"/>
      <c r="Z591" s="98"/>
      <c r="AA591" s="98"/>
      <c r="AB591" s="98"/>
      <c r="AC591" s="98"/>
      <c r="AD591" s="98"/>
      <c r="AE591" s="98"/>
      <c r="AF591" s="98"/>
      <c r="AG591" s="98"/>
      <c r="AH591" s="98"/>
      <c r="AI591" s="98"/>
      <c r="AJ591" s="98"/>
      <c r="AK591" s="98"/>
      <c r="AL591" s="98"/>
      <c r="AM591" s="98"/>
      <c r="AN591" s="98"/>
      <c r="AO591" s="98"/>
      <c r="AP591" s="98"/>
      <c r="AQ591" s="98"/>
      <c r="AR591" s="98"/>
      <c r="AS591" s="98"/>
      <c r="AT591" s="98"/>
      <c r="AU591" s="98"/>
      <c r="AV591" s="98"/>
      <c r="AW591" s="98"/>
      <c r="AX591" s="98"/>
      <c r="AY591" s="98"/>
      <c r="AZ591" s="98"/>
      <c r="BA591" s="98"/>
      <c r="BB591" s="98"/>
      <c r="BC591" s="98"/>
      <c r="BD591" s="98"/>
      <c r="BE591" s="98"/>
      <c r="BF591" s="98"/>
      <c r="BG591" s="98"/>
      <c r="BH591" s="98"/>
      <c r="BI591" s="98"/>
      <c r="BJ591" s="98"/>
      <c r="BK591" s="98"/>
      <c r="BL591" s="99"/>
      <c r="BM591" s="99"/>
      <c r="BN591" s="99"/>
      <c r="BO591" s="99"/>
      <c r="BP591" s="99"/>
      <c r="BQ591" s="99"/>
      <c r="BR591" s="99"/>
      <c r="BS591" s="99"/>
      <c r="BT591" s="99"/>
      <c r="BU591" s="99"/>
    </row>
    <row r="592" spans="1:73" ht="5.25" customHeight="1">
      <c r="A592" s="6"/>
      <c r="B592" s="108"/>
      <c r="C592" s="1"/>
      <c r="D592" s="12"/>
      <c r="E592" s="1"/>
      <c r="F592" s="1"/>
      <c r="G592" s="43"/>
      <c r="H592" s="43"/>
      <c r="I592" s="3"/>
      <c r="J592" s="3"/>
      <c r="K592" s="6"/>
      <c r="L592" s="6"/>
      <c r="M592" s="6"/>
      <c r="N592" s="6"/>
      <c r="O592" s="6"/>
      <c r="P592" s="6"/>
      <c r="Q592" s="6"/>
      <c r="R592" s="251"/>
      <c r="S592" s="1"/>
      <c r="T592" s="103"/>
      <c r="U592" s="103"/>
      <c r="V592" s="103"/>
      <c r="W592" s="98"/>
      <c r="X592" s="98"/>
      <c r="Y592" s="98"/>
      <c r="Z592" s="98"/>
      <c r="AA592" s="98"/>
      <c r="AB592" s="98"/>
      <c r="AC592" s="98"/>
      <c r="AD592" s="98"/>
      <c r="AE592" s="98"/>
      <c r="AF592" s="98"/>
      <c r="AG592" s="98"/>
      <c r="AH592" s="98"/>
      <c r="AI592" s="98"/>
      <c r="AJ592" s="98"/>
      <c r="AK592" s="98"/>
      <c r="AL592" s="98"/>
      <c r="AM592" s="98"/>
      <c r="AN592" s="98"/>
      <c r="AO592" s="98"/>
      <c r="AP592" s="98"/>
      <c r="AQ592" s="98"/>
      <c r="AR592" s="98"/>
      <c r="AS592" s="98"/>
      <c r="AT592" s="98"/>
      <c r="AU592" s="98"/>
      <c r="AV592" s="98"/>
      <c r="AW592" s="98"/>
      <c r="AX592" s="98"/>
      <c r="AY592" s="98"/>
      <c r="AZ592" s="98"/>
      <c r="BA592" s="98"/>
      <c r="BB592" s="98"/>
      <c r="BC592" s="98"/>
      <c r="BD592" s="98"/>
      <c r="BE592" s="98"/>
      <c r="BF592" s="98"/>
      <c r="BG592" s="98"/>
      <c r="BH592" s="98"/>
      <c r="BI592" s="98"/>
      <c r="BJ592" s="98"/>
      <c r="BK592" s="98"/>
      <c r="BL592" s="99"/>
      <c r="BM592" s="99"/>
      <c r="BN592" s="99"/>
      <c r="BO592" s="99"/>
      <c r="BP592" s="99"/>
      <c r="BQ592" s="99"/>
      <c r="BR592" s="99"/>
      <c r="BS592" s="99"/>
      <c r="BT592" s="99"/>
      <c r="BU592" s="99"/>
    </row>
    <row r="593" spans="1:73">
      <c r="A593" s="6"/>
      <c r="B593" s="108"/>
      <c r="C593" s="1"/>
      <c r="D593" s="12"/>
      <c r="E593" s="1"/>
      <c r="F593" s="1"/>
      <c r="G593" s="1176" t="s">
        <v>1056</v>
      </c>
      <c r="H593" s="1177"/>
      <c r="I593" s="97"/>
      <c r="J593" s="97"/>
      <c r="K593" s="6"/>
      <c r="L593" s="6"/>
      <c r="M593" s="6"/>
      <c r="N593" s="6"/>
      <c r="O593" s="6"/>
      <c r="P593" s="6"/>
      <c r="Q593" s="6"/>
      <c r="R593" s="251"/>
      <c r="S593" s="1"/>
      <c r="T593" s="103"/>
      <c r="U593" s="103"/>
      <c r="V593" s="103"/>
      <c r="W593" s="98"/>
      <c r="X593" s="98"/>
      <c r="Y593" s="98"/>
      <c r="Z593" s="98"/>
      <c r="AA593" s="98"/>
      <c r="AB593" s="98"/>
      <c r="AC593" s="98"/>
      <c r="AD593" s="98"/>
      <c r="AE593" s="98"/>
      <c r="AF593" s="98"/>
      <c r="AG593" s="98"/>
      <c r="AH593" s="98"/>
      <c r="AI593" s="98"/>
      <c r="AJ593" s="98"/>
      <c r="AK593" s="98"/>
      <c r="AL593" s="98"/>
      <c r="AM593" s="98"/>
      <c r="AN593" s="98"/>
      <c r="AO593" s="98"/>
      <c r="AP593" s="98"/>
      <c r="AQ593" s="98"/>
      <c r="AR593" s="98"/>
      <c r="AS593" s="98"/>
      <c r="AT593" s="98"/>
      <c r="AU593" s="98"/>
      <c r="AV593" s="98"/>
      <c r="AW593" s="98"/>
      <c r="AX593" s="98"/>
      <c r="AY593" s="98"/>
      <c r="AZ593" s="98"/>
      <c r="BA593" s="98"/>
      <c r="BB593" s="98"/>
      <c r="BC593" s="98"/>
      <c r="BD593" s="98"/>
      <c r="BE593" s="98"/>
      <c r="BF593" s="98"/>
      <c r="BG593" s="98"/>
      <c r="BH593" s="98"/>
      <c r="BI593" s="98"/>
      <c r="BJ593" s="98"/>
      <c r="BK593" s="98"/>
      <c r="BL593" s="99"/>
      <c r="BM593" s="99"/>
      <c r="BN593" s="99"/>
      <c r="BO593" s="99"/>
      <c r="BP593" s="99"/>
      <c r="BQ593" s="99"/>
      <c r="BR593" s="99"/>
      <c r="BS593" s="99"/>
      <c r="BT593" s="99"/>
      <c r="BU593" s="99"/>
    </row>
    <row r="594" spans="1:73">
      <c r="A594" s="6"/>
      <c r="B594" s="108"/>
      <c r="C594" s="1"/>
      <c r="D594" s="12"/>
      <c r="E594" s="1"/>
      <c r="F594" s="1"/>
      <c r="G594" s="66" t="str">
        <f>'2.3 Input_Main_Questionnaire'!H274</f>
        <v>Non-open</v>
      </c>
      <c r="H594" s="66" t="str">
        <f>'2.3 Input_Main_Questionnaire'!I274</f>
        <v>Open accessible</v>
      </c>
      <c r="I594" s="6"/>
      <c r="J594" s="6"/>
      <c r="K594" s="6"/>
      <c r="L594" s="6"/>
      <c r="M594" s="6"/>
      <c r="N594" s="6"/>
      <c r="O594" s="6"/>
      <c r="P594" s="6"/>
      <c r="Q594" s="1"/>
      <c r="R594" s="255"/>
      <c r="S594" s="103"/>
      <c r="T594" s="103"/>
      <c r="U594" s="99"/>
      <c r="V594" s="99"/>
      <c r="W594" s="98"/>
      <c r="X594" s="98"/>
      <c r="Y594" s="98"/>
      <c r="Z594" s="98"/>
      <c r="AA594" s="98"/>
      <c r="AB594" s="98"/>
      <c r="AC594" s="98"/>
      <c r="AD594" s="98"/>
      <c r="AE594" s="98"/>
      <c r="AF594" s="98"/>
      <c r="AG594" s="98"/>
      <c r="AH594" s="98"/>
      <c r="AI594" s="98"/>
      <c r="AJ594" s="98"/>
      <c r="AK594" s="98"/>
      <c r="AL594" s="98"/>
      <c r="AM594" s="98"/>
      <c r="AN594" s="98"/>
      <c r="AO594" s="98"/>
      <c r="AP594" s="98"/>
      <c r="AQ594" s="98"/>
      <c r="AR594" s="98"/>
      <c r="AS594" s="98"/>
      <c r="AT594" s="98"/>
      <c r="AU594" s="98"/>
      <c r="AV594" s="98"/>
      <c r="AW594" s="98"/>
      <c r="AX594" s="98"/>
      <c r="AY594" s="98"/>
      <c r="AZ594" s="98"/>
      <c r="BA594" s="98"/>
      <c r="BB594" s="98"/>
      <c r="BC594" s="98"/>
      <c r="BD594" s="98"/>
      <c r="BE594" s="98"/>
      <c r="BF594" s="98"/>
      <c r="BG594" s="98"/>
      <c r="BH594" s="98"/>
      <c r="BI594" s="98"/>
      <c r="BJ594" s="81"/>
      <c r="BK594" s="81"/>
      <c r="BL594" s="6"/>
      <c r="BM594" s="6"/>
      <c r="BN594" s="6"/>
      <c r="BO594" s="6"/>
      <c r="BP594" s="6"/>
      <c r="BQ594" s="6"/>
      <c r="BR594" s="6"/>
      <c r="BS594" s="6"/>
      <c r="BT594" s="6"/>
      <c r="BU594" s="6"/>
    </row>
    <row r="595" spans="1:73">
      <c r="A595" s="6"/>
      <c r="B595" s="108"/>
      <c r="C595" s="1"/>
      <c r="E595" s="1"/>
      <c r="F595" s="1"/>
      <c r="G595" s="50" t="str">
        <f>'2.3 Input_Main_Questionnaire'!H275</f>
        <v>Data</v>
      </c>
      <c r="H595" s="50" t="str">
        <f>'2.3 Input_Main_Questionnaire'!I275</f>
        <v>Data</v>
      </c>
      <c r="I595" s="632" t="s">
        <v>1057</v>
      </c>
      <c r="J595" s="6"/>
      <c r="K595" s="6"/>
      <c r="L595" s="6"/>
      <c r="M595" s="6"/>
      <c r="N595" s="6"/>
      <c r="O595" s="6"/>
      <c r="P595" s="6"/>
      <c r="Q595" s="1"/>
      <c r="R595" s="255"/>
      <c r="S595" s="103"/>
      <c r="T595" s="103"/>
      <c r="U595" s="99"/>
      <c r="V595" s="99"/>
      <c r="W595" s="98"/>
      <c r="X595" s="98"/>
      <c r="Y595" s="98"/>
      <c r="Z595" s="98"/>
      <c r="AA595" s="98"/>
      <c r="AB595" s="98"/>
      <c r="AC595" s="98"/>
      <c r="AD595" s="98"/>
      <c r="AE595" s="98"/>
      <c r="AF595" s="98"/>
      <c r="AG595" s="98"/>
      <c r="AH595" s="98"/>
      <c r="AI595" s="98"/>
      <c r="AJ595" s="98"/>
      <c r="AK595" s="98"/>
      <c r="AL595" s="98"/>
      <c r="AM595" s="98"/>
      <c r="AN595" s="98"/>
      <c r="AO595" s="98"/>
      <c r="AP595" s="98"/>
      <c r="AQ595" s="98"/>
      <c r="AR595" s="98"/>
      <c r="AS595" s="98"/>
      <c r="AT595" s="98"/>
      <c r="AU595" s="98"/>
      <c r="AV595" s="98"/>
      <c r="AW595" s="98"/>
      <c r="AX595" s="98"/>
      <c r="AY595" s="98"/>
      <c r="AZ595" s="98"/>
      <c r="BA595" s="98"/>
      <c r="BB595" s="98"/>
      <c r="BC595" s="98"/>
      <c r="BD595" s="98"/>
      <c r="BE595" s="98"/>
      <c r="BF595" s="98"/>
      <c r="BG595" s="98"/>
      <c r="BH595" s="98"/>
      <c r="BI595" s="98"/>
      <c r="BJ595" s="81"/>
      <c r="BK595" s="81"/>
      <c r="BL595" s="6"/>
      <c r="BM595" s="6"/>
      <c r="BN595" s="6"/>
      <c r="BO595" s="6"/>
      <c r="BP595" s="6"/>
      <c r="BQ595" s="6"/>
      <c r="BR595" s="6"/>
      <c r="BS595" s="6"/>
      <c r="BT595" s="6"/>
      <c r="BU595" s="6"/>
    </row>
    <row r="596" spans="1:73">
      <c r="A596" s="6"/>
      <c r="B596" s="108"/>
      <c r="C596" s="1"/>
      <c r="D596" s="12" t="s">
        <v>1058</v>
      </c>
      <c r="E596" s="1"/>
      <c r="F596" s="632" t="s">
        <v>1059</v>
      </c>
      <c r="G596" s="47">
        <f>'2.3 Input_Main_Questionnaire'!H276</f>
        <v>10</v>
      </c>
      <c r="H596" s="47">
        <f>'2.3 Input_Main_Questionnaire'!I276</f>
        <v>4</v>
      </c>
      <c r="I596" s="632">
        <f>SUM(G596:H596)</f>
        <v>14</v>
      </c>
      <c r="J596" s="6"/>
      <c r="K596" s="6"/>
      <c r="L596" s="6"/>
      <c r="M596" s="6"/>
      <c r="N596" s="6"/>
      <c r="O596" s="6"/>
      <c r="P596" s="6"/>
      <c r="Q596" s="1"/>
      <c r="R596" s="255"/>
      <c r="S596" s="103"/>
      <c r="T596" s="103"/>
      <c r="U596" s="99"/>
      <c r="V596" s="99"/>
      <c r="W596" s="98"/>
      <c r="X596" s="98"/>
      <c r="Y596" s="98"/>
      <c r="Z596" s="98"/>
      <c r="AA596" s="98"/>
      <c r="AB596" s="98"/>
      <c r="AC596" s="98"/>
      <c r="AD596" s="98"/>
      <c r="AE596" s="98"/>
      <c r="AF596" s="98"/>
      <c r="AG596" s="98"/>
      <c r="AH596" s="98"/>
      <c r="AI596" s="98"/>
      <c r="AJ596" s="98"/>
      <c r="AK596" s="98"/>
      <c r="AL596" s="98"/>
      <c r="AM596" s="98"/>
      <c r="AN596" s="98"/>
      <c r="AO596" s="98"/>
      <c r="AP596" s="98"/>
      <c r="AQ596" s="98"/>
      <c r="AR596" s="98"/>
      <c r="AS596" s="98"/>
      <c r="AT596" s="98"/>
      <c r="AU596" s="98"/>
      <c r="AV596" s="98"/>
      <c r="AW596" s="98"/>
      <c r="AX596" s="98"/>
      <c r="AY596" s="98"/>
      <c r="AZ596" s="98"/>
      <c r="BA596" s="98"/>
      <c r="BB596" s="98"/>
      <c r="BC596" s="98"/>
      <c r="BD596" s="98"/>
      <c r="BE596" s="98"/>
      <c r="BF596" s="98"/>
      <c r="BG596" s="98"/>
      <c r="BH596" s="98"/>
      <c r="BI596" s="98"/>
      <c r="BJ596" s="81"/>
      <c r="BK596" s="81"/>
      <c r="BL596" s="6"/>
      <c r="BM596" s="6"/>
      <c r="BN596" s="6"/>
      <c r="BO596" s="6"/>
      <c r="BP596" s="6"/>
      <c r="BQ596" s="6"/>
      <c r="BR596" s="6"/>
      <c r="BS596" s="6"/>
      <c r="BT596" s="6"/>
      <c r="BU596" s="6"/>
    </row>
    <row r="597" spans="1:73">
      <c r="A597" s="6"/>
      <c r="B597" s="108"/>
      <c r="C597" s="1"/>
      <c r="D597" s="12"/>
      <c r="E597" s="1"/>
      <c r="F597" s="632"/>
      <c r="G597" s="633">
        <f>IF(G596/I596=0,0.1%,G596/I596)</f>
        <v>0.7142857142857143</v>
      </c>
      <c r="H597" s="633">
        <f>IF(H596/I596=100%,99.99%,H596/I596)</f>
        <v>0.2857142857142857</v>
      </c>
      <c r="I597" s="3"/>
      <c r="J597" s="43"/>
      <c r="K597" s="42"/>
      <c r="L597" s="42"/>
      <c r="M597" s="42"/>
      <c r="N597" s="42"/>
      <c r="O597" s="12"/>
      <c r="P597" s="1"/>
      <c r="Q597" s="1"/>
      <c r="R597" s="162"/>
      <c r="S597" s="1"/>
      <c r="T597" s="103"/>
      <c r="U597" s="103"/>
      <c r="V597" s="103"/>
      <c r="W597" s="98"/>
      <c r="X597" s="98"/>
      <c r="Y597" s="98"/>
      <c r="Z597" s="98"/>
      <c r="AA597" s="98"/>
      <c r="AB597" s="98"/>
      <c r="AC597" s="98"/>
      <c r="AD597" s="98"/>
      <c r="AE597" s="98"/>
      <c r="AF597" s="98"/>
      <c r="AG597" s="98"/>
      <c r="AH597" s="98"/>
      <c r="AI597" s="98"/>
      <c r="AJ597" s="98"/>
      <c r="AK597" s="98"/>
      <c r="AL597" s="98"/>
      <c r="AM597" s="98"/>
      <c r="AN597" s="98"/>
      <c r="AO597" s="98"/>
      <c r="AP597" s="98"/>
      <c r="AQ597" s="98"/>
      <c r="AR597" s="98"/>
      <c r="AS597" s="98"/>
      <c r="AT597" s="98"/>
      <c r="AU597" s="98"/>
      <c r="AV597" s="98"/>
      <c r="AW597" s="98"/>
      <c r="AX597" s="98"/>
      <c r="AY597" s="98"/>
      <c r="AZ597" s="98"/>
      <c r="BA597" s="98"/>
      <c r="BB597" s="98"/>
      <c r="BC597" s="98"/>
      <c r="BD597" s="98"/>
      <c r="BE597" s="98"/>
      <c r="BF597" s="98"/>
      <c r="BG597" s="98"/>
      <c r="BH597" s="98"/>
      <c r="BI597" s="98"/>
      <c r="BJ597" s="98"/>
      <c r="BK597" s="98"/>
      <c r="BL597" s="99"/>
      <c r="BM597" s="99"/>
      <c r="BN597" s="99"/>
      <c r="BO597" s="99"/>
      <c r="BP597" s="99"/>
      <c r="BQ597" s="99"/>
      <c r="BR597" s="99"/>
      <c r="BS597" s="99"/>
      <c r="BT597" s="99"/>
      <c r="BU597" s="99"/>
    </row>
    <row r="598" spans="1:73">
      <c r="A598" s="6"/>
      <c r="B598" s="108"/>
      <c r="C598" s="1"/>
      <c r="D598" s="12"/>
      <c r="E598" s="1"/>
      <c r="F598" s="632"/>
      <c r="G598" s="1176" t="s">
        <v>1060</v>
      </c>
      <c r="H598" s="1177"/>
      <c r="I598" s="97"/>
      <c r="J598" s="97"/>
      <c r="K598" s="42"/>
      <c r="L598" s="42"/>
      <c r="M598" s="42"/>
      <c r="N598" s="42"/>
      <c r="O598" s="12"/>
      <c r="P598" s="1"/>
      <c r="Q598" s="1"/>
      <c r="R598" s="162"/>
      <c r="S598" s="1"/>
      <c r="T598" s="103"/>
      <c r="U598" s="103"/>
      <c r="V598" s="103"/>
      <c r="W598" s="98"/>
      <c r="X598" s="98"/>
      <c r="Y598" s="98"/>
      <c r="Z598" s="98"/>
      <c r="AA598" s="98"/>
      <c r="AB598" s="98"/>
      <c r="AC598" s="98"/>
      <c r="AD598" s="98"/>
      <c r="AE598" s="98"/>
      <c r="AF598" s="98"/>
      <c r="AG598" s="98"/>
      <c r="AH598" s="98"/>
      <c r="AI598" s="98"/>
      <c r="AJ598" s="98"/>
      <c r="AK598" s="98"/>
      <c r="AL598" s="98"/>
      <c r="AM598" s="98"/>
      <c r="AN598" s="98"/>
      <c r="AO598" s="98"/>
      <c r="AP598" s="98"/>
      <c r="AQ598" s="98"/>
      <c r="AR598" s="98"/>
      <c r="AS598" s="98"/>
      <c r="AT598" s="98"/>
      <c r="AU598" s="98"/>
      <c r="AV598" s="98"/>
      <c r="AW598" s="98"/>
      <c r="AX598" s="98"/>
      <c r="AY598" s="98"/>
      <c r="AZ598" s="98"/>
      <c r="BA598" s="98"/>
      <c r="BB598" s="98"/>
      <c r="BC598" s="98"/>
      <c r="BD598" s="98"/>
      <c r="BE598" s="98"/>
      <c r="BF598" s="98"/>
      <c r="BG598" s="98"/>
      <c r="BH598" s="98"/>
      <c r="BI598" s="98"/>
      <c r="BJ598" s="98"/>
      <c r="BK598" s="98"/>
      <c r="BL598" s="99"/>
      <c r="BM598" s="99"/>
      <c r="BN598" s="99"/>
      <c r="BO598" s="99"/>
      <c r="BP598" s="99"/>
      <c r="BQ598" s="99"/>
      <c r="BR598" s="99"/>
      <c r="BS598" s="99"/>
      <c r="BT598" s="99"/>
      <c r="BU598" s="99"/>
    </row>
    <row r="599" spans="1:73">
      <c r="A599" s="6"/>
      <c r="B599" s="108"/>
      <c r="C599" s="1"/>
      <c r="D599" s="12"/>
      <c r="E599" s="1"/>
      <c r="F599" s="632"/>
      <c r="G599" s="66" t="str">
        <f t="shared" ref="G599:H599" si="89">G594</f>
        <v>Non-open</v>
      </c>
      <c r="H599" s="66" t="str">
        <f t="shared" si="89"/>
        <v>Open accessible</v>
      </c>
      <c r="I599" s="42"/>
      <c r="J599" s="42"/>
      <c r="K599" s="42"/>
      <c r="L599" s="42"/>
      <c r="M599" s="12"/>
      <c r="N599" s="1"/>
      <c r="O599" s="1"/>
      <c r="P599" s="1"/>
      <c r="Q599" s="1"/>
      <c r="R599" s="255"/>
      <c r="S599" s="103"/>
      <c r="T599" s="103"/>
      <c r="U599" s="99"/>
      <c r="V599" s="99"/>
      <c r="W599" s="98"/>
      <c r="X599" s="98"/>
      <c r="Y599" s="98"/>
      <c r="Z599" s="98"/>
      <c r="AA599" s="98"/>
      <c r="AB599" s="98"/>
      <c r="AC599" s="98"/>
      <c r="AD599" s="98"/>
      <c r="AE599" s="98"/>
      <c r="AF599" s="98"/>
      <c r="AG599" s="98"/>
      <c r="AH599" s="98"/>
      <c r="AI599" s="98"/>
      <c r="AJ599" s="98"/>
      <c r="AK599" s="98"/>
      <c r="AL599" s="98"/>
      <c r="AM599" s="98"/>
      <c r="AN599" s="98"/>
      <c r="AO599" s="98"/>
      <c r="AP599" s="98"/>
      <c r="AQ599" s="98"/>
      <c r="AR599" s="98"/>
      <c r="AS599" s="98"/>
      <c r="AT599" s="98"/>
      <c r="AU599" s="98"/>
      <c r="AV599" s="98"/>
      <c r="AW599" s="98"/>
      <c r="AX599" s="98"/>
      <c r="AY599" s="98"/>
      <c r="AZ599" s="98"/>
      <c r="BA599" s="98"/>
      <c r="BB599" s="98"/>
      <c r="BC599" s="98"/>
      <c r="BD599" s="98"/>
      <c r="BE599" s="98"/>
      <c r="BF599" s="98"/>
      <c r="BG599" s="98"/>
      <c r="BH599" s="98"/>
      <c r="BI599" s="98"/>
      <c r="BJ599" s="81"/>
      <c r="BK599" s="81"/>
      <c r="BL599" s="6"/>
      <c r="BM599" s="6"/>
      <c r="BN599" s="6"/>
      <c r="BO599" s="6"/>
      <c r="BP599" s="6"/>
      <c r="BQ599" s="6"/>
      <c r="BR599" s="6"/>
      <c r="BS599" s="6"/>
      <c r="BT599" s="6"/>
      <c r="BU599" s="6"/>
    </row>
    <row r="600" spans="1:73">
      <c r="A600" s="6"/>
      <c r="B600" s="108"/>
      <c r="C600" s="1"/>
      <c r="D600" s="12"/>
      <c r="E600" s="1"/>
      <c r="F600" s="632"/>
      <c r="G600" s="50" t="str">
        <f t="shared" ref="G600:H600" si="90">G595</f>
        <v>Data</v>
      </c>
      <c r="H600" s="50" t="str">
        <f t="shared" si="90"/>
        <v>Data</v>
      </c>
      <c r="I600" s="42"/>
      <c r="J600" s="42"/>
      <c r="K600" s="42"/>
      <c r="L600" s="42"/>
      <c r="M600" s="12"/>
      <c r="N600" s="1"/>
      <c r="O600" s="1"/>
      <c r="P600" s="1"/>
      <c r="Q600" s="1"/>
      <c r="R600" s="255"/>
      <c r="S600" s="103"/>
      <c r="T600" s="103"/>
      <c r="U600" s="99"/>
      <c r="V600" s="99"/>
      <c r="W600" s="98"/>
      <c r="X600" s="98"/>
      <c r="Y600" s="98"/>
      <c r="Z600" s="98"/>
      <c r="AA600" s="98"/>
      <c r="AB600" s="98"/>
      <c r="AC600" s="98"/>
      <c r="AD600" s="98"/>
      <c r="AE600" s="98"/>
      <c r="AF600" s="98"/>
      <c r="AG600" s="98"/>
      <c r="AH600" s="98"/>
      <c r="AI600" s="98"/>
      <c r="AJ600" s="98"/>
      <c r="AK600" s="98"/>
      <c r="AL600" s="98"/>
      <c r="AM600" s="98"/>
      <c r="AN600" s="98"/>
      <c r="AO600" s="98"/>
      <c r="AP600" s="98"/>
      <c r="AQ600" s="98"/>
      <c r="AR600" s="98"/>
      <c r="AS600" s="98"/>
      <c r="AT600" s="98"/>
      <c r="AU600" s="98"/>
      <c r="AV600" s="98"/>
      <c r="AW600" s="98"/>
      <c r="AX600" s="98"/>
      <c r="AY600" s="98"/>
      <c r="AZ600" s="98"/>
      <c r="BA600" s="98"/>
      <c r="BB600" s="98"/>
      <c r="BC600" s="98"/>
      <c r="BD600" s="98"/>
      <c r="BE600" s="98"/>
      <c r="BF600" s="98"/>
      <c r="BG600" s="98"/>
      <c r="BH600" s="98"/>
      <c r="BI600" s="98"/>
      <c r="BJ600" s="81"/>
      <c r="BK600" s="81"/>
      <c r="BL600" s="6"/>
      <c r="BM600" s="6"/>
      <c r="BN600" s="6"/>
      <c r="BO600" s="6"/>
      <c r="BP600" s="6"/>
      <c r="BQ600" s="6"/>
      <c r="BR600" s="6"/>
      <c r="BS600" s="6"/>
      <c r="BT600" s="6"/>
      <c r="BU600" s="6"/>
    </row>
    <row r="601" spans="1:73">
      <c r="A601" s="6"/>
      <c r="B601" s="108"/>
      <c r="C601" s="1"/>
      <c r="D601" s="12"/>
      <c r="E601" s="1"/>
      <c r="F601" s="632" t="str">
        <f>F596</f>
        <v>publish</v>
      </c>
      <c r="G601" s="634">
        <f>IF('2.3 Input_Main_Questionnaire'!H282='2.3 Input_Main_Questionnaire'!$F$283,'2.3 Input_Main_Questionnaire'!H285,G608)</f>
        <v>2000</v>
      </c>
      <c r="H601" s="634">
        <f>IF('2.3 Input_Main_Questionnaire'!I282='2.3 Input_Main_Questionnaire'!$F$283,'2.3 Input_Main_Questionnaire'!I285,I608)</f>
        <v>750</v>
      </c>
      <c r="I601" s="42"/>
      <c r="J601" s="42"/>
      <c r="K601" s="42"/>
      <c r="L601" s="42"/>
      <c r="M601" s="12"/>
      <c r="N601" s="1"/>
      <c r="O601" s="1"/>
      <c r="P601" s="1"/>
      <c r="Q601" s="1"/>
      <c r="R601" s="255"/>
      <c r="S601" s="103"/>
      <c r="T601" s="103"/>
      <c r="U601" s="99"/>
      <c r="V601" s="99"/>
      <c r="W601" s="98"/>
      <c r="X601" s="98"/>
      <c r="Y601" s="98"/>
      <c r="Z601" s="98"/>
      <c r="AA601" s="98"/>
      <c r="AB601" s="98"/>
      <c r="AC601" s="98"/>
      <c r="AD601" s="98"/>
      <c r="AE601" s="98"/>
      <c r="AF601" s="98"/>
      <c r="AG601" s="98"/>
      <c r="AH601" s="98"/>
      <c r="AI601" s="98"/>
      <c r="AJ601" s="98"/>
      <c r="AK601" s="98"/>
      <c r="AL601" s="98"/>
      <c r="AM601" s="98"/>
      <c r="AN601" s="98"/>
      <c r="AO601" s="98"/>
      <c r="AP601" s="98"/>
      <c r="AQ601" s="98"/>
      <c r="AR601" s="98"/>
      <c r="AS601" s="98"/>
      <c r="AT601" s="98"/>
      <c r="AU601" s="98"/>
      <c r="AV601" s="98"/>
      <c r="AW601" s="98"/>
      <c r="AX601" s="98"/>
      <c r="AY601" s="98"/>
      <c r="AZ601" s="98"/>
      <c r="BA601" s="98"/>
      <c r="BB601" s="98"/>
      <c r="BC601" s="98"/>
      <c r="BD601" s="98"/>
      <c r="BE601" s="98"/>
      <c r="BF601" s="98"/>
      <c r="BG601" s="98"/>
      <c r="BH601" s="98"/>
      <c r="BI601" s="98"/>
      <c r="BJ601" s="81"/>
      <c r="BK601" s="81"/>
      <c r="BL601" s="6"/>
      <c r="BM601" s="6"/>
      <c r="BN601" s="6"/>
      <c r="BO601" s="6"/>
      <c r="BP601" s="6"/>
      <c r="BQ601" s="6"/>
      <c r="BR601" s="6"/>
      <c r="BS601" s="6"/>
      <c r="BT601" s="6"/>
      <c r="BU601" s="6"/>
    </row>
    <row r="602" spans="1:73">
      <c r="A602" s="6"/>
      <c r="B602" s="108"/>
      <c r="C602" s="1"/>
      <c r="D602" s="12"/>
      <c r="E602" s="1"/>
      <c r="F602" s="632"/>
      <c r="G602" s="43"/>
      <c r="H602" s="43"/>
      <c r="I602" s="3"/>
      <c r="J602" s="43"/>
      <c r="K602" s="42"/>
      <c r="L602" s="42"/>
      <c r="M602" s="42"/>
      <c r="N602" s="42"/>
      <c r="O602" s="12"/>
      <c r="P602" s="1"/>
      <c r="Q602" s="1"/>
      <c r="R602" s="162"/>
      <c r="S602" s="1"/>
      <c r="T602" s="103"/>
      <c r="U602" s="103"/>
      <c r="V602" s="103"/>
      <c r="W602" s="98"/>
      <c r="X602" s="98"/>
      <c r="Y602" s="98"/>
      <c r="Z602" s="98"/>
      <c r="AA602" s="98"/>
      <c r="AB602" s="98"/>
      <c r="AC602" s="98"/>
      <c r="AD602" s="98"/>
      <c r="AE602" s="98"/>
      <c r="AF602" s="98"/>
      <c r="AG602" s="98"/>
      <c r="AH602" s="98"/>
      <c r="AI602" s="98"/>
      <c r="AJ602" s="98"/>
      <c r="AK602" s="98"/>
      <c r="AL602" s="98"/>
      <c r="AM602" s="98"/>
      <c r="AN602" s="98"/>
      <c r="AO602" s="98"/>
      <c r="AP602" s="98"/>
      <c r="AQ602" s="98"/>
      <c r="AR602" s="98"/>
      <c r="AS602" s="98"/>
      <c r="AT602" s="98"/>
      <c r="AU602" s="98"/>
      <c r="AV602" s="98"/>
      <c r="AW602" s="98"/>
      <c r="AX602" s="98"/>
      <c r="AY602" s="98"/>
      <c r="AZ602" s="98"/>
      <c r="BA602" s="98"/>
      <c r="BB602" s="98"/>
      <c r="BC602" s="98"/>
      <c r="BD602" s="98"/>
      <c r="BE602" s="98"/>
      <c r="BF602" s="98"/>
      <c r="BG602" s="98"/>
      <c r="BH602" s="98"/>
      <c r="BI602" s="98"/>
      <c r="BJ602" s="98"/>
      <c r="BK602" s="98"/>
      <c r="BL602" s="99"/>
      <c r="BM602" s="99"/>
      <c r="BN602" s="99"/>
      <c r="BO602" s="99"/>
      <c r="BP602" s="99"/>
      <c r="BQ602" s="99"/>
      <c r="BR602" s="99"/>
      <c r="BS602" s="99"/>
      <c r="BT602" s="99"/>
      <c r="BU602" s="99"/>
    </row>
    <row r="603" spans="1:73">
      <c r="A603" s="6"/>
      <c r="B603" s="108"/>
      <c r="C603" s="1"/>
      <c r="D603" s="12"/>
      <c r="E603" s="1"/>
      <c r="F603" s="632"/>
      <c r="G603" s="1176" t="s">
        <v>1061</v>
      </c>
      <c r="H603" s="1177"/>
      <c r="I603" s="97"/>
      <c r="L603" s="6"/>
      <c r="M603" s="42"/>
      <c r="N603" s="42"/>
      <c r="O603" s="12"/>
      <c r="P603" s="1"/>
      <c r="Q603" s="1"/>
      <c r="R603" s="162"/>
      <c r="S603" s="1"/>
      <c r="T603" s="103"/>
      <c r="U603" s="103"/>
      <c r="V603" s="103"/>
      <c r="W603" s="98"/>
      <c r="X603" s="98"/>
      <c r="Y603" s="98"/>
      <c r="Z603" s="98"/>
      <c r="AA603" s="98"/>
      <c r="AB603" s="98"/>
      <c r="AC603" s="98"/>
      <c r="AD603" s="98"/>
      <c r="AE603" s="98"/>
      <c r="AF603" s="98"/>
      <c r="AG603" s="98"/>
      <c r="AH603" s="98"/>
      <c r="AI603" s="98"/>
      <c r="AJ603" s="98"/>
      <c r="AK603" s="98"/>
      <c r="AL603" s="98"/>
      <c r="AM603" s="98"/>
      <c r="AN603" s="98"/>
      <c r="AO603" s="98"/>
      <c r="AP603" s="98"/>
      <c r="AQ603" s="98"/>
      <c r="AR603" s="98"/>
      <c r="AS603" s="98"/>
      <c r="AT603" s="98"/>
      <c r="AU603" s="98"/>
      <c r="AV603" s="98"/>
      <c r="AW603" s="98"/>
      <c r="AX603" s="98"/>
      <c r="AY603" s="98"/>
      <c r="AZ603" s="98"/>
      <c r="BA603" s="98"/>
      <c r="BB603" s="98"/>
      <c r="BC603" s="98"/>
      <c r="BD603" s="98"/>
      <c r="BE603" s="98"/>
      <c r="BF603" s="98"/>
      <c r="BG603" s="98"/>
      <c r="BH603" s="98"/>
      <c r="BI603" s="98"/>
      <c r="BJ603" s="98"/>
      <c r="BK603" s="98"/>
      <c r="BL603" s="99"/>
      <c r="BM603" s="99"/>
      <c r="BN603" s="99"/>
      <c r="BO603" s="99"/>
      <c r="BP603" s="99"/>
      <c r="BQ603" s="99"/>
      <c r="BR603" s="99"/>
      <c r="BS603" s="99"/>
      <c r="BT603" s="99"/>
      <c r="BU603" s="99"/>
    </row>
    <row r="604" spans="1:73">
      <c r="A604" s="6"/>
      <c r="B604" s="108"/>
      <c r="C604" s="1"/>
      <c r="D604" s="12"/>
      <c r="E604" s="1"/>
      <c r="F604" s="632"/>
      <c r="G604" s="66" t="str">
        <f t="shared" ref="G604:H604" si="91">G599</f>
        <v>Non-open</v>
      </c>
      <c r="H604" s="66" t="str">
        <f t="shared" si="91"/>
        <v>Open accessible</v>
      </c>
      <c r="I604" s="1"/>
      <c r="L604" s="42"/>
      <c r="M604" s="12"/>
      <c r="N604" s="1"/>
      <c r="O604" s="1"/>
      <c r="P604" s="1"/>
      <c r="Q604" s="1"/>
      <c r="R604" s="255"/>
      <c r="S604" s="103"/>
      <c r="T604" s="103"/>
      <c r="U604" s="99"/>
      <c r="V604" s="99"/>
      <c r="W604" s="98"/>
      <c r="X604" s="98"/>
      <c r="Y604" s="98"/>
      <c r="Z604" s="98"/>
      <c r="AA604" s="98"/>
      <c r="AB604" s="98"/>
      <c r="AC604" s="98"/>
      <c r="AD604" s="98"/>
      <c r="AE604" s="98"/>
      <c r="AF604" s="98"/>
      <c r="AG604" s="98"/>
      <c r="AH604" s="98"/>
      <c r="AI604" s="98"/>
      <c r="AJ604" s="98"/>
      <c r="AK604" s="98"/>
      <c r="AL604" s="98"/>
      <c r="AM604" s="98"/>
      <c r="AN604" s="98"/>
      <c r="AO604" s="98"/>
      <c r="AP604" s="98"/>
      <c r="AQ604" s="98"/>
      <c r="AR604" s="98"/>
      <c r="AS604" s="98"/>
      <c r="AT604" s="98"/>
      <c r="AU604" s="98"/>
      <c r="AV604" s="98"/>
      <c r="AW604" s="98"/>
      <c r="AX604" s="98"/>
      <c r="AY604" s="98"/>
      <c r="AZ604" s="98"/>
      <c r="BA604" s="98"/>
      <c r="BB604" s="98"/>
      <c r="BC604" s="98"/>
      <c r="BD604" s="98"/>
      <c r="BE604" s="98"/>
      <c r="BF604" s="98"/>
      <c r="BG604" s="98"/>
      <c r="BH604" s="98"/>
      <c r="BI604" s="98"/>
      <c r="BJ604" s="81"/>
      <c r="BK604" s="81"/>
      <c r="BL604" s="6"/>
      <c r="BM604" s="6"/>
      <c r="BN604" s="6"/>
      <c r="BO604" s="6"/>
      <c r="BP604" s="6"/>
      <c r="BQ604" s="6"/>
      <c r="BR604" s="6"/>
      <c r="BS604" s="6"/>
      <c r="BT604" s="6"/>
      <c r="BU604" s="6"/>
    </row>
    <row r="605" spans="1:73">
      <c r="A605" s="6"/>
      <c r="B605" s="108"/>
      <c r="C605" s="1"/>
      <c r="D605" s="12"/>
      <c r="E605" s="1"/>
      <c r="F605" s="632"/>
      <c r="G605" s="50" t="str">
        <f t="shared" ref="G605:H605" si="92">G600</f>
        <v>Data</v>
      </c>
      <c r="H605" s="50" t="str">
        <f t="shared" si="92"/>
        <v>Data</v>
      </c>
      <c r="I605" s="6"/>
      <c r="J605" s="42"/>
      <c r="K605" s="42"/>
      <c r="L605" s="42"/>
      <c r="M605" s="12"/>
      <c r="N605" s="1"/>
      <c r="O605" s="1"/>
      <c r="P605" s="1"/>
      <c r="Q605" s="1"/>
      <c r="R605" s="255"/>
      <c r="S605" s="103"/>
      <c r="T605" s="103"/>
      <c r="U605" s="99"/>
      <c r="V605" s="99"/>
      <c r="W605" s="98"/>
      <c r="X605" s="98"/>
      <c r="Y605" s="98"/>
      <c r="Z605" s="98"/>
      <c r="AA605" s="98"/>
      <c r="AB605" s="98"/>
      <c r="AC605" s="98"/>
      <c r="AD605" s="98"/>
      <c r="AE605" s="98"/>
      <c r="AF605" s="98"/>
      <c r="AG605" s="98"/>
      <c r="AH605" s="98"/>
      <c r="AI605" s="98"/>
      <c r="AJ605" s="98"/>
      <c r="AK605" s="98"/>
      <c r="AL605" s="98"/>
      <c r="AM605" s="98"/>
      <c r="AN605" s="98"/>
      <c r="AO605" s="98"/>
      <c r="AP605" s="98"/>
      <c r="AQ605" s="98"/>
      <c r="AR605" s="98"/>
      <c r="AS605" s="98"/>
      <c r="AT605" s="98"/>
      <c r="AU605" s="98"/>
      <c r="AV605" s="98"/>
      <c r="AW605" s="98"/>
      <c r="AX605" s="98"/>
      <c r="AY605" s="98"/>
      <c r="AZ605" s="98"/>
      <c r="BA605" s="98"/>
      <c r="BB605" s="98"/>
      <c r="BC605" s="98"/>
      <c r="BD605" s="98"/>
      <c r="BE605" s="98"/>
      <c r="BF605" s="98"/>
      <c r="BG605" s="98"/>
      <c r="BH605" s="98"/>
      <c r="BI605" s="98"/>
      <c r="BJ605" s="81"/>
      <c r="BK605" s="81"/>
      <c r="BL605" s="6"/>
      <c r="BM605" s="6"/>
      <c r="BN605" s="6"/>
      <c r="BO605" s="6"/>
      <c r="BP605" s="6"/>
      <c r="BQ605" s="6"/>
      <c r="BR605" s="6"/>
      <c r="BS605" s="6"/>
      <c r="BT605" s="6"/>
      <c r="BU605" s="6"/>
    </row>
    <row r="606" spans="1:73">
      <c r="A606" s="6"/>
      <c r="B606" s="108"/>
      <c r="C606" s="1"/>
      <c r="D606" s="12"/>
      <c r="E606" s="1"/>
      <c r="F606" s="632" t="str">
        <f>F601</f>
        <v>publish</v>
      </c>
      <c r="G606" s="634">
        <f t="shared" ref="G606:H606" si="93">G601*G596</f>
        <v>20000</v>
      </c>
      <c r="H606" s="634">
        <f t="shared" si="93"/>
        <v>3000</v>
      </c>
      <c r="I606" s="1"/>
      <c r="J606" s="42"/>
      <c r="K606" s="42"/>
      <c r="L606" s="42"/>
      <c r="M606" s="12"/>
      <c r="N606" s="1"/>
      <c r="O606" s="1"/>
      <c r="P606" s="1"/>
      <c r="Q606" s="1"/>
      <c r="R606" s="255"/>
      <c r="S606" s="103"/>
      <c r="T606" s="103"/>
      <c r="U606" s="99"/>
      <c r="V606" s="99"/>
      <c r="W606" s="98"/>
      <c r="X606" s="98"/>
      <c r="Y606" s="98"/>
      <c r="Z606" s="98"/>
      <c r="AA606" s="98"/>
      <c r="AB606" s="98"/>
      <c r="AC606" s="98"/>
      <c r="AD606" s="98"/>
      <c r="AE606" s="98"/>
      <c r="AF606" s="98"/>
      <c r="AG606" s="98"/>
      <c r="AH606" s="98"/>
      <c r="AI606" s="98"/>
      <c r="AJ606" s="98"/>
      <c r="AK606" s="98"/>
      <c r="AL606" s="98"/>
      <c r="AM606" s="98"/>
      <c r="AN606" s="98"/>
      <c r="AO606" s="98"/>
      <c r="AP606" s="98"/>
      <c r="AQ606" s="98"/>
      <c r="AR606" s="98"/>
      <c r="AS606" s="98"/>
      <c r="AT606" s="98"/>
      <c r="AU606" s="98"/>
      <c r="AV606" s="98"/>
      <c r="AW606" s="98"/>
      <c r="AX606" s="98"/>
      <c r="AY606" s="98"/>
      <c r="AZ606" s="98"/>
      <c r="BA606" s="98"/>
      <c r="BB606" s="98"/>
      <c r="BC606" s="98"/>
      <c r="BD606" s="98"/>
      <c r="BE606" s="98"/>
      <c r="BF606" s="98"/>
      <c r="BG606" s="98"/>
      <c r="BH606" s="98"/>
      <c r="BI606" s="98"/>
      <c r="BJ606" s="81"/>
      <c r="BK606" s="81"/>
      <c r="BL606" s="6"/>
      <c r="BM606" s="6"/>
      <c r="BN606" s="6"/>
      <c r="BO606" s="6"/>
      <c r="BP606" s="6"/>
      <c r="BQ606" s="6"/>
      <c r="BR606" s="6"/>
      <c r="BS606" s="6"/>
      <c r="BT606" s="6"/>
      <c r="BU606" s="6"/>
    </row>
    <row r="607" spans="1:73">
      <c r="A607" s="6"/>
      <c r="B607" s="108"/>
      <c r="C607" s="1"/>
      <c r="D607" s="12"/>
      <c r="E607" s="1"/>
      <c r="F607" s="12"/>
      <c r="G607" s="43"/>
      <c r="H607" s="43"/>
      <c r="I607" s="3"/>
      <c r="J607" s="43"/>
      <c r="K607" s="42"/>
      <c r="L607" s="42"/>
      <c r="M607" s="42"/>
      <c r="N607" s="42"/>
      <c r="O607" s="12"/>
      <c r="P607" s="1"/>
      <c r="Q607" s="1"/>
      <c r="R607" s="162"/>
      <c r="S607" s="1"/>
      <c r="T607" s="103"/>
      <c r="U607" s="103"/>
      <c r="V607" s="103"/>
      <c r="W607" s="98"/>
      <c r="X607" s="98"/>
      <c r="Y607" s="98"/>
      <c r="Z607" s="98"/>
      <c r="AA607" s="98"/>
      <c r="AB607" s="98"/>
      <c r="AC607" s="98"/>
      <c r="AD607" s="98"/>
      <c r="AE607" s="98"/>
      <c r="AF607" s="98"/>
      <c r="AG607" s="98"/>
      <c r="AH607" s="98"/>
      <c r="AI607" s="98"/>
      <c r="AJ607" s="98"/>
      <c r="AK607" s="98"/>
      <c r="AL607" s="98"/>
      <c r="AM607" s="98"/>
      <c r="AN607" s="98"/>
      <c r="AO607" s="98"/>
      <c r="AP607" s="98"/>
      <c r="AQ607" s="98"/>
      <c r="AR607" s="98"/>
      <c r="AS607" s="98"/>
      <c r="AT607" s="98"/>
      <c r="AU607" s="98"/>
      <c r="AV607" s="98"/>
      <c r="AW607" s="98"/>
      <c r="AX607" s="98"/>
      <c r="AY607" s="98"/>
      <c r="AZ607" s="98"/>
      <c r="BA607" s="98"/>
      <c r="BB607" s="98"/>
      <c r="BC607" s="98"/>
      <c r="BD607" s="98"/>
      <c r="BE607" s="98"/>
      <c r="BF607" s="98"/>
      <c r="BG607" s="98"/>
      <c r="BH607" s="98"/>
      <c r="BI607" s="98"/>
      <c r="BJ607" s="98"/>
      <c r="BK607" s="98"/>
      <c r="BL607" s="99"/>
      <c r="BM607" s="99"/>
      <c r="BN607" s="99"/>
      <c r="BO607" s="99"/>
      <c r="BP607" s="99"/>
      <c r="BQ607" s="99"/>
      <c r="BR607" s="99"/>
      <c r="BS607" s="99"/>
      <c r="BT607" s="99"/>
      <c r="BU607" s="99"/>
    </row>
    <row r="608" spans="1:73">
      <c r="A608" s="6"/>
      <c r="B608" s="108"/>
      <c r="C608" s="1"/>
      <c r="D608" s="39" t="s">
        <v>1062</v>
      </c>
      <c r="E608" s="1"/>
      <c r="F608" s="12"/>
      <c r="G608" s="635">
        <f>3750*1/1.2291</f>
        <v>3051.0129362948496</v>
      </c>
      <c r="H608" s="635">
        <f>4871*1/1.2291</f>
        <v>3963.0624033845902</v>
      </c>
      <c r="I608" s="635">
        <f t="shared" ref="I608:J608" si="94">2289*1/1.2291</f>
        <v>1862.3382963143763</v>
      </c>
      <c r="J608" s="635">
        <f t="shared" si="94"/>
        <v>1862.3382963143763</v>
      </c>
      <c r="K608" s="324" t="s">
        <v>1063</v>
      </c>
      <c r="L608" s="6"/>
      <c r="M608" s="6"/>
      <c r="N608" s="1"/>
      <c r="O608" s="1"/>
      <c r="P608" s="1"/>
      <c r="Q608" s="1"/>
      <c r="R608" s="162"/>
      <c r="S608" s="6"/>
      <c r="T608" s="636"/>
      <c r="U608" s="636"/>
      <c r="V608" s="636"/>
      <c r="W608" s="98"/>
      <c r="X608" s="98"/>
      <c r="Y608" s="98"/>
      <c r="Z608" s="98"/>
      <c r="AA608" s="98"/>
      <c r="AB608" s="98"/>
      <c r="AC608" s="98"/>
      <c r="AD608" s="98"/>
      <c r="AE608" s="98"/>
      <c r="AF608" s="98"/>
      <c r="AG608" s="98"/>
      <c r="AH608" s="98"/>
      <c r="AI608" s="98"/>
      <c r="AJ608" s="98"/>
      <c r="AK608" s="98"/>
      <c r="AL608" s="98"/>
      <c r="AM608" s="98"/>
      <c r="AN608" s="98"/>
      <c r="AO608" s="98"/>
      <c r="AP608" s="98"/>
      <c r="AQ608" s="98"/>
      <c r="AR608" s="98"/>
      <c r="AS608" s="98"/>
      <c r="AT608" s="98"/>
      <c r="AU608" s="98"/>
      <c r="AV608" s="98"/>
      <c r="AW608" s="98"/>
      <c r="AX608" s="98"/>
      <c r="AY608" s="98"/>
      <c r="AZ608" s="98"/>
      <c r="BA608" s="98"/>
      <c r="BB608" s="98"/>
      <c r="BC608" s="98"/>
      <c r="BD608" s="98"/>
      <c r="BE608" s="98"/>
      <c r="BF608" s="98"/>
      <c r="BG608" s="98"/>
      <c r="BH608" s="98"/>
      <c r="BI608" s="98"/>
      <c r="BJ608" s="98"/>
      <c r="BK608" s="98"/>
      <c r="BL608" s="99"/>
      <c r="BM608" s="99"/>
      <c r="BN608" s="99"/>
      <c r="BO608" s="99"/>
      <c r="BP608" s="99"/>
      <c r="BQ608" s="99"/>
      <c r="BR608" s="99"/>
      <c r="BS608" s="99"/>
      <c r="BT608" s="99"/>
      <c r="BU608" s="99"/>
    </row>
    <row r="609" spans="1:73">
      <c r="A609" s="6"/>
      <c r="B609" s="108"/>
      <c r="C609" s="1"/>
      <c r="D609" s="12"/>
      <c r="E609" s="1"/>
      <c r="F609" s="1"/>
      <c r="G609" s="43" t="s">
        <v>1064</v>
      </c>
      <c r="H609" s="43" t="s">
        <v>1065</v>
      </c>
      <c r="I609" s="43" t="s">
        <v>1066</v>
      </c>
      <c r="J609" s="43" t="s">
        <v>1066</v>
      </c>
      <c r="K609" s="12" t="s">
        <v>1067</v>
      </c>
      <c r="L609" s="6"/>
      <c r="M609" s="6"/>
      <c r="N609" s="1"/>
      <c r="O609" s="1"/>
      <c r="P609" s="1"/>
      <c r="Q609" s="1"/>
      <c r="R609" s="162"/>
      <c r="S609" s="6"/>
      <c r="T609" s="636"/>
      <c r="U609" s="636"/>
      <c r="V609" s="636"/>
      <c r="W609" s="98"/>
      <c r="X609" s="98"/>
      <c r="Y609" s="98"/>
      <c r="Z609" s="98"/>
      <c r="AA609" s="98"/>
      <c r="AB609" s="98"/>
      <c r="AC609" s="98"/>
      <c r="AD609" s="98"/>
      <c r="AE609" s="98"/>
      <c r="AF609" s="98"/>
      <c r="AG609" s="98"/>
      <c r="AH609" s="98"/>
      <c r="AI609" s="98"/>
      <c r="AJ609" s="98"/>
      <c r="AK609" s="98"/>
      <c r="AL609" s="98"/>
      <c r="AM609" s="98"/>
      <c r="AN609" s="98"/>
      <c r="AO609" s="98"/>
      <c r="AP609" s="98"/>
      <c r="AQ609" s="98"/>
      <c r="AR609" s="98"/>
      <c r="AS609" s="98"/>
      <c r="AT609" s="98"/>
      <c r="AU609" s="98"/>
      <c r="AV609" s="98"/>
      <c r="AW609" s="98"/>
      <c r="AX609" s="98"/>
      <c r="AY609" s="98"/>
      <c r="AZ609" s="98"/>
      <c r="BA609" s="98"/>
      <c r="BB609" s="98"/>
      <c r="BC609" s="98"/>
      <c r="BD609" s="98"/>
      <c r="BE609" s="98"/>
      <c r="BF609" s="98"/>
      <c r="BG609" s="98"/>
      <c r="BH609" s="98"/>
      <c r="BI609" s="98"/>
      <c r="BJ609" s="98"/>
      <c r="BK609" s="98"/>
      <c r="BL609" s="99"/>
      <c r="BM609" s="99"/>
      <c r="BN609" s="99"/>
      <c r="BO609" s="99"/>
      <c r="BP609" s="99"/>
      <c r="BQ609" s="99"/>
      <c r="BR609" s="99"/>
      <c r="BS609" s="99"/>
      <c r="BT609" s="99"/>
      <c r="BU609" s="99"/>
    </row>
    <row r="610" spans="1:73">
      <c r="A610" s="6"/>
      <c r="B610" s="108"/>
      <c r="C610" s="1"/>
      <c r="D610" s="12"/>
      <c r="E610" s="1"/>
      <c r="F610" s="1"/>
      <c r="G610" s="43"/>
      <c r="H610" s="43"/>
      <c r="I610" s="3"/>
      <c r="J610" s="3"/>
      <c r="K610" s="3"/>
      <c r="L610" s="3"/>
      <c r="M610" s="3"/>
      <c r="N610" s="3"/>
      <c r="O610" s="1"/>
      <c r="P610" s="1"/>
      <c r="Q610" s="1"/>
      <c r="R610" s="162"/>
      <c r="S610" s="1"/>
      <c r="T610" s="103"/>
      <c r="U610" s="103"/>
      <c r="V610" s="103"/>
      <c r="W610" s="98"/>
      <c r="X610" s="98"/>
      <c r="Y610" s="98"/>
      <c r="Z610" s="98"/>
      <c r="AA610" s="98"/>
      <c r="AB610" s="98"/>
      <c r="AC610" s="98"/>
      <c r="AD610" s="98"/>
      <c r="AE610" s="98"/>
      <c r="AF610" s="98"/>
      <c r="AG610" s="98"/>
      <c r="AH610" s="98"/>
      <c r="AI610" s="98"/>
      <c r="AJ610" s="98"/>
      <c r="AK610" s="98"/>
      <c r="AL610" s="98"/>
      <c r="AM610" s="98"/>
      <c r="AN610" s="98"/>
      <c r="AO610" s="98"/>
      <c r="AP610" s="98"/>
      <c r="AQ610" s="98"/>
      <c r="AR610" s="98"/>
      <c r="AS610" s="98"/>
      <c r="AT610" s="98"/>
      <c r="AU610" s="98"/>
      <c r="AV610" s="98"/>
      <c r="AW610" s="98"/>
      <c r="AX610" s="98"/>
      <c r="AY610" s="98"/>
      <c r="AZ610" s="98"/>
      <c r="BA610" s="98"/>
      <c r="BB610" s="98"/>
      <c r="BC610" s="98"/>
      <c r="BD610" s="98"/>
      <c r="BE610" s="98"/>
      <c r="BF610" s="98"/>
      <c r="BG610" s="98"/>
      <c r="BH610" s="98"/>
      <c r="BI610" s="98"/>
      <c r="BJ610" s="98"/>
      <c r="BK610" s="98"/>
      <c r="BL610" s="99"/>
      <c r="BM610" s="99"/>
      <c r="BN610" s="99"/>
      <c r="BO610" s="99"/>
      <c r="BP610" s="99"/>
      <c r="BQ610" s="99"/>
      <c r="BR610" s="99"/>
      <c r="BS610" s="99"/>
      <c r="BT610" s="99"/>
      <c r="BU610" s="99"/>
    </row>
    <row r="611" spans="1:73">
      <c r="A611" s="6"/>
      <c r="B611" s="108"/>
      <c r="C611" s="1"/>
      <c r="D611" s="12"/>
      <c r="E611" s="1"/>
      <c r="F611" s="1"/>
      <c r="G611" s="631" t="s">
        <v>1068</v>
      </c>
      <c r="H611" s="43"/>
      <c r="I611" s="3"/>
      <c r="J611" s="3"/>
      <c r="K611" s="3"/>
      <c r="L611" s="3"/>
      <c r="M611" s="3"/>
      <c r="N611" s="3"/>
      <c r="O611" s="1"/>
      <c r="P611" s="1"/>
      <c r="Q611" s="1"/>
      <c r="R611" s="162"/>
      <c r="S611" s="1"/>
      <c r="T611" s="103"/>
      <c r="U611" s="103"/>
      <c r="V611" s="103"/>
      <c r="W611" s="98"/>
      <c r="X611" s="98"/>
      <c r="Y611" s="98"/>
      <c r="Z611" s="98"/>
      <c r="AA611" s="98"/>
      <c r="AB611" s="98"/>
      <c r="AC611" s="98"/>
      <c r="AD611" s="98"/>
      <c r="AE611" s="98"/>
      <c r="AF611" s="98"/>
      <c r="AG611" s="98"/>
      <c r="AH611" s="98"/>
      <c r="AI611" s="98"/>
      <c r="AJ611" s="98"/>
      <c r="AK611" s="98"/>
      <c r="AL611" s="98"/>
      <c r="AM611" s="98"/>
      <c r="AN611" s="98"/>
      <c r="AO611" s="98"/>
      <c r="AP611" s="98"/>
      <c r="AQ611" s="98"/>
      <c r="AR611" s="98"/>
      <c r="AS611" s="98"/>
      <c r="AT611" s="98"/>
      <c r="AU611" s="98"/>
      <c r="AV611" s="98"/>
      <c r="AW611" s="98"/>
      <c r="AX611" s="98"/>
      <c r="AY611" s="98"/>
      <c r="AZ611" s="98"/>
      <c r="BA611" s="98"/>
      <c r="BB611" s="98"/>
      <c r="BC611" s="98"/>
      <c r="BD611" s="98"/>
      <c r="BE611" s="98"/>
      <c r="BF611" s="98"/>
      <c r="BG611" s="98"/>
      <c r="BH611" s="98"/>
      <c r="BI611" s="98"/>
      <c r="BJ611" s="98"/>
      <c r="BK611" s="98"/>
      <c r="BL611" s="99"/>
      <c r="BM611" s="99"/>
      <c r="BN611" s="99"/>
      <c r="BO611" s="99"/>
      <c r="BP611" s="99"/>
      <c r="BQ611" s="99"/>
      <c r="BR611" s="99"/>
      <c r="BS611" s="99"/>
      <c r="BT611" s="99"/>
      <c r="BU611" s="99"/>
    </row>
    <row r="612" spans="1:73" ht="15.75" thickTop="1">
      <c r="A612" s="6"/>
      <c r="B612" s="108"/>
      <c r="C612" s="1"/>
      <c r="D612" s="12"/>
      <c r="E612" s="1"/>
      <c r="F612" s="1"/>
      <c r="G612" s="127">
        <f>SUM(G606:H606)</f>
        <v>23000</v>
      </c>
      <c r="H612" s="43"/>
      <c r="I612" s="3"/>
      <c r="J612" s="3"/>
      <c r="K612" s="3"/>
      <c r="L612" s="3"/>
      <c r="M612" s="3"/>
      <c r="N612" s="3"/>
      <c r="O612" s="1"/>
      <c r="P612" s="1"/>
      <c r="Q612" s="1"/>
      <c r="R612" s="162"/>
      <c r="S612" s="1"/>
      <c r="T612" s="103"/>
      <c r="U612" s="103"/>
      <c r="V612" s="103"/>
      <c r="W612" s="98"/>
      <c r="X612" s="98"/>
      <c r="Y612" s="98"/>
      <c r="Z612" s="98"/>
      <c r="AA612" s="98"/>
      <c r="AB612" s="98"/>
      <c r="AC612" s="98"/>
      <c r="AD612" s="98"/>
      <c r="AE612" s="98"/>
      <c r="AF612" s="98"/>
      <c r="AG612" s="98"/>
      <c r="AH612" s="98"/>
      <c r="AI612" s="98"/>
      <c r="AJ612" s="98"/>
      <c r="AK612" s="98"/>
      <c r="AL612" s="98"/>
      <c r="AM612" s="98"/>
      <c r="AN612" s="98"/>
      <c r="AO612" s="98"/>
      <c r="AP612" s="98"/>
      <c r="AQ612" s="98"/>
      <c r="AR612" s="98"/>
      <c r="AS612" s="98"/>
      <c r="AT612" s="98"/>
      <c r="AU612" s="98"/>
      <c r="AV612" s="98"/>
      <c r="AW612" s="98"/>
      <c r="AX612" s="98"/>
      <c r="AY612" s="98"/>
      <c r="AZ612" s="98"/>
      <c r="BA612" s="98"/>
      <c r="BB612" s="98"/>
      <c r="BC612" s="98"/>
      <c r="BD612" s="98"/>
      <c r="BE612" s="98"/>
      <c r="BF612" s="98"/>
      <c r="BG612" s="98"/>
      <c r="BH612" s="98"/>
      <c r="BI612" s="98"/>
      <c r="BJ612" s="98"/>
      <c r="BK612" s="98"/>
      <c r="BL612" s="99"/>
      <c r="BM612" s="99"/>
      <c r="BN612" s="99"/>
      <c r="BO612" s="99"/>
      <c r="BP612" s="99"/>
      <c r="BQ612" s="99"/>
      <c r="BR612" s="99"/>
      <c r="BS612" s="99"/>
      <c r="BT612" s="99"/>
      <c r="BU612" s="99"/>
    </row>
    <row r="613" spans="1:73" hidden="1">
      <c r="A613" s="6"/>
      <c r="B613" s="108"/>
      <c r="C613" s="1"/>
      <c r="D613" s="12"/>
      <c r="E613" s="1"/>
      <c r="F613" s="1"/>
      <c r="G613" s="43"/>
      <c r="H613" s="43"/>
      <c r="I613" s="3"/>
      <c r="J613" s="3"/>
      <c r="K613" s="3"/>
      <c r="L613" s="3"/>
      <c r="M613" s="3"/>
      <c r="N613" s="3"/>
      <c r="O613" s="1"/>
      <c r="P613" s="1"/>
      <c r="Q613" s="1"/>
      <c r="R613" s="162"/>
      <c r="S613" s="1"/>
      <c r="T613" s="103"/>
      <c r="U613" s="9" t="s">
        <v>5</v>
      </c>
      <c r="V613" s="103"/>
      <c r="W613" s="98"/>
      <c r="X613" s="98"/>
      <c r="Y613" s="98"/>
      <c r="Z613" s="98"/>
      <c r="AA613" s="98"/>
      <c r="AB613" s="98"/>
      <c r="AC613" s="98"/>
      <c r="AD613" s="98"/>
      <c r="AE613" s="98"/>
      <c r="AF613" s="98"/>
      <c r="AG613" s="98"/>
      <c r="AH613" s="98"/>
      <c r="AI613" s="98"/>
      <c r="AJ613" s="98"/>
      <c r="AK613" s="98"/>
      <c r="AL613" s="98"/>
      <c r="AM613" s="98"/>
      <c r="AN613" s="98"/>
      <c r="AO613" s="98"/>
      <c r="AP613" s="98"/>
      <c r="AQ613" s="98"/>
      <c r="AR613" s="98"/>
      <c r="AS613" s="98"/>
      <c r="AT613" s="98"/>
      <c r="AU613" s="98"/>
      <c r="AV613" s="98"/>
      <c r="AW613" s="98"/>
      <c r="AX613" s="98"/>
      <c r="AY613" s="98"/>
      <c r="AZ613" s="98"/>
      <c r="BA613" s="98"/>
      <c r="BB613" s="98"/>
      <c r="BC613" s="98"/>
      <c r="BD613" s="98"/>
      <c r="BE613" s="98"/>
      <c r="BF613" s="98"/>
      <c r="BG613" s="98"/>
      <c r="BH613" s="98"/>
      <c r="BI613" s="98"/>
      <c r="BJ613" s="98"/>
      <c r="BK613" s="98"/>
      <c r="BL613" s="99"/>
      <c r="BM613" s="99"/>
      <c r="BN613" s="99"/>
      <c r="BO613" s="99"/>
      <c r="BP613" s="99"/>
      <c r="BQ613" s="99"/>
      <c r="BR613" s="99"/>
      <c r="BS613" s="99"/>
      <c r="BT613" s="99"/>
      <c r="BU613" s="99"/>
    </row>
    <row r="614" spans="1:73" hidden="1">
      <c r="A614" s="6"/>
      <c r="B614" s="108"/>
      <c r="C614" s="1"/>
      <c r="D614" s="12"/>
      <c r="E614" s="1"/>
      <c r="F614" s="1"/>
      <c r="G614" s="43"/>
      <c r="H614" s="43"/>
      <c r="I614" s="3"/>
      <c r="J614" s="3"/>
      <c r="K614" s="3"/>
      <c r="L614" s="3"/>
      <c r="M614" s="3"/>
      <c r="N614" s="3"/>
      <c r="O614" s="1"/>
      <c r="P614" s="1"/>
      <c r="Q614" s="1"/>
      <c r="R614" s="162"/>
      <c r="S614" s="1"/>
      <c r="W614" s="98">
        <f t="shared" ref="W614:BK614" si="95">W9</f>
        <v>2018</v>
      </c>
      <c r="X614" s="98">
        <f t="shared" si="95"/>
        <v>2019</v>
      </c>
      <c r="Y614" s="98">
        <f t="shared" si="95"/>
        <v>2020</v>
      </c>
      <c r="Z614" s="98">
        <f t="shared" si="95"/>
        <v>2021</v>
      </c>
      <c r="AA614" s="98">
        <f t="shared" si="95"/>
        <v>2022</v>
      </c>
      <c r="AB614" s="98">
        <f t="shared" si="95"/>
        <v>2023</v>
      </c>
      <c r="AC614" s="98">
        <f t="shared" si="95"/>
        <v>2024</v>
      </c>
      <c r="AD614" s="98">
        <f t="shared" si="95"/>
        <v>2025</v>
      </c>
      <c r="AE614" s="98">
        <f t="shared" si="95"/>
        <v>2026</v>
      </c>
      <c r="AF614" s="98">
        <f t="shared" si="95"/>
        <v>2027</v>
      </c>
      <c r="AG614" s="98">
        <f t="shared" si="95"/>
        <v>2028</v>
      </c>
      <c r="AH614" s="98">
        <f t="shared" si="95"/>
        <v>2029</v>
      </c>
      <c r="AI614" s="98">
        <f t="shared" si="95"/>
        <v>2030</v>
      </c>
      <c r="AJ614" s="98">
        <f t="shared" si="95"/>
        <v>2031</v>
      </c>
      <c r="AK614" s="98">
        <f t="shared" si="95"/>
        <v>2032</v>
      </c>
      <c r="AL614" s="98">
        <f t="shared" si="95"/>
        <v>2033</v>
      </c>
      <c r="AM614" s="98">
        <f t="shared" si="95"/>
        <v>2034</v>
      </c>
      <c r="AN614" s="98">
        <f t="shared" si="95"/>
        <v>2035</v>
      </c>
      <c r="AO614" s="98">
        <f t="shared" si="95"/>
        <v>2036</v>
      </c>
      <c r="AP614" s="98">
        <f t="shared" si="95"/>
        <v>2037</v>
      </c>
      <c r="AQ614" s="98">
        <f t="shared" si="95"/>
        <v>2038</v>
      </c>
      <c r="AR614" s="98">
        <f t="shared" si="95"/>
        <v>2039</v>
      </c>
      <c r="AS614" s="98">
        <f t="shared" si="95"/>
        <v>2040</v>
      </c>
      <c r="AT614" s="98">
        <f t="shared" si="95"/>
        <v>2041</v>
      </c>
      <c r="AU614" s="98">
        <f t="shared" si="95"/>
        <v>2042</v>
      </c>
      <c r="AV614" s="98">
        <f t="shared" si="95"/>
        <v>2043</v>
      </c>
      <c r="AW614" s="98">
        <f t="shared" si="95"/>
        <v>2044</v>
      </c>
      <c r="AX614" s="98">
        <f t="shared" si="95"/>
        <v>2045</v>
      </c>
      <c r="AY614" s="98">
        <f t="shared" si="95"/>
        <v>2046</v>
      </c>
      <c r="AZ614" s="98">
        <f t="shared" si="95"/>
        <v>2047</v>
      </c>
      <c r="BA614" s="98">
        <f t="shared" si="95"/>
        <v>2048</v>
      </c>
      <c r="BB614" s="98">
        <f t="shared" si="95"/>
        <v>2049</v>
      </c>
      <c r="BC614" s="98">
        <f t="shared" si="95"/>
        <v>2050</v>
      </c>
      <c r="BD614" s="98">
        <f t="shared" si="95"/>
        <v>2051</v>
      </c>
      <c r="BE614" s="98">
        <f t="shared" si="95"/>
        <v>2052</v>
      </c>
      <c r="BF614" s="98">
        <f t="shared" si="95"/>
        <v>2053</v>
      </c>
      <c r="BG614" s="98">
        <f t="shared" si="95"/>
        <v>2054</v>
      </c>
      <c r="BH614" s="98">
        <f t="shared" si="95"/>
        <v>2055</v>
      </c>
      <c r="BI614" s="98">
        <f t="shared" si="95"/>
        <v>2056</v>
      </c>
      <c r="BJ614" s="98">
        <f t="shared" si="95"/>
        <v>2057</v>
      </c>
      <c r="BK614" s="98">
        <f t="shared" si="95"/>
        <v>2058</v>
      </c>
      <c r="BL614" s="99"/>
      <c r="BM614" s="99"/>
      <c r="BN614" s="99"/>
      <c r="BO614" s="99"/>
      <c r="BP614" s="99"/>
      <c r="BQ614" s="99"/>
      <c r="BR614" s="99"/>
      <c r="BS614" s="99"/>
      <c r="BT614" s="99"/>
      <c r="BU614" s="99"/>
    </row>
    <row r="615" spans="1:73" hidden="1">
      <c r="A615" s="6"/>
      <c r="B615" s="108"/>
      <c r="C615" s="1"/>
      <c r="D615" s="12"/>
      <c r="E615" s="1"/>
      <c r="F615" s="1"/>
      <c r="G615" s="43"/>
      <c r="H615" s="43"/>
      <c r="I615" s="3"/>
      <c r="J615" s="3"/>
      <c r="K615" s="3"/>
      <c r="L615" s="3"/>
      <c r="M615" s="3"/>
      <c r="N615" s="3"/>
      <c r="O615" s="1"/>
      <c r="P615" s="1"/>
      <c r="Q615" s="1"/>
      <c r="R615" s="162"/>
      <c r="S615" s="1"/>
      <c r="T615" s="101" t="s">
        <v>200</v>
      </c>
      <c r="U615" s="372" t="s">
        <v>289</v>
      </c>
      <c r="V615" s="103" t="str">
        <f>G604</f>
        <v>Non-open</v>
      </c>
      <c r="W615" s="637">
        <f ca="1">IF(W$614&gt;='2.2 Input_General_Information'!$H$20, VLOOKUP(W$614,Growth!$B$197:$V$237, 21, FALSE),)</f>
        <v>0.71428571428571253</v>
      </c>
      <c r="X615" s="637">
        <f ca="1">IF(X$614&gt;='2.2 Input_General_Information'!$H$20, VLOOKUP(X$614,Growth!$B$197:$V$237, 21, FALSE),)</f>
        <v>0.65996257738272002</v>
      </c>
      <c r="Y615" s="637">
        <f ca="1">IF(Y$614&gt;='2.2 Input_General_Information'!$H$20, VLOOKUP(Y$614,Growth!$B$197:$V$237, 21, FALSE),)</f>
        <v>0.60107928911748754</v>
      </c>
      <c r="Z615" s="637">
        <f ca="1">IF(Z$614&gt;='2.2 Input_General_Information'!$H$20, VLOOKUP(Z$614,Growth!$B$197:$V$237, 21, FALSE),)</f>
        <v>0.53912010541238276</v>
      </c>
      <c r="AA615" s="637">
        <f ca="1">IF(AA$614&gt;='2.2 Input_General_Information'!$H$20, VLOOKUP(AA$614,Growth!$B$197:$V$237, 21, FALSE),)</f>
        <v>0.47592802972219905</v>
      </c>
      <c r="AB615" s="637">
        <f ca="1">IF(AB$614&gt;='2.2 Input_General_Information'!$H$20, VLOOKUP(AB$614,Growth!$B$197:$V$237, 21, FALSE),)</f>
        <v>0.41349745311671821</v>
      </c>
      <c r="AC615" s="637">
        <f ca="1">IF(AC$614&gt;='2.2 Input_General_Information'!$H$20, VLOOKUP(AC$614,Growth!$B$197:$V$237, 21, FALSE),)</f>
        <v>0.35372874951045086</v>
      </c>
      <c r="AD615" s="637">
        <f ca="1">IF(AD$614&gt;='2.2 Input_General_Information'!$H$20, VLOOKUP(AD$614,Growth!$B$197:$V$237, 21, FALSE),)</f>
        <v>0.29820666559007625</v>
      </c>
      <c r="AE615" s="637">
        <f ca="1">IF(AE$614&gt;='2.2 Input_General_Information'!$H$20, VLOOKUP(AE$614,Growth!$B$197:$V$237, 21, FALSE),)</f>
        <v>0.24805447760546639</v>
      </c>
      <c r="AF615" s="637">
        <f ca="1">IF(AF$614&gt;='2.2 Input_General_Information'!$H$20, VLOOKUP(AF$614,Growth!$B$197:$V$237, 21, FALSE),)</f>
        <v>0.20388642400161927</v>
      </c>
      <c r="AG615" s="637">
        <f ca="1">IF(AG$614&gt;='2.2 Input_General_Information'!$H$20, VLOOKUP(AG$614,Growth!$B$197:$V$237, 21, FALSE),)</f>
        <v>0.16584826158911234</v>
      </c>
      <c r="AH615" s="637">
        <f ca="1">IF(AH$614&gt;='2.2 Input_General_Information'!$H$20, VLOOKUP(AH$614,Growth!$B$197:$V$237, 21, FALSE),)</f>
        <v>0.13371476417460532</v>
      </c>
      <c r="AI615" s="637">
        <f ca="1">IF(AI$614&gt;='2.2 Input_General_Information'!$H$20, VLOOKUP(AI$614,Growth!$B$197:$V$237, 21, FALSE),)</f>
        <v>0.10700851853954722</v>
      </c>
      <c r="AJ615" s="637">
        <f ca="1">IF(AJ$614&gt;='2.2 Input_General_Information'!$H$20, VLOOKUP(AJ$614,Growth!$B$197:$V$237, 21, FALSE),)</f>
        <v>8.5112135641837408E-2</v>
      </c>
      <c r="AK615" s="637">
        <f ca="1">IF(AK$614&gt;='2.2 Input_General_Information'!$H$20, VLOOKUP(AK$614,Growth!$B$197:$V$237, 21, FALSE),)</f>
        <v>6.7358288206518957E-2</v>
      </c>
      <c r="AL615" s="637">
        <f ca="1">IF(AL$614&gt;='2.2 Input_General_Information'!$H$20, VLOOKUP(AL$614,Growth!$B$197:$V$237, 21, FALSE),)</f>
        <v>5.3092867301361715E-2</v>
      </c>
      <c r="AM615" s="637">
        <f ca="1">IF(AM$614&gt;='2.2 Input_General_Information'!$H$20, VLOOKUP(AM$614,Growth!$B$197:$V$237, 21, FALSE),)</f>
        <v>4.1713510741634943E-2</v>
      </c>
      <c r="AN615" s="637">
        <f ca="1">IF(AN$614&gt;='2.2 Input_General_Information'!$H$20, VLOOKUP(AN$614,Growth!$B$197:$V$237, 21, FALSE),)</f>
        <v>3.2688887493844208E-2</v>
      </c>
      <c r="AO615" s="637">
        <f ca="1">IF(AO$614&gt;='2.2 Input_General_Information'!$H$20, VLOOKUP(AO$614,Growth!$B$197:$V$237, 21, FALSE),)</f>
        <v>2.5564634420085695E-2</v>
      </c>
      <c r="AP615" s="637">
        <f ca="1">IF(AP$614&gt;='2.2 Input_General_Information'!$H$20, VLOOKUP(AP$614,Growth!$B$197:$V$237, 21, FALSE),)</f>
        <v>1.9961008937798397E-2</v>
      </c>
      <c r="AQ615" s="637">
        <f ca="1">IF(AQ$614&gt;='2.2 Input_General_Information'!$H$20, VLOOKUP(AQ$614,Growth!$B$197:$V$237, 21, FALSE),)</f>
        <v>1.5566045827701198E-2</v>
      </c>
      <c r="AR615" s="637">
        <f ca="1">IF(AR$614&gt;='2.2 Input_General_Information'!$H$20, VLOOKUP(AR$614,Growth!$B$197:$V$237, 21, FALSE),)</f>
        <v>1.212678053287506E-2</v>
      </c>
      <c r="AS615" s="637">
        <f ca="1">IF(AS$614&gt;='2.2 Input_General_Information'!$H$20, VLOOKUP(AS$614,Growth!$B$197:$V$237, 21, FALSE),)</f>
        <v>9.4401223769595474E-3</v>
      </c>
      <c r="AT615" s="637">
        <f ca="1">IF(AT$614&gt;='2.2 Input_General_Information'!$H$20, VLOOKUP(AT$614,Growth!$B$197:$V$237, 21, FALSE),)</f>
        <v>7.3442615413311088E-3</v>
      </c>
      <c r="AU615" s="637">
        <f ca="1">IF(AU$614&gt;='2.2 Input_General_Information'!$H$20, VLOOKUP(AU$614,Growth!$B$197:$V$237, 21, FALSE),)</f>
        <v>5.7110331717802037E-3</v>
      </c>
      <c r="AV615" s="637">
        <f ca="1">IF(AV$614&gt;='2.2 Input_General_Information'!$H$20, VLOOKUP(AV$614,Growth!$B$197:$V$237, 21, FALSE),)</f>
        <v>4.439380369980964E-3</v>
      </c>
      <c r="AW615" s="637">
        <f ca="1">IF(AW$614&gt;='2.2 Input_General_Information'!$H$20, VLOOKUP(AW$614,Growth!$B$197:$V$237, 21, FALSE),)</f>
        <v>3.4498989234276341E-3</v>
      </c>
      <c r="AX615" s="637">
        <f ca="1">IF(AX$614&gt;='2.2 Input_General_Information'!$H$20, VLOOKUP(AX$614,Growth!$B$197:$V$237, 21, FALSE),)</f>
        <v>2.6803665404030968E-3</v>
      </c>
      <c r="AY615" s="637">
        <f ca="1">IF(AY$614&gt;='2.2 Input_General_Information'!$H$20, VLOOKUP(AY$614,Growth!$B$197:$V$237, 21, FALSE),)</f>
        <v>2.0821269514825378E-3</v>
      </c>
      <c r="AZ615" s="637">
        <f ca="1">IF(AZ$614&gt;='2.2 Input_General_Information'!$H$20, VLOOKUP(AZ$614,Growth!$B$197:$V$237, 21, FALSE),)</f>
        <v>1.6171938586580618E-3</v>
      </c>
      <c r="BA615" s="637">
        <f ca="1">IF(BA$614&gt;='2.2 Input_General_Information'!$H$20, VLOOKUP(BA$614,Growth!$B$197:$V$237, 21, FALSE),)</f>
        <v>1.2559483555388807E-3</v>
      </c>
      <c r="BB615" s="637">
        <f ca="1">IF(BB$614&gt;='2.2 Input_General_Information'!$H$20, VLOOKUP(BB$614,Growth!$B$197:$V$237, 21, FALSE),)</f>
        <v>9.7531831436017881E-4</v>
      </c>
      <c r="BC615" s="637">
        <f ca="1">IF(BC$614&gt;='2.2 Input_General_Information'!$H$20, VLOOKUP(BC$614,Growth!$B$197:$V$237, 21, FALSE),)</f>
        <v>7.5734491133965973E-4</v>
      </c>
      <c r="BD615" s="637">
        <f ca="1">IF(BD$614&gt;='2.2 Input_General_Information'!$H$20, VLOOKUP(BD$614,Growth!$B$197:$V$237, 21, FALSE),)</f>
        <v>5.8805760025205044E-4</v>
      </c>
      <c r="BE615" s="637">
        <f ca="1">IF(BE$614&gt;='2.2 Input_General_Information'!$H$20, VLOOKUP(BE$614,Growth!$B$197:$V$237, 21, FALSE),)</f>
        <v>4.5659334469486731E-4</v>
      </c>
      <c r="BF615" s="637">
        <f ca="1">IF(BF$614&gt;='2.2 Input_General_Information'!$H$20, VLOOKUP(BF$614,Growth!$B$197:$V$237, 21, FALSE),)</f>
        <v>3.5450838797037231E-4</v>
      </c>
      <c r="BG615" s="637">
        <f ca="1">IF(BG$614&gt;='2.2 Input_General_Information'!$H$20, VLOOKUP(BG$614,Growth!$B$197:$V$237, 21, FALSE),)</f>
        <v>2.752412598846499E-4</v>
      </c>
      <c r="BH615" s="637">
        <f ca="1">IF(BH$614&gt;='2.2 Input_General_Information'!$H$20, VLOOKUP(BH$614,Growth!$B$197:$V$237, 21, FALSE),)</f>
        <v>2.1369426094564319E-4</v>
      </c>
      <c r="BI615" s="637">
        <f ca="1">IF(BI$614&gt;='2.2 Input_General_Information'!$H$20, VLOOKUP(BI$614,Growth!$B$197:$V$237, 21, FALSE),)</f>
        <v>1.659075697584484E-4</v>
      </c>
      <c r="BJ615" s="637">
        <f ca="1">IF(BJ$614&gt;='2.2 Input_General_Information'!$H$20, VLOOKUP(BJ$614,Growth!$B$197:$V$237, 21, FALSE),)</f>
        <v>1.2880564682479984E-4</v>
      </c>
      <c r="BK615" s="637">
        <f ca="1">IF(BK$614&gt;='2.2 Input_General_Information'!$H$20, VLOOKUP(BK$614,Growth!$B$197:$V$237, 21, FALSE),)</f>
        <v>9.999999999999911E-5</v>
      </c>
      <c r="BL615" s="99"/>
      <c r="BM615" s="99"/>
      <c r="BN615" s="99"/>
      <c r="BO615" s="99"/>
      <c r="BP615" s="99"/>
      <c r="BQ615" s="99"/>
      <c r="BR615" s="99"/>
      <c r="BS615" s="99"/>
      <c r="BT615" s="99"/>
      <c r="BU615" s="99"/>
    </row>
    <row r="616" spans="1:73" hidden="1">
      <c r="A616" s="6"/>
      <c r="B616" s="108"/>
      <c r="C616" s="1"/>
      <c r="D616" s="12"/>
      <c r="E616" s="1"/>
      <c r="F616" s="1"/>
      <c r="G616" s="43"/>
      <c r="H616" s="43"/>
      <c r="I616" s="3"/>
      <c r="J616" s="3"/>
      <c r="K616" s="3"/>
      <c r="L616" s="3"/>
      <c r="M616" s="3"/>
      <c r="N616" s="3"/>
      <c r="O616" s="1"/>
      <c r="P616" s="1"/>
      <c r="Q616" s="1"/>
      <c r="R616" s="162"/>
      <c r="S616" s="1"/>
      <c r="T616" s="101"/>
      <c r="U616" s="101"/>
      <c r="V616" s="101" t="str">
        <f>H594</f>
        <v>Open accessible</v>
      </c>
      <c r="W616" s="637">
        <f t="shared" ref="W616:BK616" ca="1" si="96">1-W615</f>
        <v>0.28571428571428747</v>
      </c>
      <c r="X616" s="637">
        <f t="shared" ca="1" si="96"/>
        <v>0.34003742261727998</v>
      </c>
      <c r="Y616" s="637">
        <f t="shared" ca="1" si="96"/>
        <v>0.39892071088251246</v>
      </c>
      <c r="Z616" s="637">
        <f t="shared" ca="1" si="96"/>
        <v>0.46087989458761724</v>
      </c>
      <c r="AA616" s="637">
        <f t="shared" ca="1" si="96"/>
        <v>0.52407197027780095</v>
      </c>
      <c r="AB616" s="637">
        <f t="shared" ca="1" si="96"/>
        <v>0.58650254688328185</v>
      </c>
      <c r="AC616" s="637">
        <f t="shared" ca="1" si="96"/>
        <v>0.64627125048954914</v>
      </c>
      <c r="AD616" s="637">
        <f t="shared" ca="1" si="96"/>
        <v>0.70179333440992375</v>
      </c>
      <c r="AE616" s="637">
        <f t="shared" ca="1" si="96"/>
        <v>0.75194552239453361</v>
      </c>
      <c r="AF616" s="637">
        <f t="shared" ca="1" si="96"/>
        <v>0.79611357599838073</v>
      </c>
      <c r="AG616" s="637">
        <f t="shared" ca="1" si="96"/>
        <v>0.83415173841088763</v>
      </c>
      <c r="AH616" s="637">
        <f t="shared" ca="1" si="96"/>
        <v>0.86628523582539474</v>
      </c>
      <c r="AI616" s="637">
        <f t="shared" ca="1" si="96"/>
        <v>0.89299148146045282</v>
      </c>
      <c r="AJ616" s="637">
        <f t="shared" ca="1" si="96"/>
        <v>0.91488786435816261</v>
      </c>
      <c r="AK616" s="637">
        <f t="shared" ca="1" si="96"/>
        <v>0.9326417117934811</v>
      </c>
      <c r="AL616" s="637">
        <f t="shared" ca="1" si="96"/>
        <v>0.94690713269863824</v>
      </c>
      <c r="AM616" s="637">
        <f t="shared" ca="1" si="96"/>
        <v>0.95828648925836502</v>
      </c>
      <c r="AN616" s="637">
        <f t="shared" ca="1" si="96"/>
        <v>0.96731111250615576</v>
      </c>
      <c r="AO616" s="637">
        <f t="shared" ca="1" si="96"/>
        <v>0.97443536557991428</v>
      </c>
      <c r="AP616" s="637">
        <f t="shared" ca="1" si="96"/>
        <v>0.9800389910622016</v>
      </c>
      <c r="AQ616" s="637">
        <f t="shared" ca="1" si="96"/>
        <v>0.98443395417229884</v>
      </c>
      <c r="AR616" s="637">
        <f t="shared" ca="1" si="96"/>
        <v>0.98787321946712492</v>
      </c>
      <c r="AS616" s="637">
        <f t="shared" ca="1" si="96"/>
        <v>0.99055987762304043</v>
      </c>
      <c r="AT616" s="637">
        <f t="shared" ca="1" si="96"/>
        <v>0.99265573845866895</v>
      </c>
      <c r="AU616" s="637">
        <f t="shared" ca="1" si="96"/>
        <v>0.99428896682821977</v>
      </c>
      <c r="AV616" s="637">
        <f t="shared" ca="1" si="96"/>
        <v>0.99556061963001907</v>
      </c>
      <c r="AW616" s="637">
        <f t="shared" ca="1" si="96"/>
        <v>0.99655010107657238</v>
      </c>
      <c r="AX616" s="637">
        <f t="shared" ca="1" si="96"/>
        <v>0.99731963345959695</v>
      </c>
      <c r="AY616" s="637">
        <f t="shared" ca="1" si="96"/>
        <v>0.99791787304851742</v>
      </c>
      <c r="AZ616" s="637">
        <f t="shared" ca="1" si="96"/>
        <v>0.99838280614134189</v>
      </c>
      <c r="BA616" s="637">
        <f t="shared" ca="1" si="96"/>
        <v>0.99874405164446112</v>
      </c>
      <c r="BB616" s="637">
        <f t="shared" ca="1" si="96"/>
        <v>0.99902468168563985</v>
      </c>
      <c r="BC616" s="637">
        <f t="shared" ca="1" si="96"/>
        <v>0.99924265508866039</v>
      </c>
      <c r="BD616" s="637">
        <f t="shared" ca="1" si="96"/>
        <v>0.99941194239974795</v>
      </c>
      <c r="BE616" s="637">
        <f t="shared" ca="1" si="96"/>
        <v>0.99954340665530517</v>
      </c>
      <c r="BF616" s="637">
        <f t="shared" ca="1" si="96"/>
        <v>0.99964549161202965</v>
      </c>
      <c r="BG616" s="637">
        <f t="shared" ca="1" si="96"/>
        <v>0.99972475874011535</v>
      </c>
      <c r="BH616" s="637">
        <f t="shared" ca="1" si="96"/>
        <v>0.99978630573905436</v>
      </c>
      <c r="BI616" s="637">
        <f t="shared" ca="1" si="96"/>
        <v>0.99983409243024157</v>
      </c>
      <c r="BJ616" s="637">
        <f t="shared" ca="1" si="96"/>
        <v>0.99987119435317517</v>
      </c>
      <c r="BK616" s="637">
        <f t="shared" ca="1" si="96"/>
        <v>0.99990000000000001</v>
      </c>
      <c r="BL616" s="99"/>
      <c r="BM616" s="99"/>
      <c r="BN616" s="99"/>
      <c r="BO616" s="99"/>
      <c r="BP616" s="99"/>
      <c r="BQ616" s="99"/>
      <c r="BR616" s="99"/>
      <c r="BS616" s="99"/>
      <c r="BT616" s="99"/>
      <c r="BU616" s="99"/>
    </row>
    <row r="617" spans="1:73" hidden="1">
      <c r="A617" s="6"/>
      <c r="B617" s="108"/>
      <c r="C617" s="1"/>
      <c r="D617" s="12"/>
      <c r="E617" s="1"/>
      <c r="F617" s="1"/>
      <c r="G617" s="43"/>
      <c r="H617" s="43"/>
      <c r="I617" s="3"/>
      <c r="J617" s="3"/>
      <c r="K617" s="3"/>
      <c r="L617" s="3"/>
      <c r="M617" s="3"/>
      <c r="N617" s="3"/>
      <c r="O617" s="1"/>
      <c r="P617" s="1"/>
      <c r="Q617" s="1"/>
      <c r="R617" s="162"/>
      <c r="S617" s="1"/>
      <c r="T617" s="103"/>
      <c r="U617" s="103"/>
      <c r="V617" s="103"/>
      <c r="W617" s="98"/>
      <c r="X617" s="98"/>
      <c r="Y617" s="98"/>
      <c r="Z617" s="98"/>
      <c r="AA617" s="98"/>
      <c r="AB617" s="98"/>
      <c r="AC617" s="98"/>
      <c r="AD617" s="98"/>
      <c r="AE617" s="98"/>
      <c r="AF617" s="98"/>
      <c r="AG617" s="98"/>
      <c r="AH617" s="98"/>
      <c r="AI617" s="98"/>
      <c r="AJ617" s="98"/>
      <c r="AK617" s="98"/>
      <c r="AL617" s="98"/>
      <c r="AM617" s="98"/>
      <c r="AN617" s="98"/>
      <c r="AO617" s="98"/>
      <c r="AP617" s="98"/>
      <c r="AQ617" s="98"/>
      <c r="AR617" s="98"/>
      <c r="AS617" s="98"/>
      <c r="AT617" s="98"/>
      <c r="AU617" s="98"/>
      <c r="AV617" s="98"/>
      <c r="AW617" s="98"/>
      <c r="AX617" s="98"/>
      <c r="AY617" s="98"/>
      <c r="AZ617" s="98"/>
      <c r="BA617" s="98"/>
      <c r="BB617" s="98"/>
      <c r="BC617" s="98"/>
      <c r="BD617" s="98"/>
      <c r="BE617" s="98"/>
      <c r="BF617" s="98"/>
      <c r="BG617" s="98"/>
      <c r="BH617" s="98"/>
      <c r="BI617" s="98"/>
      <c r="BJ617" s="98"/>
      <c r="BK617" s="98"/>
      <c r="BL617" s="99"/>
      <c r="BM617" s="99"/>
      <c r="BN617" s="99"/>
      <c r="BO617" s="99"/>
      <c r="BP617" s="99"/>
      <c r="BQ617" s="99"/>
      <c r="BR617" s="99"/>
      <c r="BS617" s="99"/>
      <c r="BT617" s="99"/>
      <c r="BU617" s="99"/>
    </row>
    <row r="618" spans="1:73" hidden="1">
      <c r="A618" s="6"/>
      <c r="B618" s="108"/>
      <c r="C618" s="1"/>
      <c r="D618" s="12"/>
      <c r="E618" s="1"/>
      <c r="F618" s="1"/>
      <c r="G618" s="43"/>
      <c r="H618" s="43"/>
      <c r="I618" s="3"/>
      <c r="J618" s="3"/>
      <c r="K618" s="3"/>
      <c r="L618" s="3"/>
      <c r="M618" s="3"/>
      <c r="N618" s="3"/>
      <c r="O618" s="1"/>
      <c r="P618" s="1"/>
      <c r="Q618" s="1"/>
      <c r="R618" s="162"/>
      <c r="S618" s="1"/>
      <c r="T618" s="103"/>
      <c r="U618" s="103"/>
      <c r="V618" s="101" t="s">
        <v>1069</v>
      </c>
      <c r="W618" s="153">
        <f t="shared" ref="W618:BK618" ca="1" si="97">(W615*$G$601+W616*$H$601)*$I$596</f>
        <v>22999.999999999967</v>
      </c>
      <c r="X618" s="153">
        <f t="shared" ca="1" si="97"/>
        <v>22049.3451041976</v>
      </c>
      <c r="Y618" s="153">
        <f t="shared" ca="1" si="97"/>
        <v>21018.887559556031</v>
      </c>
      <c r="Z618" s="153">
        <f t="shared" ca="1" si="97"/>
        <v>19934.601844716697</v>
      </c>
      <c r="AA618" s="153">
        <f t="shared" ca="1" si="97"/>
        <v>18828.740520138483</v>
      </c>
      <c r="AB618" s="153">
        <f t="shared" ca="1" si="97"/>
        <v>17736.20542954257</v>
      </c>
      <c r="AC618" s="153">
        <f t="shared" ca="1" si="97"/>
        <v>16690.25311643289</v>
      </c>
      <c r="AD618" s="153">
        <f t="shared" ca="1" si="97"/>
        <v>15718.616647826333</v>
      </c>
      <c r="AE618" s="153">
        <f t="shared" ca="1" si="97"/>
        <v>14840.953358095659</v>
      </c>
      <c r="AF618" s="153">
        <f t="shared" ca="1" si="97"/>
        <v>14068.012420028337</v>
      </c>
      <c r="AG618" s="153">
        <f t="shared" ca="1" si="97"/>
        <v>13402.344577809465</v>
      </c>
      <c r="AH618" s="153">
        <f t="shared" ca="1" si="97"/>
        <v>12840.008373055594</v>
      </c>
      <c r="AI618" s="153">
        <f t="shared" ca="1" si="97"/>
        <v>12372.649074442075</v>
      </c>
      <c r="AJ618" s="153">
        <f t="shared" ca="1" si="97"/>
        <v>11989.462373732156</v>
      </c>
      <c r="AK618" s="153">
        <f t="shared" ca="1" si="97"/>
        <v>11678.770043614084</v>
      </c>
      <c r="AL618" s="153">
        <f t="shared" ca="1" si="97"/>
        <v>11429.125177773829</v>
      </c>
      <c r="AM618" s="153">
        <f t="shared" ca="1" si="97"/>
        <v>11229.986437978612</v>
      </c>
      <c r="AN618" s="153">
        <f t="shared" ca="1" si="97"/>
        <v>11072.055531142274</v>
      </c>
      <c r="AO618" s="153">
        <f t="shared" ca="1" si="97"/>
        <v>10947.381102351501</v>
      </c>
      <c r="AP618" s="153">
        <f t="shared" ca="1" si="97"/>
        <v>10849.317656411473</v>
      </c>
      <c r="AQ618" s="153">
        <f t="shared" ca="1" si="97"/>
        <v>10772.405801984773</v>
      </c>
      <c r="AR618" s="153">
        <f t="shared" ca="1" si="97"/>
        <v>10712.218659325312</v>
      </c>
      <c r="AS618" s="153">
        <f t="shared" ca="1" si="97"/>
        <v>10665.202141596792</v>
      </c>
      <c r="AT618" s="153">
        <f t="shared" ca="1" si="97"/>
        <v>10628.524576973296</v>
      </c>
      <c r="AU618" s="153">
        <f t="shared" ca="1" si="97"/>
        <v>10599.943080506153</v>
      </c>
      <c r="AV618" s="153">
        <f t="shared" ca="1" si="97"/>
        <v>10577.689156474667</v>
      </c>
      <c r="AW618" s="153">
        <f t="shared" ca="1" si="97"/>
        <v>10560.373231159983</v>
      </c>
      <c r="AX618" s="153">
        <f t="shared" ca="1" si="97"/>
        <v>10546.906414457055</v>
      </c>
      <c r="AY618" s="153">
        <f t="shared" ca="1" si="97"/>
        <v>10536.437221650946</v>
      </c>
      <c r="AZ618" s="153">
        <f t="shared" ca="1" si="97"/>
        <v>10528.300892526517</v>
      </c>
      <c r="BA618" s="153">
        <f t="shared" ca="1" si="97"/>
        <v>10521.97909622193</v>
      </c>
      <c r="BB618" s="153">
        <f t="shared" ca="1" si="97"/>
        <v>10517.068070501304</v>
      </c>
      <c r="BC618" s="153">
        <f t="shared" ca="1" si="97"/>
        <v>10513.253535948445</v>
      </c>
      <c r="BD618" s="153">
        <f t="shared" ca="1" si="97"/>
        <v>10510.291008004411</v>
      </c>
      <c r="BE618" s="153">
        <f t="shared" ca="1" si="97"/>
        <v>10507.99038353216</v>
      </c>
      <c r="BF618" s="153">
        <f t="shared" ca="1" si="97"/>
        <v>10506.203896789482</v>
      </c>
      <c r="BG618" s="153">
        <f t="shared" ca="1" si="97"/>
        <v>10504.816722047981</v>
      </c>
      <c r="BH618" s="153">
        <f t="shared" ca="1" si="97"/>
        <v>10503.739649566549</v>
      </c>
      <c r="BI618" s="153">
        <f t="shared" ca="1" si="97"/>
        <v>10502.903382470773</v>
      </c>
      <c r="BJ618" s="153">
        <f t="shared" ca="1" si="97"/>
        <v>10502.254098819432</v>
      </c>
      <c r="BK618" s="153">
        <f t="shared" ca="1" si="97"/>
        <v>10501.75</v>
      </c>
      <c r="BL618" s="99"/>
      <c r="BM618" s="99"/>
      <c r="BN618" s="99"/>
      <c r="BO618" s="99"/>
      <c r="BP618" s="99"/>
      <c r="BQ618" s="99"/>
      <c r="BR618" s="99"/>
      <c r="BS618" s="99"/>
      <c r="BT618" s="99"/>
      <c r="BU618" s="99"/>
    </row>
    <row r="619" spans="1:73" s="94" customFormat="1" hidden="1">
      <c r="A619" s="54"/>
      <c r="B619" s="583"/>
      <c r="C619" s="325"/>
      <c r="D619" s="325"/>
      <c r="E619" s="325"/>
      <c r="F619" s="325"/>
      <c r="G619" s="43"/>
      <c r="H619" s="43"/>
      <c r="I619" s="43"/>
      <c r="J619" s="43"/>
      <c r="K619" s="43"/>
      <c r="L619" s="43"/>
      <c r="M619" s="43"/>
      <c r="N619" s="43"/>
      <c r="O619" s="325"/>
      <c r="P619" s="325"/>
      <c r="Q619" s="325"/>
      <c r="R619" s="253"/>
      <c r="S619" s="325"/>
      <c r="T619" s="6"/>
      <c r="U619" s="6"/>
      <c r="V619" s="101" t="s">
        <v>1070</v>
      </c>
      <c r="W619" s="313">
        <v>0</v>
      </c>
      <c r="X619" s="153">
        <f t="shared" ref="X619:BK619" ca="1" si="98">W618-X618</f>
        <v>950.65489580236681</v>
      </c>
      <c r="Y619" s="153">
        <f t="shared" ca="1" si="98"/>
        <v>1030.4575446415693</v>
      </c>
      <c r="Z619" s="153">
        <f t="shared" ca="1" si="98"/>
        <v>1084.2857148393341</v>
      </c>
      <c r="AA619" s="153">
        <f t="shared" ca="1" si="98"/>
        <v>1105.8613245782144</v>
      </c>
      <c r="AB619" s="153">
        <f t="shared" ca="1" si="98"/>
        <v>1092.5350905959131</v>
      </c>
      <c r="AC619" s="153">
        <f t="shared" ca="1" si="98"/>
        <v>1045.9523131096794</v>
      </c>
      <c r="AD619" s="153">
        <f t="shared" ca="1" si="98"/>
        <v>971.63646860655717</v>
      </c>
      <c r="AE619" s="153">
        <f t="shared" ca="1" si="98"/>
        <v>877.66328973067357</v>
      </c>
      <c r="AF619" s="153">
        <f t="shared" ca="1" si="98"/>
        <v>772.94093806732235</v>
      </c>
      <c r="AG619" s="153">
        <f t="shared" ca="1" si="98"/>
        <v>665.66784221887247</v>
      </c>
      <c r="AH619" s="153">
        <f t="shared" ca="1" si="98"/>
        <v>562.33620475387033</v>
      </c>
      <c r="AI619" s="153">
        <f t="shared" ca="1" si="98"/>
        <v>467.35929861351906</v>
      </c>
      <c r="AJ619" s="153">
        <f t="shared" ca="1" si="98"/>
        <v>383.18670070991902</v>
      </c>
      <c r="AK619" s="153">
        <f t="shared" ca="1" si="98"/>
        <v>310.69233011807228</v>
      </c>
      <c r="AL619" s="153">
        <f t="shared" ca="1" si="98"/>
        <v>249.64486584025508</v>
      </c>
      <c r="AM619" s="153">
        <f t="shared" ca="1" si="98"/>
        <v>199.13873979521668</v>
      </c>
      <c r="AN619" s="153">
        <f t="shared" ca="1" si="98"/>
        <v>157.93090683633818</v>
      </c>
      <c r="AO619" s="153">
        <f t="shared" ca="1" si="98"/>
        <v>124.67442879077316</v>
      </c>
      <c r="AP619" s="153">
        <f t="shared" ca="1" si="98"/>
        <v>98.063445940028032</v>
      </c>
      <c r="AQ619" s="153">
        <f t="shared" ca="1" si="98"/>
        <v>76.911854426700302</v>
      </c>
      <c r="AR619" s="153">
        <f t="shared" ca="1" si="98"/>
        <v>60.187142659460733</v>
      </c>
      <c r="AS619" s="153">
        <f t="shared" ca="1" si="98"/>
        <v>47.01651772851983</v>
      </c>
      <c r="AT619" s="153">
        <f t="shared" ca="1" si="98"/>
        <v>36.677564623496437</v>
      </c>
      <c r="AU619" s="153">
        <f t="shared" ca="1" si="98"/>
        <v>28.581496467142642</v>
      </c>
      <c r="AV619" s="153">
        <f t="shared" ca="1" si="98"/>
        <v>22.25392403148544</v>
      </c>
      <c r="AW619" s="153">
        <f t="shared" ca="1" si="98"/>
        <v>17.315925314684137</v>
      </c>
      <c r="AX619" s="153">
        <f t="shared" ca="1" si="98"/>
        <v>13.466816702928554</v>
      </c>
      <c r="AY619" s="153">
        <f t="shared" ca="1" si="98"/>
        <v>10.469192806109277</v>
      </c>
      <c r="AZ619" s="153">
        <f t="shared" ca="1" si="98"/>
        <v>8.1363291244288121</v>
      </c>
      <c r="BA619" s="153">
        <f t="shared" ca="1" si="98"/>
        <v>6.3217963045863144</v>
      </c>
      <c r="BB619" s="153">
        <f t="shared" ca="1" si="98"/>
        <v>4.9110257206266397</v>
      </c>
      <c r="BC619" s="153">
        <f t="shared" ca="1" si="98"/>
        <v>3.8145345528591861</v>
      </c>
      <c r="BD619" s="153">
        <f t="shared" ca="1" si="98"/>
        <v>2.9625279440333543</v>
      </c>
      <c r="BE619" s="153">
        <f t="shared" ca="1" si="98"/>
        <v>2.3006244722510019</v>
      </c>
      <c r="BF619" s="153">
        <f t="shared" ca="1" si="98"/>
        <v>1.7864867426778801</v>
      </c>
      <c r="BG619" s="153">
        <f t="shared" ca="1" si="98"/>
        <v>1.3871747415014397</v>
      </c>
      <c r="BH619" s="153">
        <f t="shared" ca="1" si="98"/>
        <v>1.0770724814319692</v>
      </c>
      <c r="BI619" s="153">
        <f t="shared" ca="1" si="98"/>
        <v>0.83626709577583824</v>
      </c>
      <c r="BJ619" s="153">
        <f t="shared" ca="1" si="98"/>
        <v>0.64928365134073829</v>
      </c>
      <c r="BK619" s="153">
        <f t="shared" ca="1" si="98"/>
        <v>0.50409881943232904</v>
      </c>
      <c r="BL619" s="348"/>
      <c r="BM619" s="348"/>
      <c r="BN619" s="348"/>
      <c r="BO619" s="348"/>
      <c r="BP619" s="348"/>
      <c r="BQ619" s="348"/>
      <c r="BR619" s="348"/>
      <c r="BS619" s="348"/>
      <c r="BT619" s="348"/>
      <c r="BU619" s="348"/>
    </row>
    <row r="620" spans="1:73" s="94" customFormat="1">
      <c r="A620" s="54"/>
      <c r="B620" s="583"/>
      <c r="C620" s="325"/>
      <c r="D620" s="325"/>
      <c r="E620" s="325"/>
      <c r="F620" s="325"/>
      <c r="G620" s="43"/>
      <c r="H620" s="43"/>
      <c r="I620" s="43"/>
      <c r="J620" s="43"/>
      <c r="K620" s="43"/>
      <c r="L620" s="43"/>
      <c r="M620" s="43"/>
      <c r="N620" s="43"/>
      <c r="O620" s="325"/>
      <c r="P620" s="325"/>
      <c r="Q620" s="325"/>
      <c r="R620" s="253"/>
      <c r="S620" s="325"/>
      <c r="T620" s="54"/>
      <c r="U620" s="54"/>
      <c r="V620" s="647"/>
      <c r="W620" s="313"/>
      <c r="X620" s="313"/>
      <c r="Y620" s="313"/>
      <c r="Z620" s="313"/>
      <c r="AA620" s="313"/>
      <c r="AB620" s="313"/>
      <c r="AC620" s="313"/>
      <c r="AD620" s="313"/>
      <c r="AE620" s="313"/>
      <c r="AF620" s="313"/>
      <c r="AG620" s="313"/>
      <c r="AH620" s="313"/>
      <c r="AI620" s="313"/>
      <c r="AJ620" s="313"/>
      <c r="AK620" s="313"/>
      <c r="AL620" s="313"/>
      <c r="AM620" s="313"/>
      <c r="AN620" s="313"/>
      <c r="AO620" s="313"/>
      <c r="AP620" s="313"/>
      <c r="AQ620" s="313"/>
      <c r="AR620" s="313"/>
      <c r="AS620" s="313"/>
      <c r="AT620" s="313"/>
      <c r="AU620" s="313"/>
      <c r="AV620" s="313"/>
      <c r="AW620" s="313"/>
      <c r="AX620" s="313"/>
      <c r="AY620" s="313"/>
      <c r="AZ620" s="313"/>
      <c r="BA620" s="313"/>
      <c r="BB620" s="313"/>
      <c r="BC620" s="313"/>
      <c r="BD620" s="313"/>
      <c r="BE620" s="313"/>
      <c r="BF620" s="313"/>
      <c r="BG620" s="313"/>
      <c r="BH620" s="313"/>
      <c r="BI620" s="313"/>
      <c r="BJ620" s="313"/>
      <c r="BK620" s="313"/>
      <c r="BL620" s="348"/>
      <c r="BM620" s="348"/>
      <c r="BN620" s="348"/>
      <c r="BO620" s="348"/>
      <c r="BP620" s="348"/>
      <c r="BQ620" s="348"/>
      <c r="BR620" s="348"/>
      <c r="BS620" s="348"/>
      <c r="BT620" s="348"/>
      <c r="BU620" s="348"/>
    </row>
    <row r="621" spans="1:73">
      <c r="A621" s="6"/>
      <c r="B621" s="108"/>
      <c r="C621" s="1"/>
      <c r="D621" s="638" t="s">
        <v>1014</v>
      </c>
      <c r="E621" s="1"/>
      <c r="F621" s="1"/>
      <c r="G621" s="1175" t="s">
        <v>908</v>
      </c>
      <c r="H621" s="1174"/>
      <c r="I621" s="1175" t="s">
        <v>909</v>
      </c>
      <c r="J621" s="1174"/>
      <c r="K621" s="3"/>
      <c r="L621" s="3"/>
      <c r="M621" s="3"/>
      <c r="N621" s="3"/>
      <c r="O621" s="1"/>
      <c r="P621" s="1"/>
      <c r="Q621" s="1"/>
      <c r="R621" s="162"/>
      <c r="S621" s="1"/>
      <c r="BL621" s="81"/>
      <c r="BM621" s="6"/>
      <c r="BN621" s="6"/>
      <c r="BO621" s="6"/>
      <c r="BP621" s="6"/>
      <c r="BQ621" s="6"/>
      <c r="BR621" s="6"/>
      <c r="BS621" s="6"/>
      <c r="BT621" s="6"/>
      <c r="BU621" s="6"/>
    </row>
    <row r="622" spans="1:73">
      <c r="A622" s="6"/>
      <c r="B622" s="108"/>
      <c r="C622" s="1"/>
      <c r="D622" s="12" t="s">
        <v>1071</v>
      </c>
      <c r="E622" s="1"/>
      <c r="F622" s="1"/>
      <c r="G622" s="50" t="s">
        <v>246</v>
      </c>
      <c r="H622" s="50" t="s">
        <v>449</v>
      </c>
      <c r="I622" s="50" t="s">
        <v>246</v>
      </c>
      <c r="J622" s="50" t="s">
        <v>449</v>
      </c>
      <c r="K622" s="43"/>
      <c r="L622" s="3"/>
      <c r="M622" s="3"/>
      <c r="N622" s="3"/>
      <c r="O622" s="1"/>
      <c r="P622" s="1"/>
      <c r="Q622" s="1"/>
      <c r="R622" s="162"/>
      <c r="S622" s="1"/>
      <c r="T622" s="6"/>
      <c r="U622" s="6"/>
      <c r="V622" s="6"/>
      <c r="W622" s="81"/>
      <c r="X622" s="81"/>
      <c r="Y622" s="81"/>
      <c r="Z622" s="81"/>
      <c r="AA622" s="81"/>
      <c r="AB622" s="81"/>
      <c r="AC622" s="81"/>
      <c r="AD622" s="81"/>
      <c r="AE622" s="81"/>
      <c r="AF622" s="81"/>
      <c r="AG622" s="81"/>
      <c r="AH622" s="81"/>
      <c r="AI622" s="81"/>
      <c r="AJ622" s="81"/>
      <c r="AK622" s="81"/>
      <c r="AL622" s="81"/>
      <c r="AM622" s="81"/>
      <c r="AN622" s="81"/>
      <c r="AO622" s="81"/>
      <c r="AP622" s="81"/>
      <c r="AQ622" s="81"/>
      <c r="AR622" s="81"/>
      <c r="AS622" s="81"/>
      <c r="AT622" s="81"/>
      <c r="AU622" s="81"/>
      <c r="AV622" s="81"/>
      <c r="AW622" s="81"/>
      <c r="AX622" s="81"/>
      <c r="AY622" s="81"/>
      <c r="AZ622" s="81"/>
      <c r="BA622" s="81"/>
      <c r="BB622" s="81"/>
      <c r="BC622" s="81"/>
      <c r="BD622" s="81"/>
      <c r="BE622" s="81"/>
      <c r="BF622" s="81"/>
      <c r="BG622" s="81"/>
      <c r="BH622" s="81"/>
      <c r="BI622" s="81"/>
      <c r="BJ622" s="81"/>
      <c r="BK622" s="81"/>
      <c r="BL622" s="6"/>
      <c r="BM622" s="6"/>
      <c r="BN622" s="6"/>
      <c r="BO622" s="6"/>
      <c r="BP622" s="6"/>
      <c r="BQ622" s="6"/>
      <c r="BR622" s="6"/>
      <c r="BS622" s="6"/>
      <c r="BT622" s="6"/>
      <c r="BU622" s="6"/>
    </row>
    <row r="623" spans="1:73">
      <c r="A623" s="6"/>
      <c r="B623" s="108"/>
      <c r="C623" s="1"/>
      <c r="D623" s="49" t="s">
        <v>289</v>
      </c>
      <c r="E623" s="12" t="s">
        <v>1072</v>
      </c>
      <c r="F623" s="1"/>
      <c r="G623" s="408">
        <f>'2.3 Input_Main_Questionnaire'!H290</f>
        <v>0.05</v>
      </c>
      <c r="H623" s="408">
        <f>'2.3 Input_Main_Questionnaire'!I290</f>
        <v>0.2</v>
      </c>
      <c r="I623" s="639">
        <v>0</v>
      </c>
      <c r="J623" s="640">
        <f>IF(G623=0,0,H623/G623*I623)</f>
        <v>0</v>
      </c>
      <c r="K623" s="3"/>
      <c r="L623" s="3"/>
      <c r="M623" s="3"/>
      <c r="N623" s="3"/>
      <c r="O623" s="1173"/>
      <c r="P623" s="1174"/>
      <c r="Q623" s="1"/>
      <c r="R623" s="162"/>
      <c r="S623" s="1"/>
      <c r="T623" s="6"/>
      <c r="U623" s="6"/>
      <c r="V623" s="6"/>
      <c r="W623" s="81"/>
      <c r="X623" s="81"/>
      <c r="Y623" s="81"/>
      <c r="Z623" s="81"/>
      <c r="AA623" s="81"/>
      <c r="AB623" s="81"/>
      <c r="AC623" s="81"/>
      <c r="AD623" s="81"/>
      <c r="AE623" s="81"/>
      <c r="AF623" s="81"/>
      <c r="AG623" s="81"/>
      <c r="AH623" s="81"/>
      <c r="AI623" s="81"/>
      <c r="AJ623" s="81"/>
      <c r="AK623" s="81"/>
      <c r="AL623" s="81"/>
      <c r="AM623" s="81"/>
      <c r="AN623" s="81"/>
      <c r="AO623" s="81"/>
      <c r="AP623" s="81"/>
      <c r="AQ623" s="81"/>
      <c r="AR623" s="81"/>
      <c r="AS623" s="81"/>
      <c r="AT623" s="81"/>
      <c r="AU623" s="81"/>
      <c r="AV623" s="81"/>
      <c r="AW623" s="81"/>
      <c r="AX623" s="81"/>
      <c r="AY623" s="81"/>
      <c r="AZ623" s="81"/>
      <c r="BA623" s="81"/>
      <c r="BB623" s="81"/>
      <c r="BC623" s="81"/>
      <c r="BD623" s="81"/>
      <c r="BE623" s="81"/>
      <c r="BF623" s="81"/>
      <c r="BG623" s="81"/>
      <c r="BH623" s="81"/>
      <c r="BI623" s="81"/>
      <c r="BJ623" s="81"/>
      <c r="BK623" s="81"/>
      <c r="BL623" s="6"/>
      <c r="BM623" s="6"/>
      <c r="BN623" s="6"/>
      <c r="BO623" s="6"/>
      <c r="BP623" s="6"/>
      <c r="BQ623" s="6"/>
      <c r="BR623" s="6"/>
      <c r="BS623" s="6"/>
      <c r="BT623" s="6"/>
      <c r="BU623" s="6"/>
    </row>
    <row r="624" spans="1:73">
      <c r="A624" s="6"/>
      <c r="B624" s="108"/>
      <c r="C624" s="1"/>
      <c r="D624" s="49" t="s">
        <v>289</v>
      </c>
      <c r="E624" s="12" t="s">
        <v>1073</v>
      </c>
      <c r="F624" s="1"/>
      <c r="G624" s="408">
        <f>'2.3 Input_Main_Questionnaire'!H291</f>
        <v>0.15</v>
      </c>
      <c r="H624" s="408">
        <f>'2.3 Input_Main_Questionnaire'!I291</f>
        <v>0.1</v>
      </c>
      <c r="I624" s="641">
        <v>0</v>
      </c>
      <c r="J624" s="642">
        <f>IF(G624=0,0,H624/G624*I624)</f>
        <v>0</v>
      </c>
      <c r="K624" s="3"/>
      <c r="L624" s="3"/>
      <c r="M624" s="3"/>
      <c r="N624" s="3"/>
      <c r="O624" s="1173"/>
      <c r="P624" s="1174"/>
      <c r="Q624" s="1"/>
      <c r="R624" s="162"/>
      <c r="S624" s="1"/>
      <c r="T624" s="6"/>
      <c r="U624" s="6"/>
      <c r="V624" s="6"/>
      <c r="W624" s="81"/>
      <c r="X624" s="81"/>
      <c r="Y624" s="81"/>
      <c r="Z624" s="81"/>
      <c r="AA624" s="81"/>
      <c r="AB624" s="81"/>
      <c r="AC624" s="81"/>
      <c r="AD624" s="81"/>
      <c r="AE624" s="81"/>
      <c r="AF624" s="81"/>
      <c r="AG624" s="81"/>
      <c r="AH624" s="81"/>
      <c r="AI624" s="81"/>
      <c r="AJ624" s="81"/>
      <c r="AK624" s="81"/>
      <c r="AL624" s="81"/>
      <c r="AM624" s="81"/>
      <c r="AN624" s="81"/>
      <c r="AO624" s="81"/>
      <c r="AP624" s="81"/>
      <c r="AQ624" s="81"/>
      <c r="AR624" s="81"/>
      <c r="AS624" s="81"/>
      <c r="AT624" s="81"/>
      <c r="AU624" s="81"/>
      <c r="AV624" s="81"/>
      <c r="AW624" s="81"/>
      <c r="AX624" s="81"/>
      <c r="AY624" s="81"/>
      <c r="AZ624" s="81"/>
      <c r="BA624" s="81"/>
      <c r="BB624" s="81"/>
      <c r="BC624" s="81"/>
      <c r="BD624" s="81"/>
      <c r="BE624" s="81"/>
      <c r="BF624" s="81"/>
      <c r="BG624" s="81"/>
      <c r="BH624" s="81"/>
      <c r="BI624" s="81"/>
      <c r="BJ624" s="81"/>
      <c r="BK624" s="81"/>
      <c r="BL624" s="6"/>
      <c r="BM624" s="6"/>
      <c r="BN624" s="6"/>
      <c r="BO624" s="6"/>
      <c r="BP624" s="6"/>
      <c r="BQ624" s="6"/>
      <c r="BR624" s="6"/>
      <c r="BS624" s="6"/>
      <c r="BT624" s="6"/>
      <c r="BU624" s="6"/>
    </row>
    <row r="625" spans="1:73">
      <c r="A625" s="6"/>
      <c r="B625" s="108"/>
      <c r="C625" s="1"/>
      <c r="D625" s="49" t="s">
        <v>289</v>
      </c>
      <c r="E625" s="12" t="s">
        <v>1074</v>
      </c>
      <c r="F625" s="1"/>
      <c r="G625" s="408">
        <f>'2.3 Input_Main_Questionnaire'!H292</f>
        <v>0.8</v>
      </c>
      <c r="H625" s="408">
        <f>'2.3 Input_Main_Questionnaire'!I292</f>
        <v>0.2</v>
      </c>
      <c r="I625" s="643">
        <v>1</v>
      </c>
      <c r="J625" s="644">
        <f>IF(G625=0,0,H625/G625*I625)</f>
        <v>0.25</v>
      </c>
      <c r="K625" s="3"/>
      <c r="L625" s="3"/>
      <c r="M625" s="3"/>
      <c r="N625" s="3"/>
      <c r="O625" s="1173"/>
      <c r="P625" s="1174"/>
      <c r="Q625" s="1"/>
      <c r="R625" s="162"/>
      <c r="S625" s="1"/>
      <c r="T625" s="6"/>
      <c r="U625" s="6"/>
      <c r="V625" s="6"/>
      <c r="W625" s="81"/>
      <c r="X625" s="81"/>
      <c r="Y625" s="81"/>
      <c r="Z625" s="81"/>
      <c r="AA625" s="81"/>
      <c r="AB625" s="81"/>
      <c r="AC625" s="81"/>
      <c r="AD625" s="81"/>
      <c r="AE625" s="81"/>
      <c r="AF625" s="81"/>
      <c r="AG625" s="81"/>
      <c r="AH625" s="81"/>
      <c r="AI625" s="81"/>
      <c r="AJ625" s="81"/>
      <c r="AK625" s="81"/>
      <c r="AL625" s="81"/>
      <c r="AM625" s="81"/>
      <c r="AN625" s="81"/>
      <c r="AO625" s="81"/>
      <c r="AP625" s="81"/>
      <c r="AQ625" s="81"/>
      <c r="AR625" s="81"/>
      <c r="AS625" s="81"/>
      <c r="AT625" s="81"/>
      <c r="AU625" s="81"/>
      <c r="AV625" s="81"/>
      <c r="AW625" s="81"/>
      <c r="AX625" s="81"/>
      <c r="AY625" s="81"/>
      <c r="AZ625" s="81"/>
      <c r="BA625" s="81"/>
      <c r="BB625" s="81"/>
      <c r="BC625" s="81"/>
      <c r="BD625" s="81"/>
      <c r="BE625" s="81"/>
      <c r="BF625" s="81"/>
      <c r="BG625" s="81"/>
      <c r="BH625" s="81"/>
      <c r="BI625" s="81"/>
      <c r="BJ625" s="81"/>
      <c r="BK625" s="81"/>
      <c r="BL625" s="6"/>
      <c r="BM625" s="6"/>
      <c r="BN625" s="6"/>
      <c r="BO625" s="6"/>
      <c r="BP625" s="6"/>
      <c r="BQ625" s="6"/>
      <c r="BR625" s="6"/>
      <c r="BS625" s="6"/>
      <c r="BT625" s="6"/>
      <c r="BU625" s="6"/>
    </row>
    <row r="626" spans="1:73" ht="17.25" customHeight="1">
      <c r="A626" s="6"/>
      <c r="B626" s="108"/>
      <c r="C626" s="1"/>
      <c r="D626" s="25"/>
      <c r="E626" s="1"/>
      <c r="F626" s="1"/>
      <c r="G626" s="3"/>
      <c r="H626" s="3"/>
      <c r="I626" s="3"/>
      <c r="J626" s="3"/>
      <c r="K626" s="3"/>
      <c r="L626" s="3"/>
      <c r="M626" s="3"/>
      <c r="N626" s="3"/>
      <c r="O626" s="1"/>
      <c r="P626" s="1"/>
      <c r="Q626" s="1"/>
      <c r="R626" s="162"/>
      <c r="S626" s="1"/>
      <c r="T626" s="6"/>
      <c r="U626" s="6"/>
      <c r="V626" s="6"/>
      <c r="W626" s="81"/>
      <c r="X626" s="81"/>
      <c r="Y626" s="81"/>
      <c r="Z626" s="81"/>
      <c r="AA626" s="81"/>
      <c r="AB626" s="81"/>
      <c r="AC626" s="81"/>
      <c r="AD626" s="81"/>
      <c r="AE626" s="81"/>
      <c r="AF626" s="81"/>
      <c r="AG626" s="81"/>
      <c r="AH626" s="81"/>
      <c r="AI626" s="81"/>
      <c r="AJ626" s="81"/>
      <c r="AK626" s="81"/>
      <c r="AL626" s="81"/>
      <c r="AM626" s="81"/>
      <c r="AN626" s="81"/>
      <c r="AO626" s="81"/>
      <c r="AP626" s="81"/>
      <c r="AQ626" s="81"/>
      <c r="AR626" s="81"/>
      <c r="AS626" s="81"/>
      <c r="AT626" s="81"/>
      <c r="AU626" s="81"/>
      <c r="AV626" s="81"/>
      <c r="AW626" s="81"/>
      <c r="AX626" s="81"/>
      <c r="AY626" s="81"/>
      <c r="AZ626" s="81"/>
      <c r="BA626" s="81"/>
      <c r="BB626" s="81"/>
      <c r="BC626" s="81"/>
      <c r="BD626" s="81"/>
      <c r="BE626" s="81"/>
      <c r="BF626" s="81"/>
      <c r="BG626" s="81"/>
      <c r="BH626" s="81"/>
      <c r="BI626" s="81"/>
      <c r="BJ626" s="81"/>
      <c r="BK626" s="81"/>
      <c r="BL626" s="6"/>
      <c r="BM626" s="6"/>
      <c r="BN626" s="6"/>
      <c r="BO626" s="6"/>
      <c r="BP626" s="6"/>
      <c r="BQ626" s="6"/>
      <c r="BR626" s="6"/>
      <c r="BS626" s="6"/>
      <c r="BT626" s="6"/>
      <c r="BU626" s="6"/>
    </row>
    <row r="627" spans="1:73" ht="17.25" customHeight="1">
      <c r="A627" s="6"/>
      <c r="B627" s="108"/>
      <c r="C627" s="1"/>
      <c r="D627" s="638" t="s">
        <v>1019</v>
      </c>
      <c r="E627" s="1"/>
      <c r="F627" s="1"/>
      <c r="G627" s="538">
        <f>SUM(H623:H625)-SUM(J623:J625)</f>
        <v>0.25</v>
      </c>
      <c r="H627" s="3"/>
      <c r="I627" s="3"/>
      <c r="J627" s="3"/>
      <c r="K627" s="3"/>
      <c r="L627" s="3"/>
      <c r="M627" s="3"/>
      <c r="N627" s="3"/>
      <c r="O627" s="1"/>
      <c r="P627" s="1"/>
      <c r="Q627" s="1"/>
      <c r="R627" s="162"/>
      <c r="S627" s="1"/>
      <c r="T627" s="6"/>
      <c r="U627" s="6"/>
      <c r="V627" s="6"/>
      <c r="W627" s="81"/>
      <c r="X627" s="81"/>
      <c r="Y627" s="81"/>
      <c r="Z627" s="81"/>
      <c r="AA627" s="81"/>
      <c r="AB627" s="81"/>
      <c r="AC627" s="81"/>
      <c r="AD627" s="81"/>
      <c r="AE627" s="81"/>
      <c r="AF627" s="81"/>
      <c r="AG627" s="81"/>
      <c r="AH627" s="81"/>
      <c r="AI627" s="81"/>
      <c r="AJ627" s="81"/>
      <c r="AK627" s="81"/>
      <c r="AL627" s="81"/>
      <c r="AM627" s="81"/>
      <c r="AN627" s="81"/>
      <c r="AO627" s="81"/>
      <c r="AP627" s="81"/>
      <c r="AQ627" s="81"/>
      <c r="AR627" s="81"/>
      <c r="AS627" s="81"/>
      <c r="AT627" s="81"/>
      <c r="AU627" s="81"/>
      <c r="AV627" s="81"/>
      <c r="AW627" s="81"/>
      <c r="AX627" s="81"/>
      <c r="AY627" s="81"/>
      <c r="AZ627" s="81"/>
      <c r="BA627" s="81"/>
      <c r="BB627" s="81"/>
      <c r="BC627" s="81"/>
      <c r="BD627" s="81"/>
      <c r="BE627" s="81"/>
      <c r="BF627" s="81"/>
      <c r="BG627" s="81"/>
      <c r="BH627" s="81"/>
      <c r="BI627" s="81"/>
      <c r="BJ627" s="81"/>
      <c r="BK627" s="81"/>
      <c r="BL627" s="6"/>
      <c r="BM627" s="6"/>
      <c r="BN627" s="6"/>
      <c r="BO627" s="6"/>
      <c r="BP627" s="6"/>
      <c r="BQ627" s="6"/>
      <c r="BR627" s="6"/>
      <c r="BS627" s="6"/>
      <c r="BT627" s="6"/>
      <c r="BU627" s="6"/>
    </row>
    <row r="628" spans="1:73" ht="17.25" customHeight="1">
      <c r="A628" s="6"/>
      <c r="B628" s="577"/>
      <c r="C628" s="578"/>
      <c r="D628" s="12"/>
      <c r="E628" s="1"/>
      <c r="F628" s="1"/>
      <c r="G628" s="3"/>
      <c r="H628" s="3"/>
      <c r="I628" s="3"/>
      <c r="J628" s="3"/>
      <c r="K628" s="3"/>
      <c r="L628" s="3"/>
      <c r="M628" s="3"/>
      <c r="N628" s="3"/>
      <c r="O628" s="1"/>
      <c r="P628" s="1"/>
      <c r="Q628" s="1"/>
      <c r="R628" s="162"/>
      <c r="S628" s="1"/>
      <c r="T628" s="103"/>
      <c r="U628" s="103"/>
      <c r="V628" s="103"/>
      <c r="W628" s="98"/>
      <c r="X628" s="98"/>
      <c r="Y628" s="98"/>
      <c r="Z628" s="98"/>
      <c r="AA628" s="98"/>
      <c r="AB628" s="98"/>
      <c r="AC628" s="98"/>
      <c r="AD628" s="98"/>
      <c r="AE628" s="98"/>
      <c r="AF628" s="98"/>
      <c r="AG628" s="98"/>
      <c r="AH628" s="98"/>
      <c r="AI628" s="98"/>
      <c r="AJ628" s="98"/>
      <c r="AK628" s="98"/>
      <c r="AL628" s="98"/>
      <c r="AM628" s="98"/>
      <c r="AN628" s="98"/>
      <c r="AO628" s="98"/>
      <c r="AP628" s="98"/>
      <c r="AQ628" s="98"/>
      <c r="AR628" s="98"/>
      <c r="AS628" s="98"/>
      <c r="AT628" s="98"/>
      <c r="AU628" s="98"/>
      <c r="AV628" s="98"/>
      <c r="AW628" s="98"/>
      <c r="AX628" s="98"/>
      <c r="AY628" s="98"/>
      <c r="AZ628" s="98"/>
      <c r="BA628" s="98"/>
      <c r="BB628" s="98"/>
      <c r="BC628" s="98"/>
      <c r="BD628" s="98"/>
      <c r="BE628" s="98"/>
      <c r="BF628" s="98"/>
      <c r="BG628" s="98"/>
      <c r="BH628" s="98"/>
      <c r="BI628" s="98"/>
      <c r="BJ628" s="98"/>
      <c r="BK628" s="98"/>
      <c r="BL628" s="99"/>
      <c r="BM628" s="99"/>
      <c r="BN628" s="99"/>
      <c r="BO628" s="99"/>
      <c r="BP628" s="99"/>
      <c r="BQ628" s="99"/>
      <c r="BR628" s="99"/>
      <c r="BS628" s="99"/>
      <c r="BT628" s="99"/>
      <c r="BU628" s="99"/>
    </row>
    <row r="629" spans="1:73" ht="17.25" customHeight="1">
      <c r="A629" s="6"/>
      <c r="B629" s="577"/>
      <c r="C629" s="578"/>
      <c r="D629" s="12"/>
      <c r="E629" s="1"/>
      <c r="F629" s="1"/>
      <c r="G629" s="3"/>
      <c r="H629" s="3"/>
      <c r="I629" s="3"/>
      <c r="J629" s="3"/>
      <c r="K629" s="3"/>
      <c r="L629" s="3"/>
      <c r="M629" s="3"/>
      <c r="N629" s="3"/>
      <c r="O629" s="1"/>
      <c r="P629" s="1"/>
      <c r="Q629" s="1"/>
      <c r="R629" s="162"/>
      <c r="S629" s="1"/>
      <c r="T629" s="103"/>
      <c r="U629" s="9" t="s">
        <v>5</v>
      </c>
      <c r="V629" s="103"/>
      <c r="W629" s="98"/>
      <c r="X629" s="98"/>
      <c r="Y629" s="98"/>
      <c r="Z629" s="98"/>
      <c r="AA629" s="98"/>
      <c r="AB629" s="98"/>
      <c r="AC629" s="98"/>
      <c r="AD629" s="98"/>
      <c r="AE629" s="98"/>
      <c r="AF629" s="98"/>
      <c r="AG629" s="98"/>
      <c r="AH629" s="98"/>
      <c r="AI629" s="98"/>
      <c r="AJ629" s="98"/>
      <c r="AK629" s="98"/>
      <c r="AL629" s="98"/>
      <c r="AM629" s="98"/>
      <c r="AN629" s="98"/>
      <c r="AO629" s="98"/>
      <c r="AP629" s="98"/>
      <c r="AQ629" s="98"/>
      <c r="AR629" s="98"/>
      <c r="AS629" s="98"/>
      <c r="AT629" s="98"/>
      <c r="AU629" s="98"/>
      <c r="AV629" s="98"/>
      <c r="AW629" s="98"/>
      <c r="AX629" s="98"/>
      <c r="AY629" s="98"/>
      <c r="AZ629" s="98"/>
      <c r="BA629" s="98"/>
      <c r="BB629" s="98"/>
      <c r="BC629" s="98"/>
      <c r="BD629" s="98"/>
      <c r="BE629" s="98"/>
      <c r="BF629" s="98"/>
      <c r="BG629" s="98"/>
      <c r="BH629" s="98"/>
      <c r="BI629" s="98"/>
      <c r="BJ629" s="98"/>
      <c r="BK629" s="98"/>
      <c r="BL629" s="99"/>
      <c r="BM629" s="99"/>
      <c r="BN629" s="99"/>
      <c r="BO629" s="99"/>
      <c r="BP629" s="99"/>
      <c r="BQ629" s="99"/>
      <c r="BR629" s="99"/>
      <c r="BS629" s="99"/>
      <c r="BT629" s="99"/>
      <c r="BU629" s="99"/>
    </row>
    <row r="630" spans="1:73" ht="17.25" customHeight="1">
      <c r="A630" s="6"/>
      <c r="B630" s="577"/>
      <c r="C630" s="578"/>
      <c r="D630" s="12"/>
      <c r="E630" s="1"/>
      <c r="F630" s="1"/>
      <c r="G630" s="3"/>
      <c r="H630" s="3"/>
      <c r="I630" s="3"/>
      <c r="J630" s="3"/>
      <c r="K630" s="3"/>
      <c r="L630" s="3"/>
      <c r="M630" s="3"/>
      <c r="N630" s="3"/>
      <c r="O630" s="1"/>
      <c r="P630" s="1"/>
      <c r="Q630" s="1"/>
      <c r="R630" s="162"/>
      <c r="S630" s="1"/>
      <c r="T630" s="103"/>
      <c r="U630" s="103"/>
      <c r="V630" s="103" t="str">
        <f>D621</f>
        <v>Time change due to FAIR</v>
      </c>
      <c r="W630" s="98"/>
      <c r="X630" s="98"/>
      <c r="Y630" s="98"/>
      <c r="Z630" s="98"/>
      <c r="AA630" s="98"/>
      <c r="AB630" s="98"/>
      <c r="AC630" s="98"/>
      <c r="AD630" s="98"/>
      <c r="AE630" s="98"/>
      <c r="AF630" s="98"/>
      <c r="AG630" s="98"/>
      <c r="AH630" s="98"/>
      <c r="AI630" s="98"/>
      <c r="AJ630" s="98"/>
      <c r="AK630" s="98"/>
      <c r="AL630" s="98"/>
      <c r="AM630" s="98"/>
      <c r="AN630" s="98"/>
      <c r="AO630" s="98"/>
      <c r="AP630" s="98"/>
      <c r="AQ630" s="98"/>
      <c r="AR630" s="98"/>
      <c r="AS630" s="98"/>
      <c r="AT630" s="98"/>
      <c r="AU630" s="98"/>
      <c r="AV630" s="98"/>
      <c r="AW630" s="98"/>
      <c r="AX630" s="98"/>
      <c r="AY630" s="98"/>
      <c r="AZ630" s="98"/>
      <c r="BA630" s="98"/>
      <c r="BB630" s="98"/>
      <c r="BC630" s="98"/>
      <c r="BD630" s="98"/>
      <c r="BE630" s="98"/>
      <c r="BF630" s="98"/>
      <c r="BG630" s="98"/>
      <c r="BH630" s="98"/>
      <c r="BI630" s="98"/>
      <c r="BJ630" s="98"/>
      <c r="BK630" s="98"/>
      <c r="BL630" s="99"/>
      <c r="BM630" s="99"/>
      <c r="BN630" s="99"/>
      <c r="BO630" s="99"/>
      <c r="BP630" s="99"/>
      <c r="BQ630" s="99"/>
      <c r="BR630" s="99"/>
      <c r="BS630" s="99"/>
      <c r="BT630" s="99"/>
      <c r="BU630" s="99"/>
    </row>
    <row r="631" spans="1:73" ht="17.25" customHeight="1">
      <c r="A631" s="6"/>
      <c r="B631" s="577"/>
      <c r="C631" s="578"/>
      <c r="D631" s="12"/>
      <c r="E631" s="1"/>
      <c r="F631" s="1"/>
      <c r="G631" s="3"/>
      <c r="H631" s="3"/>
      <c r="I631" s="3"/>
      <c r="J631" s="3"/>
      <c r="K631" s="3"/>
      <c r="L631" s="3"/>
      <c r="M631" s="3"/>
      <c r="N631" s="3"/>
      <c r="O631" s="1"/>
      <c r="P631" s="1"/>
      <c r="Q631" s="1"/>
      <c r="R631" s="162"/>
      <c r="S631" s="1"/>
      <c r="T631" s="103"/>
      <c r="U631" s="103"/>
      <c r="V631" s="6"/>
      <c r="W631" s="98">
        <f>Growth!B20</f>
        <v>2018</v>
      </c>
      <c r="X631" s="98">
        <f t="shared" ref="X631:BK631" si="99">W631+1</f>
        <v>2019</v>
      </c>
      <c r="Y631" s="98">
        <f t="shared" si="99"/>
        <v>2020</v>
      </c>
      <c r="Z631" s="98">
        <f t="shared" si="99"/>
        <v>2021</v>
      </c>
      <c r="AA631" s="98">
        <f t="shared" si="99"/>
        <v>2022</v>
      </c>
      <c r="AB631" s="98">
        <f t="shared" si="99"/>
        <v>2023</v>
      </c>
      <c r="AC631" s="98">
        <f t="shared" si="99"/>
        <v>2024</v>
      </c>
      <c r="AD631" s="98">
        <f t="shared" si="99"/>
        <v>2025</v>
      </c>
      <c r="AE631" s="98">
        <f t="shared" si="99"/>
        <v>2026</v>
      </c>
      <c r="AF631" s="98">
        <f t="shared" si="99"/>
        <v>2027</v>
      </c>
      <c r="AG631" s="98">
        <f t="shared" si="99"/>
        <v>2028</v>
      </c>
      <c r="AH631" s="98">
        <f t="shared" si="99"/>
        <v>2029</v>
      </c>
      <c r="AI631" s="98">
        <f t="shared" si="99"/>
        <v>2030</v>
      </c>
      <c r="AJ631" s="98">
        <f t="shared" si="99"/>
        <v>2031</v>
      </c>
      <c r="AK631" s="98">
        <f t="shared" si="99"/>
        <v>2032</v>
      </c>
      <c r="AL631" s="98">
        <f t="shared" si="99"/>
        <v>2033</v>
      </c>
      <c r="AM631" s="98">
        <f t="shared" si="99"/>
        <v>2034</v>
      </c>
      <c r="AN631" s="98">
        <f t="shared" si="99"/>
        <v>2035</v>
      </c>
      <c r="AO631" s="98">
        <f t="shared" si="99"/>
        <v>2036</v>
      </c>
      <c r="AP631" s="98">
        <f t="shared" si="99"/>
        <v>2037</v>
      </c>
      <c r="AQ631" s="98">
        <f t="shared" si="99"/>
        <v>2038</v>
      </c>
      <c r="AR631" s="98">
        <f t="shared" si="99"/>
        <v>2039</v>
      </c>
      <c r="AS631" s="98">
        <f t="shared" si="99"/>
        <v>2040</v>
      </c>
      <c r="AT631" s="98">
        <f t="shared" si="99"/>
        <v>2041</v>
      </c>
      <c r="AU631" s="98">
        <f t="shared" si="99"/>
        <v>2042</v>
      </c>
      <c r="AV631" s="98">
        <f t="shared" si="99"/>
        <v>2043</v>
      </c>
      <c r="AW631" s="98">
        <f t="shared" si="99"/>
        <v>2044</v>
      </c>
      <c r="AX631" s="98">
        <f t="shared" si="99"/>
        <v>2045</v>
      </c>
      <c r="AY631" s="98">
        <f t="shared" si="99"/>
        <v>2046</v>
      </c>
      <c r="AZ631" s="98">
        <f t="shared" si="99"/>
        <v>2047</v>
      </c>
      <c r="BA631" s="98">
        <f t="shared" si="99"/>
        <v>2048</v>
      </c>
      <c r="BB631" s="98">
        <f t="shared" si="99"/>
        <v>2049</v>
      </c>
      <c r="BC631" s="98">
        <f t="shared" si="99"/>
        <v>2050</v>
      </c>
      <c r="BD631" s="98">
        <f t="shared" si="99"/>
        <v>2051</v>
      </c>
      <c r="BE631" s="98">
        <f t="shared" si="99"/>
        <v>2052</v>
      </c>
      <c r="BF631" s="98">
        <f t="shared" si="99"/>
        <v>2053</v>
      </c>
      <c r="BG631" s="98">
        <f t="shared" si="99"/>
        <v>2054</v>
      </c>
      <c r="BH631" s="98">
        <f t="shared" si="99"/>
        <v>2055</v>
      </c>
      <c r="BI631" s="98">
        <f t="shared" si="99"/>
        <v>2056</v>
      </c>
      <c r="BJ631" s="98">
        <f t="shared" si="99"/>
        <v>2057</v>
      </c>
      <c r="BK631" s="98">
        <f t="shared" si="99"/>
        <v>2058</v>
      </c>
      <c r="BL631" s="98"/>
      <c r="BM631" s="98"/>
      <c r="BN631" s="98"/>
      <c r="BO631" s="98"/>
      <c r="BP631" s="98"/>
      <c r="BQ631" s="98"/>
      <c r="BR631" s="98"/>
      <c r="BS631" s="98"/>
      <c r="BT631" s="98"/>
      <c r="BU631" s="98"/>
    </row>
    <row r="632" spans="1:73" ht="17.25" customHeight="1">
      <c r="A632" s="6"/>
      <c r="B632" s="577"/>
      <c r="C632" s="578"/>
      <c r="D632" s="12"/>
      <c r="E632" s="1"/>
      <c r="F632" s="1"/>
      <c r="G632" s="3"/>
      <c r="H632" s="3"/>
      <c r="I632" s="3"/>
      <c r="J632" s="3"/>
      <c r="K632" s="3"/>
      <c r="L632" s="3"/>
      <c r="M632" s="3"/>
      <c r="N632" s="3"/>
      <c r="O632" s="1"/>
      <c r="P632" s="1"/>
      <c r="Q632" s="1"/>
      <c r="R632" s="162"/>
      <c r="S632" s="1"/>
      <c r="T632" s="103"/>
      <c r="U632" s="103"/>
      <c r="V632" s="6"/>
      <c r="W632" s="134">
        <v>3</v>
      </c>
      <c r="X632" s="134">
        <v>4</v>
      </c>
      <c r="Y632" s="134">
        <v>5</v>
      </c>
      <c r="Z632" s="134">
        <v>6</v>
      </c>
      <c r="AA632" s="134">
        <v>7</v>
      </c>
      <c r="AB632" s="134">
        <v>8</v>
      </c>
      <c r="AC632" s="134">
        <v>9</v>
      </c>
      <c r="AD632" s="134">
        <v>10</v>
      </c>
      <c r="AE632" s="134">
        <v>11</v>
      </c>
      <c r="AF632" s="134">
        <v>12</v>
      </c>
      <c r="AG632" s="134">
        <v>13</v>
      </c>
      <c r="AH632" s="134">
        <v>14</v>
      </c>
      <c r="AI632" s="134">
        <v>15</v>
      </c>
      <c r="AJ632" s="134">
        <v>16</v>
      </c>
      <c r="AK632" s="134">
        <v>17</v>
      </c>
      <c r="AL632" s="134">
        <v>18</v>
      </c>
      <c r="AM632" s="134">
        <v>19</v>
      </c>
      <c r="AN632" s="134">
        <v>20</v>
      </c>
      <c r="AO632" s="134">
        <v>21</v>
      </c>
      <c r="AP632" s="134">
        <v>22</v>
      </c>
      <c r="AQ632" s="134">
        <v>23</v>
      </c>
      <c r="AR632" s="134">
        <v>24</v>
      </c>
      <c r="AS632" s="134">
        <v>25</v>
      </c>
      <c r="AT632" s="134">
        <v>26</v>
      </c>
      <c r="AU632" s="134">
        <v>27</v>
      </c>
      <c r="AV632" s="134">
        <v>28</v>
      </c>
      <c r="AW632" s="134">
        <v>29</v>
      </c>
      <c r="AX632" s="134">
        <v>30</v>
      </c>
      <c r="AY632" s="134">
        <v>31</v>
      </c>
      <c r="AZ632" s="134">
        <v>32</v>
      </c>
      <c r="BA632" s="134">
        <v>33</v>
      </c>
      <c r="BB632" s="134">
        <v>34</v>
      </c>
      <c r="BC632" s="134">
        <v>35</v>
      </c>
      <c r="BD632" s="134">
        <v>36</v>
      </c>
      <c r="BE632" s="134">
        <v>37</v>
      </c>
      <c r="BF632" s="134">
        <v>38</v>
      </c>
      <c r="BG632" s="134">
        <v>39</v>
      </c>
      <c r="BH632" s="134">
        <v>40</v>
      </c>
      <c r="BI632" s="134">
        <v>41</v>
      </c>
      <c r="BJ632" s="134">
        <v>42</v>
      </c>
      <c r="BK632" s="134">
        <v>43</v>
      </c>
      <c r="BL632" s="134"/>
      <c r="BM632" s="134"/>
      <c r="BN632" s="134"/>
      <c r="BO632" s="134"/>
      <c r="BP632" s="134"/>
      <c r="BQ632" s="134"/>
      <c r="BR632" s="134"/>
      <c r="BS632" s="134"/>
      <c r="BT632" s="134"/>
      <c r="BU632" s="134"/>
    </row>
    <row r="633" spans="1:73" ht="17.25" customHeight="1">
      <c r="A633" s="6"/>
      <c r="B633" s="577"/>
      <c r="C633" s="578"/>
      <c r="D633" s="12"/>
      <c r="E633" s="1"/>
      <c r="F633" s="1"/>
      <c r="G633" s="3"/>
      <c r="H633" s="3"/>
      <c r="I633" s="3"/>
      <c r="J633" s="3"/>
      <c r="K633" s="3"/>
      <c r="L633" s="3"/>
      <c r="M633" s="3"/>
      <c r="N633" s="3"/>
      <c r="O633" s="1"/>
      <c r="P633" s="1"/>
      <c r="Q633" s="1"/>
      <c r="R633" s="162"/>
      <c r="S633" s="1"/>
      <c r="T633" s="101" t="s">
        <v>865</v>
      </c>
      <c r="U633" s="101" t="s">
        <v>289</v>
      </c>
      <c r="V633" s="103" t="str">
        <f t="shared" ref="V633:V635" si="100">E623</f>
        <v>no standardised licence</v>
      </c>
      <c r="W633" s="416">
        <f ca="1">IF(W$631&gt;='2.2 Input_General_Information'!$H$20,$G$623 * VLOOKUP(W$631,Growth!$B$128:$K$170, 9, FALSE),)</f>
        <v>4.9995000000000005E-2</v>
      </c>
      <c r="X633" s="416">
        <f ca="1">IF(X$631&gt;='2.2 Input_General_Information'!$H$20,$G$623 * VLOOKUP(X$631,Growth!$B$128:$K$170, 9, FALSE),)</f>
        <v>4.778207844905788E-2</v>
      </c>
      <c r="Y633" s="416">
        <f ca="1">IF(Y$631&gt;='2.2 Input_General_Information'!$H$20,$G$623 * VLOOKUP(Y$631,Growth!$B$128:$K$170, 9, FALSE),)</f>
        <v>2.217921550942126E-3</v>
      </c>
      <c r="Z633" s="416">
        <f ca="1">IF(Z$631&gt;='2.2 Input_General_Information'!$H$20,$G$623 * VLOOKUP(Z$631,Growth!$B$128:$K$170, 9, FALSE),)</f>
        <v>4.9999999999938984E-6</v>
      </c>
      <c r="AA633" s="416">
        <f ca="1">IF(AA$631&gt;='2.2 Input_General_Information'!$H$20,$G$623 * VLOOKUP(AA$631,Growth!$B$128:$K$170, 9, FALSE),)</f>
        <v>0</v>
      </c>
      <c r="AB633" s="416">
        <f ca="1">IF(AB$631&gt;='2.2 Input_General_Information'!$H$20,$G$623 * VLOOKUP(AB$631,Growth!$B$128:$K$170, 9, FALSE),)</f>
        <v>0</v>
      </c>
      <c r="AC633" s="416">
        <f ca="1">IF(AC$631&gt;='2.2 Input_General_Information'!$H$20,$G$623 * VLOOKUP(AC$631,Growth!$B$128:$K$170, 9, FALSE),)</f>
        <v>0</v>
      </c>
      <c r="AD633" s="416">
        <f ca="1">IF(AD$631&gt;='2.2 Input_General_Information'!$H$20,$G$623 * VLOOKUP(AD$631,Growth!$B$128:$K$170, 9, FALSE),)</f>
        <v>0</v>
      </c>
      <c r="AE633" s="416">
        <f ca="1">IF(AE$631&gt;='2.2 Input_General_Information'!$H$20,$G$623 * VLOOKUP(AE$631,Growth!$B$128:$K$170, 9, FALSE),)</f>
        <v>0</v>
      </c>
      <c r="AF633" s="416">
        <f ca="1">IF(AF$631&gt;='2.2 Input_General_Information'!$H$20,$G$623 * VLOOKUP(AF$631,Growth!$B$128:$K$170, 9, FALSE),)</f>
        <v>0</v>
      </c>
      <c r="AG633" s="416">
        <f ca="1">IF(AG$631&gt;='2.2 Input_General_Information'!$H$20,$G$623 * VLOOKUP(AG$631,Growth!$B$128:$K$170, 9, FALSE),)</f>
        <v>0</v>
      </c>
      <c r="AH633" s="416">
        <f ca="1">IF(AH$631&gt;='2.2 Input_General_Information'!$H$20,$G$623 * VLOOKUP(AH$631,Growth!$B$128:$K$170, 9, FALSE),)</f>
        <v>0</v>
      </c>
      <c r="AI633" s="416">
        <f ca="1">IF(AI$631&gt;='2.2 Input_General_Information'!$H$20,$G$623 * VLOOKUP(AI$631,Growth!$B$128:$K$170, 9, FALSE),)</f>
        <v>0</v>
      </c>
      <c r="AJ633" s="416">
        <f ca="1">IF(AJ$631&gt;='2.2 Input_General_Information'!$H$20,$G$623 * VLOOKUP(AJ$631,Growth!$B$128:$K$170, 9, FALSE),)</f>
        <v>0</v>
      </c>
      <c r="AK633" s="416">
        <f ca="1">IF(AK$631&gt;='2.2 Input_General_Information'!$H$20,$G$623 * VLOOKUP(AK$631,Growth!$B$128:$K$170, 9, FALSE),)</f>
        <v>0</v>
      </c>
      <c r="AL633" s="416">
        <f ca="1">IF(AL$631&gt;='2.2 Input_General_Information'!$H$20,$G$623 * VLOOKUP(AL$631,Growth!$B$128:$K$170, 9, FALSE),)</f>
        <v>0</v>
      </c>
      <c r="AM633" s="416">
        <f ca="1">IF(AM$631&gt;='2.2 Input_General_Information'!$H$20,$G$623 * VLOOKUP(AM$631,Growth!$B$128:$K$170, 9, FALSE),)</f>
        <v>0</v>
      </c>
      <c r="AN633" s="416">
        <f ca="1">IF(AN$631&gt;='2.2 Input_General_Information'!$H$20,$G$623 * VLOOKUP(AN$631,Growth!$B$128:$K$170, 9, FALSE),)</f>
        <v>0</v>
      </c>
      <c r="AO633" s="416">
        <f ca="1">IF(AO$631&gt;='2.2 Input_General_Information'!$H$20,$G$623 * VLOOKUP(AO$631,Growth!$B$128:$K$170, 9, FALSE),)</f>
        <v>0</v>
      </c>
      <c r="AP633" s="416">
        <f ca="1">IF(AP$631&gt;='2.2 Input_General_Information'!$H$20,$G$623 * VLOOKUP(AP$631,Growth!$B$128:$K$170, 9, FALSE),)</f>
        <v>0</v>
      </c>
      <c r="AQ633" s="416">
        <f ca="1">IF(AQ$631&gt;='2.2 Input_General_Information'!$H$20,$G$623 * VLOOKUP(AQ$631,Growth!$B$128:$K$170, 9, FALSE),)</f>
        <v>0</v>
      </c>
      <c r="AR633" s="416">
        <f ca="1">IF(AR$631&gt;='2.2 Input_General_Information'!$H$20,$G$623 * VLOOKUP(AR$631,Growth!$B$128:$K$170, 9, FALSE),)</f>
        <v>0</v>
      </c>
      <c r="AS633" s="416">
        <f ca="1">IF(AS$631&gt;='2.2 Input_General_Information'!$H$20,$G$623 * VLOOKUP(AS$631,Growth!$B$128:$K$170, 9, FALSE),)</f>
        <v>0</v>
      </c>
      <c r="AT633" s="416">
        <f ca="1">IF(AT$631&gt;='2.2 Input_General_Information'!$H$20,$G$623 * VLOOKUP(AT$631,Growth!$B$128:$K$170, 9, FALSE),)</f>
        <v>0</v>
      </c>
      <c r="AU633" s="416">
        <f ca="1">IF(AU$631&gt;='2.2 Input_General_Information'!$H$20,$G$623 * VLOOKUP(AU$631,Growth!$B$128:$K$170, 9, FALSE),)</f>
        <v>0</v>
      </c>
      <c r="AV633" s="416">
        <f ca="1">IF(AV$631&gt;='2.2 Input_General_Information'!$H$20,$G$623 * VLOOKUP(AV$631,Growth!$B$128:$K$170, 9, FALSE),)</f>
        <v>0</v>
      </c>
      <c r="AW633" s="416">
        <f ca="1">IF(AW$631&gt;='2.2 Input_General_Information'!$H$20,$G$623 * VLOOKUP(AW$631,Growth!$B$128:$K$170, 9, FALSE),)</f>
        <v>0</v>
      </c>
      <c r="AX633" s="416">
        <f ca="1">IF(AX$631&gt;='2.2 Input_General_Information'!$H$20,$G$623 * VLOOKUP(AX$631,Growth!$B$128:$K$170, 9, FALSE),)</f>
        <v>0</v>
      </c>
      <c r="AY633" s="416">
        <f ca="1">IF(AY$631&gt;='2.2 Input_General_Information'!$H$20,$G$623 * VLOOKUP(AY$631,Growth!$B$128:$K$170, 9, FALSE),)</f>
        <v>0</v>
      </c>
      <c r="AZ633" s="416">
        <f ca="1">IF(AZ$631&gt;='2.2 Input_General_Information'!$H$20,$G$623 * VLOOKUP(AZ$631,Growth!$B$128:$K$170, 9, FALSE),)</f>
        <v>0</v>
      </c>
      <c r="BA633" s="416">
        <f ca="1">IF(BA$631&gt;='2.2 Input_General_Information'!$H$20,$G$623 * VLOOKUP(BA$631,Growth!$B$128:$K$170, 9, FALSE),)</f>
        <v>0</v>
      </c>
      <c r="BB633" s="416">
        <f ca="1">IF(BB$631&gt;='2.2 Input_General_Information'!$H$20,$G$623 * VLOOKUP(BB$631,Growth!$B$128:$K$170, 9, FALSE),)</f>
        <v>0</v>
      </c>
      <c r="BC633" s="416">
        <f ca="1">IF(BC$631&gt;='2.2 Input_General_Information'!$H$20,$G$623 * VLOOKUP(BC$631,Growth!$B$128:$K$170, 9, FALSE),)</f>
        <v>0</v>
      </c>
      <c r="BD633" s="416">
        <f ca="1">IF(BD$631&gt;='2.2 Input_General_Information'!$H$20,$G$623 * VLOOKUP(BD$631,Growth!$B$128:$K$170, 9, FALSE),)</f>
        <v>0</v>
      </c>
      <c r="BE633" s="416">
        <f ca="1">IF(BE$631&gt;='2.2 Input_General_Information'!$H$20,$G$623 * VLOOKUP(BE$631,Growth!$B$128:$K$170, 9, FALSE),)</f>
        <v>0</v>
      </c>
      <c r="BF633" s="416">
        <f ca="1">IF(BF$631&gt;='2.2 Input_General_Information'!$H$20,$G$623 * VLOOKUP(BF$631,Growth!$B$128:$K$170, 9, FALSE),)</f>
        <v>0</v>
      </c>
      <c r="BG633" s="416">
        <f ca="1">IF(BG$631&gt;='2.2 Input_General_Information'!$H$20,$G$623 * VLOOKUP(BG$631,Growth!$B$128:$K$170, 9, FALSE),)</f>
        <v>0</v>
      </c>
      <c r="BH633" s="416">
        <f ca="1">IF(BH$631&gt;='2.2 Input_General_Information'!$H$20,$G$623 * VLOOKUP(BH$631,Growth!$B$128:$K$170, 9, FALSE),)</f>
        <v>0</v>
      </c>
      <c r="BI633" s="416">
        <f ca="1">IF(BI$631&gt;='2.2 Input_General_Information'!$H$20,$G$623 * VLOOKUP(BI$631,Growth!$B$128:$K$170, 9, FALSE),)</f>
        <v>0</v>
      </c>
      <c r="BJ633" s="416">
        <f ca="1">IF(BJ$631&gt;='2.2 Input_General_Information'!$H$20,$G$623 * VLOOKUP(BJ$631,Growth!$B$128:$K$170, 9, FALSE),)</f>
        <v>0</v>
      </c>
      <c r="BK633" s="416">
        <f ca="1">IF(BK$631&gt;='2.2 Input_General_Information'!$H$20,$G$623 * VLOOKUP(BK$631,Growth!$B$128:$K$170, 9, FALSE),)</f>
        <v>0</v>
      </c>
      <c r="BL633" s="373"/>
      <c r="BM633" s="373"/>
      <c r="BN633" s="373"/>
      <c r="BO633" s="373"/>
      <c r="BP633" s="373"/>
      <c r="BQ633" s="373"/>
      <c r="BR633" s="373"/>
      <c r="BS633" s="373"/>
      <c r="BT633" s="373"/>
      <c r="BU633" s="373"/>
    </row>
    <row r="634" spans="1:73" ht="17.25" customHeight="1">
      <c r="A634" s="6"/>
      <c r="B634" s="577"/>
      <c r="C634" s="578"/>
      <c r="D634" s="12"/>
      <c r="E634" s="1"/>
      <c r="F634" s="1"/>
      <c r="G634" s="3"/>
      <c r="H634" s="3"/>
      <c r="I634" s="3"/>
      <c r="J634" s="3"/>
      <c r="K634" s="3"/>
      <c r="L634" s="3"/>
      <c r="M634" s="3"/>
      <c r="N634" s="3"/>
      <c r="O634" s="1"/>
      <c r="P634" s="1"/>
      <c r="Q634" s="1"/>
      <c r="R634" s="162"/>
      <c r="S634" s="1"/>
      <c r="T634" s="101" t="s">
        <v>865</v>
      </c>
      <c r="U634" s="101" t="s">
        <v>289</v>
      </c>
      <c r="V634" s="103" t="str">
        <f t="shared" si="100"/>
        <v>local standardised licences</v>
      </c>
      <c r="W634" s="416">
        <f ca="1">IF(W$361&gt;='2.2 Input_General_Information'!$H$20,$G$624 * VLOOKUP(W$631,Growth!$B$128:$K$170, 9, FALSE),)</f>
        <v>0.14998500000000001</v>
      </c>
      <c r="X634" s="416">
        <f ca="1">IF(X$361&gt;='2.2 Input_General_Information'!$H$20,$G$624 * VLOOKUP(X$631,Growth!$B$128:$K$170, 9, FALSE),)</f>
        <v>0.14334623534717364</v>
      </c>
      <c r="Y634" s="416">
        <f ca="1">IF(Y$361&gt;='2.2 Input_General_Information'!$H$20,$G$624 * VLOOKUP(Y$631,Growth!$B$128:$K$170, 9, FALSE),)</f>
        <v>6.6537646528263767E-3</v>
      </c>
      <c r="Z634" s="416">
        <f ca="1">IF(Z$361&gt;='2.2 Input_General_Information'!$H$20,$G$624 * VLOOKUP(Z$631,Growth!$B$128:$K$170, 9, FALSE),)</f>
        <v>1.4999999999981694E-5</v>
      </c>
      <c r="AA634" s="416">
        <f ca="1">IF(AA$361&gt;='2.2 Input_General_Information'!$H$20,$G$624 * VLOOKUP(AA$631,Growth!$B$128:$K$170, 9, FALSE),)</f>
        <v>0</v>
      </c>
      <c r="AB634" s="416">
        <f ca="1">IF(AB$361&gt;='2.2 Input_General_Information'!$H$20,$G$624 * VLOOKUP(AB$631,Growth!$B$128:$K$170, 9, FALSE),)</f>
        <v>0</v>
      </c>
      <c r="AC634" s="416">
        <f ca="1">IF(AC$361&gt;='2.2 Input_General_Information'!$H$20,$G$624 * VLOOKUP(AC$631,Growth!$B$128:$K$170, 9, FALSE),)</f>
        <v>0</v>
      </c>
      <c r="AD634" s="416">
        <f ca="1">IF(AD$361&gt;='2.2 Input_General_Information'!$H$20,$G$624 * VLOOKUP(AD$631,Growth!$B$128:$K$170, 9, FALSE),)</f>
        <v>0</v>
      </c>
      <c r="AE634" s="416">
        <f ca="1">IF(AE$361&gt;='2.2 Input_General_Information'!$H$20,$G$624 * VLOOKUP(AE$631,Growth!$B$128:$K$170, 9, FALSE),)</f>
        <v>0</v>
      </c>
      <c r="AF634" s="416">
        <f ca="1">IF(AF$361&gt;='2.2 Input_General_Information'!$H$20,$G$624 * VLOOKUP(AF$631,Growth!$B$128:$K$170, 9, FALSE),)</f>
        <v>0</v>
      </c>
      <c r="AG634" s="416">
        <f ca="1">IF(AG$361&gt;='2.2 Input_General_Information'!$H$20,$G$624 * VLOOKUP(AG$631,Growth!$B$128:$K$170, 9, FALSE),)</f>
        <v>0</v>
      </c>
      <c r="AH634" s="416">
        <f ca="1">IF(AH$361&gt;='2.2 Input_General_Information'!$H$20,$G$624 * VLOOKUP(AH$631,Growth!$B$128:$K$170, 9, FALSE),)</f>
        <v>0</v>
      </c>
      <c r="AI634" s="416">
        <f ca="1">IF(AI$361&gt;='2.2 Input_General_Information'!$H$20,$G$624 * VLOOKUP(AI$631,Growth!$B$128:$K$170, 9, FALSE),)</f>
        <v>0</v>
      </c>
      <c r="AJ634" s="416">
        <f ca="1">IF(AJ$361&gt;='2.2 Input_General_Information'!$H$20,$G$624 * VLOOKUP(AJ$631,Growth!$B$128:$K$170, 9, FALSE),)</f>
        <v>0</v>
      </c>
      <c r="AK634" s="416">
        <f ca="1">IF(AK$361&gt;='2.2 Input_General_Information'!$H$20,$G$624 * VLOOKUP(AK$631,Growth!$B$128:$K$170, 9, FALSE),)</f>
        <v>0</v>
      </c>
      <c r="AL634" s="416">
        <f ca="1">IF(AL$361&gt;='2.2 Input_General_Information'!$H$20,$G$624 * VLOOKUP(AL$631,Growth!$B$128:$K$170, 9, FALSE),)</f>
        <v>0</v>
      </c>
      <c r="AM634" s="416">
        <f ca="1">IF(AM$361&gt;='2.2 Input_General_Information'!$H$20,$G$624 * VLOOKUP(AM$631,Growth!$B$128:$K$170, 9, FALSE),)</f>
        <v>0</v>
      </c>
      <c r="AN634" s="416">
        <f ca="1">IF(AN$361&gt;='2.2 Input_General_Information'!$H$20,$G$624 * VLOOKUP(AN$631,Growth!$B$128:$K$170, 9, FALSE),)</f>
        <v>0</v>
      </c>
      <c r="AO634" s="416">
        <f ca="1">IF(AO$361&gt;='2.2 Input_General_Information'!$H$20,$G$624 * VLOOKUP(AO$631,Growth!$B$128:$K$170, 9, FALSE),)</f>
        <v>0</v>
      </c>
      <c r="AP634" s="416">
        <f ca="1">IF(AP$361&gt;='2.2 Input_General_Information'!$H$20,$G$624 * VLOOKUP(AP$631,Growth!$B$128:$K$170, 9, FALSE),)</f>
        <v>0</v>
      </c>
      <c r="AQ634" s="416">
        <f ca="1">IF(AQ$361&gt;='2.2 Input_General_Information'!$H$20,$G$624 * VLOOKUP(AQ$631,Growth!$B$128:$K$170, 9, FALSE),)</f>
        <v>0</v>
      </c>
      <c r="AR634" s="416">
        <f ca="1">IF(AR$361&gt;='2.2 Input_General_Information'!$H$20,$G$624 * VLOOKUP(AR$631,Growth!$B$128:$K$170, 9, FALSE),)</f>
        <v>0</v>
      </c>
      <c r="AS634" s="416">
        <f ca="1">IF(AS$361&gt;='2.2 Input_General_Information'!$H$20,$G$624 * VLOOKUP(AS$631,Growth!$B$128:$K$170, 9, FALSE),)</f>
        <v>0</v>
      </c>
      <c r="AT634" s="416">
        <f ca="1">IF(AT$361&gt;='2.2 Input_General_Information'!$H$20,$G$624 * VLOOKUP(AT$631,Growth!$B$128:$K$170, 9, FALSE),)</f>
        <v>0</v>
      </c>
      <c r="AU634" s="416">
        <f ca="1">IF(AU$361&gt;='2.2 Input_General_Information'!$H$20,$G$624 * VLOOKUP(AU$631,Growth!$B$128:$K$170, 9, FALSE),)</f>
        <v>0</v>
      </c>
      <c r="AV634" s="416">
        <f ca="1">IF(AV$361&gt;='2.2 Input_General_Information'!$H$20,$G$624 * VLOOKUP(AV$631,Growth!$B$128:$K$170, 9, FALSE),)</f>
        <v>0</v>
      </c>
      <c r="AW634" s="416">
        <f ca="1">IF(AW$361&gt;='2.2 Input_General_Information'!$H$20,$G$624 * VLOOKUP(AW$631,Growth!$B$128:$K$170, 9, FALSE),)</f>
        <v>0</v>
      </c>
      <c r="AX634" s="416">
        <f ca="1">IF(AX$361&gt;='2.2 Input_General_Information'!$H$20,$G$624 * VLOOKUP(AX$631,Growth!$B$128:$K$170, 9, FALSE),)</f>
        <v>0</v>
      </c>
      <c r="AY634" s="416">
        <f ca="1">IF(AY$361&gt;='2.2 Input_General_Information'!$H$20,$G$624 * VLOOKUP(AY$631,Growth!$B$128:$K$170, 9, FALSE),)</f>
        <v>0</v>
      </c>
      <c r="AZ634" s="416">
        <f ca="1">IF(AZ$361&gt;='2.2 Input_General_Information'!$H$20,$G$624 * VLOOKUP(AZ$631,Growth!$B$128:$K$170, 9, FALSE),)</f>
        <v>0</v>
      </c>
      <c r="BA634" s="416">
        <f ca="1">IF(BA$361&gt;='2.2 Input_General_Information'!$H$20,$G$624 * VLOOKUP(BA$631,Growth!$B$128:$K$170, 9, FALSE),)</f>
        <v>0</v>
      </c>
      <c r="BB634" s="416">
        <f ca="1">IF(BB$361&gt;='2.2 Input_General_Information'!$H$20,$G$624 * VLOOKUP(BB$631,Growth!$B$128:$K$170, 9, FALSE),)</f>
        <v>0</v>
      </c>
      <c r="BC634" s="416">
        <f ca="1">IF(BC$361&gt;='2.2 Input_General_Information'!$H$20,$G$624 * VLOOKUP(BC$631,Growth!$B$128:$K$170, 9, FALSE),)</f>
        <v>0</v>
      </c>
      <c r="BD634" s="416">
        <f ca="1">IF(BD$361&gt;='2.2 Input_General_Information'!$H$20,$G$624 * VLOOKUP(BD$631,Growth!$B$128:$K$170, 9, FALSE),)</f>
        <v>0</v>
      </c>
      <c r="BE634" s="416">
        <f ca="1">IF(BE$361&gt;='2.2 Input_General_Information'!$H$20,$G$624 * VLOOKUP(BE$631,Growth!$B$128:$K$170, 9, FALSE),)</f>
        <v>0</v>
      </c>
      <c r="BF634" s="416">
        <f ca="1">IF(BF$361&gt;='2.2 Input_General_Information'!$H$20,$G$624 * VLOOKUP(BF$631,Growth!$B$128:$K$170, 9, FALSE),)</f>
        <v>0</v>
      </c>
      <c r="BG634" s="416">
        <f ca="1">IF(BG$361&gt;='2.2 Input_General_Information'!$H$20,$G$624 * VLOOKUP(BG$631,Growth!$B$128:$K$170, 9, FALSE),)</f>
        <v>0</v>
      </c>
      <c r="BH634" s="416">
        <f ca="1">IF(BH$361&gt;='2.2 Input_General_Information'!$H$20,$G$624 * VLOOKUP(BH$631,Growth!$B$128:$K$170, 9, FALSE),)</f>
        <v>0</v>
      </c>
      <c r="BI634" s="416">
        <f ca="1">IF(BI$361&gt;='2.2 Input_General_Information'!$H$20,$G$624 * VLOOKUP(BI$631,Growth!$B$128:$K$170, 9, FALSE),)</f>
        <v>0</v>
      </c>
      <c r="BJ634" s="416">
        <f ca="1">IF(BJ$361&gt;='2.2 Input_General_Information'!$H$20,$G$624 * VLOOKUP(BJ$631,Growth!$B$128:$K$170, 9, FALSE),)</f>
        <v>0</v>
      </c>
      <c r="BK634" s="416">
        <f ca="1">IF(BK$361&gt;='2.2 Input_General_Information'!$H$20,$G$624 * VLOOKUP(BK$631,Growth!$B$128:$K$170, 9, FALSE),)</f>
        <v>0</v>
      </c>
      <c r="BL634" s="373"/>
      <c r="BM634" s="373"/>
      <c r="BN634" s="373"/>
      <c r="BO634" s="373"/>
      <c r="BP634" s="373"/>
      <c r="BQ634" s="373"/>
      <c r="BR634" s="373"/>
      <c r="BS634" s="373"/>
      <c r="BT634" s="373"/>
      <c r="BU634" s="373"/>
    </row>
    <row r="635" spans="1:73" ht="17.25" customHeight="1">
      <c r="A635" s="6"/>
      <c r="B635" s="577"/>
      <c r="C635" s="578"/>
      <c r="D635" s="12"/>
      <c r="E635" s="1"/>
      <c r="F635" s="1"/>
      <c r="G635" s="3"/>
      <c r="H635" s="3"/>
      <c r="I635" s="3"/>
      <c r="J635" s="3"/>
      <c r="K635" s="3"/>
      <c r="L635" s="3"/>
      <c r="M635" s="3"/>
      <c r="N635" s="3"/>
      <c r="O635" s="1"/>
      <c r="P635" s="1"/>
      <c r="Q635" s="1"/>
      <c r="R635" s="162"/>
      <c r="S635" s="1"/>
      <c r="T635" s="101" t="s">
        <v>865</v>
      </c>
      <c r="U635" s="372" t="s">
        <v>866</v>
      </c>
      <c r="V635" s="103" t="str">
        <f t="shared" si="100"/>
        <v>global standardised licence</v>
      </c>
      <c r="W635" s="416">
        <f ca="1">IF(W$361&gt;='2.2 Input_General_Information'!$H$20,IF($G$625=1,1,MIN(HLOOKUP($G$625, Growth!$E$195:$E$237, W632, FALSE),1)),0)</f>
        <v>0.80000000000000737</v>
      </c>
      <c r="X635" s="469">
        <f ca="1">IF(X$361&gt;='2.2 Input_General_Information'!$H$20,IF($G$625=1,1,MIN(HLOOKUP($G$625, Growth!$E$195:$E$237, X632, FALSE),1)),0)</f>
        <v>0.98191241571836851</v>
      </c>
      <c r="Y635" s="469">
        <f ca="1">IF(Y$361&gt;='2.2 Input_General_Information'!$H$20,IF($G$625=1,1,MIN(HLOOKUP($G$625, Growth!$E$195:$E$237, Y632, FALSE),1)),0)</f>
        <v>0.99864454046784479</v>
      </c>
      <c r="Z635" s="469">
        <f ca="1">IF(Z$361&gt;='2.2 Input_General_Information'!$H$20,IF($G$625=1,1,MIN(HLOOKUP($G$625, Growth!$E$195:$E$237, Z632, FALSE),1)),0)</f>
        <v>0.99990000000000012</v>
      </c>
      <c r="AA635" s="469">
        <f ca="1">IF(AA$361&gt;='2.2 Input_General_Information'!$H$20,IF($G$625=1,1,MIN(HLOOKUP($G$625, Growth!$E$195:$E$237, AA632, FALSE),1)),0)</f>
        <v>1</v>
      </c>
      <c r="AB635" s="469">
        <f ca="1">IF(AB$361&gt;='2.2 Input_General_Information'!$H$20,IF($G$625=1,1,MIN(HLOOKUP($G$625, Growth!$E$195:$E$237, AB632, FALSE),1)),0)</f>
        <v>1</v>
      </c>
      <c r="AC635" s="469">
        <f ca="1">IF(AC$361&gt;='2.2 Input_General_Information'!$H$20,IF($G$625=1,1,MIN(HLOOKUP($G$625, Growth!$E$195:$E$237, AC632, FALSE),1)),0)</f>
        <v>1</v>
      </c>
      <c r="AD635" s="469">
        <f ca="1">IF(AD$361&gt;='2.2 Input_General_Information'!$H$20,IF($G$625=1,1,MIN(HLOOKUP($G$625, Growth!$E$195:$E$237, AD632, FALSE),1)),0)</f>
        <v>1</v>
      </c>
      <c r="AE635" s="469">
        <f ca="1">IF(AE$361&gt;='2.2 Input_General_Information'!$H$20,IF($G$625=1,1,MIN(HLOOKUP($G$625, Growth!$E$195:$E$237, AE632, FALSE),1)),0)</f>
        <v>1</v>
      </c>
      <c r="AF635" s="469">
        <f ca="1">IF(AF$361&gt;='2.2 Input_General_Information'!$H$20,IF($G$625=1,1,MIN(HLOOKUP($G$625, Growth!$E$195:$E$237, AF632, FALSE),1)),0)</f>
        <v>1</v>
      </c>
      <c r="AG635" s="469">
        <f ca="1">IF(AG$361&gt;='2.2 Input_General_Information'!$H$20,IF($G$625=1,1,MIN(HLOOKUP($G$625, Growth!$E$195:$E$237, AG632, FALSE),1)),0)</f>
        <v>1</v>
      </c>
      <c r="AH635" s="469">
        <f ca="1">IF(AH$361&gt;='2.2 Input_General_Information'!$H$20,IF($G$625=1,1,MIN(HLOOKUP($G$625, Growth!$E$195:$E$237, AH632, FALSE),1)),0)</f>
        <v>1</v>
      </c>
      <c r="AI635" s="469">
        <f ca="1">IF(AI$361&gt;='2.2 Input_General_Information'!$H$20,IF($G$625=1,1,MIN(HLOOKUP($G$625, Growth!$E$195:$E$237, AI632, FALSE),1)),0)</f>
        <v>1</v>
      </c>
      <c r="AJ635" s="469">
        <f ca="1">IF(AJ$361&gt;='2.2 Input_General_Information'!$H$20,IF($G$625=1,1,MIN(HLOOKUP($G$625, Growth!$E$195:$E$237, AJ632, FALSE),1)),0)</f>
        <v>1</v>
      </c>
      <c r="AK635" s="469">
        <f ca="1">IF(AK$361&gt;='2.2 Input_General_Information'!$H$20,IF($G$625=1,1,MIN(HLOOKUP($G$625, Growth!$E$195:$E$237, AK632, FALSE),1)),0)</f>
        <v>1</v>
      </c>
      <c r="AL635" s="469">
        <f ca="1">IF(AL$361&gt;='2.2 Input_General_Information'!$H$20,IF($G$625=1,1,MIN(HLOOKUP($G$625, Growth!$E$195:$E$237, AL632, FALSE),1)),0)</f>
        <v>1</v>
      </c>
      <c r="AM635" s="469">
        <f ca="1">IF(AM$361&gt;='2.2 Input_General_Information'!$H$20,IF($G$625=1,1,MIN(HLOOKUP($G$625, Growth!$E$195:$E$237, AM632, FALSE),1)),0)</f>
        <v>1</v>
      </c>
      <c r="AN635" s="469">
        <f ca="1">IF(AN$361&gt;='2.2 Input_General_Information'!$H$20,IF($G$625=1,1,MIN(HLOOKUP($G$625, Growth!$E$195:$E$237, AN632, FALSE),1)),0)</f>
        <v>1</v>
      </c>
      <c r="AO635" s="469">
        <f ca="1">IF(AO$361&gt;='2.2 Input_General_Information'!$H$20,IF($G$625=1,1,MIN(HLOOKUP($G$625, Growth!$E$195:$E$237, AO632, FALSE),1)),0)</f>
        <v>1</v>
      </c>
      <c r="AP635" s="469">
        <f ca="1">IF(AP$361&gt;='2.2 Input_General_Information'!$H$20,IF($G$625=1,1,MIN(HLOOKUP($G$625, Growth!$E$195:$E$237, AP632, FALSE),1)),0)</f>
        <v>1</v>
      </c>
      <c r="AQ635" s="469">
        <f ca="1">IF(AQ$361&gt;='2.2 Input_General_Information'!$H$20,IF($G$625=1,1,MIN(HLOOKUP($G$625, Growth!$E$195:$E$237, AQ632, FALSE),1)),0)</f>
        <v>1</v>
      </c>
      <c r="AR635" s="469">
        <f ca="1">IF(AR$361&gt;='2.2 Input_General_Information'!$H$20,IF($G$625=1,1,MIN(HLOOKUP($G$625, Growth!$E$195:$E$237, AR632, FALSE),1)),0)</f>
        <v>1</v>
      </c>
      <c r="AS635" s="469">
        <f ca="1">IF(AS$361&gt;='2.2 Input_General_Information'!$H$20,IF($G$625=1,1,MIN(HLOOKUP($G$625, Growth!$E$195:$E$237, AS632, FALSE),1)),0)</f>
        <v>1</v>
      </c>
      <c r="AT635" s="469">
        <f ca="1">IF(AT$361&gt;='2.2 Input_General_Information'!$H$20,IF($G$625=1,1,MIN(HLOOKUP($G$625, Growth!$E$195:$E$237, AT632, FALSE),1)),0)</f>
        <v>1</v>
      </c>
      <c r="AU635" s="469">
        <f ca="1">IF(AU$361&gt;='2.2 Input_General_Information'!$H$20,IF($G$625=1,1,MIN(HLOOKUP($G$625, Growth!$E$195:$E$237, AU632, FALSE),1)),0)</f>
        <v>1</v>
      </c>
      <c r="AV635" s="469">
        <f ca="1">IF(AV$361&gt;='2.2 Input_General_Information'!$H$20,IF($G$625=1,1,MIN(HLOOKUP($G$625, Growth!$E$195:$E$237, AV632, FALSE),1)),0)</f>
        <v>1</v>
      </c>
      <c r="AW635" s="469">
        <f ca="1">IF(AW$361&gt;='2.2 Input_General_Information'!$H$20,IF($G$625=1,1,MIN(HLOOKUP($G$625, Growth!$E$195:$E$237, AW632, FALSE),1)),0)</f>
        <v>1</v>
      </c>
      <c r="AX635" s="469">
        <f ca="1">IF(AX$361&gt;='2.2 Input_General_Information'!$H$20,IF($G$625=1,1,MIN(HLOOKUP($G$625, Growth!$E$195:$E$237, AX632, FALSE),1)),0)</f>
        <v>1</v>
      </c>
      <c r="AY635" s="469">
        <f ca="1">IF(AY$361&gt;='2.2 Input_General_Information'!$H$20,IF($G$625=1,1,MIN(HLOOKUP($G$625, Growth!$E$195:$E$237, AY632, FALSE),1)),0)</f>
        <v>1</v>
      </c>
      <c r="AZ635" s="469">
        <f ca="1">IF(AZ$361&gt;='2.2 Input_General_Information'!$H$20,IF($G$625=1,1,MIN(HLOOKUP($G$625, Growth!$E$195:$E$237, AZ632, FALSE),1)),0)</f>
        <v>1</v>
      </c>
      <c r="BA635" s="469">
        <f ca="1">IF(BA$361&gt;='2.2 Input_General_Information'!$H$20,IF($G$625=1,1,MIN(HLOOKUP($G$625, Growth!$E$195:$E$237, BA632, FALSE),1)),0)</f>
        <v>1</v>
      </c>
      <c r="BB635" s="469">
        <f ca="1">IF(BB$361&gt;='2.2 Input_General_Information'!$H$20,IF($G$625=1,1,MIN(HLOOKUP($G$625, Growth!$E$195:$E$237, BB632, FALSE),1)),0)</f>
        <v>1</v>
      </c>
      <c r="BC635" s="469">
        <f ca="1">IF(BC$361&gt;='2.2 Input_General_Information'!$H$20,IF($G$625=1,1,MIN(HLOOKUP($G$625, Growth!$E$195:$E$237, BC632, FALSE),1)),0)</f>
        <v>1</v>
      </c>
      <c r="BD635" s="469">
        <f ca="1">IF(BD$361&gt;='2.2 Input_General_Information'!$H$20,IF($G$625=1,1,MIN(HLOOKUP($G$625, Growth!$E$195:$E$237, BD632, FALSE),1)),0)</f>
        <v>1</v>
      </c>
      <c r="BE635" s="469">
        <f ca="1">IF(BE$361&gt;='2.2 Input_General_Information'!$H$20,IF($G$625=1,1,MIN(HLOOKUP($G$625, Growth!$E$195:$E$237, BE632, FALSE),1)),0)</f>
        <v>1</v>
      </c>
      <c r="BF635" s="469">
        <f ca="1">IF(BF$361&gt;='2.2 Input_General_Information'!$H$20,IF($G$625=1,1,MIN(HLOOKUP($G$625, Growth!$E$195:$E$237, BF632, FALSE),1)),0)</f>
        <v>1</v>
      </c>
      <c r="BG635" s="469">
        <f ca="1">IF(BG$361&gt;='2.2 Input_General_Information'!$H$20,IF($G$625=1,1,MIN(HLOOKUP($G$625, Growth!$E$195:$E$237, BG632, FALSE),1)),0)</f>
        <v>1</v>
      </c>
      <c r="BH635" s="469">
        <f ca="1">IF(BH$361&gt;='2.2 Input_General_Information'!$H$20,IF($G$625=1,1,MIN(HLOOKUP($G$625, Growth!$E$195:$E$237, BH632, FALSE),1)),0)</f>
        <v>1</v>
      </c>
      <c r="BI635" s="469">
        <f ca="1">IF(BI$361&gt;='2.2 Input_General_Information'!$H$20,IF($G$625=1,1,MIN(HLOOKUP($G$625, Growth!$E$195:$E$237, BI632, FALSE),1)),0)</f>
        <v>1</v>
      </c>
      <c r="BJ635" s="469">
        <f ca="1">IF(BJ$361&gt;='2.2 Input_General_Information'!$H$20,IF($G$625=1,1,MIN(HLOOKUP($G$625, Growth!$E$195:$E$237, BJ632, FALSE),1)),0)</f>
        <v>1</v>
      </c>
      <c r="BK635" s="469">
        <f ca="1">IF(BK$361&gt;='2.2 Input_General_Information'!$H$20,IF($G$625=1,1,MIN(HLOOKUP($G$625, Growth!$E$195:$E$237, BK632, FALSE),1)),0)</f>
        <v>1</v>
      </c>
      <c r="BL635" s="373"/>
      <c r="BM635" s="373"/>
      <c r="BN635" s="373"/>
      <c r="BO635" s="373"/>
      <c r="BP635" s="373"/>
      <c r="BQ635" s="373"/>
      <c r="BR635" s="373"/>
      <c r="BS635" s="373"/>
      <c r="BT635" s="373"/>
      <c r="BU635" s="373"/>
    </row>
    <row r="636" spans="1:73" ht="17.25" customHeight="1">
      <c r="A636" s="6"/>
      <c r="B636" s="577"/>
      <c r="C636" s="578"/>
      <c r="D636" s="12"/>
      <c r="E636" s="1"/>
      <c r="F636" s="1"/>
      <c r="G636" s="3"/>
      <c r="H636" s="3"/>
      <c r="I636" s="3"/>
      <c r="J636" s="3"/>
      <c r="K636" s="3"/>
      <c r="L636" s="3"/>
      <c r="M636" s="3"/>
      <c r="N636" s="3"/>
      <c r="O636" s="1"/>
      <c r="P636" s="1"/>
      <c r="Q636" s="1"/>
      <c r="R636" s="162"/>
      <c r="S636" s="1"/>
      <c r="T636" s="103"/>
      <c r="U636" s="103"/>
      <c r="V636" s="103"/>
      <c r="W636" s="416"/>
      <c r="X636" s="416"/>
      <c r="Y636" s="416"/>
      <c r="Z636" s="416"/>
      <c r="AA636" s="416"/>
      <c r="AB636" s="416"/>
      <c r="AC636" s="416"/>
      <c r="AD636" s="416"/>
      <c r="AE636" s="416"/>
      <c r="AF636" s="416"/>
      <c r="AG636" s="416"/>
      <c r="AH636" s="416"/>
      <c r="AI636" s="416"/>
      <c r="AJ636" s="416"/>
      <c r="AK636" s="416"/>
      <c r="AL636" s="416"/>
      <c r="AM636" s="416"/>
      <c r="AN636" s="416"/>
      <c r="AO636" s="416"/>
      <c r="AP636" s="416"/>
      <c r="AQ636" s="416"/>
      <c r="AR636" s="416"/>
      <c r="AS636" s="416"/>
      <c r="AT636" s="416"/>
      <c r="AU636" s="416"/>
      <c r="AV636" s="416"/>
      <c r="AW636" s="416"/>
      <c r="AX636" s="416"/>
      <c r="AY636" s="416"/>
      <c r="AZ636" s="416"/>
      <c r="BA636" s="416"/>
      <c r="BB636" s="416"/>
      <c r="BC636" s="416"/>
      <c r="BD636" s="416"/>
      <c r="BE636" s="416"/>
      <c r="BF636" s="416"/>
      <c r="BG636" s="416"/>
      <c r="BH636" s="416"/>
      <c r="BI636" s="416"/>
      <c r="BJ636" s="416"/>
      <c r="BK636" s="416"/>
      <c r="BL636" s="98"/>
      <c r="BM636" s="98"/>
      <c r="BN636" s="98"/>
      <c r="BO636" s="98"/>
      <c r="BP636" s="98"/>
      <c r="BQ636" s="98"/>
      <c r="BR636" s="98"/>
      <c r="BS636" s="98"/>
      <c r="BT636" s="98"/>
      <c r="BU636" s="98"/>
    </row>
    <row r="637" spans="1:73" ht="17.25" customHeight="1">
      <c r="A637" s="6"/>
      <c r="B637" s="577"/>
      <c r="C637" s="578"/>
      <c r="D637" s="12"/>
      <c r="E637" s="1"/>
      <c r="F637" s="1"/>
      <c r="G637" s="3"/>
      <c r="H637" s="3"/>
      <c r="I637" s="3"/>
      <c r="J637" s="3"/>
      <c r="K637" s="3"/>
      <c r="L637" s="3"/>
      <c r="M637" s="3"/>
      <c r="N637" s="3"/>
      <c r="O637" s="1"/>
      <c r="P637" s="1"/>
      <c r="Q637" s="1"/>
      <c r="R637" s="162"/>
      <c r="S637" s="1"/>
      <c r="T637" s="103"/>
      <c r="U637" s="103"/>
      <c r="V637" s="101" t="s">
        <v>1075</v>
      </c>
      <c r="W637" s="416">
        <f ca="1">IF(W$361&gt;='2.2 Input_General_Information'!$H$20,SUM(W633:W635),)</f>
        <v>0.99998000000000742</v>
      </c>
      <c r="X637" s="416">
        <f ca="1">IF(X$361&gt;='2.2 Input_General_Information'!$H$20,SUM(X633:X635),)</f>
        <v>1.1730407295146001</v>
      </c>
      <c r="Y637" s="416">
        <f ca="1">IF(Y$361&gt;='2.2 Input_General_Information'!$H$20,SUM(Y633:Y635),)</f>
        <v>1.0075162266716133</v>
      </c>
      <c r="Z637" s="416">
        <f ca="1">IF(Z$361&gt;='2.2 Input_General_Information'!$H$20,SUM(Z633:Z635),)</f>
        <v>0.99992000000000014</v>
      </c>
      <c r="AA637" s="416">
        <f ca="1">IF(AA$361&gt;='2.2 Input_General_Information'!$H$20,SUM(AA633:AA635),)</f>
        <v>1</v>
      </c>
      <c r="AB637" s="416">
        <f ca="1">IF(AB$361&gt;='2.2 Input_General_Information'!$H$20,SUM(AB633:AB635),)</f>
        <v>1</v>
      </c>
      <c r="AC637" s="416">
        <f ca="1">IF(AC$361&gt;='2.2 Input_General_Information'!$H$20,SUM(AC633:AC635),)</f>
        <v>1</v>
      </c>
      <c r="AD637" s="416">
        <f ca="1">IF(AD$361&gt;='2.2 Input_General_Information'!$H$20,SUM(AD633:AD635),)</f>
        <v>1</v>
      </c>
      <c r="AE637" s="416">
        <f ca="1">IF(AE$361&gt;='2.2 Input_General_Information'!$H$20,SUM(AE633:AE635),)</f>
        <v>1</v>
      </c>
      <c r="AF637" s="416">
        <f ca="1">IF(AF$361&gt;='2.2 Input_General_Information'!$H$20,SUM(AF633:AF635),)</f>
        <v>1</v>
      </c>
      <c r="AG637" s="416">
        <f ca="1">IF(AG$361&gt;='2.2 Input_General_Information'!$H$20,SUM(AG633:AG635),)</f>
        <v>1</v>
      </c>
      <c r="AH637" s="416">
        <f ca="1">IF(AH$361&gt;='2.2 Input_General_Information'!$H$20,SUM(AH633:AH635),)</f>
        <v>1</v>
      </c>
      <c r="AI637" s="416">
        <f ca="1">IF(AI$361&gt;='2.2 Input_General_Information'!$H$20,SUM(AI633:AI635),)</f>
        <v>1</v>
      </c>
      <c r="AJ637" s="416">
        <f ca="1">IF(AJ$361&gt;='2.2 Input_General_Information'!$H$20,SUM(AJ633:AJ635),)</f>
        <v>1</v>
      </c>
      <c r="AK637" s="416">
        <f ca="1">IF(AK$361&gt;='2.2 Input_General_Information'!$H$20,SUM(AK633:AK635),)</f>
        <v>1</v>
      </c>
      <c r="AL637" s="416">
        <f ca="1">IF(AL$361&gt;='2.2 Input_General_Information'!$H$20,SUM(AL633:AL635),)</f>
        <v>1</v>
      </c>
      <c r="AM637" s="416">
        <f ca="1">IF(AM$361&gt;='2.2 Input_General_Information'!$H$20,SUM(AM633:AM635),)</f>
        <v>1</v>
      </c>
      <c r="AN637" s="416">
        <f ca="1">IF(AN$361&gt;='2.2 Input_General_Information'!$H$20,SUM(AN633:AN635),)</f>
        <v>1</v>
      </c>
      <c r="AO637" s="416">
        <f ca="1">IF(AO$361&gt;='2.2 Input_General_Information'!$H$20,SUM(AO633:AO635),)</f>
        <v>1</v>
      </c>
      <c r="AP637" s="416">
        <f ca="1">IF(AP$361&gt;='2.2 Input_General_Information'!$H$20,SUM(AP633:AP635),)</f>
        <v>1</v>
      </c>
      <c r="AQ637" s="416">
        <f ca="1">IF(AQ$361&gt;='2.2 Input_General_Information'!$H$20,SUM(AQ633:AQ635),)</f>
        <v>1</v>
      </c>
      <c r="AR637" s="416">
        <f ca="1">IF(AR$361&gt;='2.2 Input_General_Information'!$H$20,SUM(AR633:AR635),)</f>
        <v>1</v>
      </c>
      <c r="AS637" s="416">
        <f ca="1">IF(AS$361&gt;='2.2 Input_General_Information'!$H$20,SUM(AS633:AS635),)</f>
        <v>1</v>
      </c>
      <c r="AT637" s="416">
        <f ca="1">IF(AT$361&gt;='2.2 Input_General_Information'!$H$20,SUM(AT633:AT635),)</f>
        <v>1</v>
      </c>
      <c r="AU637" s="416">
        <f ca="1">IF(AU$361&gt;='2.2 Input_General_Information'!$H$20,SUM(AU633:AU635),)</f>
        <v>1</v>
      </c>
      <c r="AV637" s="416">
        <f ca="1">IF(AV$361&gt;='2.2 Input_General_Information'!$H$20,SUM(AV633:AV635),)</f>
        <v>1</v>
      </c>
      <c r="AW637" s="416">
        <f ca="1">IF(AW$361&gt;='2.2 Input_General_Information'!$H$20,SUM(AW633:AW635),)</f>
        <v>1</v>
      </c>
      <c r="AX637" s="416">
        <f ca="1">IF(AX$361&gt;='2.2 Input_General_Information'!$H$20,SUM(AX633:AX635),)</f>
        <v>1</v>
      </c>
      <c r="AY637" s="416">
        <f ca="1">IF(AY$361&gt;='2.2 Input_General_Information'!$H$20,SUM(AY633:AY635),)</f>
        <v>1</v>
      </c>
      <c r="AZ637" s="416">
        <f ca="1">IF(AZ$361&gt;='2.2 Input_General_Information'!$H$20,SUM(AZ633:AZ635),)</f>
        <v>1</v>
      </c>
      <c r="BA637" s="416">
        <f ca="1">IF(BA$361&gt;='2.2 Input_General_Information'!$H$20,SUM(BA633:BA635),)</f>
        <v>1</v>
      </c>
      <c r="BB637" s="416">
        <f ca="1">IF(BB$361&gt;='2.2 Input_General_Information'!$H$20,SUM(BB633:BB635),)</f>
        <v>1</v>
      </c>
      <c r="BC637" s="416">
        <f ca="1">IF(BC$361&gt;='2.2 Input_General_Information'!$H$20,SUM(BC633:BC635),)</f>
        <v>1</v>
      </c>
      <c r="BD637" s="416">
        <f ca="1">IF(BD$361&gt;='2.2 Input_General_Information'!$H$20,SUM(BD633:BD635),)</f>
        <v>1</v>
      </c>
      <c r="BE637" s="416">
        <f ca="1">IF(BE$361&gt;='2.2 Input_General_Information'!$H$20,SUM(BE633:BE635),)</f>
        <v>1</v>
      </c>
      <c r="BF637" s="416">
        <f ca="1">IF(BF$361&gt;='2.2 Input_General_Information'!$H$20,SUM(BF633:BF635),)</f>
        <v>1</v>
      </c>
      <c r="BG637" s="416">
        <f ca="1">IF(BG$361&gt;='2.2 Input_General_Information'!$H$20,SUM(BG633:BG635),)</f>
        <v>1</v>
      </c>
      <c r="BH637" s="416">
        <f ca="1">IF(BH$361&gt;='2.2 Input_General_Information'!$H$20,SUM(BH633:BH635),)</f>
        <v>1</v>
      </c>
      <c r="BI637" s="416">
        <f ca="1">IF(BI$361&gt;='2.2 Input_General_Information'!$H$20,SUM(BI633:BI635),)</f>
        <v>1</v>
      </c>
      <c r="BJ637" s="416">
        <f ca="1">IF(BJ$361&gt;='2.2 Input_General_Information'!$H$20,SUM(BJ633:BJ635),)</f>
        <v>1</v>
      </c>
      <c r="BK637" s="416">
        <f ca="1">IF(BK$361&gt;='2.2 Input_General_Information'!$H$20,SUM(BK633:BK635),)</f>
        <v>1</v>
      </c>
      <c r="BL637" s="98"/>
      <c r="BM637" s="98"/>
      <c r="BN637" s="98"/>
      <c r="BO637" s="98"/>
      <c r="BP637" s="98"/>
      <c r="BQ637" s="98"/>
      <c r="BR637" s="98"/>
      <c r="BS637" s="98"/>
      <c r="BT637" s="98"/>
      <c r="BU637" s="98"/>
    </row>
    <row r="638" spans="1:73" ht="17.25" customHeight="1">
      <c r="A638" s="6"/>
      <c r="B638" s="577"/>
      <c r="C638" s="578"/>
      <c r="D638" s="12"/>
      <c r="E638" s="1"/>
      <c r="F638" s="1"/>
      <c r="G638" s="3"/>
      <c r="H638" s="3"/>
      <c r="I638" s="3"/>
      <c r="J638" s="3"/>
      <c r="K638" s="3"/>
      <c r="L638" s="3"/>
      <c r="M638" s="3"/>
      <c r="N638" s="3"/>
      <c r="O638" s="1"/>
      <c r="P638" s="1"/>
      <c r="Q638" s="1"/>
      <c r="R638" s="162"/>
      <c r="S638" s="1"/>
      <c r="T638" s="103"/>
      <c r="U638" s="101" t="s">
        <v>936</v>
      </c>
      <c r="V638" s="101" t="str">
        <f t="shared" ref="V638:V640" si="101">E623</f>
        <v>no standardised licence</v>
      </c>
      <c r="W638" s="469">
        <f ca="1">IF(W$361&gt;='2.2 Input_General_Information'!$H$20,W633/W$637,)</f>
        <v>4.9995999919998035E-2</v>
      </c>
      <c r="X638" s="469">
        <f ca="1">IF(X$361&gt;='2.2 Input_General_Information'!$H$20,X633/X$637,)</f>
        <v>4.0733520368751323E-2</v>
      </c>
      <c r="Y638" s="469">
        <f ca="1">IF(Y$361&gt;='2.2 Input_General_Information'!$H$20,Y633/Y$637,)</f>
        <v>2.2013755135926248E-3</v>
      </c>
      <c r="Z638" s="469">
        <f ca="1">IF(Z$361&gt;='2.2 Input_General_Information'!$H$20,Z633/Z$637,)</f>
        <v>5.0004000319964574E-6</v>
      </c>
      <c r="AA638" s="469">
        <f ca="1">IF(AA$361&gt;='2.2 Input_General_Information'!$H$20,AA633/AA$637,)</f>
        <v>0</v>
      </c>
      <c r="AB638" s="469">
        <f ca="1">IF(AB$361&gt;='2.2 Input_General_Information'!$H$20,AB633/AB$637,)</f>
        <v>0</v>
      </c>
      <c r="AC638" s="469">
        <f ca="1">IF(AC$361&gt;='2.2 Input_General_Information'!$H$20,AC633/AC$637,)</f>
        <v>0</v>
      </c>
      <c r="AD638" s="469">
        <f ca="1">IF(AD$361&gt;='2.2 Input_General_Information'!$H$20,AD633/AD$637,)</f>
        <v>0</v>
      </c>
      <c r="AE638" s="469">
        <f ca="1">IF(AE$361&gt;='2.2 Input_General_Information'!$H$20,AE633/AE$637,)</f>
        <v>0</v>
      </c>
      <c r="AF638" s="469">
        <f ca="1">IF(AF$361&gt;='2.2 Input_General_Information'!$H$20,AF633/AF$637,)</f>
        <v>0</v>
      </c>
      <c r="AG638" s="469">
        <f ca="1">IF(AG$361&gt;='2.2 Input_General_Information'!$H$20,AG633/AG$637,)</f>
        <v>0</v>
      </c>
      <c r="AH638" s="469">
        <f ca="1">IF(AH$361&gt;='2.2 Input_General_Information'!$H$20,AH633/AH$637,)</f>
        <v>0</v>
      </c>
      <c r="AI638" s="469">
        <f ca="1">IF(AI$361&gt;='2.2 Input_General_Information'!$H$20,AI633/AI$637,)</f>
        <v>0</v>
      </c>
      <c r="AJ638" s="469">
        <f ca="1">IF(AJ$361&gt;='2.2 Input_General_Information'!$H$20,AJ633/AJ$637,)</f>
        <v>0</v>
      </c>
      <c r="AK638" s="469">
        <f ca="1">IF(AK$361&gt;='2.2 Input_General_Information'!$H$20,AK633/AK$637,)</f>
        <v>0</v>
      </c>
      <c r="AL638" s="469">
        <f ca="1">IF(AL$361&gt;='2.2 Input_General_Information'!$H$20,AL633/AL$637,)</f>
        <v>0</v>
      </c>
      <c r="AM638" s="469">
        <f ca="1">IF(AM$361&gt;='2.2 Input_General_Information'!$H$20,AM633/AM$637,)</f>
        <v>0</v>
      </c>
      <c r="AN638" s="469">
        <f ca="1">IF(AN$361&gt;='2.2 Input_General_Information'!$H$20,AN633/AN$637,)</f>
        <v>0</v>
      </c>
      <c r="AO638" s="469">
        <f ca="1">IF(AO$361&gt;='2.2 Input_General_Information'!$H$20,AO633/AO$637,)</f>
        <v>0</v>
      </c>
      <c r="AP638" s="469">
        <f ca="1">IF(AP$361&gt;='2.2 Input_General_Information'!$H$20,AP633/AP$637,)</f>
        <v>0</v>
      </c>
      <c r="AQ638" s="469">
        <f ca="1">IF(AQ$361&gt;='2.2 Input_General_Information'!$H$20,AQ633/AQ$637,)</f>
        <v>0</v>
      </c>
      <c r="AR638" s="469">
        <f ca="1">IF(AR$361&gt;='2.2 Input_General_Information'!$H$20,AR633/AR$637,)</f>
        <v>0</v>
      </c>
      <c r="AS638" s="469">
        <f ca="1">IF(AS$361&gt;='2.2 Input_General_Information'!$H$20,AS633/AS$637,)</f>
        <v>0</v>
      </c>
      <c r="AT638" s="469">
        <f ca="1">IF(AT$361&gt;='2.2 Input_General_Information'!$H$20,AT633/AT$637,)</f>
        <v>0</v>
      </c>
      <c r="AU638" s="469">
        <f ca="1">IF(AU$361&gt;='2.2 Input_General_Information'!$H$20,AU633/AU$637,)</f>
        <v>0</v>
      </c>
      <c r="AV638" s="469">
        <f ca="1">IF(AV$361&gt;='2.2 Input_General_Information'!$H$20,AV633/AV$637,)</f>
        <v>0</v>
      </c>
      <c r="AW638" s="469">
        <f ca="1">IF(AW$361&gt;='2.2 Input_General_Information'!$H$20,AW633/AW$637,)</f>
        <v>0</v>
      </c>
      <c r="AX638" s="469">
        <f ca="1">IF(AX$361&gt;='2.2 Input_General_Information'!$H$20,AX633/AX$637,)</f>
        <v>0</v>
      </c>
      <c r="AY638" s="469">
        <f ca="1">IF(AY$361&gt;='2.2 Input_General_Information'!$H$20,AY633/AY$637,)</f>
        <v>0</v>
      </c>
      <c r="AZ638" s="469">
        <f ca="1">IF(AZ$361&gt;='2.2 Input_General_Information'!$H$20,AZ633/AZ$637,)</f>
        <v>0</v>
      </c>
      <c r="BA638" s="469">
        <f ca="1">IF(BA$361&gt;='2.2 Input_General_Information'!$H$20,BA633/BA$637,)</f>
        <v>0</v>
      </c>
      <c r="BB638" s="469">
        <f ca="1">IF(BB$361&gt;='2.2 Input_General_Information'!$H$20,BB633/BB$637,)</f>
        <v>0</v>
      </c>
      <c r="BC638" s="469">
        <f ca="1">IF(BC$361&gt;='2.2 Input_General_Information'!$H$20,BC633/BC$637,)</f>
        <v>0</v>
      </c>
      <c r="BD638" s="469">
        <f ca="1">IF(BD$361&gt;='2.2 Input_General_Information'!$H$20,BD633/BD$637,)</f>
        <v>0</v>
      </c>
      <c r="BE638" s="469">
        <f ca="1">IF(BE$361&gt;='2.2 Input_General_Information'!$H$20,BE633/BE$637,)</f>
        <v>0</v>
      </c>
      <c r="BF638" s="469">
        <f ca="1">IF(BF$361&gt;='2.2 Input_General_Information'!$H$20,BF633/BF$637,)</f>
        <v>0</v>
      </c>
      <c r="BG638" s="469">
        <f ca="1">IF(BG$361&gt;='2.2 Input_General_Information'!$H$20,BG633/BG$637,)</f>
        <v>0</v>
      </c>
      <c r="BH638" s="469">
        <f ca="1">IF(BH$361&gt;='2.2 Input_General_Information'!$H$20,BH633/BH$637,)</f>
        <v>0</v>
      </c>
      <c r="BI638" s="469">
        <f ca="1">IF(BI$361&gt;='2.2 Input_General_Information'!$H$20,BI633/BI$637,)</f>
        <v>0</v>
      </c>
      <c r="BJ638" s="469">
        <f ca="1">IF(BJ$361&gt;='2.2 Input_General_Information'!$H$20,BJ633/BJ$637,)</f>
        <v>0</v>
      </c>
      <c r="BK638" s="469">
        <f ca="1">IF(BK$361&gt;='2.2 Input_General_Information'!$H$20,BK633/BK$637,)</f>
        <v>0</v>
      </c>
      <c r="BL638" s="98"/>
      <c r="BM638" s="98"/>
      <c r="BN638" s="98"/>
      <c r="BO638" s="98"/>
      <c r="BP638" s="98"/>
      <c r="BQ638" s="98"/>
      <c r="BR638" s="98"/>
      <c r="BS638" s="98"/>
      <c r="BT638" s="98"/>
      <c r="BU638" s="98"/>
    </row>
    <row r="639" spans="1:73" ht="17.25" customHeight="1">
      <c r="A639" s="6"/>
      <c r="B639" s="577"/>
      <c r="C639" s="578"/>
      <c r="D639" s="12"/>
      <c r="E639" s="1"/>
      <c r="F639" s="1"/>
      <c r="G639" s="3"/>
      <c r="H639" s="3"/>
      <c r="I639" s="3"/>
      <c r="J639" s="3"/>
      <c r="K639" s="3"/>
      <c r="L639" s="3"/>
      <c r="M639" s="3"/>
      <c r="N639" s="3"/>
      <c r="O639" s="1"/>
      <c r="P639" s="1"/>
      <c r="Q639" s="1"/>
      <c r="R639" s="162"/>
      <c r="S639" s="1"/>
      <c r="T639" s="103"/>
      <c r="U639" s="103"/>
      <c r="V639" s="101" t="str">
        <f t="shared" si="101"/>
        <v>local standardised licences</v>
      </c>
      <c r="W639" s="469">
        <f ca="1">IF(W$361&gt;='2.2 Input_General_Information'!$H$20,W634/W$637,)</f>
        <v>0.14998799975999411</v>
      </c>
      <c r="X639" s="469">
        <f ca="1">IF(X$361&gt;='2.2 Input_General_Information'!$H$20,X634/X$637,)</f>
        <v>0.12220056110625398</v>
      </c>
      <c r="Y639" s="469">
        <f ca="1">IF(Y$361&gt;='2.2 Input_General_Information'!$H$20,Y634/Y$637,)</f>
        <v>6.6041265407778722E-3</v>
      </c>
      <c r="Z639" s="469">
        <f ca="1">IF(Z$361&gt;='2.2 Input_General_Information'!$H$20,Z634/Z$637,)</f>
        <v>1.5001200095989371E-5</v>
      </c>
      <c r="AA639" s="469">
        <f ca="1">IF(AA$361&gt;='2.2 Input_General_Information'!$H$20,AA634/AA$637,)</f>
        <v>0</v>
      </c>
      <c r="AB639" s="469">
        <f ca="1">IF(AB$361&gt;='2.2 Input_General_Information'!$H$20,AB634/AB$637,)</f>
        <v>0</v>
      </c>
      <c r="AC639" s="469">
        <f ca="1">IF(AC$361&gt;='2.2 Input_General_Information'!$H$20,AC634/AC$637,)</f>
        <v>0</v>
      </c>
      <c r="AD639" s="469">
        <f ca="1">IF(AD$361&gt;='2.2 Input_General_Information'!$H$20,AD634/AD$637,)</f>
        <v>0</v>
      </c>
      <c r="AE639" s="469">
        <f ca="1">IF(AE$361&gt;='2.2 Input_General_Information'!$H$20,AE634/AE$637,)</f>
        <v>0</v>
      </c>
      <c r="AF639" s="469">
        <f ca="1">IF(AF$361&gt;='2.2 Input_General_Information'!$H$20,AF634/AF$637,)</f>
        <v>0</v>
      </c>
      <c r="AG639" s="469">
        <f ca="1">IF(AG$361&gt;='2.2 Input_General_Information'!$H$20,AG634/AG$637,)</f>
        <v>0</v>
      </c>
      <c r="AH639" s="469">
        <f ca="1">IF(AH$361&gt;='2.2 Input_General_Information'!$H$20,AH634/AH$637,)</f>
        <v>0</v>
      </c>
      <c r="AI639" s="469">
        <f ca="1">IF(AI$361&gt;='2.2 Input_General_Information'!$H$20,AI634/AI$637,)</f>
        <v>0</v>
      </c>
      <c r="AJ639" s="469">
        <f ca="1">IF(AJ$361&gt;='2.2 Input_General_Information'!$H$20,AJ634/AJ$637,)</f>
        <v>0</v>
      </c>
      <c r="AK639" s="469">
        <f ca="1">IF(AK$361&gt;='2.2 Input_General_Information'!$H$20,AK634/AK$637,)</f>
        <v>0</v>
      </c>
      <c r="AL639" s="469">
        <f ca="1">IF(AL$361&gt;='2.2 Input_General_Information'!$H$20,AL634/AL$637,)</f>
        <v>0</v>
      </c>
      <c r="AM639" s="469">
        <f ca="1">IF(AM$361&gt;='2.2 Input_General_Information'!$H$20,AM634/AM$637,)</f>
        <v>0</v>
      </c>
      <c r="AN639" s="469">
        <f ca="1">IF(AN$361&gt;='2.2 Input_General_Information'!$H$20,AN634/AN$637,)</f>
        <v>0</v>
      </c>
      <c r="AO639" s="469">
        <f ca="1">IF(AO$361&gt;='2.2 Input_General_Information'!$H$20,AO634/AO$637,)</f>
        <v>0</v>
      </c>
      <c r="AP639" s="469">
        <f ca="1">IF(AP$361&gt;='2.2 Input_General_Information'!$H$20,AP634/AP$637,)</f>
        <v>0</v>
      </c>
      <c r="AQ639" s="469">
        <f ca="1">IF(AQ$361&gt;='2.2 Input_General_Information'!$H$20,AQ634/AQ$637,)</f>
        <v>0</v>
      </c>
      <c r="AR639" s="469">
        <f ca="1">IF(AR$361&gt;='2.2 Input_General_Information'!$H$20,AR634/AR$637,)</f>
        <v>0</v>
      </c>
      <c r="AS639" s="469">
        <f ca="1">IF(AS$361&gt;='2.2 Input_General_Information'!$H$20,AS634/AS$637,)</f>
        <v>0</v>
      </c>
      <c r="AT639" s="469">
        <f ca="1">IF(AT$361&gt;='2.2 Input_General_Information'!$H$20,AT634/AT$637,)</f>
        <v>0</v>
      </c>
      <c r="AU639" s="469">
        <f ca="1">IF(AU$361&gt;='2.2 Input_General_Information'!$H$20,AU634/AU$637,)</f>
        <v>0</v>
      </c>
      <c r="AV639" s="469">
        <f ca="1">IF(AV$361&gt;='2.2 Input_General_Information'!$H$20,AV634/AV$637,)</f>
        <v>0</v>
      </c>
      <c r="AW639" s="469">
        <f ca="1">IF(AW$361&gt;='2.2 Input_General_Information'!$H$20,AW634/AW$637,)</f>
        <v>0</v>
      </c>
      <c r="AX639" s="469">
        <f ca="1">IF(AX$361&gt;='2.2 Input_General_Information'!$H$20,AX634/AX$637,)</f>
        <v>0</v>
      </c>
      <c r="AY639" s="469">
        <f ca="1">IF(AY$361&gt;='2.2 Input_General_Information'!$H$20,AY634/AY$637,)</f>
        <v>0</v>
      </c>
      <c r="AZ639" s="469">
        <f ca="1">IF(AZ$361&gt;='2.2 Input_General_Information'!$H$20,AZ634/AZ$637,)</f>
        <v>0</v>
      </c>
      <c r="BA639" s="469">
        <f ca="1">IF(BA$361&gt;='2.2 Input_General_Information'!$H$20,BA634/BA$637,)</f>
        <v>0</v>
      </c>
      <c r="BB639" s="469">
        <f ca="1">IF(BB$361&gt;='2.2 Input_General_Information'!$H$20,BB634/BB$637,)</f>
        <v>0</v>
      </c>
      <c r="BC639" s="469">
        <f ca="1">IF(BC$361&gt;='2.2 Input_General_Information'!$H$20,BC634/BC$637,)</f>
        <v>0</v>
      </c>
      <c r="BD639" s="469">
        <f ca="1">IF(BD$361&gt;='2.2 Input_General_Information'!$H$20,BD634/BD$637,)</f>
        <v>0</v>
      </c>
      <c r="BE639" s="469">
        <f ca="1">IF(BE$361&gt;='2.2 Input_General_Information'!$H$20,BE634/BE$637,)</f>
        <v>0</v>
      </c>
      <c r="BF639" s="469">
        <f ca="1">IF(BF$361&gt;='2.2 Input_General_Information'!$H$20,BF634/BF$637,)</f>
        <v>0</v>
      </c>
      <c r="BG639" s="469">
        <f ca="1">IF(BG$361&gt;='2.2 Input_General_Information'!$H$20,BG634/BG$637,)</f>
        <v>0</v>
      </c>
      <c r="BH639" s="469">
        <f ca="1">IF(BH$361&gt;='2.2 Input_General_Information'!$H$20,BH634/BH$637,)</f>
        <v>0</v>
      </c>
      <c r="BI639" s="469">
        <f ca="1">IF(BI$361&gt;='2.2 Input_General_Information'!$H$20,BI634/BI$637,)</f>
        <v>0</v>
      </c>
      <c r="BJ639" s="469">
        <f ca="1">IF(BJ$361&gt;='2.2 Input_General_Information'!$H$20,BJ634/BJ$637,)</f>
        <v>0</v>
      </c>
      <c r="BK639" s="469">
        <f ca="1">IF(BK$361&gt;='2.2 Input_General_Information'!$H$20,BK634/BK$637,)</f>
        <v>0</v>
      </c>
      <c r="BL639" s="98"/>
      <c r="BM639" s="98"/>
      <c r="BN639" s="98"/>
      <c r="BO639" s="98"/>
      <c r="BP639" s="98"/>
      <c r="BQ639" s="98"/>
      <c r="BR639" s="98"/>
      <c r="BS639" s="98"/>
      <c r="BT639" s="98"/>
      <c r="BU639" s="98"/>
    </row>
    <row r="640" spans="1:73" ht="17.25" customHeight="1">
      <c r="A640" s="6"/>
      <c r="B640" s="577"/>
      <c r="C640" s="578"/>
      <c r="D640" s="12"/>
      <c r="E640" s="1"/>
      <c r="F640" s="1"/>
      <c r="G640" s="3"/>
      <c r="H640" s="3"/>
      <c r="I640" s="3"/>
      <c r="J640" s="3"/>
      <c r="K640" s="3"/>
      <c r="L640" s="3"/>
      <c r="M640" s="3"/>
      <c r="N640" s="3"/>
      <c r="O640" s="1"/>
      <c r="P640" s="1"/>
      <c r="Q640" s="1"/>
      <c r="R640" s="162"/>
      <c r="S640" s="1"/>
      <c r="T640" s="103"/>
      <c r="U640" s="103"/>
      <c r="V640" s="101" t="str">
        <f t="shared" si="101"/>
        <v>global standardised licence</v>
      </c>
      <c r="W640" s="469">
        <f ca="1">IF(W$361&gt;='2.2 Input_General_Information'!$H$20,W635/W$637,)</f>
        <v>0.80001600032000786</v>
      </c>
      <c r="X640" s="469">
        <f ca="1">IF(X$361&gt;='2.2 Input_General_Information'!$H$20,X635/X$637,)</f>
        <v>0.83706591852499457</v>
      </c>
      <c r="Y640" s="469">
        <f ca="1">IF(Y$361&gt;='2.2 Input_General_Information'!$H$20,Y635/Y$637,)</f>
        <v>0.99119449794562942</v>
      </c>
      <c r="Z640" s="469">
        <f ca="1">IF(Z$361&gt;='2.2 Input_General_Information'!$H$20,Z635/Z$637,)</f>
        <v>0.99997999839987195</v>
      </c>
      <c r="AA640" s="469">
        <f ca="1">IF(AA$361&gt;='2.2 Input_General_Information'!$H$20,AA635/AA$637,)</f>
        <v>1</v>
      </c>
      <c r="AB640" s="469">
        <f ca="1">IF(AB$361&gt;='2.2 Input_General_Information'!$H$20,AB635/AB$637,)</f>
        <v>1</v>
      </c>
      <c r="AC640" s="469">
        <f ca="1">IF(AC$361&gt;='2.2 Input_General_Information'!$H$20,AC635/AC$637,)</f>
        <v>1</v>
      </c>
      <c r="AD640" s="469">
        <f ca="1">IF(AD$361&gt;='2.2 Input_General_Information'!$H$20,AD635/AD$637,)</f>
        <v>1</v>
      </c>
      <c r="AE640" s="469">
        <f ca="1">IF(AE$361&gt;='2.2 Input_General_Information'!$H$20,AE635/AE$637,)</f>
        <v>1</v>
      </c>
      <c r="AF640" s="469">
        <f ca="1">IF(AF$361&gt;='2.2 Input_General_Information'!$H$20,AF635/AF$637,)</f>
        <v>1</v>
      </c>
      <c r="AG640" s="469">
        <f ca="1">IF(AG$361&gt;='2.2 Input_General_Information'!$H$20,AG635/AG$637,)</f>
        <v>1</v>
      </c>
      <c r="AH640" s="469">
        <f ca="1">IF(AH$361&gt;='2.2 Input_General_Information'!$H$20,AH635/AH$637,)</f>
        <v>1</v>
      </c>
      <c r="AI640" s="469">
        <f ca="1">IF(AI$361&gt;='2.2 Input_General_Information'!$H$20,AI635/AI$637,)</f>
        <v>1</v>
      </c>
      <c r="AJ640" s="469">
        <f ca="1">IF(AJ$361&gt;='2.2 Input_General_Information'!$H$20,AJ635/AJ$637,)</f>
        <v>1</v>
      </c>
      <c r="AK640" s="469">
        <f ca="1">IF(AK$361&gt;='2.2 Input_General_Information'!$H$20,AK635/AK$637,)</f>
        <v>1</v>
      </c>
      <c r="AL640" s="469">
        <f ca="1">IF(AL$361&gt;='2.2 Input_General_Information'!$H$20,AL635/AL$637,)</f>
        <v>1</v>
      </c>
      <c r="AM640" s="469">
        <f ca="1">IF(AM$361&gt;='2.2 Input_General_Information'!$H$20,AM635/AM$637,)</f>
        <v>1</v>
      </c>
      <c r="AN640" s="469">
        <f ca="1">IF(AN$361&gt;='2.2 Input_General_Information'!$H$20,AN635/AN$637,)</f>
        <v>1</v>
      </c>
      <c r="AO640" s="469">
        <f ca="1">IF(AO$361&gt;='2.2 Input_General_Information'!$H$20,AO635/AO$637,)</f>
        <v>1</v>
      </c>
      <c r="AP640" s="469">
        <f ca="1">IF(AP$361&gt;='2.2 Input_General_Information'!$H$20,AP635/AP$637,)</f>
        <v>1</v>
      </c>
      <c r="AQ640" s="469">
        <f ca="1">IF(AQ$361&gt;='2.2 Input_General_Information'!$H$20,AQ635/AQ$637,)</f>
        <v>1</v>
      </c>
      <c r="AR640" s="469">
        <f ca="1">IF(AR$361&gt;='2.2 Input_General_Information'!$H$20,AR635/AR$637,)</f>
        <v>1</v>
      </c>
      <c r="AS640" s="469">
        <f ca="1">IF(AS$361&gt;='2.2 Input_General_Information'!$H$20,AS635/AS$637,)</f>
        <v>1</v>
      </c>
      <c r="AT640" s="469">
        <f ca="1">IF(AT$361&gt;='2.2 Input_General_Information'!$H$20,AT635/AT$637,)</f>
        <v>1</v>
      </c>
      <c r="AU640" s="469">
        <f ca="1">IF(AU$361&gt;='2.2 Input_General_Information'!$H$20,AU635/AU$637,)</f>
        <v>1</v>
      </c>
      <c r="AV640" s="469">
        <f ca="1">IF(AV$361&gt;='2.2 Input_General_Information'!$H$20,AV635/AV$637,)</f>
        <v>1</v>
      </c>
      <c r="AW640" s="469">
        <f ca="1">IF(AW$361&gt;='2.2 Input_General_Information'!$H$20,AW635/AW$637,)</f>
        <v>1</v>
      </c>
      <c r="AX640" s="469">
        <f ca="1">IF(AX$361&gt;='2.2 Input_General_Information'!$H$20,AX635/AX$637,)</f>
        <v>1</v>
      </c>
      <c r="AY640" s="469">
        <f ca="1">IF(AY$361&gt;='2.2 Input_General_Information'!$H$20,AY635/AY$637,)</f>
        <v>1</v>
      </c>
      <c r="AZ640" s="469">
        <f ca="1">IF(AZ$361&gt;='2.2 Input_General_Information'!$H$20,AZ635/AZ$637,)</f>
        <v>1</v>
      </c>
      <c r="BA640" s="469">
        <f ca="1">IF(BA$361&gt;='2.2 Input_General_Information'!$H$20,BA635/BA$637,)</f>
        <v>1</v>
      </c>
      <c r="BB640" s="469">
        <f ca="1">IF(BB$361&gt;='2.2 Input_General_Information'!$H$20,BB635/BB$637,)</f>
        <v>1</v>
      </c>
      <c r="BC640" s="469">
        <f ca="1">IF(BC$361&gt;='2.2 Input_General_Information'!$H$20,BC635/BC$637,)</f>
        <v>1</v>
      </c>
      <c r="BD640" s="469">
        <f ca="1">IF(BD$361&gt;='2.2 Input_General_Information'!$H$20,BD635/BD$637,)</f>
        <v>1</v>
      </c>
      <c r="BE640" s="469">
        <f ca="1">IF(BE$361&gt;='2.2 Input_General_Information'!$H$20,BE635/BE$637,)</f>
        <v>1</v>
      </c>
      <c r="BF640" s="469">
        <f ca="1">IF(BF$361&gt;='2.2 Input_General_Information'!$H$20,BF635/BF$637,)</f>
        <v>1</v>
      </c>
      <c r="BG640" s="469">
        <f ca="1">IF(BG$361&gt;='2.2 Input_General_Information'!$H$20,BG635/BG$637,)</f>
        <v>1</v>
      </c>
      <c r="BH640" s="469">
        <f ca="1">IF(BH$361&gt;='2.2 Input_General_Information'!$H$20,BH635/BH$637,)</f>
        <v>1</v>
      </c>
      <c r="BI640" s="469">
        <f ca="1">IF(BI$361&gt;='2.2 Input_General_Information'!$H$20,BI635/BI$637,)</f>
        <v>1</v>
      </c>
      <c r="BJ640" s="469">
        <f ca="1">IF(BJ$361&gt;='2.2 Input_General_Information'!$H$20,BJ635/BJ$637,)</f>
        <v>1</v>
      </c>
      <c r="BK640" s="469">
        <f ca="1">IF(BK$361&gt;='2.2 Input_General_Information'!$H$20,BK635/BK$637,)</f>
        <v>1</v>
      </c>
      <c r="BL640" s="98"/>
      <c r="BM640" s="98"/>
      <c r="BN640" s="98"/>
      <c r="BO640" s="98"/>
      <c r="BP640" s="98"/>
      <c r="BQ640" s="98"/>
      <c r="BR640" s="98"/>
      <c r="BS640" s="98"/>
      <c r="BT640" s="98"/>
      <c r="BU640" s="98"/>
    </row>
    <row r="641" spans="1:73" ht="17.25" customHeight="1">
      <c r="A641" s="6"/>
      <c r="B641" s="577"/>
      <c r="C641" s="578"/>
      <c r="D641" s="12"/>
      <c r="E641" s="1"/>
      <c r="F641" s="1"/>
      <c r="G641" s="3"/>
      <c r="H641" s="3"/>
      <c r="I641" s="3"/>
      <c r="J641" s="3"/>
      <c r="K641" s="3"/>
      <c r="L641" s="3"/>
      <c r="M641" s="3"/>
      <c r="N641" s="3"/>
      <c r="O641" s="1"/>
      <c r="P641" s="1"/>
      <c r="Q641" s="1"/>
      <c r="R641" s="162"/>
      <c r="S641" s="1"/>
      <c r="T641" s="103"/>
      <c r="U641" s="103"/>
      <c r="V641" s="103"/>
      <c r="W641" s="416"/>
      <c r="X641" s="416"/>
      <c r="Y641" s="416"/>
      <c r="Z641" s="416"/>
      <c r="AA641" s="416"/>
      <c r="AB641" s="416"/>
      <c r="AC641" s="416"/>
      <c r="AD641" s="416"/>
      <c r="AE641" s="416"/>
      <c r="AF641" s="416"/>
      <c r="AG641" s="416"/>
      <c r="AH641" s="416"/>
      <c r="AI641" s="416"/>
      <c r="AJ641" s="416"/>
      <c r="AK641" s="416"/>
      <c r="AL641" s="416"/>
      <c r="AM641" s="416"/>
      <c r="AN641" s="416"/>
      <c r="AO641" s="416"/>
      <c r="AP641" s="416"/>
      <c r="AQ641" s="416"/>
      <c r="AR641" s="416"/>
      <c r="AS641" s="416"/>
      <c r="AT641" s="416"/>
      <c r="AU641" s="416"/>
      <c r="AV641" s="416"/>
      <c r="AW641" s="416"/>
      <c r="AX641" s="416"/>
      <c r="AY641" s="416"/>
      <c r="AZ641" s="416"/>
      <c r="BA641" s="416"/>
      <c r="BB641" s="416"/>
      <c r="BC641" s="416"/>
      <c r="BD641" s="416"/>
      <c r="BE641" s="416"/>
      <c r="BF641" s="416"/>
      <c r="BG641" s="416"/>
      <c r="BH641" s="416"/>
      <c r="BI641" s="416"/>
      <c r="BJ641" s="416"/>
      <c r="BK641" s="416"/>
      <c r="BL641" s="98"/>
      <c r="BM641" s="98"/>
      <c r="BN641" s="98"/>
      <c r="BO641" s="98"/>
      <c r="BP641" s="98"/>
      <c r="BQ641" s="98"/>
      <c r="BR641" s="98"/>
      <c r="BS641" s="98"/>
      <c r="BT641" s="98"/>
      <c r="BU641" s="98"/>
    </row>
    <row r="642" spans="1:73" ht="17.25" customHeight="1">
      <c r="A642" s="6"/>
      <c r="B642" s="577"/>
      <c r="C642" s="578"/>
      <c r="D642" s="12"/>
      <c r="E642" s="1"/>
      <c r="F642" s="1"/>
      <c r="G642" s="3"/>
      <c r="H642" s="3"/>
      <c r="I642" s="3"/>
      <c r="J642" s="3"/>
      <c r="K642" s="3"/>
      <c r="L642" s="3"/>
      <c r="M642" s="3"/>
      <c r="N642" s="3"/>
      <c r="O642" s="1"/>
      <c r="P642" s="1"/>
      <c r="Q642" s="1"/>
      <c r="R642" s="162"/>
      <c r="S642" s="1"/>
      <c r="T642" s="103"/>
      <c r="U642" s="103"/>
      <c r="V642" s="103" t="str">
        <f t="shared" ref="V642:V644" si="102">E623</f>
        <v>no standardised licence</v>
      </c>
      <c r="W642" s="416">
        <f ca="1">IF(W$631&lt;'2.2 Input_General_Information'!$H$20, ,IF(W$631='2.2 Input_General_Information'!$H$20,$H$623,IFERROR(V642/V638*W638,0)))</f>
        <v>0.2</v>
      </c>
      <c r="X642" s="416">
        <f ca="1">IF(X$631&lt;'2.2 Input_General_Information'!$H$20, ,IF(X$631='2.2 Input_General_Information'!$H$20,$H$623,IFERROR(W642/W638*X638,0)))</f>
        <v>0.1629471175051275</v>
      </c>
      <c r="Y642" s="416">
        <f ca="1">IF(Y$631&lt;'2.2 Input_General_Information'!$H$20, ,IF(Y$631='2.2 Input_General_Information'!$H$20,$H$623,IFERROR(X642/X638*Y638,0)))</f>
        <v>8.8062065649859751E-3</v>
      </c>
      <c r="Z642" s="416">
        <f ca="1">IF(Z$631&lt;'2.2 Input_General_Information'!$H$20, ,IF(Z$631='2.2 Input_General_Information'!$H$20,$H$623,IFERROR(Y642/Y638*Z638,0)))</f>
        <v>2.0003200416025018E-5</v>
      </c>
      <c r="AA642" s="416">
        <f ca="1">IF(AA$631&lt;'2.2 Input_General_Information'!$H$20, ,IF(AA$631='2.2 Input_General_Information'!$H$20,$H$623,IFERROR(Z642/Z638*AA638,0)))</f>
        <v>0</v>
      </c>
      <c r="AB642" s="416">
        <f ca="1">IF(AB$631&lt;'2.2 Input_General_Information'!$H$20, ,IF(AB$631='2.2 Input_General_Information'!$H$20,$H$623,IFERROR(AA642/AA638*AB638,0)))</f>
        <v>0</v>
      </c>
      <c r="AC642" s="416">
        <f ca="1">IF(AC$631&lt;'2.2 Input_General_Information'!$H$20, ,IF(AC$631='2.2 Input_General_Information'!$H$20,$H$623,IFERROR(AB642/AB638*AC638,0)))</f>
        <v>0</v>
      </c>
      <c r="AD642" s="416">
        <f ca="1">IF(AD$631&lt;'2.2 Input_General_Information'!$H$20, ,IF(AD$631='2.2 Input_General_Information'!$H$20,$H$623,IFERROR(AC642/AC638*AD638,0)))</f>
        <v>0</v>
      </c>
      <c r="AE642" s="416">
        <f ca="1">IF(AE$631&lt;'2.2 Input_General_Information'!$H$20, ,IF(AE$631='2.2 Input_General_Information'!$H$20,$H$623,IFERROR(AD642/AD638*AE638,0)))</f>
        <v>0</v>
      </c>
      <c r="AF642" s="416">
        <f ca="1">IF(AF$631&lt;'2.2 Input_General_Information'!$H$20, ,IF(AF$631='2.2 Input_General_Information'!$H$20,$H$623,IFERROR(AE642/AE638*AF638,0)))</f>
        <v>0</v>
      </c>
      <c r="AG642" s="416">
        <f ca="1">IF(AG$631&lt;'2.2 Input_General_Information'!$H$20, ,IF(AG$631='2.2 Input_General_Information'!$H$20,$H$623,IFERROR(AF642/AF638*AG638,0)))</f>
        <v>0</v>
      </c>
      <c r="AH642" s="416">
        <f ca="1">IF(AH$631&lt;'2.2 Input_General_Information'!$H$20, ,IF(AH$631='2.2 Input_General_Information'!$H$20,$H$623,IFERROR(AG642/AG638*AH638,0)))</f>
        <v>0</v>
      </c>
      <c r="AI642" s="416">
        <f ca="1">IF(AI$631&lt;'2.2 Input_General_Information'!$H$20, ,IF(AI$631='2.2 Input_General_Information'!$H$20,$H$623,IFERROR(AH642/AH638*AI638,0)))</f>
        <v>0</v>
      </c>
      <c r="AJ642" s="416">
        <f ca="1">IF(AJ$631&lt;'2.2 Input_General_Information'!$H$20, ,IF(AJ$631='2.2 Input_General_Information'!$H$20,$H$623,IFERROR(AI642/AI638*AJ638,0)))</f>
        <v>0</v>
      </c>
      <c r="AK642" s="416">
        <f ca="1">IF(AK$631&lt;'2.2 Input_General_Information'!$H$20, ,IF(AK$631='2.2 Input_General_Information'!$H$20,$H$623,IFERROR(AJ642/AJ638*AK638,0)))</f>
        <v>0</v>
      </c>
      <c r="AL642" s="416">
        <f ca="1">IF(AL$631&lt;'2.2 Input_General_Information'!$H$20, ,IF(AL$631='2.2 Input_General_Information'!$H$20,$H$623,IFERROR(AK642/AK638*AL638,0)))</f>
        <v>0</v>
      </c>
      <c r="AM642" s="416">
        <f ca="1">IF(AM$631&lt;'2.2 Input_General_Information'!$H$20, ,IF(AM$631='2.2 Input_General_Information'!$H$20,$H$623,IFERROR(AL642/AL638*AM638,0)))</f>
        <v>0</v>
      </c>
      <c r="AN642" s="416">
        <f ca="1">IF(AN$631&lt;'2.2 Input_General_Information'!$H$20, ,IF(AN$631='2.2 Input_General_Information'!$H$20,$H$623,IFERROR(AM642/AM638*AN638,0)))</f>
        <v>0</v>
      </c>
      <c r="AO642" s="416">
        <f ca="1">IF(AO$631&lt;'2.2 Input_General_Information'!$H$20, ,IF(AO$631='2.2 Input_General_Information'!$H$20,$H$623,IFERROR(AN642/AN638*AO638,0)))</f>
        <v>0</v>
      </c>
      <c r="AP642" s="416">
        <f ca="1">IF(AP$631&lt;'2.2 Input_General_Information'!$H$20, ,IF(AP$631='2.2 Input_General_Information'!$H$20,$H$623,IFERROR(AO642/AO638*AP638,0)))</f>
        <v>0</v>
      </c>
      <c r="AQ642" s="416">
        <f ca="1">IF(AQ$631&lt;'2.2 Input_General_Information'!$H$20, ,IF(AQ$631='2.2 Input_General_Information'!$H$20,$H$623,IFERROR(AP642/AP638*AQ638,0)))</f>
        <v>0</v>
      </c>
      <c r="AR642" s="416">
        <f ca="1">IF(AR$631&lt;'2.2 Input_General_Information'!$H$20, ,IF(AR$631='2.2 Input_General_Information'!$H$20,$H$623,IFERROR(AQ642/AQ638*AR638,0)))</f>
        <v>0</v>
      </c>
      <c r="AS642" s="416">
        <f ca="1">IF(AS$631&lt;'2.2 Input_General_Information'!$H$20, ,IF(AS$631='2.2 Input_General_Information'!$H$20,$H$623,IFERROR(AR642/AR638*AS638,0)))</f>
        <v>0</v>
      </c>
      <c r="AT642" s="416">
        <f ca="1">IF(AT$631&lt;'2.2 Input_General_Information'!$H$20, ,IF(AT$631='2.2 Input_General_Information'!$H$20,$H$623,IFERROR(AS642/AS638*AT638,0)))</f>
        <v>0</v>
      </c>
      <c r="AU642" s="416">
        <f ca="1">IF(AU$631&lt;'2.2 Input_General_Information'!$H$20, ,IF(AU$631='2.2 Input_General_Information'!$H$20,$H$623,IFERROR(AT642/AT638*AU638,0)))</f>
        <v>0</v>
      </c>
      <c r="AV642" s="416">
        <f ca="1">IF(AV$631&lt;'2.2 Input_General_Information'!$H$20, ,IF(AV$631='2.2 Input_General_Information'!$H$20,$H$623,IFERROR(AU642/AU638*AV638,0)))</f>
        <v>0</v>
      </c>
      <c r="AW642" s="416">
        <f ca="1">IF(AW$631&lt;'2.2 Input_General_Information'!$H$20, ,IF(AW$631='2.2 Input_General_Information'!$H$20,$H$623,IFERROR(AV642/AV638*AW638,0)))</f>
        <v>0</v>
      </c>
      <c r="AX642" s="416">
        <f ca="1">IF(AX$631&lt;'2.2 Input_General_Information'!$H$20, ,IF(AX$631='2.2 Input_General_Information'!$H$20,$H$623,IFERROR(AW642/AW638*AX638,0)))</f>
        <v>0</v>
      </c>
      <c r="AY642" s="416">
        <f ca="1">IF(AY$631&lt;'2.2 Input_General_Information'!$H$20, ,IF(AY$631='2.2 Input_General_Information'!$H$20,$H$623,IFERROR(AX642/AX638*AY638,0)))</f>
        <v>0</v>
      </c>
      <c r="AZ642" s="416">
        <f ca="1">IF(AZ$631&lt;'2.2 Input_General_Information'!$H$20, ,IF(AZ$631='2.2 Input_General_Information'!$H$20,$H$623,IFERROR(AY642/AY638*AZ638,0)))</f>
        <v>0</v>
      </c>
      <c r="BA642" s="416">
        <f ca="1">IF(BA$631&lt;'2.2 Input_General_Information'!$H$20, ,IF(BA$631='2.2 Input_General_Information'!$H$20,$H$623,IFERROR(AZ642/AZ638*BA638,0)))</f>
        <v>0</v>
      </c>
      <c r="BB642" s="416">
        <f ca="1">IF(BB$631&lt;'2.2 Input_General_Information'!$H$20, ,IF(BB$631='2.2 Input_General_Information'!$H$20,$H$623,IFERROR(BA642/BA638*BB638,0)))</f>
        <v>0</v>
      </c>
      <c r="BC642" s="416">
        <f ca="1">IF(BC$631&lt;'2.2 Input_General_Information'!$H$20, ,IF(BC$631='2.2 Input_General_Information'!$H$20,$H$623,IFERROR(BB642/BB638*BC638,0)))</f>
        <v>0</v>
      </c>
      <c r="BD642" s="416">
        <f ca="1">IF(BD$631&lt;'2.2 Input_General_Information'!$H$20, ,IF(BD$631='2.2 Input_General_Information'!$H$20,$H$623,IFERROR(BC642/BC638*BD638,0)))</f>
        <v>0</v>
      </c>
      <c r="BE642" s="416">
        <f ca="1">IF(BE$631&lt;'2.2 Input_General_Information'!$H$20, ,IF(BE$631='2.2 Input_General_Information'!$H$20,$H$623,IFERROR(BD642/BD638*BE638,0)))</f>
        <v>0</v>
      </c>
      <c r="BF642" s="416">
        <f ca="1">IF(BF$631&lt;'2.2 Input_General_Information'!$H$20, ,IF(BF$631='2.2 Input_General_Information'!$H$20,$H$623,IFERROR(BE642/BE638*BF638,0)))</f>
        <v>0</v>
      </c>
      <c r="BG642" s="416">
        <f ca="1">IF(BG$631&lt;'2.2 Input_General_Information'!$H$20, ,IF(BG$631='2.2 Input_General_Information'!$H$20,$H$623,IFERROR(BF642/BF638*BG638,0)))</f>
        <v>0</v>
      </c>
      <c r="BH642" s="416">
        <f ca="1">IF(BH$631&lt;'2.2 Input_General_Information'!$H$20, ,IF(BH$631='2.2 Input_General_Information'!$H$20,$H$623,IFERROR(BG642/BG638*BH638,0)))</f>
        <v>0</v>
      </c>
      <c r="BI642" s="416">
        <f ca="1">IF(BI$631&lt;'2.2 Input_General_Information'!$H$20, ,IF(BI$631='2.2 Input_General_Information'!$H$20,$H$623,IFERROR(BH642/BH638*BI638,0)))</f>
        <v>0</v>
      </c>
      <c r="BJ642" s="416">
        <f ca="1">IF(BJ$631&lt;'2.2 Input_General_Information'!$H$20, ,IF(BJ$631='2.2 Input_General_Information'!$H$20,$H$623,IFERROR(BI642/BI638*BJ638,0)))</f>
        <v>0</v>
      </c>
      <c r="BK642" s="416">
        <f ca="1">IF(BK$631&lt;'2.2 Input_General_Information'!$H$20, ,IF(BK$631='2.2 Input_General_Information'!$H$20,$H$623,IFERROR(BJ642/BJ638*BK638,0)))</f>
        <v>0</v>
      </c>
      <c r="BL642" s="373"/>
      <c r="BM642" s="373"/>
      <c r="BN642" s="373"/>
      <c r="BO642" s="373"/>
      <c r="BP642" s="373"/>
      <c r="BQ642" s="373"/>
      <c r="BR642" s="373"/>
      <c r="BS642" s="373"/>
      <c r="BT642" s="373"/>
      <c r="BU642" s="373"/>
    </row>
    <row r="643" spans="1:73" ht="17.25" customHeight="1">
      <c r="A643" s="6"/>
      <c r="B643" s="577"/>
      <c r="C643" s="578"/>
      <c r="D643" s="12"/>
      <c r="E643" s="1"/>
      <c r="F643" s="1"/>
      <c r="G643" s="3"/>
      <c r="H643" s="3"/>
      <c r="I643" s="3"/>
      <c r="J643" s="3"/>
      <c r="K643" s="3"/>
      <c r="L643" s="3"/>
      <c r="M643" s="3"/>
      <c r="N643" s="3"/>
      <c r="O643" s="1"/>
      <c r="P643" s="1"/>
      <c r="Q643" s="1"/>
      <c r="R643" s="162"/>
      <c r="S643" s="1"/>
      <c r="T643" s="103"/>
      <c r="U643" s="103"/>
      <c r="V643" s="103" t="str">
        <f t="shared" si="102"/>
        <v>local standardised licences</v>
      </c>
      <c r="W643" s="416">
        <f ca="1">IF(W$631&lt;'2.2 Input_General_Information'!$H$20, ,IF(W$631='2.2 Input_General_Information'!$H$20,$H$624,IFERROR(V643/V639*W639,0)))</f>
        <v>0.1</v>
      </c>
      <c r="X643" s="416">
        <f ca="1">IF(X$631&lt;'2.2 Input_General_Information'!$H$20, ,IF(X$631='2.2 Input_General_Information'!$H$20,$H$624,IFERROR(W643/W639*X639,0)))</f>
        <v>8.1473558752563763E-2</v>
      </c>
      <c r="Y643" s="416">
        <f ca="1">IF(Y$631&lt;'2.2 Input_General_Information'!$H$20, ,IF(Y$631='2.2 Input_General_Information'!$H$20,$H$624,IFERROR(X643/X639*Y639,0)))</f>
        <v>4.4031032824929867E-3</v>
      </c>
      <c r="Z643" s="416">
        <f ca="1">IF(Z$631&lt;'2.2 Input_General_Information'!$H$20, ,IF(Z$631='2.2 Input_General_Information'!$H$20,$H$624,IFERROR(Y643/Y639*Z639,0)))</f>
        <v>1.0001600208012509E-5</v>
      </c>
      <c r="AA643" s="416">
        <f ca="1">IF(AA$631&lt;'2.2 Input_General_Information'!$H$20, ,IF(AA$631='2.2 Input_General_Information'!$H$20,$H$624,IFERROR(Z643/Z639*AA639,0)))</f>
        <v>0</v>
      </c>
      <c r="AB643" s="416">
        <f ca="1">IF(AB$631&lt;'2.2 Input_General_Information'!$H$20, ,IF(AB$631='2.2 Input_General_Information'!$H$20,$H$624,IFERROR(AA643/AA639*AB639,0)))</f>
        <v>0</v>
      </c>
      <c r="AC643" s="416">
        <f ca="1">IF(AC$631&lt;'2.2 Input_General_Information'!$H$20, ,IF(AC$631='2.2 Input_General_Information'!$H$20,$H$624,IFERROR(AB643/AB639*AC639,0)))</f>
        <v>0</v>
      </c>
      <c r="AD643" s="416">
        <f ca="1">IF(AD$631&lt;'2.2 Input_General_Information'!$H$20, ,IF(AD$631='2.2 Input_General_Information'!$H$20,$H$624,IFERROR(AC643/AC639*AD639,0)))</f>
        <v>0</v>
      </c>
      <c r="AE643" s="416">
        <f ca="1">IF(AE$631&lt;'2.2 Input_General_Information'!$H$20, ,IF(AE$631='2.2 Input_General_Information'!$H$20,$H$624,IFERROR(AD643/AD639*AE639,0)))</f>
        <v>0</v>
      </c>
      <c r="AF643" s="416">
        <f ca="1">IF(AF$631&lt;'2.2 Input_General_Information'!$H$20, ,IF(AF$631='2.2 Input_General_Information'!$H$20,$H$624,IFERROR(AE643/AE639*AF639,0)))</f>
        <v>0</v>
      </c>
      <c r="AG643" s="416">
        <f ca="1">IF(AG$631&lt;'2.2 Input_General_Information'!$H$20, ,IF(AG$631='2.2 Input_General_Information'!$H$20,$H$624,IFERROR(AF643/AF639*AG639,0)))</f>
        <v>0</v>
      </c>
      <c r="AH643" s="416">
        <f ca="1">IF(AH$631&lt;'2.2 Input_General_Information'!$H$20, ,IF(AH$631='2.2 Input_General_Information'!$H$20,$H$624,IFERROR(AG643/AG639*AH639,0)))</f>
        <v>0</v>
      </c>
      <c r="AI643" s="416">
        <f ca="1">IF(AI$631&lt;'2.2 Input_General_Information'!$H$20, ,IF(AI$631='2.2 Input_General_Information'!$H$20,$H$624,IFERROR(AH643/AH639*AI639,0)))</f>
        <v>0</v>
      </c>
      <c r="AJ643" s="416">
        <f ca="1">IF(AJ$631&lt;'2.2 Input_General_Information'!$H$20, ,IF(AJ$631='2.2 Input_General_Information'!$H$20,$H$624,IFERROR(AI643/AI639*AJ639,0)))</f>
        <v>0</v>
      </c>
      <c r="AK643" s="416">
        <f ca="1">IF(AK$631&lt;'2.2 Input_General_Information'!$H$20, ,IF(AK$631='2.2 Input_General_Information'!$H$20,$H$624,IFERROR(AJ643/AJ639*AK639,0)))</f>
        <v>0</v>
      </c>
      <c r="AL643" s="416">
        <f ca="1">IF(AL$631&lt;'2.2 Input_General_Information'!$H$20, ,IF(AL$631='2.2 Input_General_Information'!$H$20,$H$624,IFERROR(AK643/AK639*AL639,0)))</f>
        <v>0</v>
      </c>
      <c r="AM643" s="416">
        <f ca="1">IF(AM$631&lt;'2.2 Input_General_Information'!$H$20, ,IF(AM$631='2.2 Input_General_Information'!$H$20,$H$624,IFERROR(AL643/AL639*AM639,0)))</f>
        <v>0</v>
      </c>
      <c r="AN643" s="416">
        <f ca="1">IF(AN$631&lt;'2.2 Input_General_Information'!$H$20, ,IF(AN$631='2.2 Input_General_Information'!$H$20,$H$624,IFERROR(AM643/AM639*AN639,0)))</f>
        <v>0</v>
      </c>
      <c r="AO643" s="416">
        <f ca="1">IF(AO$631&lt;'2.2 Input_General_Information'!$H$20, ,IF(AO$631='2.2 Input_General_Information'!$H$20,$H$624,IFERROR(AN643/AN639*AO639,0)))</f>
        <v>0</v>
      </c>
      <c r="AP643" s="416">
        <f ca="1">IF(AP$631&lt;'2.2 Input_General_Information'!$H$20, ,IF(AP$631='2.2 Input_General_Information'!$H$20,$H$624,IFERROR(AO643/AO639*AP639,0)))</f>
        <v>0</v>
      </c>
      <c r="AQ643" s="416">
        <f ca="1">IF(AQ$631&lt;'2.2 Input_General_Information'!$H$20, ,IF(AQ$631='2.2 Input_General_Information'!$H$20,$H$624,IFERROR(AP643/AP639*AQ639,0)))</f>
        <v>0</v>
      </c>
      <c r="AR643" s="416">
        <f ca="1">IF(AR$631&lt;'2.2 Input_General_Information'!$H$20, ,IF(AR$631='2.2 Input_General_Information'!$H$20,$H$624,IFERROR(AQ643/AQ639*AR639,0)))</f>
        <v>0</v>
      </c>
      <c r="AS643" s="416">
        <f ca="1">IF(AS$631&lt;'2.2 Input_General_Information'!$H$20, ,IF(AS$631='2.2 Input_General_Information'!$H$20,$H$624,IFERROR(AR643/AR639*AS639,0)))</f>
        <v>0</v>
      </c>
      <c r="AT643" s="416">
        <f ca="1">IF(AT$631&lt;'2.2 Input_General_Information'!$H$20, ,IF(AT$631='2.2 Input_General_Information'!$H$20,$H$624,IFERROR(AS643/AS639*AT639,0)))</f>
        <v>0</v>
      </c>
      <c r="AU643" s="416">
        <f ca="1">IF(AU$631&lt;'2.2 Input_General_Information'!$H$20, ,IF(AU$631='2.2 Input_General_Information'!$H$20,$H$624,IFERROR(AT643/AT639*AU639,0)))</f>
        <v>0</v>
      </c>
      <c r="AV643" s="416">
        <f ca="1">IF(AV$631&lt;'2.2 Input_General_Information'!$H$20, ,IF(AV$631='2.2 Input_General_Information'!$H$20,$H$624,IFERROR(AU643/AU639*AV639,0)))</f>
        <v>0</v>
      </c>
      <c r="AW643" s="416">
        <f ca="1">IF(AW$631&lt;'2.2 Input_General_Information'!$H$20, ,IF(AW$631='2.2 Input_General_Information'!$H$20,$H$624,IFERROR(AV643/AV639*AW639,0)))</f>
        <v>0</v>
      </c>
      <c r="AX643" s="416">
        <f ca="1">IF(AX$631&lt;'2.2 Input_General_Information'!$H$20, ,IF(AX$631='2.2 Input_General_Information'!$H$20,$H$624,IFERROR(AW643/AW639*AX639,0)))</f>
        <v>0</v>
      </c>
      <c r="AY643" s="416">
        <f ca="1">IF(AY$631&lt;'2.2 Input_General_Information'!$H$20, ,IF(AY$631='2.2 Input_General_Information'!$H$20,$H$624,IFERROR(AX643/AX639*AY639,0)))</f>
        <v>0</v>
      </c>
      <c r="AZ643" s="416">
        <f ca="1">IF(AZ$631&lt;'2.2 Input_General_Information'!$H$20, ,IF(AZ$631='2.2 Input_General_Information'!$H$20,$H$624,IFERROR(AY643/AY639*AZ639,0)))</f>
        <v>0</v>
      </c>
      <c r="BA643" s="416">
        <f ca="1">IF(BA$631&lt;'2.2 Input_General_Information'!$H$20, ,IF(BA$631='2.2 Input_General_Information'!$H$20,$H$624,IFERROR(AZ643/AZ639*BA639,0)))</f>
        <v>0</v>
      </c>
      <c r="BB643" s="416">
        <f ca="1">IF(BB$631&lt;'2.2 Input_General_Information'!$H$20, ,IF(BB$631='2.2 Input_General_Information'!$H$20,$H$624,IFERROR(BA643/BA639*BB639,0)))</f>
        <v>0</v>
      </c>
      <c r="BC643" s="416">
        <f ca="1">IF(BC$631&lt;'2.2 Input_General_Information'!$H$20, ,IF(BC$631='2.2 Input_General_Information'!$H$20,$H$624,IFERROR(BB643/BB639*BC639,0)))</f>
        <v>0</v>
      </c>
      <c r="BD643" s="416">
        <f ca="1">IF(BD$631&lt;'2.2 Input_General_Information'!$H$20, ,IF(BD$631='2.2 Input_General_Information'!$H$20,$H$624,IFERROR(BC643/BC639*BD639,0)))</f>
        <v>0</v>
      </c>
      <c r="BE643" s="416">
        <f ca="1">IF(BE$631&lt;'2.2 Input_General_Information'!$H$20, ,IF(BE$631='2.2 Input_General_Information'!$H$20,$H$624,IFERROR(BD643/BD639*BE639,0)))</f>
        <v>0</v>
      </c>
      <c r="BF643" s="416">
        <f ca="1">IF(BF$631&lt;'2.2 Input_General_Information'!$H$20, ,IF(BF$631='2.2 Input_General_Information'!$H$20,$H$624,IFERROR(BE643/BE639*BF639,0)))</f>
        <v>0</v>
      </c>
      <c r="BG643" s="416">
        <f ca="1">IF(BG$631&lt;'2.2 Input_General_Information'!$H$20, ,IF(BG$631='2.2 Input_General_Information'!$H$20,$H$624,IFERROR(BF643/BF639*BG639,0)))</f>
        <v>0</v>
      </c>
      <c r="BH643" s="416">
        <f ca="1">IF(BH$631&lt;'2.2 Input_General_Information'!$H$20, ,IF(BH$631='2.2 Input_General_Information'!$H$20,$H$624,IFERROR(BG643/BG639*BH639,0)))</f>
        <v>0</v>
      </c>
      <c r="BI643" s="416">
        <f ca="1">IF(BI$631&lt;'2.2 Input_General_Information'!$H$20, ,IF(BI$631='2.2 Input_General_Information'!$H$20,$H$624,IFERROR(BH643/BH639*BI639,0)))</f>
        <v>0</v>
      </c>
      <c r="BJ643" s="416">
        <f ca="1">IF(BJ$631&lt;'2.2 Input_General_Information'!$H$20, ,IF(BJ$631='2.2 Input_General_Information'!$H$20,$H$624,IFERROR(BI643/BI639*BJ639,0)))</f>
        <v>0</v>
      </c>
      <c r="BK643" s="416">
        <f ca="1">IF(BK$631&lt;'2.2 Input_General_Information'!$H$20, ,IF(BK$631='2.2 Input_General_Information'!$H$20,$H$624,IFERROR(BJ643/BJ639*BK639,0)))</f>
        <v>0</v>
      </c>
      <c r="BL643" s="373"/>
      <c r="BM643" s="373"/>
      <c r="BN643" s="373"/>
      <c r="BO643" s="373"/>
      <c r="BP643" s="373"/>
      <c r="BQ643" s="373"/>
      <c r="BR643" s="373"/>
      <c r="BS643" s="373"/>
      <c r="BT643" s="373"/>
      <c r="BU643" s="373"/>
    </row>
    <row r="644" spans="1:73" ht="17.25" customHeight="1">
      <c r="A644" s="6"/>
      <c r="B644" s="577"/>
      <c r="C644" s="578"/>
      <c r="D644" s="12"/>
      <c r="E644" s="1"/>
      <c r="F644" s="1"/>
      <c r="G644" s="3"/>
      <c r="H644" s="3"/>
      <c r="I644" s="3"/>
      <c r="J644" s="3"/>
      <c r="K644" s="3"/>
      <c r="L644" s="3"/>
      <c r="M644" s="3"/>
      <c r="N644" s="3"/>
      <c r="O644" s="1"/>
      <c r="P644" s="1"/>
      <c r="Q644" s="1"/>
      <c r="R644" s="162"/>
      <c r="S644" s="1"/>
      <c r="T644" s="103"/>
      <c r="U644" s="103"/>
      <c r="V644" s="103" t="str">
        <f t="shared" si="102"/>
        <v>global standardised licence</v>
      </c>
      <c r="W644" s="416">
        <f ca="1">IF(W$631&lt;'2.2 Input_General_Information'!$H$20, ,IF(W$631='2.2 Input_General_Information'!$H$20,$H$625,IFERROR(V644/V640*W640,0)))</f>
        <v>0.2</v>
      </c>
      <c r="X644" s="416">
        <f ca="1">IF(X$631&lt;'2.2 Input_General_Information'!$H$20, ,IF(X$631='2.2 Input_General_Information'!$H$20,$H$625,IFERROR(W644/W640*X640,0)))</f>
        <v>0.20926229430165563</v>
      </c>
      <c r="Y644" s="416">
        <f ca="1">IF(Y$631&lt;'2.2 Input_General_Information'!$H$20, ,IF(Y$631='2.2 Input_General_Information'!$H$20,$H$625,IFERROR(X644/X640*Y640,0)))</f>
        <v>0.24779366851391718</v>
      </c>
      <c r="Z644" s="416">
        <f ca="1">IF(Z$631&lt;'2.2 Input_General_Information'!$H$20, ,IF(Z$631='2.2 Input_General_Information'!$H$20,$H$625,IFERROR(Y644/Y640*Z640,0)))</f>
        <v>0.24998999969997554</v>
      </c>
      <c r="AA644" s="416">
        <f ca="1">IF(AA$631&lt;'2.2 Input_General_Information'!$H$20, ,IF(AA$631='2.2 Input_General_Information'!$H$20,$H$625,IFERROR(Z644/Z640*AA640,0)))</f>
        <v>0.24999499999999955</v>
      </c>
      <c r="AB644" s="416">
        <f ca="1">IF(AB$631&lt;'2.2 Input_General_Information'!$H$20, ,IF(AB$631='2.2 Input_General_Information'!$H$20,$H$625,IFERROR(AA644/AA640*AB640,0)))</f>
        <v>0.24999499999999955</v>
      </c>
      <c r="AC644" s="416">
        <f ca="1">IF(AC$631&lt;'2.2 Input_General_Information'!$H$20, ,IF(AC$631='2.2 Input_General_Information'!$H$20,$H$625,IFERROR(AB644/AB640*AC640,0)))</f>
        <v>0.24999499999999955</v>
      </c>
      <c r="AD644" s="416">
        <f ca="1">IF(AD$631&lt;'2.2 Input_General_Information'!$H$20, ,IF(AD$631='2.2 Input_General_Information'!$H$20,$H$625,IFERROR(AC644/AC640*AD640,0)))</f>
        <v>0.24999499999999955</v>
      </c>
      <c r="AE644" s="416">
        <f ca="1">IF(AE$631&lt;'2.2 Input_General_Information'!$H$20, ,IF(AE$631='2.2 Input_General_Information'!$H$20,$H$625,IFERROR(AD644/AD640*AE640,0)))</f>
        <v>0.24999499999999955</v>
      </c>
      <c r="AF644" s="416">
        <f ca="1">IF(AF$631&lt;'2.2 Input_General_Information'!$H$20, ,IF(AF$631='2.2 Input_General_Information'!$H$20,$H$625,IFERROR(AE644/AE640*AF640,0)))</f>
        <v>0.24999499999999955</v>
      </c>
      <c r="AG644" s="416">
        <f ca="1">IF(AG$631&lt;'2.2 Input_General_Information'!$H$20, ,IF(AG$631='2.2 Input_General_Information'!$H$20,$H$625,IFERROR(AF644/AF640*AG640,0)))</f>
        <v>0.24999499999999955</v>
      </c>
      <c r="AH644" s="416">
        <f ca="1">IF(AH$631&lt;'2.2 Input_General_Information'!$H$20, ,IF(AH$631='2.2 Input_General_Information'!$H$20,$H$625,IFERROR(AG644/AG640*AH640,0)))</f>
        <v>0.24999499999999955</v>
      </c>
      <c r="AI644" s="416">
        <f ca="1">IF(AI$631&lt;'2.2 Input_General_Information'!$H$20, ,IF(AI$631='2.2 Input_General_Information'!$H$20,$H$625,IFERROR(AH644/AH640*AI640,0)))</f>
        <v>0.24999499999999955</v>
      </c>
      <c r="AJ644" s="416">
        <f ca="1">IF(AJ$631&lt;'2.2 Input_General_Information'!$H$20, ,IF(AJ$631='2.2 Input_General_Information'!$H$20,$H$625,IFERROR(AI644/AI640*AJ640,0)))</f>
        <v>0.24999499999999955</v>
      </c>
      <c r="AK644" s="416">
        <f ca="1">IF(AK$631&lt;'2.2 Input_General_Information'!$H$20, ,IF(AK$631='2.2 Input_General_Information'!$H$20,$H$625,IFERROR(AJ644/AJ640*AK640,0)))</f>
        <v>0.24999499999999955</v>
      </c>
      <c r="AL644" s="416">
        <f ca="1">IF(AL$631&lt;'2.2 Input_General_Information'!$H$20, ,IF(AL$631='2.2 Input_General_Information'!$H$20,$H$625,IFERROR(AK644/AK640*AL640,0)))</f>
        <v>0.24999499999999955</v>
      </c>
      <c r="AM644" s="416">
        <f ca="1">IF(AM$631&lt;'2.2 Input_General_Information'!$H$20, ,IF(AM$631='2.2 Input_General_Information'!$H$20,$H$625,IFERROR(AL644/AL640*AM640,0)))</f>
        <v>0.24999499999999955</v>
      </c>
      <c r="AN644" s="416">
        <f ca="1">IF(AN$631&lt;'2.2 Input_General_Information'!$H$20, ,IF(AN$631='2.2 Input_General_Information'!$H$20,$H$625,IFERROR(AM644/AM640*AN640,0)))</f>
        <v>0.24999499999999955</v>
      </c>
      <c r="AO644" s="416">
        <f ca="1">IF(AO$631&lt;'2.2 Input_General_Information'!$H$20, ,IF(AO$631='2.2 Input_General_Information'!$H$20,$H$625,IFERROR(AN644/AN640*AO640,0)))</f>
        <v>0.24999499999999955</v>
      </c>
      <c r="AP644" s="416">
        <f ca="1">IF(AP$631&lt;'2.2 Input_General_Information'!$H$20, ,IF(AP$631='2.2 Input_General_Information'!$H$20,$H$625,IFERROR(AO644/AO640*AP640,0)))</f>
        <v>0.24999499999999955</v>
      </c>
      <c r="AQ644" s="416">
        <f ca="1">IF(AQ$631&lt;'2.2 Input_General_Information'!$H$20, ,IF(AQ$631='2.2 Input_General_Information'!$H$20,$H$625,IFERROR(AP644/AP640*AQ640,0)))</f>
        <v>0.24999499999999955</v>
      </c>
      <c r="AR644" s="416">
        <f ca="1">IF(AR$631&lt;'2.2 Input_General_Information'!$H$20, ,IF(AR$631='2.2 Input_General_Information'!$H$20,$H$625,IFERROR(AQ644/AQ640*AR640,0)))</f>
        <v>0.24999499999999955</v>
      </c>
      <c r="AS644" s="416">
        <f ca="1">IF(AS$631&lt;'2.2 Input_General_Information'!$H$20, ,IF(AS$631='2.2 Input_General_Information'!$H$20,$H$625,IFERROR(AR644/AR640*AS640,0)))</f>
        <v>0.24999499999999955</v>
      </c>
      <c r="AT644" s="416">
        <f ca="1">IF(AT$631&lt;'2.2 Input_General_Information'!$H$20, ,IF(AT$631='2.2 Input_General_Information'!$H$20,$H$625,IFERROR(AS644/AS640*AT640,0)))</f>
        <v>0.24999499999999955</v>
      </c>
      <c r="AU644" s="416">
        <f ca="1">IF(AU$631&lt;'2.2 Input_General_Information'!$H$20, ,IF(AU$631='2.2 Input_General_Information'!$H$20,$H$625,IFERROR(AT644/AT640*AU640,0)))</f>
        <v>0.24999499999999955</v>
      </c>
      <c r="AV644" s="416">
        <f ca="1">IF(AV$631&lt;'2.2 Input_General_Information'!$H$20, ,IF(AV$631='2.2 Input_General_Information'!$H$20,$H$625,IFERROR(AU644/AU640*AV640,0)))</f>
        <v>0.24999499999999955</v>
      </c>
      <c r="AW644" s="416">
        <f ca="1">IF(AW$631&lt;'2.2 Input_General_Information'!$H$20, ,IF(AW$631='2.2 Input_General_Information'!$H$20,$H$625,IFERROR(AV644/AV640*AW640,0)))</f>
        <v>0.24999499999999955</v>
      </c>
      <c r="AX644" s="416">
        <f ca="1">IF(AX$631&lt;'2.2 Input_General_Information'!$H$20, ,IF(AX$631='2.2 Input_General_Information'!$H$20,$H$625,IFERROR(AW644/AW640*AX640,0)))</f>
        <v>0.24999499999999955</v>
      </c>
      <c r="AY644" s="416">
        <f ca="1">IF(AY$631&lt;'2.2 Input_General_Information'!$H$20, ,IF(AY$631='2.2 Input_General_Information'!$H$20,$H$625,IFERROR(AX644/AX640*AY640,0)))</f>
        <v>0.24999499999999955</v>
      </c>
      <c r="AZ644" s="416">
        <f ca="1">IF(AZ$631&lt;'2.2 Input_General_Information'!$H$20, ,IF(AZ$631='2.2 Input_General_Information'!$H$20,$H$625,IFERROR(AY644/AY640*AZ640,0)))</f>
        <v>0.24999499999999955</v>
      </c>
      <c r="BA644" s="416">
        <f ca="1">IF(BA$631&lt;'2.2 Input_General_Information'!$H$20, ,IF(BA$631='2.2 Input_General_Information'!$H$20,$H$625,IFERROR(AZ644/AZ640*BA640,0)))</f>
        <v>0.24999499999999955</v>
      </c>
      <c r="BB644" s="416">
        <f ca="1">IF(BB$631&lt;'2.2 Input_General_Information'!$H$20, ,IF(BB$631='2.2 Input_General_Information'!$H$20,$H$625,IFERROR(BA644/BA640*BB640,0)))</f>
        <v>0.24999499999999955</v>
      </c>
      <c r="BC644" s="416">
        <f ca="1">IF(BC$631&lt;'2.2 Input_General_Information'!$H$20, ,IF(BC$631='2.2 Input_General_Information'!$H$20,$H$625,IFERROR(BB644/BB640*BC640,0)))</f>
        <v>0.24999499999999955</v>
      </c>
      <c r="BD644" s="416">
        <f ca="1">IF(BD$631&lt;'2.2 Input_General_Information'!$H$20, ,IF(BD$631='2.2 Input_General_Information'!$H$20,$H$625,IFERROR(BC644/BC640*BD640,0)))</f>
        <v>0.24999499999999955</v>
      </c>
      <c r="BE644" s="416">
        <f ca="1">IF(BE$631&lt;'2.2 Input_General_Information'!$H$20, ,IF(BE$631='2.2 Input_General_Information'!$H$20,$H$625,IFERROR(BD644/BD640*BE640,0)))</f>
        <v>0.24999499999999955</v>
      </c>
      <c r="BF644" s="416">
        <f ca="1">IF(BF$631&lt;'2.2 Input_General_Information'!$H$20, ,IF(BF$631='2.2 Input_General_Information'!$H$20,$H$625,IFERROR(BE644/BE640*BF640,0)))</f>
        <v>0.24999499999999955</v>
      </c>
      <c r="BG644" s="416">
        <f ca="1">IF(BG$631&lt;'2.2 Input_General_Information'!$H$20, ,IF(BG$631='2.2 Input_General_Information'!$H$20,$H$625,IFERROR(BF644/BF640*BG640,0)))</f>
        <v>0.24999499999999955</v>
      </c>
      <c r="BH644" s="416">
        <f ca="1">IF(BH$631&lt;'2.2 Input_General_Information'!$H$20, ,IF(BH$631='2.2 Input_General_Information'!$H$20,$H$625,IFERROR(BG644/BG640*BH640,0)))</f>
        <v>0.24999499999999955</v>
      </c>
      <c r="BI644" s="416">
        <f ca="1">IF(BI$631&lt;'2.2 Input_General_Information'!$H$20, ,IF(BI$631='2.2 Input_General_Information'!$H$20,$H$625,IFERROR(BH644/BH640*BI640,0)))</f>
        <v>0.24999499999999955</v>
      </c>
      <c r="BJ644" s="416">
        <f ca="1">IF(BJ$631&lt;'2.2 Input_General_Information'!$H$20, ,IF(BJ$631='2.2 Input_General_Information'!$H$20,$H$625,IFERROR(BI644/BI640*BJ640,0)))</f>
        <v>0.24999499999999955</v>
      </c>
      <c r="BK644" s="416">
        <f ca="1">IF(BK$631&lt;'2.2 Input_General_Information'!$H$20, ,IF(BK$631='2.2 Input_General_Information'!$H$20,$H$625,IFERROR(BJ644/BJ640*BK640,0)))</f>
        <v>0.24999499999999955</v>
      </c>
      <c r="BL644" s="373"/>
      <c r="BM644" s="373"/>
      <c r="BN644" s="373"/>
      <c r="BO644" s="373"/>
      <c r="BP644" s="373"/>
      <c r="BQ644" s="373"/>
      <c r="BR644" s="373"/>
      <c r="BS644" s="373"/>
      <c r="BT644" s="373"/>
      <c r="BU644" s="373"/>
    </row>
    <row r="645" spans="1:73" ht="17.25" customHeight="1">
      <c r="A645" s="6"/>
      <c r="B645" s="577"/>
      <c r="C645" s="578"/>
      <c r="D645" s="12"/>
      <c r="E645" s="1"/>
      <c r="F645" s="1"/>
      <c r="G645" s="3"/>
      <c r="H645" s="3"/>
      <c r="I645" s="3"/>
      <c r="J645" s="3"/>
      <c r="K645" s="3"/>
      <c r="L645" s="3"/>
      <c r="M645" s="3"/>
      <c r="N645" s="3"/>
      <c r="O645" s="1"/>
      <c r="P645" s="1"/>
      <c r="Q645" s="1"/>
      <c r="R645" s="162"/>
      <c r="S645" s="1"/>
      <c r="T645" s="103"/>
      <c r="U645" s="103"/>
      <c r="V645" s="103"/>
      <c r="W645" s="416"/>
      <c r="X645" s="416"/>
      <c r="Y645" s="416"/>
      <c r="Z645" s="416"/>
      <c r="AA645" s="416"/>
      <c r="AB645" s="416"/>
      <c r="AC645" s="416"/>
      <c r="AD645" s="416"/>
      <c r="AE645" s="416"/>
      <c r="AF645" s="416"/>
      <c r="AG645" s="416"/>
      <c r="AH645" s="416"/>
      <c r="AI645" s="416"/>
      <c r="AJ645" s="416"/>
      <c r="AK645" s="416"/>
      <c r="AL645" s="416"/>
      <c r="AM645" s="416"/>
      <c r="AN645" s="416"/>
      <c r="AO645" s="416"/>
      <c r="AP645" s="416"/>
      <c r="AQ645" s="416"/>
      <c r="AR645" s="416"/>
      <c r="AS645" s="416"/>
      <c r="AT645" s="416"/>
      <c r="AU645" s="416"/>
      <c r="AV645" s="416"/>
      <c r="AW645" s="416"/>
      <c r="AX645" s="416"/>
      <c r="AY645" s="416"/>
      <c r="AZ645" s="416"/>
      <c r="BA645" s="416"/>
      <c r="BB645" s="416"/>
      <c r="BC645" s="416"/>
      <c r="BD645" s="416"/>
      <c r="BE645" s="416"/>
      <c r="BF645" s="416"/>
      <c r="BG645" s="416"/>
      <c r="BH645" s="416"/>
      <c r="BI645" s="416"/>
      <c r="BJ645" s="416"/>
      <c r="BK645" s="416"/>
      <c r="BL645" s="98"/>
      <c r="BM645" s="98"/>
      <c r="BN645" s="98"/>
      <c r="BO645" s="98"/>
      <c r="BP645" s="98"/>
      <c r="BQ645" s="98"/>
      <c r="BR645" s="98"/>
      <c r="BS645" s="98"/>
      <c r="BT645" s="98"/>
      <c r="BU645" s="98"/>
    </row>
    <row r="646" spans="1:73" ht="17.25" customHeight="1">
      <c r="A646" s="6"/>
      <c r="B646" s="577"/>
      <c r="C646" s="578"/>
      <c r="D646" s="12"/>
      <c r="E646" s="1"/>
      <c r="F646" s="1"/>
      <c r="G646" s="3"/>
      <c r="H646" s="3"/>
      <c r="I646" s="3"/>
      <c r="J646" s="3"/>
      <c r="K646" s="3"/>
      <c r="L646" s="3"/>
      <c r="M646" s="3"/>
      <c r="N646" s="3"/>
      <c r="O646" s="1"/>
      <c r="P646" s="1"/>
      <c r="Q646" s="1"/>
      <c r="R646" s="162"/>
      <c r="S646" s="1"/>
      <c r="T646" s="103"/>
      <c r="U646" s="103"/>
      <c r="V646" s="103"/>
      <c r="W646" s="416"/>
      <c r="X646" s="416"/>
      <c r="Y646" s="416"/>
      <c r="Z646" s="416"/>
      <c r="AA646" s="416"/>
      <c r="AB646" s="416"/>
      <c r="AC646" s="416"/>
      <c r="AD646" s="416"/>
      <c r="AE646" s="416"/>
      <c r="AF646" s="416"/>
      <c r="AG646" s="416"/>
      <c r="AH646" s="416"/>
      <c r="AI646" s="416"/>
      <c r="AJ646" s="416"/>
      <c r="AK646" s="416"/>
      <c r="AL646" s="416"/>
      <c r="AM646" s="416"/>
      <c r="AN646" s="416"/>
      <c r="AO646" s="416"/>
      <c r="AP646" s="416"/>
      <c r="AQ646" s="416"/>
      <c r="AR646" s="416"/>
      <c r="AS646" s="416"/>
      <c r="AT646" s="416"/>
      <c r="AU646" s="416"/>
      <c r="AV646" s="416"/>
      <c r="AW646" s="416"/>
      <c r="AX646" s="416"/>
      <c r="AY646" s="416"/>
      <c r="AZ646" s="416"/>
      <c r="BA646" s="416"/>
      <c r="BB646" s="416"/>
      <c r="BC646" s="416"/>
      <c r="BD646" s="416"/>
      <c r="BE646" s="416"/>
      <c r="BF646" s="416"/>
      <c r="BG646" s="416"/>
      <c r="BH646" s="416"/>
      <c r="BI646" s="416"/>
      <c r="BJ646" s="416"/>
      <c r="BK646" s="416"/>
      <c r="BL646" s="98"/>
      <c r="BM646" s="98"/>
      <c r="BN646" s="98"/>
      <c r="BO646" s="98"/>
      <c r="BP646" s="98"/>
      <c r="BQ646" s="98"/>
      <c r="BR646" s="98"/>
      <c r="BS646" s="98"/>
      <c r="BT646" s="98"/>
      <c r="BU646" s="98"/>
    </row>
    <row r="647" spans="1:73" ht="17.25" customHeight="1">
      <c r="A647" s="6"/>
      <c r="B647" s="577"/>
      <c r="C647" s="578"/>
      <c r="D647" s="12"/>
      <c r="E647" s="1"/>
      <c r="F647" s="1"/>
      <c r="G647" s="3"/>
      <c r="H647" s="3"/>
      <c r="I647" s="3"/>
      <c r="J647" s="3"/>
      <c r="K647" s="3"/>
      <c r="L647" s="3"/>
      <c r="M647" s="3"/>
      <c r="N647" s="3"/>
      <c r="O647" s="1"/>
      <c r="P647" s="1"/>
      <c r="Q647" s="1"/>
      <c r="R647" s="162"/>
      <c r="S647" s="1"/>
      <c r="T647" s="103"/>
      <c r="U647" s="103"/>
      <c r="V647" s="103" t="str">
        <f>D627</f>
        <v>Time change</v>
      </c>
      <c r="W647" s="469">
        <f ca="1">IF(W$631&lt;'2.2 Input_General_Information'!$H$20, ,IF(W$631='2.2 Input_General_Information'!$H$20,0,SUM(V642:V644)-SUM(W642:W644)))</f>
        <v>0</v>
      </c>
      <c r="X647" s="469">
        <f ca="1">IF(X$631&lt;'2.2 Input_General_Information'!$H$20, ,IF(X$631='2.2 Input_General_Information'!$H$20,0,SUM(W642:W644)-SUM(X642:X644)))</f>
        <v>4.6317029440653079E-2</v>
      </c>
      <c r="Y647" s="469">
        <f ca="1">IF(Y$631&lt;'2.2 Input_General_Information'!$H$20, ,IF(Y$631='2.2 Input_General_Information'!$H$20,0,SUM(X642:X644)-SUM(Y642:Y644)))</f>
        <v>0.19267999219795079</v>
      </c>
      <c r="Z647" s="469">
        <f ca="1">IF(Z$631&lt;'2.2 Input_General_Information'!$H$20, ,IF(Z$631='2.2 Input_General_Information'!$H$20,0,SUM(Y642:Y644)-SUM(Z642:Z644)))</f>
        <v>1.0982973860796552E-2</v>
      </c>
      <c r="AA647" s="469">
        <f ca="1">IF(AA$631&lt;'2.2 Input_General_Information'!$H$20, ,IF(AA$631='2.2 Input_General_Information'!$H$20,0,SUM(Z642:Z644)-SUM(AA642:AA644)))</f>
        <v>2.5004500600028789E-5</v>
      </c>
      <c r="AB647" s="469">
        <f ca="1">IF(AB$631&lt;'2.2 Input_General_Information'!$H$20, ,IF(AB$631='2.2 Input_General_Information'!$H$20,0,SUM(AA642:AA644)-SUM(AB642:AB644)))</f>
        <v>0</v>
      </c>
      <c r="AC647" s="469">
        <f ca="1">IF(AC$631&lt;'2.2 Input_General_Information'!$H$20, ,IF(AC$631='2.2 Input_General_Information'!$H$20,0,SUM(AB642:AB644)-SUM(AC642:AC644)))</f>
        <v>0</v>
      </c>
      <c r="AD647" s="469">
        <f ca="1">IF(AD$631&lt;'2.2 Input_General_Information'!$H$20, ,IF(AD$631='2.2 Input_General_Information'!$H$20,0,SUM(AC642:AC644)-SUM(AD642:AD644)))</f>
        <v>0</v>
      </c>
      <c r="AE647" s="495">
        <f ca="1">IF(AE$631&lt;'2.2 Input_General_Information'!$H$20, ,IF(AE$631='2.2 Input_General_Information'!$H$20,0,SUM(AD642:AD644)-SUM(AE642:AE644)))</f>
        <v>0</v>
      </c>
      <c r="AF647" s="261">
        <f ca="1">IF(AF$631&lt;'2.2 Input_General_Information'!$H$20, ,IF(AF$631='2.2 Input_General_Information'!$H$20,0,SUM(AE642:AE644)-SUM(AF642:AF644)))</f>
        <v>0</v>
      </c>
      <c r="AG647" s="261">
        <f ca="1">IF(AG$631&lt;'2.2 Input_General_Information'!$H$20, ,IF(AG$631='2.2 Input_General_Information'!$H$20,0,SUM(AF642:AF644)-SUM(AG642:AG644)))</f>
        <v>0</v>
      </c>
      <c r="AH647" s="261">
        <f ca="1">IF(AH$631&lt;'2.2 Input_General_Information'!$H$20, ,IF(AH$631='2.2 Input_General_Information'!$H$20,0,SUM(AG642:AG644)-SUM(AH642:AH644)))</f>
        <v>0</v>
      </c>
      <c r="AI647" s="261">
        <f ca="1">IF(AI$631&lt;'2.2 Input_General_Information'!$H$20, ,IF(AI$631='2.2 Input_General_Information'!$H$20,0,SUM(AH642:AH644)-SUM(AI642:AI644)))</f>
        <v>0</v>
      </c>
      <c r="AJ647" s="261">
        <f ca="1">IF(AJ$631&lt;'2.2 Input_General_Information'!$H$20, ,IF(AJ$631='2.2 Input_General_Information'!$H$20,0,SUM(AI642:AI644)-SUM(AJ642:AJ644)))</f>
        <v>0</v>
      </c>
      <c r="AK647" s="261">
        <f ca="1">IF(AK$631&lt;'2.2 Input_General_Information'!$H$20, ,IF(AK$631='2.2 Input_General_Information'!$H$20,0,SUM(AJ642:AJ644)-SUM(AK642:AK644)))</f>
        <v>0</v>
      </c>
      <c r="AL647" s="261">
        <f ca="1">IF(AL$631&lt;'2.2 Input_General_Information'!$H$20, ,IF(AL$631='2.2 Input_General_Information'!$H$20,0,SUM(AK642:AK644)-SUM(AL642:AL644)))</f>
        <v>0</v>
      </c>
      <c r="AM647" s="261">
        <f ca="1">IF(AM$631&lt;'2.2 Input_General_Information'!$H$20, ,IF(AM$631='2.2 Input_General_Information'!$H$20,0,SUM(AL642:AL644)-SUM(AM642:AM644)))</f>
        <v>0</v>
      </c>
      <c r="AN647" s="261">
        <f ca="1">IF(AN$631&lt;'2.2 Input_General_Information'!$H$20, ,IF(AN$631='2.2 Input_General_Information'!$H$20,0,SUM(AM642:AM644)-SUM(AN642:AN644)))</f>
        <v>0</v>
      </c>
      <c r="AO647" s="261">
        <f ca="1">IF(AO$631&lt;'2.2 Input_General_Information'!$H$20, ,IF(AO$631='2.2 Input_General_Information'!$H$20,0,SUM(AN642:AN644)-SUM(AO642:AO644)))</f>
        <v>0</v>
      </c>
      <c r="AP647" s="261">
        <f ca="1">IF(AP$631&lt;'2.2 Input_General_Information'!$H$20, ,IF(AP$631='2.2 Input_General_Information'!$H$20,0,SUM(AO642:AO644)-SUM(AP642:AP644)))</f>
        <v>0</v>
      </c>
      <c r="AQ647" s="261">
        <f ca="1">IF(AQ$631&lt;'2.2 Input_General_Information'!$H$20, ,IF(AQ$631='2.2 Input_General_Information'!$H$20,0,SUM(AP642:AP644)-SUM(AQ642:AQ644)))</f>
        <v>0</v>
      </c>
      <c r="AR647" s="261">
        <f ca="1">IF(AR$631&lt;'2.2 Input_General_Information'!$H$20, ,IF(AR$631='2.2 Input_General_Information'!$H$20,0,SUM(AQ642:AQ644)-SUM(AR642:AR644)))</f>
        <v>0</v>
      </c>
      <c r="AS647" s="261">
        <f ca="1">IF(AS$631&lt;'2.2 Input_General_Information'!$H$20, ,IF(AS$631='2.2 Input_General_Information'!$H$20,0,SUM(AR642:AR644)-SUM(AS642:AS644)))</f>
        <v>0</v>
      </c>
      <c r="AT647" s="261">
        <f ca="1">IF(AT$631&lt;'2.2 Input_General_Information'!$H$20, ,IF(AT$631='2.2 Input_General_Information'!$H$20,0,SUM(AS642:AS644)-SUM(AT642:AT644)))</f>
        <v>0</v>
      </c>
      <c r="AU647" s="261">
        <f ca="1">IF(AU$631&lt;'2.2 Input_General_Information'!$H$20, ,IF(AU$631='2.2 Input_General_Information'!$H$20,0,SUM(AT642:AT644)-SUM(AU642:AU644)))</f>
        <v>0</v>
      </c>
      <c r="AV647" s="261">
        <f ca="1">IF(AV$631&lt;'2.2 Input_General_Information'!$H$20, ,IF(AV$631='2.2 Input_General_Information'!$H$20,0,SUM(AU642:AU644)-SUM(AV642:AV644)))</f>
        <v>0</v>
      </c>
      <c r="AW647" s="261">
        <f ca="1">IF(AW$631&lt;'2.2 Input_General_Information'!$H$20, ,IF(AW$631='2.2 Input_General_Information'!$H$20,0,SUM(AV642:AV644)-SUM(AW642:AW644)))</f>
        <v>0</v>
      </c>
      <c r="AX647" s="261">
        <f ca="1">IF(AX$631&lt;'2.2 Input_General_Information'!$H$20, ,IF(AX$631='2.2 Input_General_Information'!$H$20,0,SUM(AW642:AW644)-SUM(AX642:AX644)))</f>
        <v>0</v>
      </c>
      <c r="AY647" s="261">
        <f ca="1">IF(AY$631&lt;'2.2 Input_General_Information'!$H$20, ,IF(AY$631='2.2 Input_General_Information'!$H$20,0,SUM(AX642:AX644)-SUM(AY642:AY644)))</f>
        <v>0</v>
      </c>
      <c r="AZ647" s="261">
        <f ca="1">IF(AZ$631&lt;'2.2 Input_General_Information'!$H$20, ,IF(AZ$631='2.2 Input_General_Information'!$H$20,0,SUM(AY642:AY644)-SUM(AZ642:AZ644)))</f>
        <v>0</v>
      </c>
      <c r="BA647" s="261">
        <f ca="1">IF(BA$631&lt;'2.2 Input_General_Information'!$H$20, ,IF(BA$631='2.2 Input_General_Information'!$H$20,0,SUM(AZ642:AZ644)-SUM(BA642:BA644)))</f>
        <v>0</v>
      </c>
      <c r="BB647" s="261">
        <f ca="1">IF(BB$631&lt;'2.2 Input_General_Information'!$H$20, ,IF(BB$631='2.2 Input_General_Information'!$H$20,0,SUM(BA642:BA644)-SUM(BB642:BB644)))</f>
        <v>0</v>
      </c>
      <c r="BC647" s="261">
        <f ca="1">IF(BC$631&lt;'2.2 Input_General_Information'!$H$20, ,IF(BC$631='2.2 Input_General_Information'!$H$20,0,SUM(BB642:BB644)-SUM(BC642:BC644)))</f>
        <v>0</v>
      </c>
      <c r="BD647" s="261">
        <f ca="1">IF(BD$631&lt;'2.2 Input_General_Information'!$H$20, ,IF(BD$631='2.2 Input_General_Information'!$H$20,0,SUM(BC642:BC644)-SUM(BD642:BD644)))</f>
        <v>0</v>
      </c>
      <c r="BE647" s="469">
        <f ca="1">IF(BE$631&lt;'2.2 Input_General_Information'!$H$20, ,IF(BE$631='2.2 Input_General_Information'!$H$20,0,SUM(BD642:BD644)-SUM(BE642:BE644)))</f>
        <v>0</v>
      </c>
      <c r="BF647" s="495">
        <f ca="1">IF(BF$631&lt;'2.2 Input_General_Information'!$H$20, ,IF(BF$631='2.2 Input_General_Information'!$H$20,0,SUM(BE642:BE644)-SUM(BF642:BF644)))</f>
        <v>0</v>
      </c>
      <c r="BG647" s="469">
        <f ca="1">IF(BG$631&lt;'2.2 Input_General_Information'!$H$20, ,IF(BG$631='2.2 Input_General_Information'!$H$20,0,SUM(BF642:BF644)-SUM(BG642:BG644)))</f>
        <v>0</v>
      </c>
      <c r="BH647" s="469">
        <f ca="1">IF(BH$631&lt;'2.2 Input_General_Information'!$H$20, ,IF(BH$631='2.2 Input_General_Information'!$H$20,0,SUM(BG642:BG644)-SUM(BH642:BH644)))</f>
        <v>0</v>
      </c>
      <c r="BI647" s="469">
        <f ca="1">IF(BI$631&lt;'2.2 Input_General_Information'!$H$20, ,IF(BI$631='2.2 Input_General_Information'!$H$20,0,SUM(BH642:BH644)-SUM(BI642:BI644)))</f>
        <v>0</v>
      </c>
      <c r="BJ647" s="469">
        <f ca="1">IF(BJ$631&lt;'2.2 Input_General_Information'!$H$20, ,IF(BJ$631='2.2 Input_General_Information'!$H$20,0,SUM(BI642:BI644)-SUM(BJ642:BJ644)))</f>
        <v>0</v>
      </c>
      <c r="BK647" s="469">
        <f ca="1">IF(BK$631&lt;'2.2 Input_General_Information'!$H$20, ,IF(BK$631='2.2 Input_General_Information'!$H$20,0,SUM(BJ642:BJ644)-SUM(BK642:BK644)))</f>
        <v>0</v>
      </c>
      <c r="BL647" s="373"/>
      <c r="BM647" s="373"/>
      <c r="BN647" s="373"/>
      <c r="BO647" s="373"/>
      <c r="BP647" s="373"/>
      <c r="BQ647" s="373"/>
      <c r="BR647" s="373"/>
      <c r="BS647" s="373"/>
      <c r="BT647" s="373"/>
      <c r="BU647" s="373"/>
    </row>
    <row r="648" spans="1:73" ht="17.25" customHeight="1">
      <c r="A648" s="6"/>
      <c r="B648" s="577"/>
      <c r="C648" s="578"/>
      <c r="D648" s="12"/>
      <c r="E648" s="1"/>
      <c r="F648" s="1"/>
      <c r="G648" s="3"/>
      <c r="H648" s="3"/>
      <c r="I648" s="3"/>
      <c r="J648" s="3"/>
      <c r="K648" s="3"/>
      <c r="L648" s="3"/>
      <c r="M648" s="3"/>
      <c r="N648" s="3"/>
      <c r="O648" s="1"/>
      <c r="P648" s="1"/>
      <c r="Q648" s="1"/>
      <c r="R648" s="162"/>
      <c r="S648" s="1"/>
      <c r="T648" s="103"/>
      <c r="U648" s="9" t="s">
        <v>29</v>
      </c>
      <c r="V648" s="103"/>
      <c r="W648" s="98"/>
      <c r="X648" s="98"/>
      <c r="Y648" s="98"/>
      <c r="Z648" s="98"/>
      <c r="AA648" s="98"/>
      <c r="AB648" s="98"/>
      <c r="AC648" s="98"/>
      <c r="AD648" s="98"/>
      <c r="AE648" s="98"/>
      <c r="AF648" s="98"/>
      <c r="AG648" s="98"/>
      <c r="AH648" s="98"/>
      <c r="AI648" s="98"/>
      <c r="AJ648" s="98"/>
      <c r="AK648" s="98"/>
      <c r="AL648" s="98"/>
      <c r="AM648" s="98"/>
      <c r="AN648" s="98"/>
      <c r="AO648" s="98"/>
      <c r="AP648" s="98"/>
      <c r="AQ648" s="98"/>
      <c r="AR648" s="98"/>
      <c r="AS648" s="98"/>
      <c r="AT648" s="98"/>
      <c r="AU648" s="98"/>
      <c r="AV648" s="98"/>
      <c r="AW648" s="98"/>
      <c r="AX648" s="98"/>
      <c r="AY648" s="98"/>
      <c r="AZ648" s="98"/>
      <c r="BA648" s="98"/>
      <c r="BB648" s="98"/>
      <c r="BC648" s="98"/>
      <c r="BD648" s="98"/>
      <c r="BE648" s="98"/>
      <c r="BF648" s="98"/>
      <c r="BG648" s="98"/>
      <c r="BH648" s="98"/>
      <c r="BI648" s="98"/>
      <c r="BJ648" s="98"/>
      <c r="BK648" s="98"/>
      <c r="BL648" s="99"/>
      <c r="BM648" s="99"/>
      <c r="BN648" s="99"/>
      <c r="BO648" s="99"/>
      <c r="BP648" s="99"/>
      <c r="BQ648" s="99"/>
      <c r="BR648" s="99"/>
      <c r="BS648" s="99"/>
      <c r="BT648" s="99"/>
      <c r="BU648" s="99"/>
    </row>
    <row r="649" spans="1:73" ht="17.25" customHeight="1" thickBot="1">
      <c r="A649" s="6"/>
      <c r="B649" s="577"/>
      <c r="C649" s="578"/>
      <c r="D649" s="41"/>
      <c r="E649" s="41"/>
      <c r="F649" s="46"/>
      <c r="G649" s="46" t="str">
        <f t="shared" ref="G649:N649" si="103">G10</f>
        <v>PhD researcher</v>
      </c>
      <c r="H649" s="46" t="str">
        <f t="shared" si="103"/>
        <v>Lecturer assistant/Research assistant (Academic)</v>
      </c>
      <c r="I649" s="46" t="str">
        <f t="shared" si="103"/>
        <v>Lecturer/Researcher (Academic)</v>
      </c>
      <c r="J649" s="46" t="str">
        <f t="shared" si="103"/>
        <v>Other</v>
      </c>
      <c r="K649" s="46" t="str">
        <f t="shared" si="103"/>
        <v>Profile 5</v>
      </c>
      <c r="L649" s="46" t="str">
        <f t="shared" si="103"/>
        <v>Profile 6</v>
      </c>
      <c r="M649" s="46" t="str">
        <f t="shared" si="103"/>
        <v>Profile 7</v>
      </c>
      <c r="N649" s="46" t="str">
        <f t="shared" si="103"/>
        <v>Profile 8</v>
      </c>
      <c r="O649" s="79"/>
      <c r="P649" s="1"/>
      <c r="Q649" s="1"/>
      <c r="R649" s="162"/>
      <c r="S649" s="1"/>
      <c r="T649" s="103"/>
      <c r="U649" s="103"/>
      <c r="V649" s="103"/>
      <c r="W649" s="98"/>
      <c r="X649" s="98"/>
      <c r="Y649" s="98"/>
      <c r="Z649" s="98"/>
      <c r="AA649" s="98"/>
      <c r="AB649" s="98"/>
      <c r="AC649" s="98"/>
      <c r="AD649" s="98"/>
      <c r="AE649" s="98"/>
      <c r="AF649" s="98"/>
      <c r="AG649" s="98"/>
      <c r="AH649" s="98"/>
      <c r="AI649" s="98"/>
      <c r="AJ649" s="98"/>
      <c r="AK649" s="98"/>
      <c r="AL649" s="98"/>
      <c r="AM649" s="98"/>
      <c r="AN649" s="98"/>
      <c r="AO649" s="98"/>
      <c r="AP649" s="98"/>
      <c r="AQ649" s="98"/>
      <c r="AR649" s="98"/>
      <c r="AS649" s="98"/>
      <c r="AT649" s="98"/>
      <c r="AU649" s="98"/>
      <c r="AV649" s="98"/>
      <c r="AW649" s="98"/>
      <c r="AX649" s="98"/>
      <c r="AY649" s="98"/>
      <c r="AZ649" s="98"/>
      <c r="BA649" s="98"/>
      <c r="BB649" s="98"/>
      <c r="BC649" s="98"/>
      <c r="BD649" s="98"/>
      <c r="BE649" s="98"/>
      <c r="BF649" s="98"/>
      <c r="BG649" s="98"/>
      <c r="BH649" s="98"/>
      <c r="BI649" s="98"/>
      <c r="BJ649" s="98"/>
      <c r="BK649" s="98"/>
      <c r="BL649" s="99"/>
      <c r="BM649" s="99"/>
      <c r="BN649" s="99"/>
      <c r="BO649" s="99"/>
      <c r="BP649" s="99"/>
      <c r="BQ649" s="99"/>
      <c r="BR649" s="99"/>
      <c r="BS649" s="99"/>
      <c r="BT649" s="99"/>
      <c r="BU649" s="99"/>
    </row>
    <row r="650" spans="1:73" ht="5.25" customHeight="1" thickTop="1">
      <c r="A650" s="6"/>
      <c r="B650" s="554"/>
      <c r="C650" s="566"/>
      <c r="D650" s="1"/>
      <c r="E650" s="12"/>
      <c r="F650" s="40"/>
      <c r="G650" s="645"/>
      <c r="H650" s="645"/>
      <c r="I650" s="645"/>
      <c r="J650" s="645"/>
      <c r="K650" s="645"/>
      <c r="L650" s="645"/>
      <c r="M650" s="645"/>
      <c r="N650" s="645"/>
      <c r="O650" s="582"/>
      <c r="P650" s="1"/>
      <c r="Q650" s="1"/>
      <c r="R650" s="162"/>
      <c r="S650" s="1"/>
      <c r="T650" s="103"/>
      <c r="U650" s="103"/>
      <c r="V650" s="103"/>
      <c r="W650" s="98"/>
      <c r="X650" s="98"/>
      <c r="Y650" s="98"/>
      <c r="Z650" s="98"/>
      <c r="AA650" s="98"/>
      <c r="AB650" s="98"/>
      <c r="AC650" s="98"/>
      <c r="AD650" s="98"/>
      <c r="AE650" s="98"/>
      <c r="AF650" s="98"/>
      <c r="AG650" s="98"/>
      <c r="AH650" s="98"/>
      <c r="AI650" s="98"/>
      <c r="AJ650" s="98"/>
      <c r="AK650" s="98"/>
      <c r="AL650" s="98"/>
      <c r="AM650" s="98"/>
      <c r="AN650" s="98"/>
      <c r="AO650" s="98"/>
      <c r="AP650" s="98"/>
      <c r="AQ650" s="98"/>
      <c r="AR650" s="98"/>
      <c r="AS650" s="98"/>
      <c r="AT650" s="98"/>
      <c r="AU650" s="98"/>
      <c r="AV650" s="98"/>
      <c r="AW650" s="98"/>
      <c r="AX650" s="98"/>
      <c r="AY650" s="98"/>
      <c r="AZ650" s="98"/>
      <c r="BA650" s="98"/>
      <c r="BB650" s="98"/>
      <c r="BC650" s="98"/>
      <c r="BD650" s="98"/>
      <c r="BE650" s="98"/>
      <c r="BF650" s="98"/>
      <c r="BG650" s="98"/>
      <c r="BH650" s="98"/>
      <c r="BI650" s="98"/>
      <c r="BJ650" s="98"/>
      <c r="BK650" s="98"/>
      <c r="BL650" s="99"/>
      <c r="BM650" s="99"/>
      <c r="BN650" s="99"/>
      <c r="BO650" s="99"/>
      <c r="BP650" s="99"/>
      <c r="BQ650" s="99"/>
      <c r="BR650" s="99"/>
      <c r="BS650" s="99"/>
      <c r="BT650" s="99"/>
      <c r="BU650" s="99"/>
    </row>
    <row r="651" spans="1:73" ht="17.25" customHeight="1">
      <c r="A651" s="6"/>
      <c r="B651" s="554" t="str">
        <f>IF(G627&gt;=0,"B","OC")</f>
        <v>B</v>
      </c>
      <c r="C651" s="566"/>
      <c r="D651" s="646" t="str">
        <f>IF(G627&gt;=0,"Time benefit for using standardised licences","Time lost for using standardised licences")</f>
        <v>Time benefit for using standardised licences</v>
      </c>
      <c r="E651" s="200"/>
      <c r="F651" s="646"/>
      <c r="G651" s="365">
        <f>$G$627*'2.3 Input_Main_Questionnaire'!H34</f>
        <v>4.9950000000000001E-2</v>
      </c>
      <c r="H651" s="365">
        <f>$G$627*'2.3 Input_Main_Questionnaire'!I34</f>
        <v>3.8574999999999998E-2</v>
      </c>
      <c r="I651" s="365">
        <f>$G$627*'2.3 Input_Main_Questionnaire'!J34</f>
        <v>4.7699999999999999E-2</v>
      </c>
      <c r="J651" s="365">
        <f>$G$627*'2.3 Input_Main_Questionnaire'!K34</f>
        <v>4.0825E-2</v>
      </c>
      <c r="K651" s="365">
        <f>$G$627*'2.3 Input_Main_Questionnaire'!L34</f>
        <v>4.4262499999999996E-2</v>
      </c>
      <c r="L651" s="365">
        <f>$G$627*'2.3 Input_Main_Questionnaire'!M34</f>
        <v>4.4262499999999996E-2</v>
      </c>
      <c r="M651" s="365">
        <f>$G$627*'2.3 Input_Main_Questionnaire'!N34</f>
        <v>4.4262499999999996E-2</v>
      </c>
      <c r="N651" s="365">
        <f>$G$627*'2.3 Input_Main_Questionnaire'!O34</f>
        <v>4.4262499999999996E-2</v>
      </c>
      <c r="O651" s="1"/>
      <c r="P651" s="1"/>
      <c r="Q651" s="1"/>
      <c r="R651" s="162"/>
      <c r="S651" s="1"/>
      <c r="T651" s="103"/>
      <c r="U651" s="103"/>
      <c r="V651" s="103"/>
      <c r="W651" s="98"/>
      <c r="X651" s="98"/>
      <c r="Y651" s="98"/>
      <c r="Z651" s="98"/>
      <c r="AA651" s="98"/>
      <c r="AB651" s="98"/>
      <c r="AC651" s="98"/>
      <c r="AD651" s="98"/>
      <c r="AE651" s="98"/>
      <c r="AF651" s="98"/>
      <c r="AG651" s="98"/>
      <c r="AH651" s="98"/>
      <c r="AI651" s="98"/>
      <c r="AJ651" s="98"/>
      <c r="AK651" s="98"/>
      <c r="AL651" s="98"/>
      <c r="AM651" s="98"/>
      <c r="AN651" s="98"/>
      <c r="AO651" s="98"/>
      <c r="AP651" s="98"/>
      <c r="AQ651" s="98"/>
      <c r="AR651" s="98"/>
      <c r="AS651" s="98"/>
      <c r="AT651" s="98"/>
      <c r="AU651" s="98"/>
      <c r="AV651" s="98"/>
      <c r="AW651" s="98"/>
      <c r="AX651" s="98"/>
      <c r="AY651" s="98"/>
      <c r="AZ651" s="98"/>
      <c r="BA651" s="98"/>
      <c r="BB651" s="98"/>
      <c r="BC651" s="98"/>
      <c r="BD651" s="98"/>
      <c r="BE651" s="98"/>
      <c r="BF651" s="98"/>
      <c r="BG651" s="98"/>
      <c r="BH651" s="98"/>
      <c r="BI651" s="98"/>
      <c r="BJ651" s="98"/>
      <c r="BK651" s="98"/>
      <c r="BL651" s="99"/>
      <c r="BM651" s="99"/>
      <c r="BN651" s="99"/>
      <c r="BO651" s="99"/>
      <c r="BP651" s="99"/>
      <c r="BQ651" s="99"/>
      <c r="BR651" s="99"/>
      <c r="BS651" s="99"/>
      <c r="BT651" s="99"/>
      <c r="BU651" s="99"/>
    </row>
    <row r="652" spans="1:73" ht="5.25" customHeight="1">
      <c r="A652" s="6"/>
      <c r="B652" s="97"/>
      <c r="C652" s="12"/>
      <c r="D652" s="12"/>
      <c r="E652" s="12"/>
      <c r="F652" s="40"/>
      <c r="G652" s="183"/>
      <c r="H652" s="183"/>
      <c r="I652" s="183"/>
      <c r="J652" s="183"/>
      <c r="K652" s="183"/>
      <c r="L652" s="183"/>
      <c r="M652" s="183"/>
      <c r="N652" s="183"/>
      <c r="O652" s="411"/>
      <c r="P652" s="411"/>
      <c r="Q652" s="1"/>
      <c r="R652" s="162"/>
      <c r="S652" s="1"/>
      <c r="T652" s="103"/>
      <c r="U652" s="103"/>
      <c r="V652" s="103"/>
      <c r="W652" s="98"/>
      <c r="X652" s="98"/>
      <c r="Y652" s="98"/>
      <c r="Z652" s="98"/>
      <c r="AA652" s="98"/>
      <c r="AB652" s="98"/>
      <c r="AC652" s="98"/>
      <c r="AD652" s="98"/>
      <c r="AE652" s="98"/>
      <c r="AF652" s="98"/>
      <c r="AG652" s="98"/>
      <c r="AH652" s="98"/>
      <c r="AI652" s="98"/>
      <c r="AJ652" s="98"/>
      <c r="AK652" s="98"/>
      <c r="AL652" s="98"/>
      <c r="AM652" s="98"/>
      <c r="AN652" s="98"/>
      <c r="AO652" s="98"/>
      <c r="AP652" s="98"/>
      <c r="AQ652" s="98"/>
      <c r="AR652" s="98"/>
      <c r="AS652" s="98"/>
      <c r="AT652" s="98"/>
      <c r="AU652" s="98"/>
      <c r="AV652" s="98"/>
      <c r="AW652" s="98"/>
      <c r="AX652" s="98"/>
      <c r="AY652" s="98"/>
      <c r="AZ652" s="98"/>
      <c r="BA652" s="98"/>
      <c r="BB652" s="98"/>
      <c r="BC652" s="98"/>
      <c r="BD652" s="98"/>
      <c r="BE652" s="98"/>
      <c r="BF652" s="98"/>
      <c r="BG652" s="98"/>
      <c r="BH652" s="98"/>
      <c r="BI652" s="98"/>
      <c r="BJ652" s="98"/>
      <c r="BK652" s="98"/>
      <c r="BL652" s="99"/>
      <c r="BM652" s="99"/>
      <c r="BN652" s="99"/>
      <c r="BO652" s="99"/>
      <c r="BP652" s="99"/>
      <c r="BQ652" s="99"/>
      <c r="BR652" s="99"/>
      <c r="BS652" s="99"/>
      <c r="BT652" s="99"/>
      <c r="BU652" s="99"/>
    </row>
    <row r="653" spans="1:73" hidden="1">
      <c r="A653" s="6"/>
      <c r="B653" s="108"/>
      <c r="C653" s="1"/>
      <c r="D653" s="1"/>
      <c r="E653" s="1"/>
      <c r="F653" s="12"/>
      <c r="G653" s="3"/>
      <c r="H653" s="3"/>
      <c r="I653" s="3"/>
      <c r="J653" s="3"/>
      <c r="K653" s="3"/>
      <c r="L653" s="3"/>
      <c r="M653" s="3"/>
      <c r="N653" s="3"/>
      <c r="O653" s="1"/>
      <c r="P653" s="1"/>
      <c r="Q653" s="1"/>
      <c r="R653" s="162"/>
      <c r="S653" s="1"/>
      <c r="T653" s="103"/>
      <c r="U653" s="9" t="s">
        <v>5</v>
      </c>
      <c r="V653" s="103"/>
      <c r="W653" s="98"/>
      <c r="X653" s="98"/>
      <c r="Y653" s="98"/>
      <c r="Z653" s="98"/>
      <c r="AA653" s="98"/>
      <c r="AB653" s="98"/>
      <c r="AC653" s="98"/>
      <c r="AD653" s="98"/>
      <c r="AE653" s="98"/>
      <c r="AF653" s="98"/>
      <c r="AG653" s="98"/>
      <c r="AH653" s="98"/>
      <c r="AI653" s="98"/>
      <c r="AJ653" s="98"/>
      <c r="AK653" s="98"/>
      <c r="AL653" s="98"/>
      <c r="AM653" s="98"/>
      <c r="AN653" s="98"/>
      <c r="AO653" s="98"/>
      <c r="AP653" s="98"/>
      <c r="AQ653" s="98"/>
      <c r="AR653" s="98"/>
      <c r="AS653" s="98"/>
      <c r="AT653" s="98"/>
      <c r="AU653" s="98"/>
      <c r="AV653" s="98"/>
      <c r="AW653" s="98"/>
      <c r="AX653" s="98"/>
      <c r="AY653" s="98"/>
      <c r="AZ653" s="98"/>
      <c r="BA653" s="98"/>
      <c r="BB653" s="98"/>
      <c r="BC653" s="98"/>
      <c r="BD653" s="98"/>
      <c r="BE653" s="98"/>
      <c r="BF653" s="98"/>
      <c r="BG653" s="98"/>
      <c r="BH653" s="98"/>
      <c r="BI653" s="98"/>
      <c r="BJ653" s="98"/>
      <c r="BK653" s="98"/>
      <c r="BL653" s="99"/>
      <c r="BM653" s="99"/>
      <c r="BN653" s="99"/>
      <c r="BO653" s="99"/>
      <c r="BP653" s="99"/>
      <c r="BQ653" s="99"/>
      <c r="BR653" s="99"/>
      <c r="BS653" s="99"/>
      <c r="BT653" s="99"/>
      <c r="BU653" s="99"/>
    </row>
    <row r="654" spans="1:73" hidden="1">
      <c r="A654" s="6"/>
      <c r="B654" s="108"/>
      <c r="C654" s="1"/>
      <c r="D654" s="12"/>
      <c r="E654" s="1"/>
      <c r="F654" s="1"/>
      <c r="G654" s="52"/>
      <c r="H654" s="3"/>
      <c r="I654" s="3"/>
      <c r="J654" s="3"/>
      <c r="K654" s="3"/>
      <c r="L654" s="3"/>
      <c r="M654" s="3"/>
      <c r="N654" s="3"/>
      <c r="O654" s="1"/>
      <c r="P654" s="1"/>
      <c r="Q654" s="1"/>
      <c r="R654" s="162"/>
      <c r="S654" s="1"/>
      <c r="T654" s="101"/>
      <c r="U654" s="101"/>
      <c r="V654" s="374" t="str">
        <f>D651</f>
        <v>Time benefit for using standardised licences</v>
      </c>
      <c r="W654" s="98">
        <f>Growth!B20</f>
        <v>2018</v>
      </c>
      <c r="X654" s="98">
        <f t="shared" ref="X654:BK654" si="104">W654+1</f>
        <v>2019</v>
      </c>
      <c r="Y654" s="98">
        <f t="shared" si="104"/>
        <v>2020</v>
      </c>
      <c r="Z654" s="98">
        <f t="shared" si="104"/>
        <v>2021</v>
      </c>
      <c r="AA654" s="98">
        <f t="shared" si="104"/>
        <v>2022</v>
      </c>
      <c r="AB654" s="98">
        <f t="shared" si="104"/>
        <v>2023</v>
      </c>
      <c r="AC654" s="98">
        <f t="shared" si="104"/>
        <v>2024</v>
      </c>
      <c r="AD654" s="98">
        <f t="shared" si="104"/>
        <v>2025</v>
      </c>
      <c r="AE654" s="98">
        <f t="shared" si="104"/>
        <v>2026</v>
      </c>
      <c r="AF654" s="98">
        <f t="shared" si="104"/>
        <v>2027</v>
      </c>
      <c r="AG654" s="98">
        <f t="shared" si="104"/>
        <v>2028</v>
      </c>
      <c r="AH654" s="98">
        <f t="shared" si="104"/>
        <v>2029</v>
      </c>
      <c r="AI654" s="98">
        <f t="shared" si="104"/>
        <v>2030</v>
      </c>
      <c r="AJ654" s="98">
        <f t="shared" si="104"/>
        <v>2031</v>
      </c>
      <c r="AK654" s="98">
        <f t="shared" si="104"/>
        <v>2032</v>
      </c>
      <c r="AL654" s="98">
        <f t="shared" si="104"/>
        <v>2033</v>
      </c>
      <c r="AM654" s="98">
        <f t="shared" si="104"/>
        <v>2034</v>
      </c>
      <c r="AN654" s="98">
        <f t="shared" si="104"/>
        <v>2035</v>
      </c>
      <c r="AO654" s="98">
        <f t="shared" si="104"/>
        <v>2036</v>
      </c>
      <c r="AP654" s="98">
        <f t="shared" si="104"/>
        <v>2037</v>
      </c>
      <c r="AQ654" s="98">
        <f t="shared" si="104"/>
        <v>2038</v>
      </c>
      <c r="AR654" s="98">
        <f t="shared" si="104"/>
        <v>2039</v>
      </c>
      <c r="AS654" s="98">
        <f t="shared" si="104"/>
        <v>2040</v>
      </c>
      <c r="AT654" s="98">
        <f t="shared" si="104"/>
        <v>2041</v>
      </c>
      <c r="AU654" s="98">
        <f t="shared" si="104"/>
        <v>2042</v>
      </c>
      <c r="AV654" s="98">
        <f t="shared" si="104"/>
        <v>2043</v>
      </c>
      <c r="AW654" s="98">
        <f t="shared" si="104"/>
        <v>2044</v>
      </c>
      <c r="AX654" s="98">
        <f t="shared" si="104"/>
        <v>2045</v>
      </c>
      <c r="AY654" s="98">
        <f t="shared" si="104"/>
        <v>2046</v>
      </c>
      <c r="AZ654" s="98">
        <f t="shared" si="104"/>
        <v>2047</v>
      </c>
      <c r="BA654" s="98">
        <f t="shared" si="104"/>
        <v>2048</v>
      </c>
      <c r="BB654" s="98">
        <f t="shared" si="104"/>
        <v>2049</v>
      </c>
      <c r="BC654" s="98">
        <f t="shared" si="104"/>
        <v>2050</v>
      </c>
      <c r="BD654" s="98">
        <f t="shared" si="104"/>
        <v>2051</v>
      </c>
      <c r="BE654" s="98">
        <f t="shared" si="104"/>
        <v>2052</v>
      </c>
      <c r="BF654" s="98">
        <f t="shared" si="104"/>
        <v>2053</v>
      </c>
      <c r="BG654" s="98">
        <f t="shared" si="104"/>
        <v>2054</v>
      </c>
      <c r="BH654" s="98">
        <f t="shared" si="104"/>
        <v>2055</v>
      </c>
      <c r="BI654" s="98">
        <f t="shared" si="104"/>
        <v>2056</v>
      </c>
      <c r="BJ654" s="98">
        <f t="shared" si="104"/>
        <v>2057</v>
      </c>
      <c r="BK654" s="98">
        <f t="shared" si="104"/>
        <v>2058</v>
      </c>
      <c r="BL654" s="99"/>
      <c r="BM654" s="99"/>
      <c r="BN654" s="99"/>
      <c r="BO654" s="99"/>
      <c r="BP654" s="99"/>
      <c r="BQ654" s="99"/>
      <c r="BR654" s="99"/>
      <c r="BS654" s="99"/>
      <c r="BT654" s="99"/>
      <c r="BU654" s="99"/>
    </row>
    <row r="655" spans="1:73" hidden="1">
      <c r="A655" s="6"/>
      <c r="B655" s="108"/>
      <c r="C655" s="1"/>
      <c r="D655" s="12"/>
      <c r="E655" s="1"/>
      <c r="F655" s="1"/>
      <c r="G655" s="52"/>
      <c r="H655" s="3"/>
      <c r="I655" s="3"/>
      <c r="J655" s="3"/>
      <c r="K655" s="3"/>
      <c r="L655" s="3"/>
      <c r="M655" s="3"/>
      <c r="N655" s="3"/>
      <c r="O655" s="1"/>
      <c r="P655" s="1"/>
      <c r="Q655" s="1"/>
      <c r="R655" s="162"/>
      <c r="S655" s="1"/>
      <c r="T655" s="6"/>
      <c r="U655" s="6"/>
      <c r="V655" s="647" t="str">
        <f>G$10</f>
        <v>PhD researcher</v>
      </c>
      <c r="W655" s="416">
        <f ca="1">IF(W$654 &gt;= '2.2 Input_General_Information'!$H$20,W$647*'2.3 Input_Main_Questionnaire'!$H$34,)</f>
        <v>0</v>
      </c>
      <c r="X655" s="416">
        <f ca="1">IF(X$654 &gt;= '2.2 Input_General_Information'!$H$20,X$647*'2.3 Input_Main_Questionnaire'!$H$34,)</f>
        <v>9.2541424822424855E-3</v>
      </c>
      <c r="Y655" s="416">
        <f ca="1">IF(Y$654 &gt;= '2.2 Input_General_Information'!$H$20,Y$647*'2.3 Input_Main_Questionnaire'!$H$34,)</f>
        <v>3.8497462441150571E-2</v>
      </c>
      <c r="Z655" s="416">
        <f ca="1">IF(Z$654 &gt;= '2.2 Input_General_Information'!$H$20,Z$647*'2.3 Input_Main_Questionnaire'!$H$34,)</f>
        <v>2.1943981773871512E-3</v>
      </c>
      <c r="AA655" s="416">
        <f ca="1">IF(AA$654 &gt;= '2.2 Input_General_Information'!$H$20,AA$647*'2.3 Input_Main_Questionnaire'!$H$34,)</f>
        <v>4.9958992198857522E-6</v>
      </c>
      <c r="AB655" s="416">
        <f ca="1">IF(AB$654 &gt;= '2.2 Input_General_Information'!$H$20,AB$647*'2.3 Input_Main_Questionnaire'!$H$34,)</f>
        <v>0</v>
      </c>
      <c r="AC655" s="416">
        <f ca="1">IF(AC$654 &gt;= '2.2 Input_General_Information'!$H$20,AC$647*'2.3 Input_Main_Questionnaire'!$H$34,)</f>
        <v>0</v>
      </c>
      <c r="AD655" s="416">
        <f ca="1">IF(AD$654 &gt;= '2.2 Input_General_Information'!$H$20,AD$647*'2.3 Input_Main_Questionnaire'!$H$34,)</f>
        <v>0</v>
      </c>
      <c r="AE655" s="416">
        <f ca="1">IF(AE$654 &gt;= '2.2 Input_General_Information'!$H$20,AE$647*'2.3 Input_Main_Questionnaire'!$H$34,)</f>
        <v>0</v>
      </c>
      <c r="AF655" s="416">
        <f ca="1">IF(AF$654 &gt;= '2.2 Input_General_Information'!$H$20,AF$647*'2.3 Input_Main_Questionnaire'!$H$34,)</f>
        <v>0</v>
      </c>
      <c r="AG655" s="416">
        <f ca="1">IF(AG$654 &gt;= '2.2 Input_General_Information'!$H$20,AG$647*'2.3 Input_Main_Questionnaire'!$H$34,)</f>
        <v>0</v>
      </c>
      <c r="AH655" s="416">
        <f ca="1">IF(AH$654 &gt;= '2.2 Input_General_Information'!$H$20,AH$647*'2.3 Input_Main_Questionnaire'!$H$34,)</f>
        <v>0</v>
      </c>
      <c r="AI655" s="416">
        <f ca="1">IF(AI$654 &gt;= '2.2 Input_General_Information'!$H$20,AI$647*'2.3 Input_Main_Questionnaire'!$H$34,)</f>
        <v>0</v>
      </c>
      <c r="AJ655" s="416">
        <f ca="1">IF(AJ$654 &gt;= '2.2 Input_General_Information'!$H$20,AJ$647*'2.3 Input_Main_Questionnaire'!$H$34,)</f>
        <v>0</v>
      </c>
      <c r="AK655" s="416">
        <f ca="1">IF(AK$654 &gt;= '2.2 Input_General_Information'!$H$20,AK$647*'2.3 Input_Main_Questionnaire'!$H$34,)</f>
        <v>0</v>
      </c>
      <c r="AL655" s="416">
        <f ca="1">IF(AL$654 &gt;= '2.2 Input_General_Information'!$H$20,AL$647*'2.3 Input_Main_Questionnaire'!$H$34,)</f>
        <v>0</v>
      </c>
      <c r="AM655" s="416">
        <f ca="1">IF(AM$654 &gt;= '2.2 Input_General_Information'!$H$20,AM$647*'2.3 Input_Main_Questionnaire'!$H$34,)</f>
        <v>0</v>
      </c>
      <c r="AN655" s="416">
        <f ca="1">IF(AN$654 &gt;= '2.2 Input_General_Information'!$H$20,AN$647*'2.3 Input_Main_Questionnaire'!$H$34,)</f>
        <v>0</v>
      </c>
      <c r="AO655" s="416">
        <f ca="1">IF(AO$654 &gt;= '2.2 Input_General_Information'!$H$20,AO$647*'2.3 Input_Main_Questionnaire'!$H$34,)</f>
        <v>0</v>
      </c>
      <c r="AP655" s="416">
        <f ca="1">IF(AP$654 &gt;= '2.2 Input_General_Information'!$H$20,AP$647*'2.3 Input_Main_Questionnaire'!$H$34,)</f>
        <v>0</v>
      </c>
      <c r="AQ655" s="416">
        <f ca="1">IF(AQ$654 &gt;= '2.2 Input_General_Information'!$H$20,AQ$647*'2.3 Input_Main_Questionnaire'!$H$34,)</f>
        <v>0</v>
      </c>
      <c r="AR655" s="416">
        <f ca="1">IF(AR$654 &gt;= '2.2 Input_General_Information'!$H$20,AR$647*'2.3 Input_Main_Questionnaire'!$H$34,)</f>
        <v>0</v>
      </c>
      <c r="AS655" s="416">
        <f ca="1">IF(AS$654 &gt;= '2.2 Input_General_Information'!$H$20,AS$647*'2.3 Input_Main_Questionnaire'!$H$34,)</f>
        <v>0</v>
      </c>
      <c r="AT655" s="416">
        <f ca="1">IF(AT$654 &gt;= '2.2 Input_General_Information'!$H$20,AT$647*'2.3 Input_Main_Questionnaire'!$H$34,)</f>
        <v>0</v>
      </c>
      <c r="AU655" s="416">
        <f ca="1">IF(AU$654 &gt;= '2.2 Input_General_Information'!$H$20,AU$647*'2.3 Input_Main_Questionnaire'!$H$34,)</f>
        <v>0</v>
      </c>
      <c r="AV655" s="416">
        <f ca="1">IF(AV$654 &gt;= '2.2 Input_General_Information'!$H$20,AV$647*'2.3 Input_Main_Questionnaire'!$H$34,)</f>
        <v>0</v>
      </c>
      <c r="AW655" s="416">
        <f ca="1">IF(AW$654 &gt;= '2.2 Input_General_Information'!$H$20,AW$647*'2.3 Input_Main_Questionnaire'!$H$34,)</f>
        <v>0</v>
      </c>
      <c r="AX655" s="416">
        <f ca="1">IF(AX$654 &gt;= '2.2 Input_General_Information'!$H$20,AX$647*'2.3 Input_Main_Questionnaire'!$H$34,)</f>
        <v>0</v>
      </c>
      <c r="AY655" s="416">
        <f ca="1">IF(AY$654 &gt;= '2.2 Input_General_Information'!$H$20,AY$647*'2.3 Input_Main_Questionnaire'!$H$34,)</f>
        <v>0</v>
      </c>
      <c r="AZ655" s="416">
        <f ca="1">IF(AZ$654 &gt;= '2.2 Input_General_Information'!$H$20,AZ$647*'2.3 Input_Main_Questionnaire'!$H$34,)</f>
        <v>0</v>
      </c>
      <c r="BA655" s="416">
        <f ca="1">IF(BA$654 &gt;= '2.2 Input_General_Information'!$H$20,BA$647*'2.3 Input_Main_Questionnaire'!$H$34,)</f>
        <v>0</v>
      </c>
      <c r="BB655" s="416">
        <f ca="1">IF(BB$654 &gt;= '2.2 Input_General_Information'!$H$20,BB$647*'2.3 Input_Main_Questionnaire'!$H$34,)</f>
        <v>0</v>
      </c>
      <c r="BC655" s="416">
        <f ca="1">IF(BC$654 &gt;= '2.2 Input_General_Information'!$H$20,BC$647*'2.3 Input_Main_Questionnaire'!$H$34,)</f>
        <v>0</v>
      </c>
      <c r="BD655" s="416">
        <f ca="1">IF(BD$654 &gt;= '2.2 Input_General_Information'!$H$20,BD$647*'2.3 Input_Main_Questionnaire'!$H$34,)</f>
        <v>0</v>
      </c>
      <c r="BE655" s="416">
        <f ca="1">IF(BE$654 &gt;= '2.2 Input_General_Information'!$H$20,BE$647*'2.3 Input_Main_Questionnaire'!$H$34,)</f>
        <v>0</v>
      </c>
      <c r="BF655" s="416">
        <f ca="1">IF(BF$654 &gt;= '2.2 Input_General_Information'!$H$20,BF$647*'2.3 Input_Main_Questionnaire'!$H$34,)</f>
        <v>0</v>
      </c>
      <c r="BG655" s="416">
        <f ca="1">IF(BG$654 &gt;= '2.2 Input_General_Information'!$H$20,BG$647*'2.3 Input_Main_Questionnaire'!$H$34,)</f>
        <v>0</v>
      </c>
      <c r="BH655" s="416">
        <f ca="1">IF(BH$654 &gt;= '2.2 Input_General_Information'!$H$20,BH$647*'2.3 Input_Main_Questionnaire'!$H$34,)</f>
        <v>0</v>
      </c>
      <c r="BI655" s="416">
        <f ca="1">IF(BI$654 &gt;= '2.2 Input_General_Information'!$H$20,BI$647*'2.3 Input_Main_Questionnaire'!$H$34,)</f>
        <v>0</v>
      </c>
      <c r="BJ655" s="416">
        <f ca="1">IF(BJ$654 &gt;= '2.2 Input_General_Information'!$H$20,BJ$647*'2.3 Input_Main_Questionnaire'!$H$34,)</f>
        <v>0</v>
      </c>
      <c r="BK655" s="416">
        <f ca="1">IF(BK$654 &gt;= '2.2 Input_General_Information'!$H$20,BK$647*'2.3 Input_Main_Questionnaire'!$H$34,)</f>
        <v>0</v>
      </c>
      <c r="BL655" s="99"/>
      <c r="BM655" s="99"/>
      <c r="BN655" s="99"/>
      <c r="BO655" s="99"/>
      <c r="BP655" s="99"/>
      <c r="BQ655" s="99"/>
      <c r="BR655" s="99"/>
      <c r="BS655" s="99"/>
      <c r="BT655" s="99"/>
      <c r="BU655" s="99"/>
    </row>
    <row r="656" spans="1:73" hidden="1">
      <c r="A656" s="6"/>
      <c r="B656" s="108"/>
      <c r="C656" s="1"/>
      <c r="D656" s="12"/>
      <c r="E656" s="1"/>
      <c r="F656" s="1"/>
      <c r="G656" s="52"/>
      <c r="H656" s="3"/>
      <c r="I656" s="3"/>
      <c r="J656" s="3"/>
      <c r="K656" s="3"/>
      <c r="L656" s="3"/>
      <c r="M656" s="3"/>
      <c r="N656" s="3"/>
      <c r="O656" s="1"/>
      <c r="P656" s="1"/>
      <c r="Q656" s="1"/>
      <c r="R656" s="162"/>
      <c r="S656" s="1"/>
      <c r="T656" s="103"/>
      <c r="U656" s="103"/>
      <c r="V656" s="103" t="str">
        <f>$H$10</f>
        <v>Lecturer assistant/Research assistant (Academic)</v>
      </c>
      <c r="W656" s="416">
        <f ca="1">IF(W$654 &gt;= '2.2 Input_General_Information'!$H$20,W$647*'2.3 Input_Main_Questionnaire'!$I$34,)</f>
        <v>0</v>
      </c>
      <c r="X656" s="416">
        <f ca="1">IF(X$654 &gt;= '2.2 Input_General_Information'!$H$20,X$647*'2.3 Input_Main_Questionnaire'!$I$34,)</f>
        <v>7.14671764269277E-3</v>
      </c>
      <c r="Y656" s="416">
        <f ca="1">IF(Y$654 &gt;= '2.2 Input_General_Information'!$H$20,Y$647*'2.3 Input_Main_Questionnaire'!$I$34,)</f>
        <v>2.9730522796143806E-2</v>
      </c>
      <c r="Z656" s="416">
        <f ca="1">IF(Z$654 &gt;= '2.2 Input_General_Information'!$H$20,Z$647*'2.3 Input_Main_Questionnaire'!$I$34,)</f>
        <v>1.6946728667209079E-3</v>
      </c>
      <c r="AA656" s="416">
        <f ca="1">IF(AA$654 &gt;= '2.2 Input_General_Information'!$H$20,AA$647*'2.3 Input_Main_Questionnaire'!$I$34,)</f>
        <v>3.8581944425844423E-6</v>
      </c>
      <c r="AB656" s="416">
        <f ca="1">IF(AB$654 &gt;= '2.2 Input_General_Information'!$H$20,AB$647*'2.3 Input_Main_Questionnaire'!$I$34,)</f>
        <v>0</v>
      </c>
      <c r="AC656" s="416">
        <f ca="1">IF(AC$654 &gt;= '2.2 Input_General_Information'!$H$20,AC$647*'2.3 Input_Main_Questionnaire'!$I$34,)</f>
        <v>0</v>
      </c>
      <c r="AD656" s="416">
        <f ca="1">IF(AD$654 &gt;= '2.2 Input_General_Information'!$H$20,AD$647*'2.3 Input_Main_Questionnaire'!$I$34,)</f>
        <v>0</v>
      </c>
      <c r="AE656" s="416">
        <f ca="1">IF(AE$654 &gt;= '2.2 Input_General_Information'!$H$20,AE$647*'2.3 Input_Main_Questionnaire'!$I$34,)</f>
        <v>0</v>
      </c>
      <c r="AF656" s="416">
        <f ca="1">IF(AF$654 &gt;= '2.2 Input_General_Information'!$H$20,AF$647*'2.3 Input_Main_Questionnaire'!$I$34,)</f>
        <v>0</v>
      </c>
      <c r="AG656" s="416">
        <f ca="1">IF(AG$654 &gt;= '2.2 Input_General_Information'!$H$20,AG$647*'2.3 Input_Main_Questionnaire'!$I$34,)</f>
        <v>0</v>
      </c>
      <c r="AH656" s="416">
        <f ca="1">IF(AH$654 &gt;= '2.2 Input_General_Information'!$H$20,AH$647*'2.3 Input_Main_Questionnaire'!$I$34,)</f>
        <v>0</v>
      </c>
      <c r="AI656" s="416">
        <f ca="1">IF(AI$654 &gt;= '2.2 Input_General_Information'!$H$20,AI$647*'2.3 Input_Main_Questionnaire'!$I$34,)</f>
        <v>0</v>
      </c>
      <c r="AJ656" s="416">
        <f ca="1">IF(AJ$654 &gt;= '2.2 Input_General_Information'!$H$20,AJ$647*'2.3 Input_Main_Questionnaire'!$I$34,)</f>
        <v>0</v>
      </c>
      <c r="AK656" s="416">
        <f ca="1">IF(AK$654 &gt;= '2.2 Input_General_Information'!$H$20,AK$647*'2.3 Input_Main_Questionnaire'!$I$34,)</f>
        <v>0</v>
      </c>
      <c r="AL656" s="416">
        <f ca="1">IF(AL$654 &gt;= '2.2 Input_General_Information'!$H$20,AL$647*'2.3 Input_Main_Questionnaire'!$I$34,)</f>
        <v>0</v>
      </c>
      <c r="AM656" s="416">
        <f ca="1">IF(AM$654 &gt;= '2.2 Input_General_Information'!$H$20,AM$647*'2.3 Input_Main_Questionnaire'!$I$34,)</f>
        <v>0</v>
      </c>
      <c r="AN656" s="416">
        <f ca="1">IF(AN$654 &gt;= '2.2 Input_General_Information'!$H$20,AN$647*'2.3 Input_Main_Questionnaire'!$I$34,)</f>
        <v>0</v>
      </c>
      <c r="AO656" s="416">
        <f ca="1">IF(AO$654 &gt;= '2.2 Input_General_Information'!$H$20,AO$647*'2.3 Input_Main_Questionnaire'!$I$34,)</f>
        <v>0</v>
      </c>
      <c r="AP656" s="416">
        <f ca="1">IF(AP$654 &gt;= '2.2 Input_General_Information'!$H$20,AP$647*'2.3 Input_Main_Questionnaire'!$I$34,)</f>
        <v>0</v>
      </c>
      <c r="AQ656" s="416">
        <f ca="1">IF(AQ$654 &gt;= '2.2 Input_General_Information'!$H$20,AQ$647*'2.3 Input_Main_Questionnaire'!$I$34,)</f>
        <v>0</v>
      </c>
      <c r="AR656" s="416">
        <f ca="1">IF(AR$654 &gt;= '2.2 Input_General_Information'!$H$20,AR$647*'2.3 Input_Main_Questionnaire'!$I$34,)</f>
        <v>0</v>
      </c>
      <c r="AS656" s="416">
        <f ca="1">IF(AS$654 &gt;= '2.2 Input_General_Information'!$H$20,AS$647*'2.3 Input_Main_Questionnaire'!$I$34,)</f>
        <v>0</v>
      </c>
      <c r="AT656" s="416">
        <f ca="1">IF(AT$654 &gt;= '2.2 Input_General_Information'!$H$20,AT$647*'2.3 Input_Main_Questionnaire'!$I$34,)</f>
        <v>0</v>
      </c>
      <c r="AU656" s="416">
        <f ca="1">IF(AU$654 &gt;= '2.2 Input_General_Information'!$H$20,AU$647*'2.3 Input_Main_Questionnaire'!$I$34,)</f>
        <v>0</v>
      </c>
      <c r="AV656" s="416">
        <f ca="1">IF(AV$654 &gt;= '2.2 Input_General_Information'!$H$20,AV$647*'2.3 Input_Main_Questionnaire'!$I$34,)</f>
        <v>0</v>
      </c>
      <c r="AW656" s="416">
        <f ca="1">IF(AW$654 &gt;= '2.2 Input_General_Information'!$H$20,AW$647*'2.3 Input_Main_Questionnaire'!$I$34,)</f>
        <v>0</v>
      </c>
      <c r="AX656" s="416">
        <f ca="1">IF(AX$654 &gt;= '2.2 Input_General_Information'!$H$20,AX$647*'2.3 Input_Main_Questionnaire'!$I$34,)</f>
        <v>0</v>
      </c>
      <c r="AY656" s="416">
        <f ca="1">IF(AY$654 &gt;= '2.2 Input_General_Information'!$H$20,AY$647*'2.3 Input_Main_Questionnaire'!$I$34,)</f>
        <v>0</v>
      </c>
      <c r="AZ656" s="416">
        <f ca="1">IF(AZ$654 &gt;= '2.2 Input_General_Information'!$H$20,AZ$647*'2.3 Input_Main_Questionnaire'!$I$34,)</f>
        <v>0</v>
      </c>
      <c r="BA656" s="416">
        <f ca="1">IF(BA$654 &gt;= '2.2 Input_General_Information'!$H$20,BA$647*'2.3 Input_Main_Questionnaire'!$I$34,)</f>
        <v>0</v>
      </c>
      <c r="BB656" s="416">
        <f ca="1">IF(BB$654 &gt;= '2.2 Input_General_Information'!$H$20,BB$647*'2.3 Input_Main_Questionnaire'!$I$34,)</f>
        <v>0</v>
      </c>
      <c r="BC656" s="416">
        <f ca="1">IF(BC$654 &gt;= '2.2 Input_General_Information'!$H$20,BC$647*'2.3 Input_Main_Questionnaire'!$I$34,)</f>
        <v>0</v>
      </c>
      <c r="BD656" s="416">
        <f ca="1">IF(BD$654 &gt;= '2.2 Input_General_Information'!$H$20,BD$647*'2.3 Input_Main_Questionnaire'!$I$34,)</f>
        <v>0</v>
      </c>
      <c r="BE656" s="416">
        <f ca="1">IF(BE$654 &gt;= '2.2 Input_General_Information'!$H$20,BE$647*'2.3 Input_Main_Questionnaire'!$I$34,)</f>
        <v>0</v>
      </c>
      <c r="BF656" s="416">
        <f ca="1">IF(BF$654 &gt;= '2.2 Input_General_Information'!$H$20,BF$647*'2.3 Input_Main_Questionnaire'!$I$34,)</f>
        <v>0</v>
      </c>
      <c r="BG656" s="416">
        <f ca="1">IF(BG$654 &gt;= '2.2 Input_General_Information'!$H$20,BG$647*'2.3 Input_Main_Questionnaire'!$I$34,)</f>
        <v>0</v>
      </c>
      <c r="BH656" s="416">
        <f ca="1">IF(BH$654 &gt;= '2.2 Input_General_Information'!$H$20,BH$647*'2.3 Input_Main_Questionnaire'!$I$34,)</f>
        <v>0</v>
      </c>
      <c r="BI656" s="416">
        <f ca="1">IF(BI$654 &gt;= '2.2 Input_General_Information'!$H$20,BI$647*'2.3 Input_Main_Questionnaire'!$I$34,)</f>
        <v>0</v>
      </c>
      <c r="BJ656" s="416">
        <f ca="1">IF(BJ$654 &gt;= '2.2 Input_General_Information'!$H$20,BJ$647*'2.3 Input_Main_Questionnaire'!$I$34,)</f>
        <v>0</v>
      </c>
      <c r="BK656" s="416">
        <f ca="1">IF(BK$654 &gt;= '2.2 Input_General_Information'!$H$20,BK$647*'2.3 Input_Main_Questionnaire'!$I$34,)</f>
        <v>0</v>
      </c>
      <c r="BL656" s="99"/>
      <c r="BM656" s="99"/>
      <c r="BN656" s="99"/>
      <c r="BO656" s="99"/>
      <c r="BP656" s="99"/>
      <c r="BQ656" s="99"/>
      <c r="BR656" s="99"/>
      <c r="BS656" s="99"/>
      <c r="BT656" s="99"/>
      <c r="BU656" s="99"/>
    </row>
    <row r="657" spans="1:73" hidden="1">
      <c r="A657" s="6"/>
      <c r="B657" s="108"/>
      <c r="C657" s="1"/>
      <c r="D657" s="12"/>
      <c r="E657" s="1"/>
      <c r="F657" s="1"/>
      <c r="G657" s="52"/>
      <c r="H657" s="3"/>
      <c r="I657" s="3"/>
      <c r="J657" s="3"/>
      <c r="K657" s="3"/>
      <c r="L657" s="3"/>
      <c r="M657" s="3"/>
      <c r="N657" s="3"/>
      <c r="O657" s="1"/>
      <c r="P657" s="1"/>
      <c r="Q657" s="1"/>
      <c r="R657" s="162"/>
      <c r="S657" s="1"/>
      <c r="T657" s="103"/>
      <c r="U657" s="103"/>
      <c r="V657" s="103" t="str">
        <f>$I$10</f>
        <v>Lecturer/Researcher (Academic)</v>
      </c>
      <c r="W657" s="416">
        <f ca="1">IF(W$654 &gt;= '2.2 Input_General_Information'!$H$20,W$647*'2.3 Input_Main_Questionnaire'!$J$34,)</f>
        <v>0</v>
      </c>
      <c r="X657" s="416">
        <f ca="1">IF(X$654 &gt;= '2.2 Input_General_Information'!$H$20,X$647*'2.3 Input_Main_Questionnaire'!$J$34,)</f>
        <v>8.8372892172766081E-3</v>
      </c>
      <c r="Y657" s="416">
        <f ca="1">IF(Y$654 &gt;= '2.2 Input_General_Information'!$H$20,Y$647*'2.3 Input_Main_Questionnaire'!$J$34,)</f>
        <v>3.6763342511369007E-2</v>
      </c>
      <c r="Z657" s="416">
        <f ca="1">IF(Z$654 &gt;= '2.2 Input_General_Information'!$H$20,Z$647*'2.3 Input_Main_Questionnaire'!$J$34,)</f>
        <v>2.0955514126399823E-3</v>
      </c>
      <c r="AA657" s="416">
        <f ca="1">IF(AA$654 &gt;= '2.2 Input_General_Information'!$H$20,AA$647*'2.3 Input_Main_Questionnaire'!$J$34,)</f>
        <v>4.7708587144854933E-6</v>
      </c>
      <c r="AB657" s="416">
        <f ca="1">IF(AB$654 &gt;= '2.2 Input_General_Information'!$H$20,AB$647*'2.3 Input_Main_Questionnaire'!$J$34,)</f>
        <v>0</v>
      </c>
      <c r="AC657" s="416">
        <f ca="1">IF(AC$654 &gt;= '2.2 Input_General_Information'!$H$20,AC$647*'2.3 Input_Main_Questionnaire'!$J$34,)</f>
        <v>0</v>
      </c>
      <c r="AD657" s="416">
        <f ca="1">IF(AD$654 &gt;= '2.2 Input_General_Information'!$H$20,AD$647*'2.3 Input_Main_Questionnaire'!$J$34,)</f>
        <v>0</v>
      </c>
      <c r="AE657" s="416">
        <f ca="1">IF(AE$654 &gt;= '2.2 Input_General_Information'!$H$20,AE$647*'2.3 Input_Main_Questionnaire'!$J$34,)</f>
        <v>0</v>
      </c>
      <c r="AF657" s="416">
        <f ca="1">IF(AF$654 &gt;= '2.2 Input_General_Information'!$H$20,AF$647*'2.3 Input_Main_Questionnaire'!$J$34,)</f>
        <v>0</v>
      </c>
      <c r="AG657" s="416">
        <f ca="1">IF(AG$654 &gt;= '2.2 Input_General_Information'!$H$20,AG$647*'2.3 Input_Main_Questionnaire'!$J$34,)</f>
        <v>0</v>
      </c>
      <c r="AH657" s="416">
        <f ca="1">IF(AH$654 &gt;= '2.2 Input_General_Information'!$H$20,AH$647*'2.3 Input_Main_Questionnaire'!$J$34,)</f>
        <v>0</v>
      </c>
      <c r="AI657" s="416">
        <f ca="1">IF(AI$654 &gt;= '2.2 Input_General_Information'!$H$20,AI$647*'2.3 Input_Main_Questionnaire'!$J$34,)</f>
        <v>0</v>
      </c>
      <c r="AJ657" s="416">
        <f ca="1">IF(AJ$654 &gt;= '2.2 Input_General_Information'!$H$20,AJ$647*'2.3 Input_Main_Questionnaire'!$J$34,)</f>
        <v>0</v>
      </c>
      <c r="AK657" s="416">
        <f ca="1">IF(AK$654 &gt;= '2.2 Input_General_Information'!$H$20,AK$647*'2.3 Input_Main_Questionnaire'!$J$34,)</f>
        <v>0</v>
      </c>
      <c r="AL657" s="416">
        <f ca="1">IF(AL$654 &gt;= '2.2 Input_General_Information'!$H$20,AL$647*'2.3 Input_Main_Questionnaire'!$J$34,)</f>
        <v>0</v>
      </c>
      <c r="AM657" s="416">
        <f ca="1">IF(AM$654 &gt;= '2.2 Input_General_Information'!$H$20,AM$647*'2.3 Input_Main_Questionnaire'!$J$34,)</f>
        <v>0</v>
      </c>
      <c r="AN657" s="416">
        <f ca="1">IF(AN$654 &gt;= '2.2 Input_General_Information'!$H$20,AN$647*'2.3 Input_Main_Questionnaire'!$J$34,)</f>
        <v>0</v>
      </c>
      <c r="AO657" s="416">
        <f ca="1">IF(AO$654 &gt;= '2.2 Input_General_Information'!$H$20,AO$647*'2.3 Input_Main_Questionnaire'!$J$34,)</f>
        <v>0</v>
      </c>
      <c r="AP657" s="416">
        <f ca="1">IF(AP$654 &gt;= '2.2 Input_General_Information'!$H$20,AP$647*'2.3 Input_Main_Questionnaire'!$J$34,)</f>
        <v>0</v>
      </c>
      <c r="AQ657" s="416">
        <f ca="1">IF(AQ$654 &gt;= '2.2 Input_General_Information'!$H$20,AQ$647*'2.3 Input_Main_Questionnaire'!$J$34,)</f>
        <v>0</v>
      </c>
      <c r="AR657" s="416">
        <f ca="1">IF(AR$654 &gt;= '2.2 Input_General_Information'!$H$20,AR$647*'2.3 Input_Main_Questionnaire'!$J$34,)</f>
        <v>0</v>
      </c>
      <c r="AS657" s="416">
        <f ca="1">IF(AS$654 &gt;= '2.2 Input_General_Information'!$H$20,AS$647*'2.3 Input_Main_Questionnaire'!$J$34,)</f>
        <v>0</v>
      </c>
      <c r="AT657" s="416">
        <f ca="1">IF(AT$654 &gt;= '2.2 Input_General_Information'!$H$20,AT$647*'2.3 Input_Main_Questionnaire'!$J$34,)</f>
        <v>0</v>
      </c>
      <c r="AU657" s="416">
        <f ca="1">IF(AU$654 &gt;= '2.2 Input_General_Information'!$H$20,AU$647*'2.3 Input_Main_Questionnaire'!$J$34,)</f>
        <v>0</v>
      </c>
      <c r="AV657" s="416">
        <f ca="1">IF(AV$654 &gt;= '2.2 Input_General_Information'!$H$20,AV$647*'2.3 Input_Main_Questionnaire'!$J$34,)</f>
        <v>0</v>
      </c>
      <c r="AW657" s="416">
        <f ca="1">IF(AW$654 &gt;= '2.2 Input_General_Information'!$H$20,AW$647*'2.3 Input_Main_Questionnaire'!$J$34,)</f>
        <v>0</v>
      </c>
      <c r="AX657" s="416">
        <f ca="1">IF(AX$654 &gt;= '2.2 Input_General_Information'!$H$20,AX$647*'2.3 Input_Main_Questionnaire'!$J$34,)</f>
        <v>0</v>
      </c>
      <c r="AY657" s="416">
        <f ca="1">IF(AY$654 &gt;= '2.2 Input_General_Information'!$H$20,AY$647*'2.3 Input_Main_Questionnaire'!$J$34,)</f>
        <v>0</v>
      </c>
      <c r="AZ657" s="416">
        <f ca="1">IF(AZ$654 &gt;= '2.2 Input_General_Information'!$H$20,AZ$647*'2.3 Input_Main_Questionnaire'!$J$34,)</f>
        <v>0</v>
      </c>
      <c r="BA657" s="416">
        <f ca="1">IF(BA$654 &gt;= '2.2 Input_General_Information'!$H$20,BA$647*'2.3 Input_Main_Questionnaire'!$J$34,)</f>
        <v>0</v>
      </c>
      <c r="BB657" s="416">
        <f ca="1">IF(BB$654 &gt;= '2.2 Input_General_Information'!$H$20,BB$647*'2.3 Input_Main_Questionnaire'!$J$34,)</f>
        <v>0</v>
      </c>
      <c r="BC657" s="416">
        <f ca="1">IF(BC$654 &gt;= '2.2 Input_General_Information'!$H$20,BC$647*'2.3 Input_Main_Questionnaire'!$J$34,)</f>
        <v>0</v>
      </c>
      <c r="BD657" s="416">
        <f ca="1">IF(BD$654 &gt;= '2.2 Input_General_Information'!$H$20,BD$647*'2.3 Input_Main_Questionnaire'!$J$34,)</f>
        <v>0</v>
      </c>
      <c r="BE657" s="416">
        <f ca="1">IF(BE$654 &gt;= '2.2 Input_General_Information'!$H$20,BE$647*'2.3 Input_Main_Questionnaire'!$J$34,)</f>
        <v>0</v>
      </c>
      <c r="BF657" s="416">
        <f ca="1">IF(BF$654 &gt;= '2.2 Input_General_Information'!$H$20,BF$647*'2.3 Input_Main_Questionnaire'!$J$34,)</f>
        <v>0</v>
      </c>
      <c r="BG657" s="416">
        <f ca="1">IF(BG$654 &gt;= '2.2 Input_General_Information'!$H$20,BG$647*'2.3 Input_Main_Questionnaire'!$J$34,)</f>
        <v>0</v>
      </c>
      <c r="BH657" s="416">
        <f ca="1">IF(BH$654 &gt;= '2.2 Input_General_Information'!$H$20,BH$647*'2.3 Input_Main_Questionnaire'!$J$34,)</f>
        <v>0</v>
      </c>
      <c r="BI657" s="416">
        <f ca="1">IF(BI$654 &gt;= '2.2 Input_General_Information'!$H$20,BI$647*'2.3 Input_Main_Questionnaire'!$J$34,)</f>
        <v>0</v>
      </c>
      <c r="BJ657" s="416">
        <f ca="1">IF(BJ$654 &gt;= '2.2 Input_General_Information'!$H$20,BJ$647*'2.3 Input_Main_Questionnaire'!$J$34,)</f>
        <v>0</v>
      </c>
      <c r="BK657" s="416">
        <f ca="1">IF(BK$654 &gt;= '2.2 Input_General_Information'!$H$20,BK$647*'2.3 Input_Main_Questionnaire'!$J$34,)</f>
        <v>0</v>
      </c>
      <c r="BL657" s="99"/>
      <c r="BM657" s="99"/>
      <c r="BN657" s="99"/>
      <c r="BO657" s="99"/>
      <c r="BP657" s="99"/>
      <c r="BQ657" s="99"/>
      <c r="BR657" s="99"/>
      <c r="BS657" s="99"/>
      <c r="BT657" s="99"/>
      <c r="BU657" s="99"/>
    </row>
    <row r="658" spans="1:73" hidden="1">
      <c r="A658" s="6"/>
      <c r="B658" s="108"/>
      <c r="C658" s="1"/>
      <c r="D658" s="12"/>
      <c r="E658" s="1"/>
      <c r="F658" s="1"/>
      <c r="G658" s="52"/>
      <c r="H658" s="3"/>
      <c r="I658" s="3"/>
      <c r="J658" s="3"/>
      <c r="K658" s="3"/>
      <c r="L658" s="3"/>
      <c r="M658" s="3"/>
      <c r="N658" s="3"/>
      <c r="O658" s="1"/>
      <c r="P658" s="1"/>
      <c r="Q658" s="1"/>
      <c r="R658" s="162"/>
      <c r="S658" s="1"/>
      <c r="T658" s="103"/>
      <c r="U658" s="103"/>
      <c r="V658" s="647" t="str">
        <f>$J$10</f>
        <v>Other</v>
      </c>
      <c r="W658" s="416">
        <f ca="1">IF(W$654 &gt;= '2.2 Input_General_Information'!$H$20,W$647*'2.3 Input_Main_Questionnaire'!$K$34,)</f>
        <v>0</v>
      </c>
      <c r="X658" s="416">
        <f ca="1">IF(X$654 &gt;= '2.2 Input_General_Information'!$H$20,X$647*'2.3 Input_Main_Questionnaire'!$K$34,)</f>
        <v>7.5635709076586483E-3</v>
      </c>
      <c r="Y658" s="416">
        <f ca="1">IF(Y$654 &gt;= '2.2 Input_General_Information'!$H$20,Y$647*'2.3 Input_Main_Questionnaire'!$K$34,)</f>
        <v>3.1464642725925362E-2</v>
      </c>
      <c r="Z658" s="416">
        <f ca="1">IF(Z$654 &gt;= '2.2 Input_General_Information'!$H$20,Z$647*'2.3 Input_Main_Questionnaire'!$K$34,)</f>
        <v>1.793519631468077E-3</v>
      </c>
      <c r="AA658" s="416">
        <f ca="1">IF(AA$654 &gt;= '2.2 Input_General_Information'!$H$20,AA$647*'2.3 Input_Main_Questionnaire'!$K$34,)</f>
        <v>4.0832349479847012E-6</v>
      </c>
      <c r="AB658" s="416">
        <f ca="1">IF(AB$654 &gt;= '2.2 Input_General_Information'!$H$20,AB$647*'2.3 Input_Main_Questionnaire'!$K$34,)</f>
        <v>0</v>
      </c>
      <c r="AC658" s="416">
        <f ca="1">IF(AC$654 &gt;= '2.2 Input_General_Information'!$H$20,AC$647*'2.3 Input_Main_Questionnaire'!$K$34,)</f>
        <v>0</v>
      </c>
      <c r="AD658" s="416">
        <f ca="1">IF(AD$654 &gt;= '2.2 Input_General_Information'!$H$20,AD$647*'2.3 Input_Main_Questionnaire'!$K$34,)</f>
        <v>0</v>
      </c>
      <c r="AE658" s="416">
        <f ca="1">IF(AE$654 &gt;= '2.2 Input_General_Information'!$H$20,AE$647*'2.3 Input_Main_Questionnaire'!$K$34,)</f>
        <v>0</v>
      </c>
      <c r="AF658" s="416">
        <f ca="1">IF(AF$654 &gt;= '2.2 Input_General_Information'!$H$20,AF$647*'2.3 Input_Main_Questionnaire'!$K$34,)</f>
        <v>0</v>
      </c>
      <c r="AG658" s="416">
        <f ca="1">IF(AG$654 &gt;= '2.2 Input_General_Information'!$H$20,AG$647*'2.3 Input_Main_Questionnaire'!$K$34,)</f>
        <v>0</v>
      </c>
      <c r="AH658" s="416">
        <f ca="1">IF(AH$654 &gt;= '2.2 Input_General_Information'!$H$20,AH$647*'2.3 Input_Main_Questionnaire'!$K$34,)</f>
        <v>0</v>
      </c>
      <c r="AI658" s="416">
        <f ca="1">IF(AI$654 &gt;= '2.2 Input_General_Information'!$H$20,AI$647*'2.3 Input_Main_Questionnaire'!$K$34,)</f>
        <v>0</v>
      </c>
      <c r="AJ658" s="416">
        <f ca="1">IF(AJ$654 &gt;= '2.2 Input_General_Information'!$H$20,AJ$647*'2.3 Input_Main_Questionnaire'!$K$34,)</f>
        <v>0</v>
      </c>
      <c r="AK658" s="416">
        <f ca="1">IF(AK$654 &gt;= '2.2 Input_General_Information'!$H$20,AK$647*'2.3 Input_Main_Questionnaire'!$K$34,)</f>
        <v>0</v>
      </c>
      <c r="AL658" s="416">
        <f ca="1">IF(AL$654 &gt;= '2.2 Input_General_Information'!$H$20,AL$647*'2.3 Input_Main_Questionnaire'!$K$34,)</f>
        <v>0</v>
      </c>
      <c r="AM658" s="416">
        <f ca="1">IF(AM$654 &gt;= '2.2 Input_General_Information'!$H$20,AM$647*'2.3 Input_Main_Questionnaire'!$K$34,)</f>
        <v>0</v>
      </c>
      <c r="AN658" s="416">
        <f ca="1">IF(AN$654 &gt;= '2.2 Input_General_Information'!$H$20,AN$647*'2.3 Input_Main_Questionnaire'!$K$34,)</f>
        <v>0</v>
      </c>
      <c r="AO658" s="416">
        <f ca="1">IF(AO$654 &gt;= '2.2 Input_General_Information'!$H$20,AO$647*'2.3 Input_Main_Questionnaire'!$K$34,)</f>
        <v>0</v>
      </c>
      <c r="AP658" s="416">
        <f ca="1">IF(AP$654 &gt;= '2.2 Input_General_Information'!$H$20,AP$647*'2.3 Input_Main_Questionnaire'!$K$34,)</f>
        <v>0</v>
      </c>
      <c r="AQ658" s="416">
        <f ca="1">IF(AQ$654 &gt;= '2.2 Input_General_Information'!$H$20,AQ$647*'2.3 Input_Main_Questionnaire'!$K$34,)</f>
        <v>0</v>
      </c>
      <c r="AR658" s="416">
        <f ca="1">IF(AR$654 &gt;= '2.2 Input_General_Information'!$H$20,AR$647*'2.3 Input_Main_Questionnaire'!$K$34,)</f>
        <v>0</v>
      </c>
      <c r="AS658" s="416">
        <f ca="1">IF(AS$654 &gt;= '2.2 Input_General_Information'!$H$20,AS$647*'2.3 Input_Main_Questionnaire'!$K$34,)</f>
        <v>0</v>
      </c>
      <c r="AT658" s="416">
        <f ca="1">IF(AT$654 &gt;= '2.2 Input_General_Information'!$H$20,AT$647*'2.3 Input_Main_Questionnaire'!$K$34,)</f>
        <v>0</v>
      </c>
      <c r="AU658" s="416">
        <f ca="1">IF(AU$654 &gt;= '2.2 Input_General_Information'!$H$20,AU$647*'2.3 Input_Main_Questionnaire'!$K$34,)</f>
        <v>0</v>
      </c>
      <c r="AV658" s="416">
        <f ca="1">IF(AV$654 &gt;= '2.2 Input_General_Information'!$H$20,AV$647*'2.3 Input_Main_Questionnaire'!$K$34,)</f>
        <v>0</v>
      </c>
      <c r="AW658" s="416">
        <f ca="1">IF(AW$654 &gt;= '2.2 Input_General_Information'!$H$20,AW$647*'2.3 Input_Main_Questionnaire'!$K$34,)</f>
        <v>0</v>
      </c>
      <c r="AX658" s="416">
        <f ca="1">IF(AX$654 &gt;= '2.2 Input_General_Information'!$H$20,AX$647*'2.3 Input_Main_Questionnaire'!$K$34,)</f>
        <v>0</v>
      </c>
      <c r="AY658" s="416">
        <f ca="1">IF(AY$654 &gt;= '2.2 Input_General_Information'!$H$20,AY$647*'2.3 Input_Main_Questionnaire'!$K$34,)</f>
        <v>0</v>
      </c>
      <c r="AZ658" s="416">
        <f ca="1">IF(AZ$654 &gt;= '2.2 Input_General_Information'!$H$20,AZ$647*'2.3 Input_Main_Questionnaire'!$K$34,)</f>
        <v>0</v>
      </c>
      <c r="BA658" s="416">
        <f ca="1">IF(BA$654 &gt;= '2.2 Input_General_Information'!$H$20,BA$647*'2.3 Input_Main_Questionnaire'!$K$34,)</f>
        <v>0</v>
      </c>
      <c r="BB658" s="416">
        <f ca="1">IF(BB$654 &gt;= '2.2 Input_General_Information'!$H$20,BB$647*'2.3 Input_Main_Questionnaire'!$K$34,)</f>
        <v>0</v>
      </c>
      <c r="BC658" s="416">
        <f ca="1">IF(BC$654 &gt;= '2.2 Input_General_Information'!$H$20,BC$647*'2.3 Input_Main_Questionnaire'!$K$34,)</f>
        <v>0</v>
      </c>
      <c r="BD658" s="416">
        <f ca="1">IF(BD$654 &gt;= '2.2 Input_General_Information'!$H$20,BD$647*'2.3 Input_Main_Questionnaire'!$K$34,)</f>
        <v>0</v>
      </c>
      <c r="BE658" s="416">
        <f ca="1">IF(BE$654 &gt;= '2.2 Input_General_Information'!$H$20,BE$647*'2.3 Input_Main_Questionnaire'!$K$34,)</f>
        <v>0</v>
      </c>
      <c r="BF658" s="416">
        <f ca="1">IF(BF$654 &gt;= '2.2 Input_General_Information'!$H$20,BF$647*'2.3 Input_Main_Questionnaire'!$K$34,)</f>
        <v>0</v>
      </c>
      <c r="BG658" s="416">
        <f ca="1">IF(BG$654 &gt;= '2.2 Input_General_Information'!$H$20,BG$647*'2.3 Input_Main_Questionnaire'!$K$34,)</f>
        <v>0</v>
      </c>
      <c r="BH658" s="416">
        <f ca="1">IF(BH$654 &gt;= '2.2 Input_General_Information'!$H$20,BH$647*'2.3 Input_Main_Questionnaire'!$K$34,)</f>
        <v>0</v>
      </c>
      <c r="BI658" s="416">
        <f ca="1">IF(BI$654 &gt;= '2.2 Input_General_Information'!$H$20,BI$647*'2.3 Input_Main_Questionnaire'!$K$34,)</f>
        <v>0</v>
      </c>
      <c r="BJ658" s="416">
        <f ca="1">IF(BJ$654 &gt;= '2.2 Input_General_Information'!$H$20,BJ$647*'2.3 Input_Main_Questionnaire'!$K$34,)</f>
        <v>0</v>
      </c>
      <c r="BK658" s="416">
        <f ca="1">IF(BK$654 &gt;= '2.2 Input_General_Information'!$H$20,BK$647*'2.3 Input_Main_Questionnaire'!$K$34,)</f>
        <v>0</v>
      </c>
      <c r="BL658" s="99"/>
      <c r="BM658" s="99"/>
      <c r="BN658" s="99"/>
      <c r="BO658" s="99"/>
      <c r="BP658" s="99"/>
      <c r="BQ658" s="99"/>
      <c r="BR658" s="99"/>
      <c r="BS658" s="99"/>
      <c r="BT658" s="99"/>
      <c r="BU658" s="99"/>
    </row>
    <row r="659" spans="1:73" hidden="1">
      <c r="A659" s="6"/>
      <c r="B659" s="108"/>
      <c r="C659" s="1"/>
      <c r="D659" s="12"/>
      <c r="E659" s="1"/>
      <c r="F659" s="1"/>
      <c r="G659" s="52"/>
      <c r="H659" s="3"/>
      <c r="I659" s="3"/>
      <c r="J659" s="3"/>
      <c r="K659" s="3"/>
      <c r="L659" s="3"/>
      <c r="M659" s="3"/>
      <c r="N659" s="3"/>
      <c r="O659" s="1"/>
      <c r="P659" s="1"/>
      <c r="Q659" s="1"/>
      <c r="R659" s="162"/>
      <c r="S659" s="1"/>
      <c r="T659" s="103"/>
      <c r="U659" s="103"/>
      <c r="V659" s="103" t="str">
        <f>$K$10</f>
        <v>Profile 5</v>
      </c>
      <c r="W659" s="416">
        <f ca="1">IF(W$654 &gt;= '2.2 Input_General_Information'!$H$20,W$647*'2.3 Input_Main_Questionnaire'!$L$34,)</f>
        <v>0</v>
      </c>
      <c r="X659" s="416">
        <f ca="1">IF(X$654 &gt;= '2.2 Input_General_Information'!$H$20,X$647*'2.3 Input_Main_Questionnaire'!$L$34,)</f>
        <v>8.2004300624676264E-3</v>
      </c>
      <c r="Y659" s="416">
        <f ca="1">IF(Y$654 &gt;= '2.2 Input_General_Information'!$H$20,Y$647*'2.3 Input_Main_Questionnaire'!$L$34,)</f>
        <v>3.4113992618647185E-2</v>
      </c>
      <c r="Z659" s="416">
        <f ca="1">IF(Z$654 &gt;= '2.2 Input_General_Information'!$H$20,Z$647*'2.3 Input_Main_Questionnaire'!$L$34,)</f>
        <v>1.9445355220540294E-3</v>
      </c>
      <c r="AA659" s="416">
        <f ca="1">IF(AA$654 &gt;= '2.2 Input_General_Information'!$H$20,AA$647*'2.3 Input_Main_Questionnaire'!$L$34,)</f>
        <v>4.4270468312350968E-6</v>
      </c>
      <c r="AB659" s="416">
        <f ca="1">IF(AB$654 &gt;= '2.2 Input_General_Information'!$H$20,AB$647*'2.3 Input_Main_Questionnaire'!$L$34,)</f>
        <v>0</v>
      </c>
      <c r="AC659" s="416">
        <f ca="1">IF(AC$654 &gt;= '2.2 Input_General_Information'!$H$20,AC$647*'2.3 Input_Main_Questionnaire'!$L$34,)</f>
        <v>0</v>
      </c>
      <c r="AD659" s="416">
        <f ca="1">IF(AD$654 &gt;= '2.2 Input_General_Information'!$H$20,AD$647*'2.3 Input_Main_Questionnaire'!$L$34,)</f>
        <v>0</v>
      </c>
      <c r="AE659" s="416">
        <f ca="1">IF(AE$654 &gt;= '2.2 Input_General_Information'!$H$20,AE$647*'2.3 Input_Main_Questionnaire'!$L$34,)</f>
        <v>0</v>
      </c>
      <c r="AF659" s="416">
        <f ca="1">IF(AF$654 &gt;= '2.2 Input_General_Information'!$H$20,AF$647*'2.3 Input_Main_Questionnaire'!$L$34,)</f>
        <v>0</v>
      </c>
      <c r="AG659" s="416">
        <f ca="1">IF(AG$654 &gt;= '2.2 Input_General_Information'!$H$20,AG$647*'2.3 Input_Main_Questionnaire'!$L$34,)</f>
        <v>0</v>
      </c>
      <c r="AH659" s="416">
        <f ca="1">IF(AH$654 &gt;= '2.2 Input_General_Information'!$H$20,AH$647*'2.3 Input_Main_Questionnaire'!$L$34,)</f>
        <v>0</v>
      </c>
      <c r="AI659" s="416">
        <f ca="1">IF(AI$654 &gt;= '2.2 Input_General_Information'!$H$20,AI$647*'2.3 Input_Main_Questionnaire'!$L$34,)</f>
        <v>0</v>
      </c>
      <c r="AJ659" s="416">
        <f ca="1">IF(AJ$654 &gt;= '2.2 Input_General_Information'!$H$20,AJ$647*'2.3 Input_Main_Questionnaire'!$L$34,)</f>
        <v>0</v>
      </c>
      <c r="AK659" s="416">
        <f ca="1">IF(AK$654 &gt;= '2.2 Input_General_Information'!$H$20,AK$647*'2.3 Input_Main_Questionnaire'!$L$34,)</f>
        <v>0</v>
      </c>
      <c r="AL659" s="416">
        <f ca="1">IF(AL$654 &gt;= '2.2 Input_General_Information'!$H$20,AL$647*'2.3 Input_Main_Questionnaire'!$L$34,)</f>
        <v>0</v>
      </c>
      <c r="AM659" s="416">
        <f ca="1">IF(AM$654 &gt;= '2.2 Input_General_Information'!$H$20,AM$647*'2.3 Input_Main_Questionnaire'!$L$34,)</f>
        <v>0</v>
      </c>
      <c r="AN659" s="416">
        <f ca="1">IF(AN$654 &gt;= '2.2 Input_General_Information'!$H$20,AN$647*'2.3 Input_Main_Questionnaire'!$L$34,)</f>
        <v>0</v>
      </c>
      <c r="AO659" s="416">
        <f ca="1">IF(AO$654 &gt;= '2.2 Input_General_Information'!$H$20,AO$647*'2.3 Input_Main_Questionnaire'!$L$34,)</f>
        <v>0</v>
      </c>
      <c r="AP659" s="416">
        <f ca="1">IF(AP$654 &gt;= '2.2 Input_General_Information'!$H$20,AP$647*'2.3 Input_Main_Questionnaire'!$L$34,)</f>
        <v>0</v>
      </c>
      <c r="AQ659" s="416">
        <f ca="1">IF(AQ$654 &gt;= '2.2 Input_General_Information'!$H$20,AQ$647*'2.3 Input_Main_Questionnaire'!$L$34,)</f>
        <v>0</v>
      </c>
      <c r="AR659" s="416">
        <f ca="1">IF(AR$654 &gt;= '2.2 Input_General_Information'!$H$20,AR$647*'2.3 Input_Main_Questionnaire'!$L$34,)</f>
        <v>0</v>
      </c>
      <c r="AS659" s="416">
        <f ca="1">IF(AS$654 &gt;= '2.2 Input_General_Information'!$H$20,AS$647*'2.3 Input_Main_Questionnaire'!$L$34,)</f>
        <v>0</v>
      </c>
      <c r="AT659" s="416">
        <f ca="1">IF(AT$654 &gt;= '2.2 Input_General_Information'!$H$20,AT$647*'2.3 Input_Main_Questionnaire'!$L$34,)</f>
        <v>0</v>
      </c>
      <c r="AU659" s="416">
        <f ca="1">IF(AU$654 &gt;= '2.2 Input_General_Information'!$H$20,AU$647*'2.3 Input_Main_Questionnaire'!$L$34,)</f>
        <v>0</v>
      </c>
      <c r="AV659" s="416">
        <f ca="1">IF(AV$654 &gt;= '2.2 Input_General_Information'!$H$20,AV$647*'2.3 Input_Main_Questionnaire'!$L$34,)</f>
        <v>0</v>
      </c>
      <c r="AW659" s="416">
        <f ca="1">IF(AW$654 &gt;= '2.2 Input_General_Information'!$H$20,AW$647*'2.3 Input_Main_Questionnaire'!$L$34,)</f>
        <v>0</v>
      </c>
      <c r="AX659" s="416">
        <f ca="1">IF(AX$654 &gt;= '2.2 Input_General_Information'!$H$20,AX$647*'2.3 Input_Main_Questionnaire'!$L$34,)</f>
        <v>0</v>
      </c>
      <c r="AY659" s="416">
        <f ca="1">IF(AY$654 &gt;= '2.2 Input_General_Information'!$H$20,AY$647*'2.3 Input_Main_Questionnaire'!$L$34,)</f>
        <v>0</v>
      </c>
      <c r="AZ659" s="416">
        <f ca="1">IF(AZ$654 &gt;= '2.2 Input_General_Information'!$H$20,AZ$647*'2.3 Input_Main_Questionnaire'!$L$34,)</f>
        <v>0</v>
      </c>
      <c r="BA659" s="416">
        <f ca="1">IF(BA$654 &gt;= '2.2 Input_General_Information'!$H$20,BA$647*'2.3 Input_Main_Questionnaire'!$L$34,)</f>
        <v>0</v>
      </c>
      <c r="BB659" s="416">
        <f ca="1">IF(BB$654 &gt;= '2.2 Input_General_Information'!$H$20,BB$647*'2.3 Input_Main_Questionnaire'!$L$34,)</f>
        <v>0</v>
      </c>
      <c r="BC659" s="416">
        <f ca="1">IF(BC$654 &gt;= '2.2 Input_General_Information'!$H$20,BC$647*'2.3 Input_Main_Questionnaire'!$L$34,)</f>
        <v>0</v>
      </c>
      <c r="BD659" s="416">
        <f ca="1">IF(BD$654 &gt;= '2.2 Input_General_Information'!$H$20,BD$647*'2.3 Input_Main_Questionnaire'!$L$34,)</f>
        <v>0</v>
      </c>
      <c r="BE659" s="416">
        <f ca="1">IF(BE$654 &gt;= '2.2 Input_General_Information'!$H$20,BE$647*'2.3 Input_Main_Questionnaire'!$L$34,)</f>
        <v>0</v>
      </c>
      <c r="BF659" s="416">
        <f ca="1">IF(BF$654 &gt;= '2.2 Input_General_Information'!$H$20,BF$647*'2.3 Input_Main_Questionnaire'!$L$34,)</f>
        <v>0</v>
      </c>
      <c r="BG659" s="416">
        <f ca="1">IF(BG$654 &gt;= '2.2 Input_General_Information'!$H$20,BG$647*'2.3 Input_Main_Questionnaire'!$L$34,)</f>
        <v>0</v>
      </c>
      <c r="BH659" s="416">
        <f ca="1">IF(BH$654 &gt;= '2.2 Input_General_Information'!$H$20,BH$647*'2.3 Input_Main_Questionnaire'!$L$34,)</f>
        <v>0</v>
      </c>
      <c r="BI659" s="416">
        <f ca="1">IF(BI$654 &gt;= '2.2 Input_General_Information'!$H$20,BI$647*'2.3 Input_Main_Questionnaire'!$L$34,)</f>
        <v>0</v>
      </c>
      <c r="BJ659" s="416">
        <f ca="1">IF(BJ$654 &gt;= '2.2 Input_General_Information'!$H$20,BJ$647*'2.3 Input_Main_Questionnaire'!$L$34,)</f>
        <v>0</v>
      </c>
      <c r="BK659" s="416">
        <f ca="1">IF(BK$654 &gt;= '2.2 Input_General_Information'!$H$20,BK$647*'2.3 Input_Main_Questionnaire'!$L$34,)</f>
        <v>0</v>
      </c>
      <c r="BL659" s="99"/>
      <c r="BM659" s="99"/>
      <c r="BN659" s="99"/>
      <c r="BO659" s="99"/>
      <c r="BP659" s="99"/>
      <c r="BQ659" s="99"/>
      <c r="BR659" s="99"/>
      <c r="BS659" s="99"/>
      <c r="BT659" s="99"/>
      <c r="BU659" s="99"/>
    </row>
    <row r="660" spans="1:73" hidden="1">
      <c r="A660" s="6"/>
      <c r="B660" s="108"/>
      <c r="C660" s="1"/>
      <c r="D660" s="12"/>
      <c r="E660" s="1"/>
      <c r="F660" s="1"/>
      <c r="G660" s="52"/>
      <c r="H660" s="3"/>
      <c r="I660" s="3"/>
      <c r="J660" s="3"/>
      <c r="K660" s="3"/>
      <c r="L660" s="3"/>
      <c r="M660" s="3"/>
      <c r="N660" s="3"/>
      <c r="O660" s="1"/>
      <c r="P660" s="1"/>
      <c r="Q660" s="1"/>
      <c r="R660" s="162"/>
      <c r="S660" s="1"/>
      <c r="T660" s="103"/>
      <c r="U660" s="103"/>
      <c r="V660" s="103" t="str">
        <f>$L$10</f>
        <v>Profile 6</v>
      </c>
      <c r="W660" s="416">
        <f ca="1">IF(W$654 &gt;= '2.2 Input_General_Information'!$H$20,W$647*'2.3 Input_Main_Questionnaire'!$M$34,)</f>
        <v>0</v>
      </c>
      <c r="X660" s="416">
        <f ca="1">IF(X$654 &gt;= '2.2 Input_General_Information'!$H$20,X$647*'2.3 Input_Main_Questionnaire'!$M$34,)</f>
        <v>8.2004300624676264E-3</v>
      </c>
      <c r="Y660" s="416">
        <f ca="1">IF(Y$654 &gt;= '2.2 Input_General_Information'!$H$20,Y$647*'2.3 Input_Main_Questionnaire'!$M$34,)</f>
        <v>3.4113992618647185E-2</v>
      </c>
      <c r="Z660" s="416">
        <f ca="1">IF(Z$654 &gt;= '2.2 Input_General_Information'!$H$20,Z$647*'2.3 Input_Main_Questionnaire'!$M$34,)</f>
        <v>1.9445355220540294E-3</v>
      </c>
      <c r="AA660" s="416">
        <f ca="1">IF(AA$654 &gt;= '2.2 Input_General_Information'!$H$20,AA$647*'2.3 Input_Main_Questionnaire'!$M$34,)</f>
        <v>4.4270468312350968E-6</v>
      </c>
      <c r="AB660" s="416">
        <f ca="1">IF(AB$654 &gt;= '2.2 Input_General_Information'!$H$20,AB$647*'2.3 Input_Main_Questionnaire'!$M$34,)</f>
        <v>0</v>
      </c>
      <c r="AC660" s="416">
        <f ca="1">IF(AC$654 &gt;= '2.2 Input_General_Information'!$H$20,AC$647*'2.3 Input_Main_Questionnaire'!$M$34,)</f>
        <v>0</v>
      </c>
      <c r="AD660" s="416">
        <f ca="1">IF(AD$654 &gt;= '2.2 Input_General_Information'!$H$20,AD$647*'2.3 Input_Main_Questionnaire'!$M$34,)</f>
        <v>0</v>
      </c>
      <c r="AE660" s="416">
        <f ca="1">IF(AE$654 &gt;= '2.2 Input_General_Information'!$H$20,AE$647*'2.3 Input_Main_Questionnaire'!$M$34,)</f>
        <v>0</v>
      </c>
      <c r="AF660" s="416">
        <f ca="1">IF(AF$654 &gt;= '2.2 Input_General_Information'!$H$20,AF$647*'2.3 Input_Main_Questionnaire'!$M$34,)</f>
        <v>0</v>
      </c>
      <c r="AG660" s="416">
        <f ca="1">IF(AG$654 &gt;= '2.2 Input_General_Information'!$H$20,AG$647*'2.3 Input_Main_Questionnaire'!$M$34,)</f>
        <v>0</v>
      </c>
      <c r="AH660" s="416">
        <f ca="1">IF(AH$654 &gt;= '2.2 Input_General_Information'!$H$20,AH$647*'2.3 Input_Main_Questionnaire'!$M$34,)</f>
        <v>0</v>
      </c>
      <c r="AI660" s="416">
        <f ca="1">IF(AI$654 &gt;= '2.2 Input_General_Information'!$H$20,AI$647*'2.3 Input_Main_Questionnaire'!$M$34,)</f>
        <v>0</v>
      </c>
      <c r="AJ660" s="416">
        <f ca="1">IF(AJ$654 &gt;= '2.2 Input_General_Information'!$H$20,AJ$647*'2.3 Input_Main_Questionnaire'!$M$34,)</f>
        <v>0</v>
      </c>
      <c r="AK660" s="416">
        <f ca="1">IF(AK$654 &gt;= '2.2 Input_General_Information'!$H$20,AK$647*'2.3 Input_Main_Questionnaire'!$M$34,)</f>
        <v>0</v>
      </c>
      <c r="AL660" s="416">
        <f ca="1">IF(AL$654 &gt;= '2.2 Input_General_Information'!$H$20,AL$647*'2.3 Input_Main_Questionnaire'!$M$34,)</f>
        <v>0</v>
      </c>
      <c r="AM660" s="416">
        <f ca="1">IF(AM$654 &gt;= '2.2 Input_General_Information'!$H$20,AM$647*'2.3 Input_Main_Questionnaire'!$M$34,)</f>
        <v>0</v>
      </c>
      <c r="AN660" s="416">
        <f ca="1">IF(AN$654 &gt;= '2.2 Input_General_Information'!$H$20,AN$647*'2.3 Input_Main_Questionnaire'!$M$34,)</f>
        <v>0</v>
      </c>
      <c r="AO660" s="416">
        <f ca="1">IF(AO$654 &gt;= '2.2 Input_General_Information'!$H$20,AO$647*'2.3 Input_Main_Questionnaire'!$M$34,)</f>
        <v>0</v>
      </c>
      <c r="AP660" s="416">
        <f ca="1">IF(AP$654 &gt;= '2.2 Input_General_Information'!$H$20,AP$647*'2.3 Input_Main_Questionnaire'!$M$34,)</f>
        <v>0</v>
      </c>
      <c r="AQ660" s="416">
        <f ca="1">IF(AQ$654 &gt;= '2.2 Input_General_Information'!$H$20,AQ$647*'2.3 Input_Main_Questionnaire'!$M$34,)</f>
        <v>0</v>
      </c>
      <c r="AR660" s="416">
        <f ca="1">IF(AR$654 &gt;= '2.2 Input_General_Information'!$H$20,AR$647*'2.3 Input_Main_Questionnaire'!$M$34,)</f>
        <v>0</v>
      </c>
      <c r="AS660" s="416">
        <f ca="1">IF(AS$654 &gt;= '2.2 Input_General_Information'!$H$20,AS$647*'2.3 Input_Main_Questionnaire'!$M$34,)</f>
        <v>0</v>
      </c>
      <c r="AT660" s="416">
        <f ca="1">IF(AT$654 &gt;= '2.2 Input_General_Information'!$H$20,AT$647*'2.3 Input_Main_Questionnaire'!$M$34,)</f>
        <v>0</v>
      </c>
      <c r="AU660" s="416">
        <f ca="1">IF(AU$654 &gt;= '2.2 Input_General_Information'!$H$20,AU$647*'2.3 Input_Main_Questionnaire'!$M$34,)</f>
        <v>0</v>
      </c>
      <c r="AV660" s="416">
        <f ca="1">IF(AV$654 &gt;= '2.2 Input_General_Information'!$H$20,AV$647*'2.3 Input_Main_Questionnaire'!$M$34,)</f>
        <v>0</v>
      </c>
      <c r="AW660" s="416">
        <f ca="1">IF(AW$654 &gt;= '2.2 Input_General_Information'!$H$20,AW$647*'2.3 Input_Main_Questionnaire'!$M$34,)</f>
        <v>0</v>
      </c>
      <c r="AX660" s="416">
        <f ca="1">IF(AX$654 &gt;= '2.2 Input_General_Information'!$H$20,AX$647*'2.3 Input_Main_Questionnaire'!$M$34,)</f>
        <v>0</v>
      </c>
      <c r="AY660" s="416">
        <f ca="1">IF(AY$654 &gt;= '2.2 Input_General_Information'!$H$20,AY$647*'2.3 Input_Main_Questionnaire'!$M$34,)</f>
        <v>0</v>
      </c>
      <c r="AZ660" s="416">
        <f ca="1">IF(AZ$654 &gt;= '2.2 Input_General_Information'!$H$20,AZ$647*'2.3 Input_Main_Questionnaire'!$M$34,)</f>
        <v>0</v>
      </c>
      <c r="BA660" s="416">
        <f ca="1">IF(BA$654 &gt;= '2.2 Input_General_Information'!$H$20,BA$647*'2.3 Input_Main_Questionnaire'!$M$34,)</f>
        <v>0</v>
      </c>
      <c r="BB660" s="416">
        <f ca="1">IF(BB$654 &gt;= '2.2 Input_General_Information'!$H$20,BB$647*'2.3 Input_Main_Questionnaire'!$M$34,)</f>
        <v>0</v>
      </c>
      <c r="BC660" s="416">
        <f ca="1">IF(BC$654 &gt;= '2.2 Input_General_Information'!$H$20,BC$647*'2.3 Input_Main_Questionnaire'!$M$34,)</f>
        <v>0</v>
      </c>
      <c r="BD660" s="416">
        <f ca="1">IF(BD$654 &gt;= '2.2 Input_General_Information'!$H$20,BD$647*'2.3 Input_Main_Questionnaire'!$M$34,)</f>
        <v>0</v>
      </c>
      <c r="BE660" s="416">
        <f ca="1">IF(BE$654 &gt;= '2.2 Input_General_Information'!$H$20,BE$647*'2.3 Input_Main_Questionnaire'!$M$34,)</f>
        <v>0</v>
      </c>
      <c r="BF660" s="416">
        <f ca="1">IF(BF$654 &gt;= '2.2 Input_General_Information'!$H$20,BF$647*'2.3 Input_Main_Questionnaire'!$M$34,)</f>
        <v>0</v>
      </c>
      <c r="BG660" s="416">
        <f ca="1">IF(BG$654 &gt;= '2.2 Input_General_Information'!$H$20,BG$647*'2.3 Input_Main_Questionnaire'!$M$34,)</f>
        <v>0</v>
      </c>
      <c r="BH660" s="416">
        <f ca="1">IF(BH$654 &gt;= '2.2 Input_General_Information'!$H$20,BH$647*'2.3 Input_Main_Questionnaire'!$M$34,)</f>
        <v>0</v>
      </c>
      <c r="BI660" s="416">
        <f ca="1">IF(BI$654 &gt;= '2.2 Input_General_Information'!$H$20,BI$647*'2.3 Input_Main_Questionnaire'!$M$34,)</f>
        <v>0</v>
      </c>
      <c r="BJ660" s="416">
        <f ca="1">IF(BJ$654 &gt;= '2.2 Input_General_Information'!$H$20,BJ$647*'2.3 Input_Main_Questionnaire'!$M$34,)</f>
        <v>0</v>
      </c>
      <c r="BK660" s="416">
        <f ca="1">IF(BK$654 &gt;= '2.2 Input_General_Information'!$H$20,BK$647*'2.3 Input_Main_Questionnaire'!$M$34,)</f>
        <v>0</v>
      </c>
      <c r="BL660" s="99"/>
      <c r="BM660" s="99"/>
      <c r="BN660" s="99"/>
      <c r="BO660" s="99"/>
      <c r="BP660" s="99"/>
      <c r="BQ660" s="99"/>
      <c r="BR660" s="99"/>
      <c r="BS660" s="99"/>
      <c r="BT660" s="99"/>
      <c r="BU660" s="99"/>
    </row>
    <row r="661" spans="1:73" hidden="1">
      <c r="A661" s="6"/>
      <c r="B661" s="108"/>
      <c r="C661" s="1"/>
      <c r="D661" s="12"/>
      <c r="E661" s="1"/>
      <c r="F661" s="1"/>
      <c r="G661" s="52"/>
      <c r="H661" s="3"/>
      <c r="I661" s="3"/>
      <c r="J661" s="3"/>
      <c r="K661" s="3"/>
      <c r="L661" s="3"/>
      <c r="M661" s="3"/>
      <c r="N661" s="3"/>
      <c r="O661" s="1"/>
      <c r="P661" s="1"/>
      <c r="Q661" s="1"/>
      <c r="R661" s="162"/>
      <c r="S661" s="1"/>
      <c r="T661" s="103"/>
      <c r="U661" s="103"/>
      <c r="V661" s="103" t="str">
        <f>$M$10</f>
        <v>Profile 7</v>
      </c>
      <c r="W661" s="416">
        <f ca="1">IF(W$654 &gt;= '2.2 Input_General_Information'!$H$20,W$647*'2.3 Input_Main_Questionnaire'!$N$34,)</f>
        <v>0</v>
      </c>
      <c r="X661" s="416">
        <f ca="1">IF(X$654 &gt;= '2.2 Input_General_Information'!$H$20,X$647*'2.3 Input_Main_Questionnaire'!$N$34,)</f>
        <v>8.2004300624676264E-3</v>
      </c>
      <c r="Y661" s="416">
        <f ca="1">IF(Y$654 &gt;= '2.2 Input_General_Information'!$H$20,Y$647*'2.3 Input_Main_Questionnaire'!$N$34,)</f>
        <v>3.4113992618647185E-2</v>
      </c>
      <c r="Z661" s="416">
        <f ca="1">IF(Z$654 &gt;= '2.2 Input_General_Information'!$H$20,Z$647*'2.3 Input_Main_Questionnaire'!$N$34,)</f>
        <v>1.9445355220540294E-3</v>
      </c>
      <c r="AA661" s="416">
        <f ca="1">IF(AA$654 &gt;= '2.2 Input_General_Information'!$H$20,AA$647*'2.3 Input_Main_Questionnaire'!$N$34,)</f>
        <v>4.4270468312350968E-6</v>
      </c>
      <c r="AB661" s="416">
        <f ca="1">IF(AB$654 &gt;= '2.2 Input_General_Information'!$H$20,AB$647*'2.3 Input_Main_Questionnaire'!$N$34,)</f>
        <v>0</v>
      </c>
      <c r="AC661" s="416">
        <f ca="1">IF(AC$654 &gt;= '2.2 Input_General_Information'!$H$20,AC$647*'2.3 Input_Main_Questionnaire'!$N$34,)</f>
        <v>0</v>
      </c>
      <c r="AD661" s="416">
        <f ca="1">IF(AD$654 &gt;= '2.2 Input_General_Information'!$H$20,AD$647*'2.3 Input_Main_Questionnaire'!$N$34,)</f>
        <v>0</v>
      </c>
      <c r="AE661" s="416">
        <f ca="1">IF(AE$654 &gt;= '2.2 Input_General_Information'!$H$20,AE$647*'2.3 Input_Main_Questionnaire'!$N$34,)</f>
        <v>0</v>
      </c>
      <c r="AF661" s="416">
        <f ca="1">IF(AF$654 &gt;= '2.2 Input_General_Information'!$H$20,AF$647*'2.3 Input_Main_Questionnaire'!$N$34,)</f>
        <v>0</v>
      </c>
      <c r="AG661" s="416">
        <f ca="1">IF(AG$654 &gt;= '2.2 Input_General_Information'!$H$20,AG$647*'2.3 Input_Main_Questionnaire'!$N$34,)</f>
        <v>0</v>
      </c>
      <c r="AH661" s="416">
        <f ca="1">IF(AH$654 &gt;= '2.2 Input_General_Information'!$H$20,AH$647*'2.3 Input_Main_Questionnaire'!$N$34,)</f>
        <v>0</v>
      </c>
      <c r="AI661" s="416">
        <f ca="1">IF(AI$654 &gt;= '2.2 Input_General_Information'!$H$20,AI$647*'2.3 Input_Main_Questionnaire'!$N$34,)</f>
        <v>0</v>
      </c>
      <c r="AJ661" s="416">
        <f ca="1">IF(AJ$654 &gt;= '2.2 Input_General_Information'!$H$20,AJ$647*'2.3 Input_Main_Questionnaire'!$N$34,)</f>
        <v>0</v>
      </c>
      <c r="AK661" s="416">
        <f ca="1">IF(AK$654 &gt;= '2.2 Input_General_Information'!$H$20,AK$647*'2.3 Input_Main_Questionnaire'!$N$34,)</f>
        <v>0</v>
      </c>
      <c r="AL661" s="416">
        <f ca="1">IF(AL$654 &gt;= '2.2 Input_General_Information'!$H$20,AL$647*'2.3 Input_Main_Questionnaire'!$N$34,)</f>
        <v>0</v>
      </c>
      <c r="AM661" s="416">
        <f ca="1">IF(AM$654 &gt;= '2.2 Input_General_Information'!$H$20,AM$647*'2.3 Input_Main_Questionnaire'!$N$34,)</f>
        <v>0</v>
      </c>
      <c r="AN661" s="416">
        <f ca="1">IF(AN$654 &gt;= '2.2 Input_General_Information'!$H$20,AN$647*'2.3 Input_Main_Questionnaire'!$N$34,)</f>
        <v>0</v>
      </c>
      <c r="AO661" s="416">
        <f ca="1">IF(AO$654 &gt;= '2.2 Input_General_Information'!$H$20,AO$647*'2.3 Input_Main_Questionnaire'!$N$34,)</f>
        <v>0</v>
      </c>
      <c r="AP661" s="416">
        <f ca="1">IF(AP$654 &gt;= '2.2 Input_General_Information'!$H$20,AP$647*'2.3 Input_Main_Questionnaire'!$N$34,)</f>
        <v>0</v>
      </c>
      <c r="AQ661" s="416">
        <f ca="1">IF(AQ$654 &gt;= '2.2 Input_General_Information'!$H$20,AQ$647*'2.3 Input_Main_Questionnaire'!$N$34,)</f>
        <v>0</v>
      </c>
      <c r="AR661" s="416">
        <f ca="1">IF(AR$654 &gt;= '2.2 Input_General_Information'!$H$20,AR$647*'2.3 Input_Main_Questionnaire'!$N$34,)</f>
        <v>0</v>
      </c>
      <c r="AS661" s="416">
        <f ca="1">IF(AS$654 &gt;= '2.2 Input_General_Information'!$H$20,AS$647*'2.3 Input_Main_Questionnaire'!$N$34,)</f>
        <v>0</v>
      </c>
      <c r="AT661" s="416">
        <f ca="1">IF(AT$654 &gt;= '2.2 Input_General_Information'!$H$20,AT$647*'2.3 Input_Main_Questionnaire'!$N$34,)</f>
        <v>0</v>
      </c>
      <c r="AU661" s="416">
        <f ca="1">IF(AU$654 &gt;= '2.2 Input_General_Information'!$H$20,AU$647*'2.3 Input_Main_Questionnaire'!$N$34,)</f>
        <v>0</v>
      </c>
      <c r="AV661" s="416">
        <f ca="1">IF(AV$654 &gt;= '2.2 Input_General_Information'!$H$20,AV$647*'2.3 Input_Main_Questionnaire'!$N$34,)</f>
        <v>0</v>
      </c>
      <c r="AW661" s="416">
        <f ca="1">IF(AW$654 &gt;= '2.2 Input_General_Information'!$H$20,AW$647*'2.3 Input_Main_Questionnaire'!$N$34,)</f>
        <v>0</v>
      </c>
      <c r="AX661" s="416">
        <f ca="1">IF(AX$654 &gt;= '2.2 Input_General_Information'!$H$20,AX$647*'2.3 Input_Main_Questionnaire'!$N$34,)</f>
        <v>0</v>
      </c>
      <c r="AY661" s="416">
        <f ca="1">IF(AY$654 &gt;= '2.2 Input_General_Information'!$H$20,AY$647*'2.3 Input_Main_Questionnaire'!$N$34,)</f>
        <v>0</v>
      </c>
      <c r="AZ661" s="416">
        <f ca="1">IF(AZ$654 &gt;= '2.2 Input_General_Information'!$H$20,AZ$647*'2.3 Input_Main_Questionnaire'!$N$34,)</f>
        <v>0</v>
      </c>
      <c r="BA661" s="416">
        <f ca="1">IF(BA$654 &gt;= '2.2 Input_General_Information'!$H$20,BA$647*'2.3 Input_Main_Questionnaire'!$N$34,)</f>
        <v>0</v>
      </c>
      <c r="BB661" s="416">
        <f ca="1">IF(BB$654 &gt;= '2.2 Input_General_Information'!$H$20,BB$647*'2.3 Input_Main_Questionnaire'!$N$34,)</f>
        <v>0</v>
      </c>
      <c r="BC661" s="416">
        <f ca="1">IF(BC$654 &gt;= '2.2 Input_General_Information'!$H$20,BC$647*'2.3 Input_Main_Questionnaire'!$N$34,)</f>
        <v>0</v>
      </c>
      <c r="BD661" s="416">
        <f ca="1">IF(BD$654 &gt;= '2.2 Input_General_Information'!$H$20,BD$647*'2.3 Input_Main_Questionnaire'!$N$34,)</f>
        <v>0</v>
      </c>
      <c r="BE661" s="416">
        <f ca="1">IF(BE$654 &gt;= '2.2 Input_General_Information'!$H$20,BE$647*'2.3 Input_Main_Questionnaire'!$N$34,)</f>
        <v>0</v>
      </c>
      <c r="BF661" s="416">
        <f ca="1">IF(BF$654 &gt;= '2.2 Input_General_Information'!$H$20,BF$647*'2.3 Input_Main_Questionnaire'!$N$34,)</f>
        <v>0</v>
      </c>
      <c r="BG661" s="416">
        <f ca="1">IF(BG$654 &gt;= '2.2 Input_General_Information'!$H$20,BG$647*'2.3 Input_Main_Questionnaire'!$N$34,)</f>
        <v>0</v>
      </c>
      <c r="BH661" s="416">
        <f ca="1">IF(BH$654 &gt;= '2.2 Input_General_Information'!$H$20,BH$647*'2.3 Input_Main_Questionnaire'!$N$34,)</f>
        <v>0</v>
      </c>
      <c r="BI661" s="416">
        <f ca="1">IF(BI$654 &gt;= '2.2 Input_General_Information'!$H$20,BI$647*'2.3 Input_Main_Questionnaire'!$N$34,)</f>
        <v>0</v>
      </c>
      <c r="BJ661" s="416">
        <f ca="1">IF(BJ$654 &gt;= '2.2 Input_General_Information'!$H$20,BJ$647*'2.3 Input_Main_Questionnaire'!$N$34,)</f>
        <v>0</v>
      </c>
      <c r="BK661" s="416">
        <f ca="1">IF(BK$654 &gt;= '2.2 Input_General_Information'!$H$20,BK$647*'2.3 Input_Main_Questionnaire'!$N$34,)</f>
        <v>0</v>
      </c>
      <c r="BL661" s="99"/>
      <c r="BM661" s="99"/>
      <c r="BN661" s="99"/>
      <c r="BO661" s="99"/>
      <c r="BP661" s="99"/>
      <c r="BQ661" s="99"/>
      <c r="BR661" s="99"/>
      <c r="BS661" s="99"/>
      <c r="BT661" s="99"/>
      <c r="BU661" s="99"/>
    </row>
    <row r="662" spans="1:73" hidden="1">
      <c r="A662" s="6"/>
      <c r="B662" s="108"/>
      <c r="C662" s="1"/>
      <c r="D662" s="12"/>
      <c r="E662" s="1"/>
      <c r="F662" s="1"/>
      <c r="G662" s="52"/>
      <c r="H662" s="3"/>
      <c r="I662" s="3"/>
      <c r="J662" s="3"/>
      <c r="K662" s="3"/>
      <c r="L662" s="3"/>
      <c r="M662" s="3"/>
      <c r="N662" s="3"/>
      <c r="O662" s="1"/>
      <c r="P662" s="1"/>
      <c r="Q662" s="1"/>
      <c r="R662" s="162"/>
      <c r="S662" s="1"/>
      <c r="T662" s="103"/>
      <c r="U662" s="103"/>
      <c r="V662" s="103" t="str">
        <f>$N$10</f>
        <v>Profile 8</v>
      </c>
      <c r="W662" s="416">
        <f ca="1">IF(W$654 &gt;= '2.2 Input_General_Information'!$H$20,W$647*'2.3 Input_Main_Questionnaire'!$O$34,)</f>
        <v>0</v>
      </c>
      <c r="X662" s="416">
        <f ca="1">IF(X$654 &gt;= '2.2 Input_General_Information'!$H$20,X$647*'2.3 Input_Main_Questionnaire'!$O$34,)</f>
        <v>8.2004300624676264E-3</v>
      </c>
      <c r="Y662" s="416">
        <f ca="1">IF(Y$654 &gt;= '2.2 Input_General_Information'!$H$20,Y$647*'2.3 Input_Main_Questionnaire'!$O$34,)</f>
        <v>3.4113992618647185E-2</v>
      </c>
      <c r="Z662" s="416">
        <f ca="1">IF(Z$654 &gt;= '2.2 Input_General_Information'!$H$20,Z$647*'2.3 Input_Main_Questionnaire'!$O$34,)</f>
        <v>1.9445355220540294E-3</v>
      </c>
      <c r="AA662" s="416">
        <f ca="1">IF(AA$654 &gt;= '2.2 Input_General_Information'!$H$20,AA$647*'2.3 Input_Main_Questionnaire'!$O$34,)</f>
        <v>4.4270468312350968E-6</v>
      </c>
      <c r="AB662" s="416">
        <f ca="1">IF(AB$654 &gt;= '2.2 Input_General_Information'!$H$20,AB$647*'2.3 Input_Main_Questionnaire'!$O$34,)</f>
        <v>0</v>
      </c>
      <c r="AC662" s="416">
        <f ca="1">IF(AC$654 &gt;= '2.2 Input_General_Information'!$H$20,AC$647*'2.3 Input_Main_Questionnaire'!$O$34,)</f>
        <v>0</v>
      </c>
      <c r="AD662" s="416">
        <f ca="1">IF(AD$654 &gt;= '2.2 Input_General_Information'!$H$20,AD$647*'2.3 Input_Main_Questionnaire'!$O$34,)</f>
        <v>0</v>
      </c>
      <c r="AE662" s="416">
        <f ca="1">IF(AE$654 &gt;= '2.2 Input_General_Information'!$H$20,AE$647*'2.3 Input_Main_Questionnaire'!$O$34,)</f>
        <v>0</v>
      </c>
      <c r="AF662" s="416">
        <f ca="1">IF(AF$654 &gt;= '2.2 Input_General_Information'!$H$20,AF$647*'2.3 Input_Main_Questionnaire'!$O$34,)</f>
        <v>0</v>
      </c>
      <c r="AG662" s="416">
        <f ca="1">IF(AG$654 &gt;= '2.2 Input_General_Information'!$H$20,AG$647*'2.3 Input_Main_Questionnaire'!$O$34,)</f>
        <v>0</v>
      </c>
      <c r="AH662" s="416">
        <f ca="1">IF(AH$654 &gt;= '2.2 Input_General_Information'!$H$20,AH$647*'2.3 Input_Main_Questionnaire'!$O$34,)</f>
        <v>0</v>
      </c>
      <c r="AI662" s="416">
        <f ca="1">IF(AI$654 &gt;= '2.2 Input_General_Information'!$H$20,AI$647*'2.3 Input_Main_Questionnaire'!$O$34,)</f>
        <v>0</v>
      </c>
      <c r="AJ662" s="416">
        <f ca="1">IF(AJ$654 &gt;= '2.2 Input_General_Information'!$H$20,AJ$647*'2.3 Input_Main_Questionnaire'!$O$34,)</f>
        <v>0</v>
      </c>
      <c r="AK662" s="416">
        <f ca="1">IF(AK$654 &gt;= '2.2 Input_General_Information'!$H$20,AK$647*'2.3 Input_Main_Questionnaire'!$O$34,)</f>
        <v>0</v>
      </c>
      <c r="AL662" s="416">
        <f ca="1">IF(AL$654 &gt;= '2.2 Input_General_Information'!$H$20,AL$647*'2.3 Input_Main_Questionnaire'!$O$34,)</f>
        <v>0</v>
      </c>
      <c r="AM662" s="416">
        <f ca="1">IF(AM$654 &gt;= '2.2 Input_General_Information'!$H$20,AM$647*'2.3 Input_Main_Questionnaire'!$O$34,)</f>
        <v>0</v>
      </c>
      <c r="AN662" s="416">
        <f ca="1">IF(AN$654 &gt;= '2.2 Input_General_Information'!$H$20,AN$647*'2.3 Input_Main_Questionnaire'!$O$34,)</f>
        <v>0</v>
      </c>
      <c r="AO662" s="416">
        <f ca="1">IF(AO$654 &gt;= '2.2 Input_General_Information'!$H$20,AO$647*'2.3 Input_Main_Questionnaire'!$O$34,)</f>
        <v>0</v>
      </c>
      <c r="AP662" s="416">
        <f ca="1">IF(AP$654 &gt;= '2.2 Input_General_Information'!$H$20,AP$647*'2.3 Input_Main_Questionnaire'!$O$34,)</f>
        <v>0</v>
      </c>
      <c r="AQ662" s="416">
        <f ca="1">IF(AQ$654 &gt;= '2.2 Input_General_Information'!$H$20,AQ$647*'2.3 Input_Main_Questionnaire'!$O$34,)</f>
        <v>0</v>
      </c>
      <c r="AR662" s="416">
        <f ca="1">IF(AR$654 &gt;= '2.2 Input_General_Information'!$H$20,AR$647*'2.3 Input_Main_Questionnaire'!$O$34,)</f>
        <v>0</v>
      </c>
      <c r="AS662" s="416">
        <f ca="1">IF(AS$654 &gt;= '2.2 Input_General_Information'!$H$20,AS$647*'2.3 Input_Main_Questionnaire'!$O$34,)</f>
        <v>0</v>
      </c>
      <c r="AT662" s="416">
        <f ca="1">IF(AT$654 &gt;= '2.2 Input_General_Information'!$H$20,AT$647*'2.3 Input_Main_Questionnaire'!$O$34,)</f>
        <v>0</v>
      </c>
      <c r="AU662" s="416">
        <f ca="1">IF(AU$654 &gt;= '2.2 Input_General_Information'!$H$20,AU$647*'2.3 Input_Main_Questionnaire'!$O$34,)</f>
        <v>0</v>
      </c>
      <c r="AV662" s="416">
        <f ca="1">IF(AV$654 &gt;= '2.2 Input_General_Information'!$H$20,AV$647*'2.3 Input_Main_Questionnaire'!$O$34,)</f>
        <v>0</v>
      </c>
      <c r="AW662" s="416">
        <f ca="1">IF(AW$654 &gt;= '2.2 Input_General_Information'!$H$20,AW$647*'2.3 Input_Main_Questionnaire'!$O$34,)</f>
        <v>0</v>
      </c>
      <c r="AX662" s="416">
        <f ca="1">IF(AX$654 &gt;= '2.2 Input_General_Information'!$H$20,AX$647*'2.3 Input_Main_Questionnaire'!$O$34,)</f>
        <v>0</v>
      </c>
      <c r="AY662" s="416">
        <f ca="1">IF(AY$654 &gt;= '2.2 Input_General_Information'!$H$20,AY$647*'2.3 Input_Main_Questionnaire'!$O$34,)</f>
        <v>0</v>
      </c>
      <c r="AZ662" s="416">
        <f ca="1">IF(AZ$654 &gt;= '2.2 Input_General_Information'!$H$20,AZ$647*'2.3 Input_Main_Questionnaire'!$O$34,)</f>
        <v>0</v>
      </c>
      <c r="BA662" s="416">
        <f ca="1">IF(BA$654 &gt;= '2.2 Input_General_Information'!$H$20,BA$647*'2.3 Input_Main_Questionnaire'!$O$34,)</f>
        <v>0</v>
      </c>
      <c r="BB662" s="416">
        <f ca="1">IF(BB$654 &gt;= '2.2 Input_General_Information'!$H$20,BB$647*'2.3 Input_Main_Questionnaire'!$O$34,)</f>
        <v>0</v>
      </c>
      <c r="BC662" s="416">
        <f ca="1">IF(BC$654 &gt;= '2.2 Input_General_Information'!$H$20,BC$647*'2.3 Input_Main_Questionnaire'!$O$34,)</f>
        <v>0</v>
      </c>
      <c r="BD662" s="416">
        <f ca="1">IF(BD$654 &gt;= '2.2 Input_General_Information'!$H$20,BD$647*'2.3 Input_Main_Questionnaire'!$O$34,)</f>
        <v>0</v>
      </c>
      <c r="BE662" s="416">
        <f ca="1">IF(BE$654 &gt;= '2.2 Input_General_Information'!$H$20,BE$647*'2.3 Input_Main_Questionnaire'!$O$34,)</f>
        <v>0</v>
      </c>
      <c r="BF662" s="416">
        <f ca="1">IF(BF$654 &gt;= '2.2 Input_General_Information'!$H$20,BF$647*'2.3 Input_Main_Questionnaire'!$O$34,)</f>
        <v>0</v>
      </c>
      <c r="BG662" s="416">
        <f ca="1">IF(BG$654 &gt;= '2.2 Input_General_Information'!$H$20,BG$647*'2.3 Input_Main_Questionnaire'!$O$34,)</f>
        <v>0</v>
      </c>
      <c r="BH662" s="416">
        <f ca="1">IF(BH$654 &gt;= '2.2 Input_General_Information'!$H$20,BH$647*'2.3 Input_Main_Questionnaire'!$O$34,)</f>
        <v>0</v>
      </c>
      <c r="BI662" s="416">
        <f ca="1">IF(BI$654 &gt;= '2.2 Input_General_Information'!$H$20,BI$647*'2.3 Input_Main_Questionnaire'!$O$34,)</f>
        <v>0</v>
      </c>
      <c r="BJ662" s="416">
        <f ca="1">IF(BJ$654 &gt;= '2.2 Input_General_Information'!$H$20,BJ$647*'2.3 Input_Main_Questionnaire'!$O$34,)</f>
        <v>0</v>
      </c>
      <c r="BK662" s="416">
        <f ca="1">IF(BK$654 &gt;= '2.2 Input_General_Information'!$H$20,BK$647*'2.3 Input_Main_Questionnaire'!$O$34,)</f>
        <v>0</v>
      </c>
      <c r="BL662" s="99"/>
      <c r="BM662" s="99"/>
      <c r="BN662" s="99"/>
      <c r="BO662" s="99"/>
      <c r="BP662" s="99"/>
      <c r="BQ662" s="99"/>
      <c r="BR662" s="99"/>
      <c r="BS662" s="99"/>
      <c r="BT662" s="99"/>
      <c r="BU662" s="99"/>
    </row>
    <row r="663" spans="1:73" hidden="1">
      <c r="A663" s="6"/>
      <c r="B663" s="108"/>
      <c r="C663" s="1"/>
      <c r="D663" s="1"/>
      <c r="E663" s="1"/>
      <c r="F663" s="12"/>
      <c r="G663" s="3"/>
      <c r="H663" s="3"/>
      <c r="I663" s="3"/>
      <c r="J663" s="3"/>
      <c r="K663" s="3"/>
      <c r="L663" s="3"/>
      <c r="M663" s="3"/>
      <c r="N663" s="3"/>
      <c r="O663" s="1"/>
      <c r="P663" s="1"/>
      <c r="Q663" s="1"/>
      <c r="R663" s="162"/>
      <c r="S663" s="1"/>
      <c r="T663" s="103"/>
      <c r="U663" s="9" t="s">
        <v>29</v>
      </c>
      <c r="V663" s="103"/>
      <c r="W663" s="98"/>
      <c r="X663" s="98"/>
      <c r="Y663" s="98"/>
      <c r="Z663" s="98"/>
      <c r="AA663" s="98"/>
      <c r="AB663" s="98"/>
      <c r="AC663" s="98"/>
      <c r="AD663" s="98"/>
      <c r="AE663" s="98"/>
      <c r="AF663" s="98"/>
      <c r="AG663" s="98"/>
      <c r="AH663" s="98"/>
      <c r="AI663" s="98"/>
      <c r="AJ663" s="98"/>
      <c r="AK663" s="98"/>
      <c r="AL663" s="98"/>
      <c r="AM663" s="98"/>
      <c r="AN663" s="98"/>
      <c r="AO663" s="98"/>
      <c r="AP663" s="98"/>
      <c r="AQ663" s="98"/>
      <c r="AR663" s="98"/>
      <c r="AS663" s="98"/>
      <c r="AT663" s="98"/>
      <c r="AU663" s="98"/>
      <c r="AV663" s="98"/>
      <c r="AW663" s="98"/>
      <c r="AX663" s="98"/>
      <c r="AY663" s="98"/>
      <c r="AZ663" s="98"/>
      <c r="BA663" s="98"/>
      <c r="BB663" s="98"/>
      <c r="BC663" s="98"/>
      <c r="BD663" s="98"/>
      <c r="BE663" s="98"/>
      <c r="BF663" s="98"/>
      <c r="BG663" s="98"/>
      <c r="BH663" s="98"/>
      <c r="BI663" s="98"/>
      <c r="BJ663" s="98"/>
      <c r="BK663" s="98"/>
      <c r="BL663" s="99"/>
      <c r="BM663" s="99"/>
      <c r="BN663" s="99"/>
      <c r="BO663" s="99"/>
      <c r="BP663" s="99"/>
      <c r="BQ663" s="99"/>
      <c r="BR663" s="99"/>
      <c r="BS663" s="99"/>
      <c r="BT663" s="99"/>
      <c r="BU663" s="99"/>
    </row>
    <row r="664" spans="1:73">
      <c r="A664" s="6"/>
      <c r="B664" s="108"/>
      <c r="C664" s="1"/>
      <c r="D664" s="1"/>
      <c r="E664" s="1"/>
      <c r="F664" s="12"/>
      <c r="G664" s="3"/>
      <c r="H664" s="3"/>
      <c r="I664" s="3"/>
      <c r="J664" s="3"/>
      <c r="K664" s="3"/>
      <c r="L664" s="3"/>
      <c r="M664" s="3"/>
      <c r="N664" s="3"/>
      <c r="O664" s="1"/>
      <c r="P664" s="1"/>
      <c r="Q664" s="1"/>
      <c r="R664" s="162"/>
      <c r="S664" s="1"/>
      <c r="T664" s="103"/>
      <c r="U664" s="9"/>
      <c r="V664" s="103"/>
      <c r="W664" s="98"/>
      <c r="X664" s="98"/>
      <c r="Y664" s="98"/>
      <c r="Z664" s="98"/>
      <c r="AA664" s="98"/>
      <c r="AB664" s="98"/>
      <c r="AC664" s="98"/>
      <c r="AD664" s="98"/>
      <c r="AE664" s="98"/>
      <c r="AF664" s="98"/>
      <c r="AG664" s="98"/>
      <c r="AH664" s="98"/>
      <c r="AI664" s="98"/>
      <c r="AJ664" s="98"/>
      <c r="AK664" s="98"/>
      <c r="AL664" s="98"/>
      <c r="AM664" s="98"/>
      <c r="AN664" s="98"/>
      <c r="AO664" s="98"/>
      <c r="AP664" s="98"/>
      <c r="AQ664" s="98"/>
      <c r="AR664" s="98"/>
      <c r="AS664" s="98"/>
      <c r="AT664" s="98"/>
      <c r="AU664" s="98"/>
      <c r="AV664" s="98"/>
      <c r="AW664" s="98"/>
      <c r="AX664" s="98"/>
      <c r="AY664" s="98"/>
      <c r="AZ664" s="98"/>
      <c r="BA664" s="98"/>
      <c r="BB664" s="98"/>
      <c r="BC664" s="98"/>
      <c r="BD664" s="98"/>
      <c r="BE664" s="98"/>
      <c r="BF664" s="98"/>
      <c r="BG664" s="98"/>
      <c r="BH664" s="98"/>
      <c r="BI664" s="98"/>
      <c r="BJ664" s="98"/>
      <c r="BK664" s="98"/>
      <c r="BL664" s="99"/>
      <c r="BM664" s="99"/>
      <c r="BN664" s="99"/>
      <c r="BO664" s="99"/>
      <c r="BP664" s="99"/>
      <c r="BQ664" s="99"/>
      <c r="BR664" s="99"/>
      <c r="BS664" s="99"/>
      <c r="BT664" s="99"/>
      <c r="BU664" s="99"/>
    </row>
    <row r="665" spans="1:73">
      <c r="A665" s="6"/>
      <c r="B665" s="108"/>
      <c r="C665" s="1"/>
      <c r="D665" s="44" t="str">
        <f>"Inputs on: "&amp;'2.3 Input_Main_Questionnaire'!F35</f>
        <v xml:space="preserve">Inputs on: Peer review </v>
      </c>
      <c r="E665" s="45"/>
      <c r="F665" s="45"/>
      <c r="G665" s="142"/>
      <c r="H665" s="142"/>
      <c r="I665" s="142"/>
      <c r="J665" s="142"/>
      <c r="K665" s="142"/>
      <c r="L665" s="142"/>
      <c r="M665" s="142"/>
      <c r="N665" s="142"/>
      <c r="O665" s="1"/>
      <c r="P665" s="1"/>
      <c r="Q665" s="1"/>
      <c r="R665" s="162"/>
      <c r="S665" s="1"/>
      <c r="T665" s="103"/>
      <c r="U665" s="103"/>
      <c r="V665" s="103"/>
      <c r="W665" s="98"/>
      <c r="X665" s="98"/>
      <c r="Y665" s="98"/>
      <c r="Z665" s="98"/>
      <c r="AA665" s="98"/>
      <c r="AB665" s="98"/>
      <c r="AC665" s="98"/>
      <c r="AD665" s="98"/>
      <c r="AE665" s="98"/>
      <c r="AF665" s="98"/>
      <c r="AG665" s="98"/>
      <c r="AH665" s="98"/>
      <c r="AI665" s="98"/>
      <c r="AJ665" s="98"/>
      <c r="AK665" s="98"/>
      <c r="AL665" s="98"/>
      <c r="AM665" s="98"/>
      <c r="AN665" s="98"/>
      <c r="AO665" s="98"/>
      <c r="AP665" s="98"/>
      <c r="AQ665" s="98"/>
      <c r="AR665" s="98"/>
      <c r="AS665" s="98"/>
      <c r="AT665" s="98"/>
      <c r="AU665" s="98"/>
      <c r="AV665" s="98"/>
      <c r="AW665" s="98"/>
      <c r="AX665" s="98"/>
      <c r="AY665" s="98"/>
      <c r="AZ665" s="98"/>
      <c r="BA665" s="98"/>
      <c r="BB665" s="98"/>
      <c r="BC665" s="98"/>
      <c r="BD665" s="98"/>
      <c r="BE665" s="98"/>
      <c r="BF665" s="98"/>
      <c r="BG665" s="98"/>
      <c r="BH665" s="98"/>
      <c r="BI665" s="98"/>
      <c r="BJ665" s="98"/>
      <c r="BK665" s="98"/>
      <c r="BL665" s="99"/>
      <c r="BM665" s="99"/>
      <c r="BN665" s="99"/>
      <c r="BO665" s="99"/>
      <c r="BP665" s="99"/>
      <c r="BQ665" s="99"/>
      <c r="BR665" s="99"/>
      <c r="BS665" s="99"/>
      <c r="BT665" s="99"/>
      <c r="BU665" s="99"/>
    </row>
    <row r="666" spans="1:73" ht="5.25" customHeight="1">
      <c r="A666" s="6"/>
      <c r="B666" s="108"/>
      <c r="C666" s="1"/>
      <c r="D666" s="58"/>
      <c r="E666" s="1"/>
      <c r="F666" s="1"/>
      <c r="G666" s="52"/>
      <c r="H666" s="3"/>
      <c r="I666" s="52"/>
      <c r="J666" s="3"/>
      <c r="K666" s="3"/>
      <c r="L666" s="3"/>
      <c r="M666" s="3"/>
      <c r="N666" s="3"/>
      <c r="O666" s="1"/>
      <c r="P666" s="1"/>
      <c r="Q666" s="1"/>
      <c r="R666" s="162"/>
      <c r="S666" s="1"/>
      <c r="T666" s="103"/>
      <c r="U666" s="103"/>
      <c r="V666" s="103"/>
      <c r="W666" s="98"/>
      <c r="X666" s="98"/>
      <c r="Y666" s="98"/>
      <c r="Z666" s="98"/>
      <c r="AA666" s="98"/>
      <c r="AB666" s="98"/>
      <c r="AC666" s="98"/>
      <c r="AD666" s="98"/>
      <c r="AE666" s="98"/>
      <c r="AF666" s="98"/>
      <c r="AG666" s="98"/>
      <c r="AH666" s="98"/>
      <c r="AI666" s="98"/>
      <c r="AJ666" s="98"/>
      <c r="AK666" s="98"/>
      <c r="AL666" s="98"/>
      <c r="AM666" s="98"/>
      <c r="AN666" s="98"/>
      <c r="AO666" s="98"/>
      <c r="AP666" s="98"/>
      <c r="AQ666" s="98"/>
      <c r="AR666" s="98"/>
      <c r="AS666" s="98"/>
      <c r="AT666" s="98"/>
      <c r="AU666" s="98"/>
      <c r="AV666" s="98"/>
      <c r="AW666" s="98"/>
      <c r="AX666" s="98"/>
      <c r="AY666" s="98"/>
      <c r="AZ666" s="98"/>
      <c r="BA666" s="98"/>
      <c r="BB666" s="98"/>
      <c r="BC666" s="98"/>
      <c r="BD666" s="98"/>
      <c r="BE666" s="98"/>
      <c r="BF666" s="98"/>
      <c r="BG666" s="98"/>
      <c r="BH666" s="98"/>
      <c r="BI666" s="98"/>
      <c r="BJ666" s="98"/>
      <c r="BK666" s="98"/>
      <c r="BL666" s="99"/>
      <c r="BM666" s="99"/>
      <c r="BN666" s="99"/>
      <c r="BO666" s="99"/>
      <c r="BP666" s="99"/>
      <c r="BQ666" s="99"/>
      <c r="BR666" s="99"/>
      <c r="BS666" s="99"/>
      <c r="BT666" s="99"/>
      <c r="BU666" s="99"/>
    </row>
    <row r="667" spans="1:73">
      <c r="A667" s="6"/>
      <c r="B667" s="108"/>
      <c r="C667" s="1"/>
      <c r="D667" s="58" t="s">
        <v>1076</v>
      </c>
      <c r="E667" s="1"/>
      <c r="F667" s="1"/>
      <c r="G667" s="80">
        <f>IF(ISBLANK($G$672),$G$673/G668,$G$672/G668)</f>
        <v>18</v>
      </c>
      <c r="H667" s="3"/>
      <c r="I667" s="52"/>
      <c r="J667" s="3"/>
      <c r="K667" s="3"/>
      <c r="L667" s="3"/>
      <c r="M667" s="3"/>
      <c r="N667" s="3"/>
      <c r="O667" s="1"/>
      <c r="P667" s="1"/>
      <c r="Q667" s="1"/>
      <c r="R667" s="162"/>
      <c r="S667" s="1"/>
      <c r="T667" s="103"/>
      <c r="U667" s="103"/>
      <c r="V667" s="103"/>
      <c r="W667" s="98"/>
      <c r="X667" s="98"/>
      <c r="Y667" s="98"/>
      <c r="Z667" s="98"/>
      <c r="AA667" s="98"/>
      <c r="AB667" s="98"/>
      <c r="AC667" s="98"/>
      <c r="AD667" s="98"/>
      <c r="AE667" s="98"/>
      <c r="AF667" s="98"/>
      <c r="AG667" s="98"/>
      <c r="AH667" s="98"/>
      <c r="AI667" s="98"/>
      <c r="AJ667" s="98"/>
      <c r="AK667" s="98"/>
      <c r="AL667" s="98"/>
      <c r="AM667" s="98"/>
      <c r="AN667" s="98"/>
      <c r="AO667" s="98"/>
      <c r="AP667" s="98"/>
      <c r="AQ667" s="98"/>
      <c r="AR667" s="98"/>
      <c r="AS667" s="98"/>
      <c r="AT667" s="98"/>
      <c r="AU667" s="98"/>
      <c r="AV667" s="98"/>
      <c r="AW667" s="98"/>
      <c r="AX667" s="98"/>
      <c r="AY667" s="98"/>
      <c r="AZ667" s="98"/>
      <c r="BA667" s="98"/>
      <c r="BB667" s="98"/>
      <c r="BC667" s="98"/>
      <c r="BD667" s="98"/>
      <c r="BE667" s="98"/>
      <c r="BF667" s="98"/>
      <c r="BG667" s="98"/>
      <c r="BH667" s="98"/>
      <c r="BI667" s="98"/>
      <c r="BJ667" s="98"/>
      <c r="BK667" s="98"/>
      <c r="BL667" s="99"/>
      <c r="BM667" s="99"/>
      <c r="BN667" s="99"/>
      <c r="BO667" s="99"/>
      <c r="BP667" s="99"/>
      <c r="BQ667" s="99"/>
      <c r="BR667" s="99"/>
      <c r="BS667" s="99"/>
      <c r="BT667" s="99"/>
      <c r="BU667" s="99"/>
    </row>
    <row r="668" spans="1:73">
      <c r="A668" s="6"/>
      <c r="B668" s="108"/>
      <c r="C668" s="1"/>
      <c r="D668" s="58" t="s">
        <v>1077</v>
      </c>
      <c r="E668" s="1"/>
      <c r="F668" s="1"/>
      <c r="G668" s="648">
        <f>'2.3 Input_Main_Questionnaire'!$H$310</f>
        <v>0.5</v>
      </c>
      <c r="H668" s="3"/>
      <c r="I668" s="52"/>
      <c r="J668" s="3"/>
      <c r="K668" s="3"/>
      <c r="L668" s="3"/>
      <c r="M668" s="3"/>
      <c r="N668" s="3"/>
      <c r="O668" s="1"/>
      <c r="P668" s="1"/>
      <c r="Q668" s="1"/>
      <c r="R668" s="162"/>
      <c r="S668" s="1"/>
      <c r="T668" s="103"/>
      <c r="U668" s="103"/>
      <c r="V668" s="103"/>
      <c r="W668" s="81"/>
      <c r="X668" s="81"/>
      <c r="Y668" s="81"/>
      <c r="Z668" s="81"/>
      <c r="AA668" s="81"/>
      <c r="AB668" s="81"/>
      <c r="AC668" s="81"/>
      <c r="AD668" s="81"/>
      <c r="AE668" s="81"/>
      <c r="AF668" s="81"/>
      <c r="AG668" s="81"/>
      <c r="AH668" s="81"/>
      <c r="AI668" s="81"/>
      <c r="AJ668" s="81"/>
      <c r="AK668" s="81"/>
      <c r="AL668" s="81"/>
      <c r="AM668" s="81"/>
      <c r="AN668" s="81"/>
      <c r="AO668" s="81"/>
      <c r="AP668" s="81"/>
      <c r="AQ668" s="81"/>
      <c r="AR668" s="81"/>
      <c r="AS668" s="81"/>
      <c r="AT668" s="81"/>
      <c r="AU668" s="81"/>
      <c r="AV668" s="81"/>
      <c r="AW668" s="81"/>
      <c r="AX668" s="81"/>
      <c r="AY668" s="81"/>
      <c r="AZ668" s="81"/>
      <c r="BA668" s="81"/>
      <c r="BB668" s="81"/>
      <c r="BC668" s="81"/>
      <c r="BD668" s="81"/>
      <c r="BE668" s="81"/>
      <c r="BF668" s="81"/>
      <c r="BG668" s="81"/>
      <c r="BH668" s="81"/>
      <c r="BI668" s="81"/>
      <c r="BJ668" s="81"/>
      <c r="BK668" s="81"/>
      <c r="BL668" s="6"/>
      <c r="BM668" s="6"/>
      <c r="BN668" s="6"/>
      <c r="BO668" s="6"/>
      <c r="BP668" s="6"/>
      <c r="BQ668" s="6"/>
      <c r="BR668" s="6"/>
      <c r="BS668" s="6"/>
      <c r="BT668" s="6"/>
      <c r="BU668" s="6"/>
    </row>
    <row r="669" spans="1:73">
      <c r="A669" s="6"/>
      <c r="B669" s="108"/>
      <c r="C669" s="1"/>
      <c r="D669" s="58" t="s">
        <v>1078</v>
      </c>
      <c r="E669" s="1"/>
      <c r="F669" s="1"/>
      <c r="G669" s="408">
        <f>IF('2.3 Input_Main_Questionnaire'!$H$311="NO",1-'2.3 Input_Main_Questionnaire'!$H$313/'2.3 Input_Main_Questionnaire'!$H$308,0)</f>
        <v>0.625</v>
      </c>
      <c r="H669" s="43"/>
      <c r="I669" s="52"/>
      <c r="J669" s="3"/>
      <c r="K669" s="3"/>
      <c r="L669" s="3"/>
      <c r="M669" s="3"/>
      <c r="N669" s="3"/>
      <c r="O669" s="6"/>
      <c r="P669" s="6"/>
      <c r="Q669" s="1"/>
      <c r="R669" s="162"/>
      <c r="S669" s="1"/>
      <c r="T669" s="103"/>
      <c r="U669" s="103"/>
      <c r="V669" s="103"/>
      <c r="W669" s="81"/>
      <c r="X669" s="81"/>
      <c r="Y669" s="81"/>
      <c r="Z669" s="81"/>
      <c r="AA669" s="81"/>
      <c r="AB669" s="81"/>
      <c r="AC669" s="81"/>
      <c r="AD669" s="81"/>
      <c r="AE669" s="81"/>
      <c r="AF669" s="81"/>
      <c r="AG669" s="81"/>
      <c r="AH669" s="81"/>
      <c r="AI669" s="81"/>
      <c r="AJ669" s="81"/>
      <c r="AK669" s="81"/>
      <c r="AL669" s="81"/>
      <c r="AM669" s="81"/>
      <c r="AN669" s="81"/>
      <c r="AO669" s="81"/>
      <c r="AP669" s="81"/>
      <c r="AQ669" s="81"/>
      <c r="AR669" s="81"/>
      <c r="AS669" s="81"/>
      <c r="AT669" s="81"/>
      <c r="AU669" s="81"/>
      <c r="AV669" s="81"/>
      <c r="AW669" s="81"/>
      <c r="AX669" s="81"/>
      <c r="AY669" s="81"/>
      <c r="AZ669" s="81"/>
      <c r="BA669" s="81"/>
      <c r="BB669" s="81"/>
      <c r="BC669" s="81"/>
      <c r="BD669" s="81"/>
      <c r="BE669" s="81"/>
      <c r="BF669" s="81"/>
      <c r="BG669" s="81"/>
      <c r="BH669" s="81"/>
      <c r="BI669" s="81"/>
      <c r="BJ669" s="81"/>
      <c r="BK669" s="81"/>
      <c r="BL669" s="6"/>
      <c r="BM669" s="6"/>
      <c r="BN669" s="6"/>
      <c r="BO669" s="6"/>
      <c r="BP669" s="6"/>
      <c r="BQ669" s="6"/>
      <c r="BR669" s="6"/>
      <c r="BS669" s="6"/>
      <c r="BT669" s="6"/>
      <c r="BU669" s="6"/>
    </row>
    <row r="670" spans="1:73">
      <c r="A670" s="6"/>
      <c r="B670" s="108"/>
      <c r="C670" s="1"/>
      <c r="D670" s="58" t="s">
        <v>1079</v>
      </c>
      <c r="E670" s="1"/>
      <c r="F670" s="1"/>
      <c r="G670" s="648">
        <f>G667*G669</f>
        <v>11.25</v>
      </c>
      <c r="H670" s="3"/>
      <c r="I670" s="52"/>
      <c r="J670" s="3"/>
      <c r="K670" s="3"/>
      <c r="L670" s="3"/>
      <c r="M670" s="3"/>
      <c r="N670" s="3"/>
      <c r="O670" s="1173"/>
      <c r="P670" s="1174"/>
      <c r="Q670" s="1"/>
      <c r="R670" s="162"/>
      <c r="S670" s="1"/>
      <c r="T670" s="103"/>
      <c r="U670" s="103"/>
      <c r="V670" s="103"/>
      <c r="W670" s="98"/>
      <c r="X670" s="98"/>
      <c r="Y670" s="98"/>
      <c r="Z670" s="98"/>
      <c r="AA670" s="98"/>
      <c r="AB670" s="98"/>
      <c r="AC670" s="98"/>
      <c r="AD670" s="98"/>
      <c r="AE670" s="98"/>
      <c r="AF670" s="98"/>
      <c r="AG670" s="98"/>
      <c r="AH670" s="98"/>
      <c r="AI670" s="98"/>
      <c r="AJ670" s="98"/>
      <c r="AK670" s="98"/>
      <c r="AL670" s="98"/>
      <c r="AM670" s="98"/>
      <c r="AN670" s="98"/>
      <c r="AO670" s="98"/>
      <c r="AP670" s="98"/>
      <c r="AQ670" s="98"/>
      <c r="AR670" s="98"/>
      <c r="AS670" s="98"/>
      <c r="AT670" s="98"/>
      <c r="AU670" s="98"/>
      <c r="AV670" s="98"/>
      <c r="AW670" s="98"/>
      <c r="AX670" s="98"/>
      <c r="AY670" s="98"/>
      <c r="AZ670" s="98"/>
      <c r="BA670" s="98"/>
      <c r="BB670" s="98"/>
      <c r="BC670" s="98"/>
      <c r="BD670" s="98"/>
      <c r="BE670" s="98"/>
      <c r="BF670" s="98"/>
      <c r="BG670" s="98"/>
      <c r="BH670" s="98"/>
      <c r="BI670" s="98"/>
      <c r="BJ670" s="98"/>
      <c r="BK670" s="98"/>
      <c r="BL670" s="99"/>
      <c r="BM670" s="99"/>
      <c r="BN670" s="99"/>
      <c r="BO670" s="99"/>
      <c r="BP670" s="99"/>
      <c r="BQ670" s="99"/>
      <c r="BR670" s="99"/>
      <c r="BS670" s="99"/>
      <c r="BT670" s="99"/>
      <c r="BU670" s="99"/>
    </row>
    <row r="671" spans="1:73" ht="5.25" customHeight="1">
      <c r="A671" s="6"/>
      <c r="B671" s="108"/>
      <c r="C671" s="1"/>
      <c r="D671" s="58"/>
      <c r="E671" s="1"/>
      <c r="F671" s="1"/>
      <c r="G671" s="3"/>
      <c r="H671" s="3"/>
      <c r="I671" s="52"/>
      <c r="J671" s="3"/>
      <c r="K671" s="3"/>
      <c r="L671" s="3"/>
      <c r="M671" s="3"/>
      <c r="N671" s="3"/>
      <c r="O671" s="1"/>
      <c r="P671" s="1"/>
      <c r="Q671" s="1"/>
      <c r="R671" s="162"/>
      <c r="S671" s="1"/>
      <c r="T671" s="103"/>
      <c r="U671" s="103"/>
      <c r="V671" s="103"/>
      <c r="W671" s="98"/>
      <c r="X671" s="98"/>
      <c r="Y671" s="98"/>
      <c r="Z671" s="98"/>
      <c r="AA671" s="98"/>
      <c r="AB671" s="98"/>
      <c r="AC671" s="98"/>
      <c r="AD671" s="98"/>
      <c r="AE671" s="98"/>
      <c r="AF671" s="98"/>
      <c r="AG671" s="98"/>
      <c r="AH671" s="98"/>
      <c r="AI671" s="98"/>
      <c r="AJ671" s="98"/>
      <c r="AK671" s="98"/>
      <c r="AL671" s="98"/>
      <c r="AM671" s="98"/>
      <c r="AN671" s="98"/>
      <c r="AO671" s="98"/>
      <c r="AP671" s="98"/>
      <c r="AQ671" s="98"/>
      <c r="AR671" s="98"/>
      <c r="AS671" s="98"/>
      <c r="AT671" s="98"/>
      <c r="AU671" s="98"/>
      <c r="AV671" s="98"/>
      <c r="AW671" s="98"/>
      <c r="AX671" s="98"/>
      <c r="AY671" s="98"/>
      <c r="AZ671" s="98"/>
      <c r="BA671" s="98"/>
      <c r="BB671" s="98"/>
      <c r="BC671" s="98"/>
      <c r="BD671" s="98"/>
      <c r="BE671" s="98"/>
      <c r="BF671" s="98"/>
      <c r="BG671" s="98"/>
      <c r="BH671" s="98"/>
      <c r="BI671" s="98"/>
      <c r="BJ671" s="98"/>
      <c r="BK671" s="98"/>
      <c r="BL671" s="99"/>
      <c r="BM671" s="99"/>
      <c r="BN671" s="99"/>
      <c r="BO671" s="99"/>
      <c r="BP671" s="99"/>
      <c r="BQ671" s="99"/>
      <c r="BR671" s="99"/>
      <c r="BS671" s="99"/>
      <c r="BT671" s="99"/>
      <c r="BU671" s="99"/>
    </row>
    <row r="672" spans="1:73">
      <c r="A672" s="6"/>
      <c r="B672" s="108"/>
      <c r="C672" s="1"/>
      <c r="D672" s="58" t="s">
        <v>1080</v>
      </c>
      <c r="E672" s="1"/>
      <c r="F672" s="1"/>
      <c r="G672" s="80">
        <f>'2.3 Input_Main_Questionnaire'!H307</f>
        <v>9</v>
      </c>
      <c r="H672" s="3"/>
      <c r="I672" s="52"/>
      <c r="J672" s="3"/>
      <c r="K672" s="3"/>
      <c r="L672" s="3"/>
      <c r="M672" s="3"/>
      <c r="N672" s="3"/>
      <c r="O672" s="1"/>
      <c r="P672" s="1"/>
      <c r="Q672" s="1"/>
      <c r="R672" s="162"/>
      <c r="S672" s="1"/>
      <c r="T672" s="103"/>
      <c r="U672" s="103"/>
      <c r="V672" s="103"/>
      <c r="W672" s="98"/>
      <c r="X672" s="98"/>
      <c r="Y672" s="98"/>
      <c r="Z672" s="98"/>
      <c r="AA672" s="98"/>
      <c r="AB672" s="98"/>
      <c r="AC672" s="98"/>
      <c r="AD672" s="98"/>
      <c r="AE672" s="98"/>
      <c r="AF672" s="98"/>
      <c r="AG672" s="98"/>
      <c r="AH672" s="98"/>
      <c r="AI672" s="98"/>
      <c r="AJ672" s="98"/>
      <c r="AK672" s="98"/>
      <c r="AL672" s="98"/>
      <c r="AM672" s="98"/>
      <c r="AN672" s="98"/>
      <c r="AO672" s="98"/>
      <c r="AP672" s="98"/>
      <c r="AQ672" s="98"/>
      <c r="AR672" s="98"/>
      <c r="AS672" s="98"/>
      <c r="AT672" s="98"/>
      <c r="AU672" s="98"/>
      <c r="AV672" s="98"/>
      <c r="AW672" s="98"/>
      <c r="AX672" s="98"/>
      <c r="AY672" s="98"/>
      <c r="AZ672" s="98"/>
      <c r="BA672" s="98"/>
      <c r="BB672" s="98"/>
      <c r="BC672" s="98"/>
      <c r="BD672" s="98"/>
      <c r="BE672" s="98"/>
      <c r="BF672" s="98"/>
      <c r="BG672" s="98"/>
      <c r="BH672" s="98"/>
      <c r="BI672" s="98"/>
      <c r="BJ672" s="98"/>
      <c r="BK672" s="98"/>
      <c r="BL672" s="99"/>
      <c r="BM672" s="99"/>
      <c r="BN672" s="99"/>
      <c r="BO672" s="99"/>
      <c r="BP672" s="99"/>
      <c r="BQ672" s="99"/>
      <c r="BR672" s="99"/>
      <c r="BS672" s="99"/>
      <c r="BT672" s="99"/>
      <c r="BU672" s="99"/>
    </row>
    <row r="673" spans="1:73">
      <c r="A673" s="6"/>
      <c r="B673" s="649" t="s">
        <v>1081</v>
      </c>
      <c r="C673" s="1"/>
      <c r="D673" s="58" t="s">
        <v>1082</v>
      </c>
      <c r="E673" s="1"/>
      <c r="F673" s="1"/>
      <c r="G673" s="47">
        <v>8</v>
      </c>
      <c r="H673" s="43" t="s">
        <v>1083</v>
      </c>
      <c r="I673" s="650" t="s">
        <v>657</v>
      </c>
      <c r="J673" s="651" t="s">
        <v>1084</v>
      </c>
      <c r="K673" s="22"/>
      <c r="L673" s="22"/>
      <c r="M673" s="652" t="s">
        <v>1085</v>
      </c>
      <c r="N673" s="3"/>
      <c r="O673" s="1"/>
      <c r="P673" s="1"/>
      <c r="Q673" s="1"/>
      <c r="R673" s="162"/>
      <c r="S673" s="1"/>
      <c r="T673" s="103"/>
      <c r="U673" s="103"/>
      <c r="V673" s="103"/>
      <c r="W673" s="98"/>
      <c r="X673" s="98"/>
      <c r="Y673" s="98"/>
      <c r="Z673" s="98"/>
      <c r="AA673" s="98"/>
      <c r="AB673" s="98"/>
      <c r="AC673" s="98"/>
      <c r="AD673" s="98"/>
      <c r="AE673" s="98"/>
      <c r="AF673" s="98"/>
      <c r="AG673" s="98"/>
      <c r="AH673" s="98"/>
      <c r="AI673" s="98"/>
      <c r="AJ673" s="98"/>
      <c r="AK673" s="98"/>
      <c r="AL673" s="98"/>
      <c r="AM673" s="98"/>
      <c r="AN673" s="98"/>
      <c r="AO673" s="98"/>
      <c r="AP673" s="98"/>
      <c r="AQ673" s="98"/>
      <c r="AR673" s="98"/>
      <c r="AS673" s="98"/>
      <c r="AT673" s="98"/>
      <c r="AU673" s="98"/>
      <c r="AV673" s="98"/>
      <c r="AW673" s="98"/>
      <c r="AX673" s="98"/>
      <c r="AY673" s="98"/>
      <c r="AZ673" s="98"/>
      <c r="BA673" s="98"/>
      <c r="BB673" s="98"/>
      <c r="BC673" s="98"/>
      <c r="BD673" s="98"/>
      <c r="BE673" s="98"/>
      <c r="BF673" s="98"/>
      <c r="BG673" s="98"/>
      <c r="BH673" s="98"/>
      <c r="BI673" s="98"/>
      <c r="BJ673" s="98"/>
      <c r="BK673" s="98"/>
      <c r="BL673" s="99"/>
      <c r="BM673" s="99"/>
      <c r="BN673" s="99"/>
      <c r="BO673" s="99"/>
      <c r="BP673" s="99"/>
      <c r="BQ673" s="99"/>
      <c r="BR673" s="99"/>
      <c r="BS673" s="99"/>
      <c r="BT673" s="99"/>
      <c r="BU673" s="99"/>
    </row>
    <row r="674" spans="1:73">
      <c r="A674" s="6"/>
      <c r="B674" s="108"/>
      <c r="C674" s="1"/>
      <c r="D674" s="1"/>
      <c r="E674" s="1"/>
      <c r="F674" s="1"/>
      <c r="G674" s="3"/>
      <c r="H674" s="3"/>
      <c r="I674" s="52"/>
      <c r="J674" s="3"/>
      <c r="K674" s="3"/>
      <c r="L674" s="3"/>
      <c r="M674" s="3"/>
      <c r="N674" s="3"/>
      <c r="O674" s="1"/>
      <c r="P674" s="1"/>
      <c r="Q674" s="1"/>
      <c r="R674" s="162"/>
      <c r="S674" s="1"/>
      <c r="T674" s="103"/>
      <c r="U674" s="103"/>
      <c r="V674" s="103"/>
      <c r="W674" s="98"/>
      <c r="X674" s="98"/>
      <c r="Y674" s="98"/>
      <c r="Z674" s="98"/>
      <c r="AA674" s="98"/>
      <c r="AB674" s="98"/>
      <c r="AC674" s="98"/>
      <c r="AD674" s="98"/>
      <c r="AE674" s="98"/>
      <c r="AF674" s="98"/>
      <c r="AG674" s="98"/>
      <c r="AH674" s="98"/>
      <c r="AI674" s="98"/>
      <c r="AJ674" s="98"/>
      <c r="AK674" s="98"/>
      <c r="AL674" s="98"/>
      <c r="AM674" s="98"/>
      <c r="AN674" s="98"/>
      <c r="AO674" s="98"/>
      <c r="AP674" s="98"/>
      <c r="AQ674" s="98"/>
      <c r="AR674" s="98"/>
      <c r="AS674" s="98"/>
      <c r="AT674" s="98"/>
      <c r="AU674" s="98"/>
      <c r="AV674" s="98"/>
      <c r="AW674" s="98"/>
      <c r="AX674" s="98"/>
      <c r="AY674" s="98"/>
      <c r="AZ674" s="98"/>
      <c r="BA674" s="98"/>
      <c r="BB674" s="98"/>
      <c r="BC674" s="98"/>
      <c r="BD674" s="98"/>
      <c r="BE674" s="98"/>
      <c r="BF674" s="98"/>
      <c r="BG674" s="98"/>
      <c r="BH674" s="98"/>
      <c r="BI674" s="98"/>
      <c r="BJ674" s="98"/>
      <c r="BK674" s="98"/>
      <c r="BL674" s="99"/>
      <c r="BM674" s="99"/>
      <c r="BN674" s="99"/>
      <c r="BO674" s="99"/>
      <c r="BP674" s="99"/>
      <c r="BQ674" s="99"/>
      <c r="BR674" s="99"/>
      <c r="BS674" s="99"/>
      <c r="BT674" s="99"/>
      <c r="BU674" s="99"/>
    </row>
    <row r="675" spans="1:73" ht="17.25" customHeight="1">
      <c r="A675" s="6"/>
      <c r="B675" s="577"/>
      <c r="C675" s="578"/>
      <c r="D675" s="41"/>
      <c r="E675" s="41"/>
      <c r="F675" s="46"/>
      <c r="G675" s="46" t="str">
        <f t="shared" ref="G675:N675" si="105">G10</f>
        <v>PhD researcher</v>
      </c>
      <c r="H675" s="46" t="str">
        <f t="shared" si="105"/>
        <v>Lecturer assistant/Research assistant (Academic)</v>
      </c>
      <c r="I675" s="46" t="str">
        <f t="shared" si="105"/>
        <v>Lecturer/Researcher (Academic)</v>
      </c>
      <c r="J675" s="46" t="str">
        <f t="shared" si="105"/>
        <v>Other</v>
      </c>
      <c r="K675" s="46" t="str">
        <f t="shared" si="105"/>
        <v>Profile 5</v>
      </c>
      <c r="L675" s="46" t="str">
        <f t="shared" si="105"/>
        <v>Profile 6</v>
      </c>
      <c r="M675" s="46" t="str">
        <f t="shared" si="105"/>
        <v>Profile 7</v>
      </c>
      <c r="N675" s="46" t="str">
        <f t="shared" si="105"/>
        <v>Profile 8</v>
      </c>
      <c r="O675" s="1"/>
      <c r="P675" s="1"/>
      <c r="Q675" s="1"/>
      <c r="R675" s="162"/>
      <c r="S675" s="1"/>
      <c r="T675" s="103"/>
      <c r="U675" s="103"/>
      <c r="V675" s="103"/>
      <c r="W675" s="81"/>
      <c r="X675" s="81"/>
      <c r="Y675" s="81"/>
      <c r="Z675" s="81"/>
      <c r="AA675" s="81"/>
      <c r="AB675" s="81"/>
      <c r="AC675" s="81"/>
      <c r="AD675" s="81"/>
      <c r="AE675" s="81"/>
      <c r="AF675" s="81"/>
      <c r="AG675" s="81"/>
      <c r="AH675" s="81"/>
      <c r="AI675" s="81"/>
      <c r="AJ675" s="81"/>
      <c r="AK675" s="81"/>
      <c r="AL675" s="81"/>
      <c r="AM675" s="81"/>
      <c r="AN675" s="81"/>
      <c r="AO675" s="81"/>
      <c r="AP675" s="81"/>
      <c r="AQ675" s="81"/>
      <c r="AR675" s="81"/>
      <c r="AS675" s="81"/>
      <c r="AT675" s="81"/>
      <c r="AU675" s="81"/>
      <c r="AV675" s="81"/>
      <c r="AW675" s="81"/>
      <c r="AX675" s="81"/>
      <c r="AY675" s="81"/>
      <c r="AZ675" s="81"/>
      <c r="BA675" s="81"/>
      <c r="BB675" s="81"/>
      <c r="BC675" s="81"/>
      <c r="BD675" s="81"/>
      <c r="BE675" s="81"/>
      <c r="BF675" s="81"/>
      <c r="BG675" s="81"/>
      <c r="BH675" s="81"/>
      <c r="BI675" s="81"/>
      <c r="BJ675" s="81"/>
      <c r="BK675" s="81"/>
      <c r="BL675" s="6"/>
      <c r="BM675" s="6"/>
      <c r="BN675" s="6"/>
      <c r="BO675" s="6"/>
      <c r="BP675" s="6"/>
      <c r="BQ675" s="6"/>
      <c r="BR675" s="6"/>
      <c r="BS675" s="6"/>
      <c r="BT675" s="6"/>
      <c r="BU675" s="6"/>
    </row>
    <row r="676" spans="1:73" ht="5.25" customHeight="1">
      <c r="A676" s="6"/>
      <c r="B676" s="97"/>
      <c r="C676" s="12"/>
      <c r="D676" s="39"/>
      <c r="E676" s="12"/>
      <c r="F676" s="6"/>
      <c r="G676" s="238"/>
      <c r="H676" s="238"/>
      <c r="I676" s="238"/>
      <c r="J676" s="238"/>
      <c r="K676" s="238"/>
      <c r="L676" s="238"/>
      <c r="M676" s="238"/>
      <c r="N676" s="238"/>
      <c r="O676" s="1"/>
      <c r="P676" s="1"/>
      <c r="Q676" s="1"/>
      <c r="R676" s="162"/>
      <c r="S676" s="1"/>
      <c r="T676" s="103"/>
      <c r="U676" s="103"/>
      <c r="V676" s="103"/>
      <c r="W676" s="98"/>
      <c r="X676" s="98"/>
      <c r="Y676" s="98"/>
      <c r="Z676" s="98"/>
      <c r="AA676" s="98"/>
      <c r="AB676" s="98"/>
      <c r="AC676" s="98"/>
      <c r="AD676" s="98"/>
      <c r="AE676" s="98"/>
      <c r="AF676" s="98"/>
      <c r="AG676" s="98"/>
      <c r="AH676" s="98"/>
      <c r="AI676" s="98"/>
      <c r="AJ676" s="98"/>
      <c r="AK676" s="98"/>
      <c r="AL676" s="98"/>
      <c r="AM676" s="98"/>
      <c r="AN676" s="98"/>
      <c r="AO676" s="98"/>
      <c r="AP676" s="98"/>
      <c r="AQ676" s="98"/>
      <c r="AR676" s="98"/>
      <c r="AS676" s="98"/>
      <c r="AT676" s="98"/>
      <c r="AU676" s="98"/>
      <c r="AV676" s="98"/>
      <c r="AW676" s="98"/>
      <c r="AX676" s="98"/>
      <c r="AY676" s="98"/>
      <c r="AZ676" s="98"/>
      <c r="BA676" s="98"/>
      <c r="BB676" s="98"/>
      <c r="BC676" s="98"/>
      <c r="BD676" s="98"/>
      <c r="BE676" s="98"/>
      <c r="BF676" s="98"/>
      <c r="BG676" s="98"/>
      <c r="BH676" s="98"/>
      <c r="BI676" s="98"/>
      <c r="BJ676" s="98"/>
      <c r="BK676" s="98"/>
      <c r="BL676" s="99"/>
      <c r="BM676" s="99"/>
      <c r="BN676" s="99"/>
      <c r="BO676" s="99"/>
      <c r="BP676" s="99"/>
      <c r="BQ676" s="99"/>
      <c r="BR676" s="99"/>
      <c r="BS676" s="99"/>
      <c r="BT676" s="99"/>
      <c r="BU676" s="99"/>
    </row>
    <row r="677" spans="1:73" ht="17.25" customHeight="1">
      <c r="A677" s="6"/>
      <c r="B677" s="554"/>
      <c r="C677" s="566"/>
      <c r="D677" s="39" t="s">
        <v>1086</v>
      </c>
      <c r="E677" s="12"/>
      <c r="F677" s="6"/>
      <c r="G677" s="538">
        <f t="shared" ref="G677:N677" si="106">SUM(G13)</f>
        <v>3.9443029629629638E-2</v>
      </c>
      <c r="H677" s="538">
        <f t="shared" si="106"/>
        <v>5.251296296296297E-2</v>
      </c>
      <c r="I677" s="538">
        <f t="shared" si="106"/>
        <v>4.7160807407407412E-2</v>
      </c>
      <c r="J677" s="538">
        <f t="shared" si="106"/>
        <v>4.9832592592592602E-2</v>
      </c>
      <c r="K677" s="538">
        <f t="shared" si="106"/>
        <v>4.7237348148148152E-2</v>
      </c>
      <c r="L677" s="538">
        <f t="shared" si="106"/>
        <v>4.7237348148148152E-2</v>
      </c>
      <c r="M677" s="538">
        <f t="shared" si="106"/>
        <v>4.7237348148148152E-2</v>
      </c>
      <c r="N677" s="538">
        <f t="shared" si="106"/>
        <v>4.7237348148148152E-2</v>
      </c>
      <c r="O677" s="1173"/>
      <c r="P677" s="1174"/>
      <c r="Q677" s="1"/>
      <c r="R677" s="162"/>
      <c r="S677" s="1"/>
      <c r="T677" s="103"/>
      <c r="U677" s="103"/>
      <c r="V677" s="103"/>
      <c r="W677" s="653"/>
      <c r="X677" s="653"/>
      <c r="Y677" s="653"/>
      <c r="Z677" s="653"/>
      <c r="AA677" s="653"/>
      <c r="AB677" s="653"/>
      <c r="AC677" s="653"/>
      <c r="AD677" s="653"/>
      <c r="AE677" s="653"/>
      <c r="AF677" s="653"/>
      <c r="AG677" s="653"/>
      <c r="AH677" s="653"/>
      <c r="AI677" s="653"/>
      <c r="AJ677" s="653"/>
      <c r="AK677" s="653"/>
      <c r="AL677" s="653"/>
      <c r="AM677" s="653"/>
      <c r="AN677" s="653"/>
      <c r="AO677" s="653"/>
      <c r="AP677" s="653"/>
      <c r="AQ677" s="98"/>
      <c r="AR677" s="98"/>
      <c r="AS677" s="98"/>
      <c r="AT677" s="98"/>
      <c r="AU677" s="98"/>
      <c r="AV677" s="98"/>
      <c r="AW677" s="98"/>
      <c r="AX677" s="98"/>
      <c r="AY677" s="98"/>
      <c r="AZ677" s="98"/>
      <c r="BA677" s="98"/>
      <c r="BB677" s="98"/>
      <c r="BC677" s="98"/>
      <c r="BD677" s="98"/>
      <c r="BE677" s="98"/>
      <c r="BF677" s="98"/>
      <c r="BG677" s="98"/>
      <c r="BH677" s="98"/>
      <c r="BI677" s="98"/>
      <c r="BJ677" s="98"/>
      <c r="BK677" s="98"/>
      <c r="BL677" s="99"/>
      <c r="BM677" s="99"/>
      <c r="BN677" s="99"/>
      <c r="BO677" s="99"/>
      <c r="BP677" s="99"/>
      <c r="BQ677" s="99"/>
      <c r="BR677" s="99"/>
      <c r="BS677" s="99"/>
      <c r="BT677" s="99"/>
      <c r="BU677" s="99"/>
    </row>
    <row r="678" spans="1:73" ht="5.25" customHeight="1">
      <c r="A678" s="6"/>
      <c r="B678" s="554"/>
      <c r="C678" s="566"/>
      <c r="D678" s="39"/>
      <c r="E678" s="12"/>
      <c r="F678" s="6"/>
      <c r="G678" s="6"/>
      <c r="H678" s="6"/>
      <c r="I678" s="6"/>
      <c r="J678" s="6"/>
      <c r="K678" s="6"/>
      <c r="L678" s="6"/>
      <c r="M678" s="6"/>
      <c r="N678" s="6"/>
      <c r="O678" s="1"/>
      <c r="P678" s="1"/>
      <c r="Q678" s="1"/>
      <c r="R678" s="162"/>
      <c r="S678" s="1"/>
      <c r="T678" s="103"/>
      <c r="U678" s="103"/>
      <c r="V678" s="103"/>
      <c r="W678" s="98"/>
      <c r="X678" s="98"/>
      <c r="Y678" s="98"/>
      <c r="Z678" s="98"/>
      <c r="AA678" s="98"/>
      <c r="AB678" s="98"/>
      <c r="AC678" s="98"/>
      <c r="AD678" s="98"/>
      <c r="AE678" s="98"/>
      <c r="AF678" s="98"/>
      <c r="AG678" s="98"/>
      <c r="AH678" s="98"/>
      <c r="AI678" s="98"/>
      <c r="AJ678" s="98"/>
      <c r="AK678" s="98"/>
      <c r="AL678" s="98"/>
      <c r="AM678" s="98"/>
      <c r="AN678" s="98"/>
      <c r="AO678" s="98"/>
      <c r="AP678" s="98"/>
      <c r="AQ678" s="98"/>
      <c r="AR678" s="98"/>
      <c r="AS678" s="98"/>
      <c r="AT678" s="98"/>
      <c r="AU678" s="98"/>
      <c r="AV678" s="98"/>
      <c r="AW678" s="98"/>
      <c r="AX678" s="98"/>
      <c r="AY678" s="98"/>
      <c r="AZ678" s="98"/>
      <c r="BA678" s="98"/>
      <c r="BB678" s="98"/>
      <c r="BC678" s="98"/>
      <c r="BD678" s="98"/>
      <c r="BE678" s="98"/>
      <c r="BF678" s="98"/>
      <c r="BG678" s="98"/>
      <c r="BH678" s="98"/>
      <c r="BI678" s="98"/>
      <c r="BJ678" s="98"/>
      <c r="BK678" s="98"/>
      <c r="BL678" s="99"/>
      <c r="BM678" s="99"/>
      <c r="BN678" s="99"/>
      <c r="BO678" s="99"/>
      <c r="BP678" s="99"/>
      <c r="BQ678" s="99"/>
      <c r="BR678" s="99"/>
      <c r="BS678" s="99"/>
      <c r="BT678" s="99"/>
      <c r="BU678" s="99"/>
    </row>
    <row r="679" spans="1:73">
      <c r="A679" s="6"/>
      <c r="B679" s="554"/>
      <c r="C679" s="566"/>
      <c r="D679" s="39" t="s">
        <v>1087</v>
      </c>
      <c r="E679" s="12"/>
      <c r="F679" s="6"/>
      <c r="G679" s="538">
        <f>'2.3 Input_Main_Questionnaire'!H35*($G$670/$G$667)</f>
        <v>5.6312500000000001E-2</v>
      </c>
      <c r="H679" s="538">
        <f>'2.3 Input_Main_Questionnaire'!I35*($G$670/$G$667)</f>
        <v>4.5062499999999998E-2</v>
      </c>
      <c r="I679" s="538">
        <f>'2.3 Input_Main_Questionnaire'!J35*($G$670/$G$667)</f>
        <v>8.6125000000000007E-2</v>
      </c>
      <c r="J679" s="538">
        <f>'2.3 Input_Main_Questionnaire'!K35*($G$670/$G$667)</f>
        <v>2.9875000000000002E-2</v>
      </c>
      <c r="K679" s="538">
        <f>'2.3 Input_Main_Questionnaire'!L35*($G$670/$G$667)</f>
        <v>5.434375000000001E-2</v>
      </c>
      <c r="L679" s="538">
        <f>'2.3 Input_Main_Questionnaire'!M35*($G$670/$G$667)</f>
        <v>5.434375000000001E-2</v>
      </c>
      <c r="M679" s="538">
        <f>'2.3 Input_Main_Questionnaire'!N35*($G$670/$G$667)</f>
        <v>5.434375000000001E-2</v>
      </c>
      <c r="N679" s="538">
        <f>'2.3 Input_Main_Questionnaire'!O35*($G$670/$G$667)</f>
        <v>5.434375000000001E-2</v>
      </c>
      <c r="O679" s="1"/>
      <c r="P679" s="1"/>
      <c r="Q679" s="1"/>
      <c r="R679" s="162"/>
      <c r="S679" s="1"/>
      <c r="T679" s="103"/>
      <c r="U679" s="103"/>
      <c r="V679" s="103"/>
      <c r="W679" s="98"/>
      <c r="X679" s="98"/>
      <c r="Y679" s="98"/>
      <c r="Z679" s="98"/>
      <c r="AA679" s="98"/>
      <c r="AB679" s="98"/>
      <c r="AC679" s="98"/>
      <c r="AD679" s="98"/>
      <c r="AE679" s="98"/>
      <c r="AF679" s="98"/>
      <c r="AG679" s="98"/>
      <c r="AH679" s="98"/>
      <c r="AI679" s="98"/>
      <c r="AJ679" s="98"/>
      <c r="AK679" s="98"/>
      <c r="AL679" s="98"/>
      <c r="AM679" s="98"/>
      <c r="AN679" s="98"/>
      <c r="AO679" s="98"/>
      <c r="AP679" s="98"/>
      <c r="AQ679" s="98"/>
      <c r="AR679" s="98"/>
      <c r="AS679" s="98"/>
      <c r="AT679" s="98"/>
      <c r="AU679" s="98"/>
      <c r="AV679" s="98"/>
      <c r="AW679" s="98"/>
      <c r="AX679" s="98"/>
      <c r="AY679" s="98"/>
      <c r="AZ679" s="98"/>
      <c r="BA679" s="98"/>
      <c r="BB679" s="98"/>
      <c r="BC679" s="98"/>
      <c r="BD679" s="98"/>
      <c r="BE679" s="98"/>
      <c r="BF679" s="98"/>
      <c r="BG679" s="98"/>
      <c r="BH679" s="98"/>
      <c r="BI679" s="98"/>
      <c r="BJ679" s="98"/>
      <c r="BK679" s="98"/>
      <c r="BL679" s="99"/>
      <c r="BM679" s="99"/>
      <c r="BN679" s="99"/>
      <c r="BO679" s="99"/>
      <c r="BP679" s="99"/>
      <c r="BQ679" s="99"/>
      <c r="BR679" s="99"/>
      <c r="BS679" s="99"/>
      <c r="BT679" s="99"/>
      <c r="BU679" s="99"/>
    </row>
    <row r="680" spans="1:73" ht="17.25" customHeight="1">
      <c r="A680" s="6"/>
      <c r="B680" s="554"/>
      <c r="C680" s="566"/>
      <c r="D680" s="39" t="s">
        <v>1088</v>
      </c>
      <c r="E680" s="12"/>
      <c r="F680" s="6"/>
      <c r="G680" s="538">
        <f>G677*'2.3 Input_Main_Questionnaire'!H35</f>
        <v>3.5538169696296305E-3</v>
      </c>
      <c r="H680" s="538">
        <f>H677*'2.3 Input_Main_Questionnaire'!I35</f>
        <v>3.7861846296296298E-3</v>
      </c>
      <c r="I680" s="538">
        <f>I677*'2.3 Input_Main_Questionnaire'!J35</f>
        <v>6.4987592607407413E-3</v>
      </c>
      <c r="J680" s="538">
        <f>J677*'2.3 Input_Main_Questionnaire'!K35</f>
        <v>2.3819979259259265E-3</v>
      </c>
      <c r="K680" s="538">
        <f>K677*'2.3 Input_Main_Questionnaire'!L35</f>
        <v>4.1072874214814828E-3</v>
      </c>
      <c r="L680" s="538">
        <f>L677*'2.3 Input_Main_Questionnaire'!M35</f>
        <v>4.1072874214814828E-3</v>
      </c>
      <c r="M680" s="538">
        <f>M677*'2.3 Input_Main_Questionnaire'!N35</f>
        <v>4.1072874214814828E-3</v>
      </c>
      <c r="N680" s="538">
        <f>N677*'2.3 Input_Main_Questionnaire'!O35</f>
        <v>4.1072874214814828E-3</v>
      </c>
      <c r="O680" s="1"/>
      <c r="P680" s="1"/>
      <c r="Q680" s="1"/>
      <c r="R680" s="162"/>
      <c r="S680" s="1"/>
      <c r="T680" s="103"/>
      <c r="U680" s="103"/>
      <c r="V680" s="103"/>
      <c r="W680" s="98"/>
      <c r="X680" s="98"/>
      <c r="Y680" s="98"/>
      <c r="Z680" s="98"/>
      <c r="AA680" s="98"/>
      <c r="AB680" s="98"/>
      <c r="AC680" s="98"/>
      <c r="AD680" s="98"/>
      <c r="AE680" s="98"/>
      <c r="AF680" s="98"/>
      <c r="AG680" s="98"/>
      <c r="AH680" s="98"/>
      <c r="AI680" s="98"/>
      <c r="AJ680" s="98"/>
      <c r="AK680" s="98"/>
      <c r="AL680" s="98"/>
      <c r="AM680" s="98"/>
      <c r="AN680" s="98"/>
      <c r="AO680" s="98"/>
      <c r="AP680" s="98"/>
      <c r="AQ680" s="98"/>
      <c r="AR680" s="98"/>
      <c r="AS680" s="98"/>
      <c r="AT680" s="98"/>
      <c r="AU680" s="98"/>
      <c r="AV680" s="98"/>
      <c r="AW680" s="98"/>
      <c r="AX680" s="98"/>
      <c r="AY680" s="98"/>
      <c r="AZ680" s="98"/>
      <c r="BA680" s="98"/>
      <c r="BB680" s="98"/>
      <c r="BC680" s="98"/>
      <c r="BD680" s="98"/>
      <c r="BE680" s="98"/>
      <c r="BF680" s="98"/>
      <c r="BG680" s="98"/>
      <c r="BH680" s="98"/>
      <c r="BI680" s="98"/>
      <c r="BJ680" s="98"/>
      <c r="BK680" s="98"/>
      <c r="BL680" s="99"/>
      <c r="BM680" s="99"/>
      <c r="BN680" s="99"/>
      <c r="BO680" s="99"/>
      <c r="BP680" s="99"/>
      <c r="BQ680" s="99"/>
      <c r="BR680" s="99"/>
      <c r="BS680" s="99"/>
      <c r="BT680" s="99"/>
      <c r="BU680" s="99"/>
    </row>
    <row r="681" spans="1:73" ht="5.25" customHeight="1">
      <c r="A681" s="6"/>
      <c r="B681" s="554"/>
      <c r="C681" s="566"/>
      <c r="D681" s="12"/>
      <c r="E681" s="12"/>
      <c r="F681" s="49"/>
      <c r="G681" s="183"/>
      <c r="H681" s="183"/>
      <c r="I681" s="183"/>
      <c r="J681" s="183"/>
      <c r="K681" s="183"/>
      <c r="L681" s="183"/>
      <c r="M681" s="183"/>
      <c r="N681" s="183"/>
      <c r="O681" s="1"/>
      <c r="P681" s="1"/>
      <c r="Q681" s="1"/>
      <c r="R681" s="162"/>
      <c r="S681" s="1"/>
      <c r="T681" s="103"/>
      <c r="U681" s="103"/>
      <c r="V681" s="103"/>
      <c r="W681" s="98"/>
      <c r="X681" s="98"/>
      <c r="Y681" s="98"/>
      <c r="Z681" s="98"/>
      <c r="AA681" s="98"/>
      <c r="AB681" s="98"/>
      <c r="AC681" s="98"/>
      <c r="AD681" s="98"/>
      <c r="AE681" s="98"/>
      <c r="AF681" s="98"/>
      <c r="AG681" s="98"/>
      <c r="AH681" s="98"/>
      <c r="AI681" s="98"/>
      <c r="AJ681" s="98"/>
      <c r="AK681" s="98"/>
      <c r="AL681" s="98"/>
      <c r="AM681" s="98"/>
      <c r="AN681" s="98"/>
      <c r="AO681" s="98"/>
      <c r="AP681" s="98"/>
      <c r="AQ681" s="98"/>
      <c r="AR681" s="98"/>
      <c r="AS681" s="98"/>
      <c r="AT681" s="98"/>
      <c r="AU681" s="98"/>
      <c r="AV681" s="98"/>
      <c r="AW681" s="98"/>
      <c r="AX681" s="98"/>
      <c r="AY681" s="98"/>
      <c r="AZ681" s="98"/>
      <c r="BA681" s="98"/>
      <c r="BB681" s="98"/>
      <c r="BC681" s="98"/>
      <c r="BD681" s="98"/>
      <c r="BE681" s="98"/>
      <c r="BF681" s="98"/>
      <c r="BG681" s="98"/>
      <c r="BH681" s="98"/>
      <c r="BI681" s="98"/>
      <c r="BJ681" s="98"/>
      <c r="BK681" s="98"/>
      <c r="BL681" s="99"/>
      <c r="BM681" s="99"/>
      <c r="BN681" s="99"/>
      <c r="BO681" s="99"/>
      <c r="BP681" s="99"/>
      <c r="BQ681" s="99"/>
      <c r="BR681" s="99"/>
      <c r="BS681" s="99"/>
      <c r="BT681" s="99"/>
      <c r="BU681" s="99"/>
    </row>
    <row r="682" spans="1:73" ht="17.25" customHeight="1">
      <c r="A682" s="6"/>
      <c r="B682" s="554" t="s">
        <v>606</v>
      </c>
      <c r="C682" s="566"/>
      <c r="D682" s="654" t="s">
        <v>1089</v>
      </c>
      <c r="E682" s="200"/>
      <c r="F682" s="646"/>
      <c r="G682" s="365">
        <f t="shared" ref="G682:N682" si="107">G679+G680</f>
        <v>5.9866316969629629E-2</v>
      </c>
      <c r="H682" s="365">
        <f t="shared" si="107"/>
        <v>4.884868462962963E-2</v>
      </c>
      <c r="I682" s="365">
        <f t="shared" si="107"/>
        <v>9.2623759260740748E-2</v>
      </c>
      <c r="J682" s="365">
        <f t="shared" si="107"/>
        <v>3.2256997925925929E-2</v>
      </c>
      <c r="K682" s="365">
        <f t="shared" si="107"/>
        <v>5.8451037421481493E-2</v>
      </c>
      <c r="L682" s="365">
        <f t="shared" si="107"/>
        <v>5.8451037421481493E-2</v>
      </c>
      <c r="M682" s="365">
        <f t="shared" si="107"/>
        <v>5.8451037421481493E-2</v>
      </c>
      <c r="N682" s="365">
        <f t="shared" si="107"/>
        <v>5.8451037421481493E-2</v>
      </c>
      <c r="O682" s="1"/>
      <c r="P682" s="1"/>
      <c r="Q682" s="1"/>
      <c r="R682" s="162"/>
      <c r="S682" s="1"/>
      <c r="T682" s="103"/>
      <c r="U682" s="103"/>
      <c r="V682" s="103"/>
      <c r="W682" s="98"/>
      <c r="X682" s="98"/>
      <c r="Y682" s="98"/>
      <c r="Z682" s="98"/>
      <c r="AA682" s="98"/>
      <c r="AB682" s="98"/>
      <c r="AC682" s="98"/>
      <c r="AD682" s="98"/>
      <c r="AE682" s="98"/>
      <c r="AF682" s="98"/>
      <c r="AG682" s="98"/>
      <c r="AH682" s="98"/>
      <c r="AI682" s="98"/>
      <c r="AJ682" s="98"/>
      <c r="AK682" s="98"/>
      <c r="AL682" s="98"/>
      <c r="AM682" s="98"/>
      <c r="AN682" s="98"/>
      <c r="AO682" s="98"/>
      <c r="AP682" s="98"/>
      <c r="AQ682" s="98"/>
      <c r="AR682" s="98"/>
      <c r="AS682" s="98"/>
      <c r="AT682" s="98"/>
      <c r="AU682" s="98"/>
      <c r="AV682" s="98"/>
      <c r="AW682" s="98"/>
      <c r="AX682" s="98"/>
      <c r="AY682" s="98"/>
      <c r="AZ682" s="98"/>
      <c r="BA682" s="98"/>
      <c r="BB682" s="98"/>
      <c r="BC682" s="98"/>
      <c r="BD682" s="98"/>
      <c r="BE682" s="98"/>
      <c r="BF682" s="98"/>
      <c r="BG682" s="98"/>
      <c r="BH682" s="98"/>
      <c r="BI682" s="98"/>
      <c r="BJ682" s="98"/>
      <c r="BK682" s="98"/>
      <c r="BL682" s="99"/>
      <c r="BM682" s="99"/>
      <c r="BN682" s="99"/>
      <c r="BO682" s="99"/>
      <c r="BP682" s="99"/>
      <c r="BQ682" s="99"/>
      <c r="BR682" s="99"/>
      <c r="BS682" s="99"/>
      <c r="BT682" s="99"/>
      <c r="BU682" s="99"/>
    </row>
    <row r="683" spans="1:73">
      <c r="A683" s="6"/>
      <c r="B683" s="108"/>
      <c r="C683" s="1"/>
      <c r="D683" s="1"/>
      <c r="E683" s="1"/>
      <c r="F683" s="1"/>
      <c r="G683" s="3"/>
      <c r="H683" s="3"/>
      <c r="I683" s="3"/>
      <c r="J683" s="3"/>
      <c r="K683" s="3"/>
      <c r="L683" s="3"/>
      <c r="M683" s="3"/>
      <c r="N683" s="3"/>
      <c r="O683" s="1"/>
      <c r="P683" s="1"/>
      <c r="Q683" s="1"/>
      <c r="R683" s="162"/>
      <c r="S683" s="1"/>
      <c r="T683" s="103"/>
      <c r="V683" s="103"/>
      <c r="W683" s="81"/>
      <c r="X683" s="81"/>
      <c r="Y683" s="81"/>
      <c r="Z683" s="81"/>
      <c r="AA683" s="81"/>
      <c r="AB683" s="81"/>
      <c r="AC683" s="81"/>
      <c r="AD683" s="81"/>
      <c r="AE683" s="81"/>
      <c r="AF683" s="81"/>
      <c r="AG683" s="81"/>
      <c r="AH683" s="81"/>
      <c r="AI683" s="81"/>
      <c r="AJ683" s="81"/>
      <c r="AK683" s="81"/>
      <c r="AL683" s="81"/>
      <c r="AM683" s="81"/>
      <c r="AN683" s="81"/>
      <c r="AO683" s="81"/>
      <c r="AP683" s="81"/>
      <c r="AQ683" s="81"/>
      <c r="AR683" s="81"/>
      <c r="AS683" s="81"/>
      <c r="AT683" s="81"/>
      <c r="AU683" s="81"/>
      <c r="AV683" s="81"/>
      <c r="AW683" s="81"/>
      <c r="AX683" s="81"/>
      <c r="AY683" s="81"/>
      <c r="AZ683" s="81"/>
      <c r="BA683" s="81"/>
      <c r="BB683" s="81"/>
      <c r="BC683" s="81"/>
      <c r="BD683" s="81"/>
      <c r="BE683" s="81"/>
      <c r="BF683" s="81"/>
      <c r="BG683" s="81"/>
      <c r="BH683" s="81"/>
      <c r="BI683" s="81"/>
      <c r="BJ683" s="81"/>
      <c r="BK683" s="81"/>
      <c r="BL683" s="6"/>
      <c r="BM683" s="6"/>
      <c r="BN683" s="6"/>
      <c r="BO683" s="6"/>
      <c r="BP683" s="6"/>
      <c r="BQ683" s="6"/>
      <c r="BR683" s="6"/>
      <c r="BS683" s="6"/>
      <c r="BT683" s="6"/>
      <c r="BU683" s="6"/>
    </row>
    <row r="684" spans="1:73" hidden="1">
      <c r="A684" s="6"/>
      <c r="B684" s="108"/>
      <c r="C684" s="1"/>
      <c r="D684" s="1"/>
      <c r="E684" s="1"/>
      <c r="F684" s="1"/>
      <c r="G684" s="3"/>
      <c r="H684" s="3"/>
      <c r="I684" s="3"/>
      <c r="J684" s="3"/>
      <c r="K684" s="3"/>
      <c r="L684" s="3"/>
      <c r="M684" s="3"/>
      <c r="N684" s="3"/>
      <c r="O684" s="1"/>
      <c r="P684" s="1"/>
      <c r="Q684" s="1"/>
      <c r="R684" s="162"/>
      <c r="S684" s="1"/>
      <c r="T684" s="103"/>
      <c r="U684" s="9" t="s">
        <v>5</v>
      </c>
      <c r="W684" s="81"/>
      <c r="X684" s="81"/>
      <c r="Y684" s="81"/>
      <c r="Z684" s="81"/>
      <c r="AA684" s="81"/>
      <c r="AB684" s="81"/>
      <c r="AC684" s="81"/>
      <c r="AD684" s="81"/>
      <c r="AE684" s="81"/>
      <c r="AF684" s="81"/>
      <c r="AG684" s="81"/>
      <c r="AH684" s="81"/>
      <c r="AI684" s="81"/>
      <c r="AJ684" s="81"/>
      <c r="AK684" s="81"/>
      <c r="AL684" s="81"/>
      <c r="AM684" s="81"/>
      <c r="AN684" s="81"/>
      <c r="AO684" s="81"/>
      <c r="AP684" s="81"/>
      <c r="AQ684" s="81"/>
      <c r="AR684" s="81"/>
      <c r="AS684" s="81"/>
      <c r="AT684" s="81"/>
      <c r="AU684" s="81"/>
      <c r="AV684" s="81"/>
      <c r="AW684" s="81"/>
      <c r="AX684" s="81"/>
      <c r="AY684" s="81"/>
      <c r="AZ684" s="81"/>
      <c r="BA684" s="81"/>
      <c r="BB684" s="81"/>
      <c r="BC684" s="81"/>
      <c r="BD684" s="81"/>
      <c r="BE684" s="81"/>
      <c r="BF684" s="81"/>
      <c r="BG684" s="81"/>
      <c r="BH684" s="81"/>
      <c r="BI684" s="81"/>
      <c r="BJ684" s="81"/>
      <c r="BK684" s="81"/>
      <c r="BL684" s="6"/>
      <c r="BM684" s="6"/>
      <c r="BN684" s="6"/>
      <c r="BO684" s="6"/>
      <c r="BP684" s="6"/>
      <c r="BQ684" s="6"/>
      <c r="BR684" s="6"/>
      <c r="BS684" s="6"/>
      <c r="BT684" s="6"/>
      <c r="BU684" s="6"/>
    </row>
    <row r="685" spans="1:73" hidden="1">
      <c r="A685" s="6"/>
      <c r="B685" s="108"/>
      <c r="C685" s="1"/>
      <c r="D685" s="1"/>
      <c r="E685" s="1"/>
      <c r="F685" s="1"/>
      <c r="G685" s="3"/>
      <c r="H685" s="3"/>
      <c r="I685" s="3"/>
      <c r="J685" s="3"/>
      <c r="K685" s="3"/>
      <c r="L685" s="3"/>
      <c r="M685" s="3"/>
      <c r="N685" s="3"/>
      <c r="O685" s="1"/>
      <c r="P685" s="1"/>
      <c r="Q685" s="1"/>
      <c r="R685" s="162"/>
      <c r="S685" s="1"/>
      <c r="T685" s="103"/>
      <c r="U685" s="103"/>
      <c r="V685" s="101" t="s">
        <v>208</v>
      </c>
      <c r="W685" s="98">
        <f>Growth!B20</f>
        <v>2018</v>
      </c>
      <c r="X685" s="98">
        <f t="shared" ref="X685:BK685" si="108">W685+1</f>
        <v>2019</v>
      </c>
      <c r="Y685" s="98">
        <f t="shared" si="108"/>
        <v>2020</v>
      </c>
      <c r="Z685" s="98">
        <f t="shared" si="108"/>
        <v>2021</v>
      </c>
      <c r="AA685" s="98">
        <f t="shared" si="108"/>
        <v>2022</v>
      </c>
      <c r="AB685" s="98">
        <f t="shared" si="108"/>
        <v>2023</v>
      </c>
      <c r="AC685" s="98">
        <f t="shared" si="108"/>
        <v>2024</v>
      </c>
      <c r="AD685" s="98">
        <f t="shared" si="108"/>
        <v>2025</v>
      </c>
      <c r="AE685" s="98">
        <f t="shared" si="108"/>
        <v>2026</v>
      </c>
      <c r="AF685" s="98">
        <f t="shared" si="108"/>
        <v>2027</v>
      </c>
      <c r="AG685" s="98">
        <f t="shared" si="108"/>
        <v>2028</v>
      </c>
      <c r="AH685" s="98">
        <f t="shared" si="108"/>
        <v>2029</v>
      </c>
      <c r="AI685" s="98">
        <f t="shared" si="108"/>
        <v>2030</v>
      </c>
      <c r="AJ685" s="98">
        <f t="shared" si="108"/>
        <v>2031</v>
      </c>
      <c r="AK685" s="98">
        <f t="shared" si="108"/>
        <v>2032</v>
      </c>
      <c r="AL685" s="98">
        <f t="shared" si="108"/>
        <v>2033</v>
      </c>
      <c r="AM685" s="98">
        <f t="shared" si="108"/>
        <v>2034</v>
      </c>
      <c r="AN685" s="98">
        <f t="shared" si="108"/>
        <v>2035</v>
      </c>
      <c r="AO685" s="98">
        <f t="shared" si="108"/>
        <v>2036</v>
      </c>
      <c r="AP685" s="98">
        <f t="shared" si="108"/>
        <v>2037</v>
      </c>
      <c r="AQ685" s="98">
        <f t="shared" si="108"/>
        <v>2038</v>
      </c>
      <c r="AR685" s="98">
        <f t="shared" si="108"/>
        <v>2039</v>
      </c>
      <c r="AS685" s="98">
        <f t="shared" si="108"/>
        <v>2040</v>
      </c>
      <c r="AT685" s="98">
        <f t="shared" si="108"/>
        <v>2041</v>
      </c>
      <c r="AU685" s="98">
        <f t="shared" si="108"/>
        <v>2042</v>
      </c>
      <c r="AV685" s="98">
        <f t="shared" si="108"/>
        <v>2043</v>
      </c>
      <c r="AW685" s="98">
        <f t="shared" si="108"/>
        <v>2044</v>
      </c>
      <c r="AX685" s="98">
        <f t="shared" si="108"/>
        <v>2045</v>
      </c>
      <c r="AY685" s="98">
        <f t="shared" si="108"/>
        <v>2046</v>
      </c>
      <c r="AZ685" s="98">
        <f t="shared" si="108"/>
        <v>2047</v>
      </c>
      <c r="BA685" s="98">
        <f t="shared" si="108"/>
        <v>2048</v>
      </c>
      <c r="BB685" s="98">
        <f t="shared" si="108"/>
        <v>2049</v>
      </c>
      <c r="BC685" s="98">
        <f t="shared" si="108"/>
        <v>2050</v>
      </c>
      <c r="BD685" s="98">
        <f t="shared" si="108"/>
        <v>2051</v>
      </c>
      <c r="BE685" s="98">
        <f t="shared" si="108"/>
        <v>2052</v>
      </c>
      <c r="BF685" s="98">
        <f t="shared" si="108"/>
        <v>2053</v>
      </c>
      <c r="BG685" s="98">
        <f t="shared" si="108"/>
        <v>2054</v>
      </c>
      <c r="BH685" s="98">
        <f t="shared" si="108"/>
        <v>2055</v>
      </c>
      <c r="BI685" s="98">
        <f t="shared" si="108"/>
        <v>2056</v>
      </c>
      <c r="BJ685" s="98">
        <f t="shared" si="108"/>
        <v>2057</v>
      </c>
      <c r="BK685" s="98">
        <f t="shared" si="108"/>
        <v>2058</v>
      </c>
      <c r="BL685" s="99"/>
      <c r="BM685" s="99"/>
      <c r="BN685" s="99"/>
      <c r="BO685" s="99"/>
      <c r="BP685" s="99"/>
      <c r="BQ685" s="99"/>
      <c r="BR685" s="99"/>
      <c r="BS685" s="99"/>
      <c r="BT685" s="99"/>
      <c r="BU685" s="99"/>
    </row>
    <row r="686" spans="1:73" hidden="1">
      <c r="A686" s="6"/>
      <c r="B686" s="108"/>
      <c r="C686" s="1"/>
      <c r="D686" s="1"/>
      <c r="E686" s="1"/>
      <c r="F686" s="1"/>
      <c r="G686" s="3"/>
      <c r="H686" s="3"/>
      <c r="I686" s="3"/>
      <c r="J686" s="3"/>
      <c r="K686" s="3"/>
      <c r="L686" s="3"/>
      <c r="M686" s="3"/>
      <c r="N686" s="3"/>
      <c r="O686" s="1"/>
      <c r="P686" s="1"/>
      <c r="Q686" s="1"/>
      <c r="R686" s="162"/>
      <c r="S686" s="1"/>
      <c r="T686" s="103"/>
      <c r="U686" s="103"/>
      <c r="V686" s="103" t="str">
        <f>D669</f>
        <v>Impact of FAIR on the average number of peer reviews per article</v>
      </c>
      <c r="W686" s="373">
        <f ca="1">IF(W$685 &gt;= '2.2 Input_General_Information'!$H$20, $G$669*(VLOOKUP(W$685,Growth!$B$130:$K$170, 10,FALSE)),)</f>
        <v>6.2500000000000218E-5</v>
      </c>
      <c r="X686" s="373">
        <f ca="1">IF(X$685 &gt;= '2.2 Input_General_Information'!$H$20, $G$669*(VLOOKUP(X$685,Growth!$B$130:$K$170, 10,FALSE)),)</f>
        <v>9.90495359647369E-5</v>
      </c>
      <c r="Y686" s="373">
        <f ca="1">IF(Y$685 &gt;= '2.2 Input_General_Information'!$H$20, $G$669*(VLOOKUP(Y$685,Growth!$B$130:$K$170, 10,FALSE)),)</f>
        <v>1.5696760064542697E-4</v>
      </c>
      <c r="Z686" s="373">
        <f ca="1">IF(Z$685 &gt;= '2.2 Input_General_Information'!$H$20, $G$669*(VLOOKUP(Z$685,Growth!$B$130:$K$170, 10,FALSE)),)</f>
        <v>2.4873909975879773E-4</v>
      </c>
      <c r="AA686" s="373">
        <f ca="1">IF(AA$685 &gt;= '2.2 Input_General_Information'!$H$20, $G$669*(VLOOKUP(AA$685,Growth!$B$130:$K$170, 10,FALSE)),)</f>
        <v>3.9413119114102449E-4</v>
      </c>
      <c r="AB686" s="373">
        <f ca="1">IF(AB$685 &gt;= '2.2 Input_General_Information'!$H$20, $G$669*(VLOOKUP(AB$685,Growth!$B$130:$K$170, 10,FALSE)),)</f>
        <v>6.2442240985636967E-4</v>
      </c>
      <c r="AC686" s="373">
        <f ca="1">IF(AC$685 &gt;= '2.2 Input_General_Information'!$H$20, $G$669*(VLOOKUP(AC$685,Growth!$B$130:$K$170, 10,FALSE)),)</f>
        <v>9.890599261777773E-4</v>
      </c>
      <c r="AD686" s="373">
        <f ca="1">IF(AD$685 &gt;= '2.2 Input_General_Information'!$H$20, $G$669*(VLOOKUP(AD$685,Growth!$B$130:$K$170, 10,FALSE)),)</f>
        <v>1.5660969600732031E-3</v>
      </c>
      <c r="AE686" s="373">
        <f ca="1">IF(AE$685 &gt;= '2.2 Input_General_Information'!$H$20, $G$669*(VLOOKUP(AE$685,Growth!$B$130:$K$170, 10,FALSE)),)</f>
        <v>2.4784516323648549E-3</v>
      </c>
      <c r="AF686" s="373">
        <f ca="1">IF(AF$685 &gt;= '2.2 Input_General_Information'!$H$20, $G$669*(VLOOKUP(AF$685,Growth!$B$130:$K$170, 10,FALSE)),)</f>
        <v>3.9189719102113831E-3</v>
      </c>
      <c r="AG686" s="373">
        <f ca="1">IF(AG$685 &gt;= '2.2 Input_General_Information'!$H$20, $G$669*(VLOOKUP(AG$685,Growth!$B$130:$K$170, 10,FALSE)),)</f>
        <v>6.1884251772238441E-3</v>
      </c>
      <c r="AH686" s="373">
        <f ca="1">IF(AH$685 &gt;= '2.2 Input_General_Information'!$H$20, $G$669*(VLOOKUP(AH$685,Growth!$B$130:$K$170, 10,FALSE)),)</f>
        <v>9.751470882953266E-3</v>
      </c>
      <c r="AI686" s="373">
        <f ca="1">IF(AI$685 &gt;= '2.2 Input_General_Information'!$H$20, $G$669*(VLOOKUP(AI$685,Growth!$B$130:$K$170, 10,FALSE)),)</f>
        <v>1.5315202334024721E-2</v>
      </c>
      <c r="AJ686" s="373">
        <f ca="1">IF(AJ$685 &gt;= '2.2 Input_General_Information'!$H$20, $G$669*(VLOOKUP(AJ$685,Growth!$B$130:$K$170, 10,FALSE)),)</f>
        <v>2.3929870431372388E-2</v>
      </c>
      <c r="AK686" s="373">
        <f ca="1">IF(AK$685 &gt;= '2.2 Input_General_Information'!$H$20, $G$669*(VLOOKUP(AK$685,Growth!$B$130:$K$170, 10,FALSE)),)</f>
        <v>3.7095386288084328E-2</v>
      </c>
      <c r="AL686" s="373">
        <f ca="1">IF(AL$685 &gt;= '2.2 Input_General_Information'!$H$20, $G$669*(VLOOKUP(AL$685,Growth!$B$130:$K$170, 10,FALSE)),)</f>
        <v>5.6819473218290638E-2</v>
      </c>
      <c r="AM686" s="373">
        <f ca="1">IF(AM$685 &gt;= '2.2 Input_General_Information'!$H$20, $G$669*(VLOOKUP(AM$685,Growth!$B$130:$K$170, 10,FALSE)),)</f>
        <v>8.5505781596114133E-2</v>
      </c>
      <c r="AN686" s="373">
        <f ca="1">IF(AN$685 &gt;= '2.2 Input_General_Information'!$H$20, $G$669*(VLOOKUP(AN$685,Growth!$B$130:$K$170, 10,FALSE)),)</f>
        <v>0.12547650992233059</v>
      </c>
      <c r="AO686" s="373">
        <f ca="1">IF(AO$685 &gt;= '2.2 Input_General_Information'!$H$20, $G$669*(VLOOKUP(AO$685,Growth!$B$130:$K$170, 10,FALSE)),)</f>
        <v>0.17796830357477139</v>
      </c>
      <c r="AP686" s="373">
        <f ca="1">IF(AP$685 &gt;= '2.2 Input_General_Information'!$H$20, $G$669*(VLOOKUP(AP$685,Growth!$B$130:$K$170, 10,FALSE)),)</f>
        <v>0.24179022869201619</v>
      </c>
      <c r="AQ686" s="373">
        <f ca="1">IF(AQ$685 &gt;= '2.2 Input_General_Information'!$H$20, $G$669*(VLOOKUP(AQ$685,Growth!$B$130:$K$170, 10,FALSE)),)</f>
        <v>0.31250000000006545</v>
      </c>
      <c r="AR686" s="373">
        <f ca="1">IF(AR$685 &gt;= '2.2 Input_General_Information'!$H$20, $G$669*(VLOOKUP(AR$685,Growth!$B$130:$K$170, 10,FALSE)),)</f>
        <v>0.38320977130810796</v>
      </c>
      <c r="AS686" s="373">
        <f ca="1">IF(AS$685 &gt;= '2.2 Input_General_Information'!$H$20, $G$669*(VLOOKUP(AS$685,Growth!$B$130:$K$170, 10,FALSE)),)</f>
        <v>0.44703169642533525</v>
      </c>
      <c r="AT686" s="373">
        <f ca="1">IF(AT$685 &gt;= '2.2 Input_General_Information'!$H$20, $G$669*(VLOOKUP(AT$685,Growth!$B$130:$K$170, 10,FALSE)),)</f>
        <v>0.49952349007775343</v>
      </c>
      <c r="AU686" s="373">
        <f ca="1">IF(AU$685 &gt;= '2.2 Input_General_Information'!$H$20, $G$669*(VLOOKUP(AU$685,Growth!$B$130:$K$170, 10,FALSE)),)</f>
        <v>0.53949421840394773</v>
      </c>
      <c r="AV686" s="373">
        <f ca="1">IF(AV$685 &gt;= '2.2 Input_General_Information'!$H$20, $G$669*(VLOOKUP(AV$685,Growth!$B$130:$K$170, 10,FALSE)),)</f>
        <v>0.56818052678175257</v>
      </c>
      <c r="AW686" s="373">
        <f ca="1">IF(AW$685 &gt;= '2.2 Input_General_Information'!$H$20, $G$669*(VLOOKUP(AW$685,Growth!$B$130:$K$170, 10,FALSE)),)</f>
        <v>0.58790461371194491</v>
      </c>
      <c r="AX686" s="373">
        <f ca="1">IF(AX$685 &gt;= '2.2 Input_General_Information'!$H$20, $G$669*(VLOOKUP(AX$685,Growth!$B$130:$K$170, 10,FALSE)),)</f>
        <v>0.60107012956864692</v>
      </c>
      <c r="AY686" s="373">
        <f ca="1">IF(AY$685 &gt;= '2.2 Input_General_Information'!$H$20, $G$669*(VLOOKUP(AY$685,Growth!$B$130:$K$170, 10,FALSE)),)</f>
        <v>0.60968479766598782</v>
      </c>
      <c r="AZ686" s="373">
        <f ca="1">IF(AZ$685 &gt;= '2.2 Input_General_Information'!$H$20, $G$669*(VLOOKUP(AZ$685,Growth!$B$130:$K$170, 10,FALSE)),)</f>
        <v>0.61524852911705485</v>
      </c>
      <c r="BA686" s="373">
        <f ca="1">IF(BA$685 &gt;= '2.2 Input_General_Information'!$H$20, $G$669*(VLOOKUP(BA$685,Growth!$B$130:$K$170, 10,FALSE)),)</f>
        <v>0.61881157482278137</v>
      </c>
      <c r="BB686" s="373">
        <f ca="1">IF(BB$685 &gt;= '2.2 Input_General_Information'!$H$20, $G$669*(VLOOKUP(BB$685,Growth!$B$130:$K$170, 10,FALSE)),)</f>
        <v>0.62108102808979182</v>
      </c>
      <c r="BC686" s="373">
        <f ca="1">IF(BC$685 &gt;= '2.2 Input_General_Information'!$H$20, $G$669*(VLOOKUP(BC$685,Growth!$B$130:$K$170, 10,FALSE)),)</f>
        <v>0.62252154836763718</v>
      </c>
      <c r="BD686" s="373">
        <f ca="1">IF(BD$685 &gt;= '2.2 Input_General_Information'!$H$20, $G$669*(VLOOKUP(BD$685,Growth!$B$130:$K$170, 10,FALSE)),)</f>
        <v>0.62343390303992818</v>
      </c>
      <c r="BE686" s="373">
        <f ca="1">IF(BE$685 &gt;= '2.2 Input_General_Information'!$H$20, $G$669*(VLOOKUP(BE$685,Growth!$B$130:$K$170, 10,FALSE)),)</f>
        <v>0.62401094007382318</v>
      </c>
      <c r="BF686" s="373">
        <f ca="1">IF(BF$685 &gt;= '2.2 Input_General_Information'!$H$20, $G$669*(VLOOKUP(BF$685,Growth!$B$130:$K$170, 10,FALSE)),)</f>
        <v>0.62437557759014406</v>
      </c>
      <c r="BG686" s="373">
        <f ca="1">IF(BG$685 &gt;= '2.2 Input_General_Information'!$H$20, $G$669*(VLOOKUP(BG$685,Growth!$B$130:$K$170, 10,FALSE)),)</f>
        <v>0.62460586880885927</v>
      </c>
      <c r="BH686" s="373">
        <f ca="1">IF(BH$685 &gt;= '2.2 Input_General_Information'!$H$20, $G$669*(VLOOKUP(BH$685,Growth!$B$130:$K$170, 10,FALSE)),)</f>
        <v>0.62475126090024136</v>
      </c>
      <c r="BI686" s="373">
        <f ca="1">IF(BI$685 &gt;= '2.2 Input_General_Information'!$H$20, $G$669*(VLOOKUP(BI$685,Growth!$B$130:$K$170, 10,FALSE)),)</f>
        <v>0.62484303239935468</v>
      </c>
      <c r="BJ686" s="373">
        <f ca="1">IF(BJ$685 &gt;= '2.2 Input_General_Information'!$H$20, $G$669*(VLOOKUP(BJ$685,Growth!$B$130:$K$170, 10,FALSE)),)</f>
        <v>0.62490095046403538</v>
      </c>
      <c r="BK686" s="373">
        <f ca="1">IF(BK$685 &gt;= '2.2 Input_General_Information'!$H$20, $G$669*(VLOOKUP(BK$685,Growth!$B$130:$K$170, 10,FALSE)),)</f>
        <v>0.62493750000000003</v>
      </c>
      <c r="BL686" s="381"/>
      <c r="BM686" s="381"/>
      <c r="BN686" s="381"/>
      <c r="BO686" s="381"/>
      <c r="BP686" s="381"/>
      <c r="BQ686" s="381"/>
      <c r="BR686" s="381"/>
      <c r="BS686" s="381"/>
      <c r="BT686" s="381"/>
      <c r="BU686" s="381"/>
    </row>
    <row r="687" spans="1:73" hidden="1">
      <c r="A687" s="6"/>
      <c r="B687" s="108"/>
      <c r="C687" s="1"/>
      <c r="D687" s="1"/>
      <c r="E687" s="1"/>
      <c r="F687" s="1"/>
      <c r="G687" s="3"/>
      <c r="H687" s="3"/>
      <c r="I687" s="3"/>
      <c r="J687" s="3"/>
      <c r="K687" s="3"/>
      <c r="L687" s="3"/>
      <c r="M687" s="3"/>
      <c r="N687" s="3"/>
      <c r="O687" s="1"/>
      <c r="P687" s="1"/>
      <c r="Q687" s="1"/>
      <c r="R687" s="162"/>
      <c r="S687" s="1"/>
      <c r="T687" s="103"/>
      <c r="U687" s="103"/>
      <c r="V687" s="103"/>
      <c r="W687" s="98"/>
      <c r="X687" s="98"/>
      <c r="Y687" s="98"/>
      <c r="Z687" s="98"/>
      <c r="AA687" s="98"/>
      <c r="AB687" s="98"/>
      <c r="AC687" s="98"/>
      <c r="AD687" s="98"/>
      <c r="AE687" s="98"/>
      <c r="AF687" s="98"/>
      <c r="AG687" s="98"/>
      <c r="AH687" s="98"/>
      <c r="AI687" s="98"/>
      <c r="AJ687" s="98"/>
      <c r="AK687" s="98"/>
      <c r="AL687" s="98"/>
      <c r="AM687" s="98"/>
      <c r="AN687" s="98"/>
      <c r="AO687" s="98"/>
      <c r="AP687" s="98"/>
      <c r="AQ687" s="98"/>
      <c r="AR687" s="98"/>
      <c r="AS687" s="98"/>
      <c r="AT687" s="98"/>
      <c r="AU687" s="98"/>
      <c r="AV687" s="98"/>
      <c r="AW687" s="98"/>
      <c r="AX687" s="98"/>
      <c r="AY687" s="98"/>
      <c r="AZ687" s="98"/>
      <c r="BA687" s="98"/>
      <c r="BB687" s="98"/>
      <c r="BC687" s="98"/>
      <c r="BD687" s="98"/>
      <c r="BE687" s="98"/>
      <c r="BF687" s="98"/>
      <c r="BG687" s="98"/>
      <c r="BH687" s="98"/>
      <c r="BI687" s="98"/>
      <c r="BJ687" s="98"/>
      <c r="BK687" s="98"/>
      <c r="BL687" s="99"/>
      <c r="BM687" s="99"/>
      <c r="BN687" s="99"/>
      <c r="BO687" s="99"/>
      <c r="BP687" s="99"/>
      <c r="BQ687" s="99"/>
      <c r="BR687" s="99"/>
      <c r="BS687" s="99"/>
      <c r="BT687" s="99"/>
      <c r="BU687" s="99"/>
    </row>
    <row r="688" spans="1:73" hidden="1">
      <c r="A688" s="6"/>
      <c r="B688" s="108"/>
      <c r="C688" s="1"/>
      <c r="D688" s="1"/>
      <c r="E688" s="1"/>
      <c r="F688" s="1"/>
      <c r="G688" s="3"/>
      <c r="H688" s="3"/>
      <c r="I688" s="3"/>
      <c r="J688" s="3"/>
      <c r="K688" s="3"/>
      <c r="L688" s="3"/>
      <c r="M688" s="3"/>
      <c r="N688" s="3"/>
      <c r="O688" s="1"/>
      <c r="P688" s="1"/>
      <c r="Q688" s="1"/>
      <c r="R688" s="162"/>
      <c r="S688" s="1"/>
      <c r="T688" s="103"/>
      <c r="U688" s="103"/>
      <c r="V688" s="103" t="str">
        <f>D679</f>
        <v>Time saved thanks to the reduced amount of peer reviews required</v>
      </c>
      <c r="W688" s="98"/>
      <c r="X688" s="98"/>
      <c r="Y688" s="98"/>
      <c r="Z688" s="98"/>
      <c r="AA688" s="98"/>
      <c r="AB688" s="98"/>
      <c r="AC688" s="98"/>
      <c r="AD688" s="98"/>
      <c r="AE688" s="98"/>
      <c r="AF688" s="98"/>
      <c r="AG688" s="98"/>
      <c r="AH688" s="98"/>
      <c r="AI688" s="98"/>
      <c r="AJ688" s="98"/>
      <c r="AK688" s="98"/>
      <c r="AL688" s="98"/>
      <c r="AM688" s="98"/>
      <c r="AN688" s="98"/>
      <c r="AO688" s="98"/>
      <c r="AP688" s="98"/>
      <c r="AQ688" s="98"/>
      <c r="AR688" s="98"/>
      <c r="AS688" s="98"/>
      <c r="AT688" s="98"/>
      <c r="AU688" s="98"/>
      <c r="AV688" s="98"/>
      <c r="AW688" s="98"/>
      <c r="AX688" s="98"/>
      <c r="AY688" s="98"/>
      <c r="AZ688" s="98"/>
      <c r="BA688" s="98"/>
      <c r="BB688" s="98"/>
      <c r="BC688" s="98"/>
      <c r="BD688" s="98"/>
      <c r="BE688" s="98"/>
      <c r="BF688" s="98"/>
      <c r="BG688" s="98"/>
      <c r="BH688" s="98"/>
      <c r="BI688" s="98"/>
      <c r="BJ688" s="98"/>
      <c r="BK688" s="98"/>
      <c r="BL688" s="99"/>
      <c r="BM688" s="99"/>
      <c r="BN688" s="99"/>
      <c r="BO688" s="99"/>
      <c r="BP688" s="99"/>
      <c r="BQ688" s="99"/>
      <c r="BR688" s="99"/>
      <c r="BS688" s="99"/>
      <c r="BT688" s="99"/>
      <c r="BU688" s="99"/>
    </row>
    <row r="689" spans="1:73" hidden="1">
      <c r="A689" s="6"/>
      <c r="B689" s="108"/>
      <c r="C689" s="1"/>
      <c r="D689" s="1"/>
      <c r="E689" s="1"/>
      <c r="F689" s="1"/>
      <c r="G689" s="3"/>
      <c r="H689" s="3"/>
      <c r="I689" s="3"/>
      <c r="J689" s="3"/>
      <c r="K689" s="3"/>
      <c r="L689" s="3"/>
      <c r="M689" s="3"/>
      <c r="N689" s="3"/>
      <c r="O689" s="1"/>
      <c r="P689" s="1"/>
      <c r="Q689" s="1"/>
      <c r="R689" s="162"/>
      <c r="S689" s="1"/>
      <c r="T689" s="103"/>
      <c r="U689" s="103"/>
      <c r="V689" s="103"/>
      <c r="W689" s="98">
        <f>Growth!B20</f>
        <v>2018</v>
      </c>
      <c r="X689" s="98">
        <f t="shared" ref="X689:BK689" si="109">W689+1</f>
        <v>2019</v>
      </c>
      <c r="Y689" s="98">
        <f t="shared" si="109"/>
        <v>2020</v>
      </c>
      <c r="Z689" s="98">
        <f t="shared" si="109"/>
        <v>2021</v>
      </c>
      <c r="AA689" s="98">
        <f t="shared" si="109"/>
        <v>2022</v>
      </c>
      <c r="AB689" s="98">
        <f t="shared" si="109"/>
        <v>2023</v>
      </c>
      <c r="AC689" s="98">
        <f t="shared" si="109"/>
        <v>2024</v>
      </c>
      <c r="AD689" s="98">
        <f t="shared" si="109"/>
        <v>2025</v>
      </c>
      <c r="AE689" s="98">
        <f t="shared" si="109"/>
        <v>2026</v>
      </c>
      <c r="AF689" s="98">
        <f t="shared" si="109"/>
        <v>2027</v>
      </c>
      <c r="AG689" s="98">
        <f t="shared" si="109"/>
        <v>2028</v>
      </c>
      <c r="AH689" s="98">
        <f t="shared" si="109"/>
        <v>2029</v>
      </c>
      <c r="AI689" s="98">
        <f t="shared" si="109"/>
        <v>2030</v>
      </c>
      <c r="AJ689" s="98">
        <f t="shared" si="109"/>
        <v>2031</v>
      </c>
      <c r="AK689" s="98">
        <f t="shared" si="109"/>
        <v>2032</v>
      </c>
      <c r="AL689" s="98">
        <f t="shared" si="109"/>
        <v>2033</v>
      </c>
      <c r="AM689" s="98">
        <f t="shared" si="109"/>
        <v>2034</v>
      </c>
      <c r="AN689" s="98">
        <f t="shared" si="109"/>
        <v>2035</v>
      </c>
      <c r="AO689" s="98">
        <f t="shared" si="109"/>
        <v>2036</v>
      </c>
      <c r="AP689" s="98">
        <f t="shared" si="109"/>
        <v>2037</v>
      </c>
      <c r="AQ689" s="98">
        <f t="shared" si="109"/>
        <v>2038</v>
      </c>
      <c r="AR689" s="98">
        <f t="shared" si="109"/>
        <v>2039</v>
      </c>
      <c r="AS689" s="98">
        <f t="shared" si="109"/>
        <v>2040</v>
      </c>
      <c r="AT689" s="98">
        <f t="shared" si="109"/>
        <v>2041</v>
      </c>
      <c r="AU689" s="98">
        <f t="shared" si="109"/>
        <v>2042</v>
      </c>
      <c r="AV689" s="98">
        <f t="shared" si="109"/>
        <v>2043</v>
      </c>
      <c r="AW689" s="98">
        <f t="shared" si="109"/>
        <v>2044</v>
      </c>
      <c r="AX689" s="98">
        <f t="shared" si="109"/>
        <v>2045</v>
      </c>
      <c r="AY689" s="98">
        <f t="shared" si="109"/>
        <v>2046</v>
      </c>
      <c r="AZ689" s="98">
        <f t="shared" si="109"/>
        <v>2047</v>
      </c>
      <c r="BA689" s="98">
        <f t="shared" si="109"/>
        <v>2048</v>
      </c>
      <c r="BB689" s="98">
        <f t="shared" si="109"/>
        <v>2049</v>
      </c>
      <c r="BC689" s="98">
        <f t="shared" si="109"/>
        <v>2050</v>
      </c>
      <c r="BD689" s="98">
        <f t="shared" si="109"/>
        <v>2051</v>
      </c>
      <c r="BE689" s="98">
        <f t="shared" si="109"/>
        <v>2052</v>
      </c>
      <c r="BF689" s="98">
        <f t="shared" si="109"/>
        <v>2053</v>
      </c>
      <c r="BG689" s="98">
        <f t="shared" si="109"/>
        <v>2054</v>
      </c>
      <c r="BH689" s="98">
        <f t="shared" si="109"/>
        <v>2055</v>
      </c>
      <c r="BI689" s="98">
        <f t="shared" si="109"/>
        <v>2056</v>
      </c>
      <c r="BJ689" s="98">
        <f t="shared" si="109"/>
        <v>2057</v>
      </c>
      <c r="BK689" s="98">
        <f t="shared" si="109"/>
        <v>2058</v>
      </c>
      <c r="BL689" s="99"/>
      <c r="BM689" s="99"/>
      <c r="BN689" s="99"/>
      <c r="BO689" s="99"/>
      <c r="BP689" s="99"/>
      <c r="BQ689" s="99"/>
      <c r="BR689" s="99"/>
      <c r="BS689" s="99"/>
      <c r="BT689" s="99"/>
      <c r="BU689" s="99"/>
    </row>
    <row r="690" spans="1:73" hidden="1">
      <c r="A690" s="6"/>
      <c r="B690" s="108"/>
      <c r="C690" s="1"/>
      <c r="D690" s="1"/>
      <c r="E690" s="12"/>
      <c r="F690" s="1"/>
      <c r="G690" s="633"/>
      <c r="H690" s="3"/>
      <c r="I690" s="3"/>
      <c r="J690" s="3"/>
      <c r="K690" s="3"/>
      <c r="L690" s="3"/>
      <c r="M690" s="3"/>
      <c r="N690" s="3"/>
      <c r="O690" s="1"/>
      <c r="P690" s="1"/>
      <c r="Q690" s="1"/>
      <c r="R690" s="162"/>
      <c r="S690" s="1"/>
      <c r="T690" s="103"/>
      <c r="U690" s="103"/>
      <c r="V690" s="103" t="str">
        <f>G$10</f>
        <v>PhD researcher</v>
      </c>
      <c r="W690" s="373">
        <f ca="1">IF(W$689 &gt;= '2.2 Input_General_Information'!$H$20, '2.3 Input_Main_Questionnaire'!$H$35*($G$667*W$686)/$G$667,)</f>
        <v>5.63125000000002E-6</v>
      </c>
      <c r="X690" s="373">
        <f ca="1">IF(X$689 &gt;= '2.2 Input_General_Information'!$H$20, '2.3 Input_Main_Questionnaire'!$H$35*($G$667*X$686)/$G$667,)</f>
        <v>8.9243631904227958E-6</v>
      </c>
      <c r="Y690" s="373">
        <f ca="1">IF(Y$689 &gt;= '2.2 Input_General_Information'!$H$20, '2.3 Input_Main_Questionnaire'!$H$35*($G$667*Y$686)/$G$667,)</f>
        <v>1.4142780818152967E-5</v>
      </c>
      <c r="Z690" s="373">
        <f ca="1">IF(Z$689 &gt;= '2.2 Input_General_Information'!$H$20, '2.3 Input_Main_Questionnaire'!$H$35*($G$667*Z$686)/$G$667,)</f>
        <v>2.2411392888267675E-5</v>
      </c>
      <c r="AA690" s="373">
        <f ca="1">IF(AA$689 &gt;= '2.2 Input_General_Information'!$H$20, '2.3 Input_Main_Questionnaire'!$H$35*($G$667*AA$686)/$G$667,)</f>
        <v>3.5511220321806303E-5</v>
      </c>
      <c r="AB690" s="373">
        <f ca="1">IF(AB$689 &gt;= '2.2 Input_General_Information'!$H$20, '2.3 Input_Main_Questionnaire'!$H$35*($G$667*AB$686)/$G$667,)</f>
        <v>5.6260459128058909E-5</v>
      </c>
      <c r="AC690" s="373">
        <f ca="1">IF(AC$689 &gt;= '2.2 Input_General_Information'!$H$20, '2.3 Input_Main_Questionnaire'!$H$35*($G$667*AC$686)/$G$667,)</f>
        <v>8.9114299348617726E-5</v>
      </c>
      <c r="AD690" s="373">
        <f ca="1">IF(AD$689 &gt;= '2.2 Input_General_Information'!$H$20, '2.3 Input_Main_Questionnaire'!$H$35*($G$667*AD$686)/$G$667,)</f>
        <v>1.4110533610259561E-4</v>
      </c>
      <c r="AE690" s="373">
        <f ca="1">IF(AE$689 &gt;= '2.2 Input_General_Information'!$H$20, '2.3 Input_Main_Questionnaire'!$H$35*($G$667*AE$686)/$G$667,)</f>
        <v>2.2330849207607341E-4</v>
      </c>
      <c r="AF690" s="373">
        <f ca="1">IF(AF$689 &gt;= '2.2 Input_General_Information'!$H$20, '2.3 Input_Main_Questionnaire'!$H$35*($G$667*AF$686)/$G$667,)</f>
        <v>3.5309936911004564E-4</v>
      </c>
      <c r="AG690" s="373">
        <f ca="1">IF(AG$689 &gt;= '2.2 Input_General_Information'!$H$20, '2.3 Input_Main_Questionnaire'!$H$35*($G$667*AG$686)/$G$667,)</f>
        <v>5.5757710846786833E-4</v>
      </c>
      <c r="AH690" s="373">
        <f ca="1">IF(AH$689 &gt;= '2.2 Input_General_Information'!$H$20, '2.3 Input_Main_Questionnaire'!$H$35*($G$667*AH$686)/$G$667,)</f>
        <v>8.7860752655408928E-4</v>
      </c>
      <c r="AI690" s="373">
        <f ca="1">IF(AI$689 &gt;= '2.2 Input_General_Information'!$H$20, '2.3 Input_Main_Questionnaire'!$H$35*($G$667*AI$686)/$G$667,)</f>
        <v>1.3798997302956273E-3</v>
      </c>
      <c r="AJ690" s="373">
        <f ca="1">IF(AJ$689 &gt;= '2.2 Input_General_Information'!$H$20, '2.3 Input_Main_Questionnaire'!$H$35*($G$667*AJ$686)/$G$667,)</f>
        <v>2.156081325866652E-3</v>
      </c>
      <c r="AK690" s="373">
        <f ca="1">IF(AK$689 &gt;= '2.2 Input_General_Information'!$H$20, '2.3 Input_Main_Questionnaire'!$H$35*($G$667*AK$686)/$G$667,)</f>
        <v>3.3422943045563983E-3</v>
      </c>
      <c r="AL690" s="373">
        <f ca="1">IF(AL$689 &gt;= '2.2 Input_General_Information'!$H$20, '2.3 Input_Main_Questionnaire'!$H$35*($G$667*AL$686)/$G$667,)</f>
        <v>5.1194345369679865E-3</v>
      </c>
      <c r="AM690" s="373">
        <f ca="1">IF(AM$689 &gt;= '2.2 Input_General_Information'!$H$20, '2.3 Input_Main_Questionnaire'!$H$35*($G$667*AM$686)/$G$667,)</f>
        <v>7.7040709218098823E-3</v>
      </c>
      <c r="AN690" s="373">
        <f ca="1">IF(AN$689 &gt;= '2.2 Input_General_Information'!$H$20, '2.3 Input_Main_Questionnaire'!$H$35*($G$667*AN$686)/$G$667,)</f>
        <v>1.1305433544001984E-2</v>
      </c>
      <c r="AO690" s="373">
        <f ca="1">IF(AO$689 &gt;= '2.2 Input_General_Information'!$H$20, '2.3 Input_Main_Questionnaire'!$H$35*($G$667*AO$686)/$G$667,)</f>
        <v>1.6034944152086904E-2</v>
      </c>
      <c r="AP690" s="373">
        <f ca="1">IF(AP$689 &gt;= '2.2 Input_General_Information'!$H$20, '2.3 Input_Main_Questionnaire'!$H$35*($G$667*AP$686)/$G$667,)</f>
        <v>2.178529960515066E-2</v>
      </c>
      <c r="AQ690" s="373">
        <f ca="1">IF(AQ$689 &gt;= '2.2 Input_General_Information'!$H$20, '2.3 Input_Main_Questionnaire'!$H$35*($G$667*AQ$686)/$G$667,)</f>
        <v>2.8156250000005895E-2</v>
      </c>
      <c r="AR690" s="373">
        <f ca="1">IF(AR$689 &gt;= '2.2 Input_General_Information'!$H$20, '2.3 Input_Main_Questionnaire'!$H$35*($G$667*AR$686)/$G$667,)</f>
        <v>3.4527200394860527E-2</v>
      </c>
      <c r="AS690" s="373">
        <f ca="1">IF(AS$689 &gt;= '2.2 Input_General_Information'!$H$20, '2.3 Input_Main_Questionnaire'!$H$35*($G$667*AS$686)/$G$667,)</f>
        <v>4.0277555847922704E-2</v>
      </c>
      <c r="AT690" s="373">
        <f ca="1">IF(AT$689 &gt;= '2.2 Input_General_Information'!$H$20, '2.3 Input_Main_Questionnaire'!$H$35*($G$667*AT$686)/$G$667,)</f>
        <v>4.5007066456005579E-2</v>
      </c>
      <c r="AU690" s="373">
        <f ca="1">IF(AU$689 &gt;= '2.2 Input_General_Information'!$H$20, '2.3 Input_Main_Questionnaire'!$H$35*($G$667*AU$686)/$G$667,)</f>
        <v>4.8608429078195695E-2</v>
      </c>
      <c r="AV690" s="373">
        <f ca="1">IF(AV$689 &gt;= '2.2 Input_General_Information'!$H$20, '2.3 Input_Main_Questionnaire'!$H$35*($G$667*AV$686)/$G$667,)</f>
        <v>5.1193065463035904E-2</v>
      </c>
      <c r="AW690" s="373">
        <f ca="1">IF(AW$689 &gt;= '2.2 Input_General_Information'!$H$20, '2.3 Input_Main_Questionnaire'!$H$35*($G$667*AW$686)/$G$667,)</f>
        <v>5.2970205695446242E-2</v>
      </c>
      <c r="AX690" s="373">
        <f ca="1">IF(AX$689 &gt;= '2.2 Input_General_Information'!$H$20, '2.3 Input_Main_Questionnaire'!$H$35*($G$667*AX$686)/$G$667,)</f>
        <v>5.4156418674135093E-2</v>
      </c>
      <c r="AY690" s="373">
        <f ca="1">IF(AY$689 &gt;= '2.2 Input_General_Information'!$H$20, '2.3 Input_Main_Questionnaire'!$H$35*($G$667*AY$686)/$G$667,)</f>
        <v>5.4932600269705506E-2</v>
      </c>
      <c r="AZ690" s="373">
        <f ca="1">IF(AZ$689 &gt;= '2.2 Input_General_Information'!$H$20, '2.3 Input_Main_Questionnaire'!$H$35*($G$667*AZ$686)/$G$667,)</f>
        <v>5.5433892473446648E-2</v>
      </c>
      <c r="BA690" s="373">
        <f ca="1">IF(BA$689 &gt;= '2.2 Input_General_Information'!$H$20, '2.3 Input_Main_Questionnaire'!$H$35*($G$667*BA$686)/$G$667,)</f>
        <v>5.5754922891532596E-2</v>
      </c>
      <c r="BB690" s="373">
        <f ca="1">IF(BB$689 &gt;= '2.2 Input_General_Information'!$H$20, '2.3 Input_Main_Questionnaire'!$H$35*($G$667*BB$686)/$G$667,)</f>
        <v>5.5959400630890249E-2</v>
      </c>
      <c r="BC690" s="373">
        <f ca="1">IF(BC$689 &gt;= '2.2 Input_General_Information'!$H$20, '2.3 Input_Main_Questionnaire'!$H$35*($G$667*BC$686)/$G$667,)</f>
        <v>5.6089191507924116E-2</v>
      </c>
      <c r="BD690" s="373">
        <f ca="1">IF(BD$689 &gt;= '2.2 Input_General_Information'!$H$20, '2.3 Input_Main_Questionnaire'!$H$35*($G$667*BD$686)/$G$667,)</f>
        <v>5.6171394663897534E-2</v>
      </c>
      <c r="BE690" s="373">
        <f ca="1">IF(BE$689 &gt;= '2.2 Input_General_Information'!$H$20, '2.3 Input_Main_Questionnaire'!$H$35*($G$667*BE$686)/$G$667,)</f>
        <v>5.6223385700651468E-2</v>
      </c>
      <c r="BF690" s="373">
        <f ca="1">IF(BF$689 &gt;= '2.2 Input_General_Information'!$H$20, '2.3 Input_Main_Questionnaire'!$H$35*($G$667*BF$686)/$G$667,)</f>
        <v>5.6256239540871986E-2</v>
      </c>
      <c r="BG690" s="373">
        <f ca="1">IF(BG$689 &gt;= '2.2 Input_General_Information'!$H$20, '2.3 Input_Main_Questionnaire'!$H$35*($G$667*BG$686)/$G$667,)</f>
        <v>5.6276988779678225E-2</v>
      </c>
      <c r="BH690" s="373">
        <f ca="1">IF(BH$689 &gt;= '2.2 Input_General_Information'!$H$20, '2.3 Input_Main_Questionnaire'!$H$35*($G$667*BH$686)/$G$667,)</f>
        <v>5.6290088607111745E-2</v>
      </c>
      <c r="BI690" s="373">
        <f ca="1">IF(BI$689 &gt;= '2.2 Input_General_Information'!$H$20, '2.3 Input_Main_Questionnaire'!$H$35*($G$667*BI$686)/$G$667,)</f>
        <v>5.629835721918186E-2</v>
      </c>
      <c r="BJ690" s="373">
        <f ca="1">IF(BJ$689 &gt;= '2.2 Input_General_Information'!$H$20, '2.3 Input_Main_Questionnaire'!$H$35*($G$667*BJ$686)/$G$667,)</f>
        <v>5.6303575636809593E-2</v>
      </c>
      <c r="BK690" s="373">
        <f ca="1">IF(BK$689 &gt;= '2.2 Input_General_Information'!$H$20, '2.3 Input_Main_Questionnaire'!$H$35*($G$667*BK$686)/$G$667,)</f>
        <v>5.6306868750000003E-2</v>
      </c>
      <c r="BL690" s="381"/>
      <c r="BM690" s="381"/>
      <c r="BN690" s="381"/>
      <c r="BO690" s="381"/>
      <c r="BP690" s="381"/>
      <c r="BQ690" s="381"/>
      <c r="BR690" s="381"/>
      <c r="BS690" s="381"/>
      <c r="BT690" s="381"/>
      <c r="BU690" s="381"/>
    </row>
    <row r="691" spans="1:73" hidden="1">
      <c r="A691" s="6"/>
      <c r="B691" s="108"/>
      <c r="C691" s="1"/>
      <c r="D691" s="1"/>
      <c r="E691" s="12"/>
      <c r="F691" s="1"/>
      <c r="G691" s="633"/>
      <c r="H691" s="3"/>
      <c r="I691" s="3"/>
      <c r="J691" s="3"/>
      <c r="K691" s="3"/>
      <c r="L691" s="3"/>
      <c r="M691" s="3"/>
      <c r="N691" s="3"/>
      <c r="O691" s="1"/>
      <c r="P691" s="1"/>
      <c r="Q691" s="1"/>
      <c r="R691" s="162"/>
      <c r="S691" s="1"/>
      <c r="T691" s="103"/>
      <c r="U691" s="103"/>
      <c r="V691" s="103" t="str">
        <f>$H$10</f>
        <v>Lecturer assistant/Research assistant (Academic)</v>
      </c>
      <c r="W691" s="373">
        <f ca="1">IF(W$689 &gt;= '2.2 Input_General_Information'!$H$20, '2.3 Input_Main_Questionnaire'!$I$35*($G$667*W$686)/$G$667,)</f>
        <v>4.5062500000000155E-6</v>
      </c>
      <c r="X691" s="373">
        <f ca="1">IF(X$689 &gt;= '2.2 Input_General_Information'!$H$20, '2.3 Input_Main_Questionnaire'!$I$35*($G$667*X$686)/$G$667,)</f>
        <v>7.1414715430575313E-6</v>
      </c>
      <c r="Y691" s="373">
        <f ca="1">IF(Y$689 &gt;= '2.2 Input_General_Information'!$H$20, '2.3 Input_Main_Questionnaire'!$I$35*($G$667*Y$686)/$G$667,)</f>
        <v>1.1317364006535284E-5</v>
      </c>
      <c r="Z691" s="373">
        <f ca="1">IF(Z$689 &gt;= '2.2 Input_General_Information'!$H$20, '2.3 Input_Main_Questionnaire'!$I$35*($G$667*Z$686)/$G$667,)</f>
        <v>1.7934089092609315E-5</v>
      </c>
      <c r="AA691" s="373">
        <f ca="1">IF(AA$689 &gt;= '2.2 Input_General_Information'!$H$20, '2.3 Input_Main_Questionnaire'!$I$35*($G$667*AA$686)/$G$667,)</f>
        <v>2.8416858881267868E-5</v>
      </c>
      <c r="AB691" s="373">
        <f ca="1">IF(AB$689 &gt;= '2.2 Input_General_Information'!$H$20, '2.3 Input_Main_Questionnaire'!$I$35*($G$667*AB$686)/$G$667,)</f>
        <v>4.5020855750644255E-5</v>
      </c>
      <c r="AC691" s="373">
        <f ca="1">IF(AC$689 &gt;= '2.2 Input_General_Information'!$H$20, '2.3 Input_Main_Questionnaire'!$I$35*($G$667*AC$686)/$G$667,)</f>
        <v>7.1311220677417741E-5</v>
      </c>
      <c r="AD691" s="373">
        <f ca="1">IF(AD$689 &gt;= '2.2 Input_General_Information'!$H$20, '2.3 Input_Main_Questionnaire'!$I$35*($G$667*AD$686)/$G$667,)</f>
        <v>1.1291559082127793E-4</v>
      </c>
      <c r="AE691" s="373">
        <f ca="1">IF(AE$689 &gt;= '2.2 Input_General_Information'!$H$20, '2.3 Input_Main_Questionnaire'!$I$35*($G$667*AE$686)/$G$667,)</f>
        <v>1.7869636269350603E-4</v>
      </c>
      <c r="AF691" s="373">
        <f ca="1">IF(AF$689 &gt;= '2.2 Input_General_Information'!$H$20, '2.3 Input_Main_Questionnaire'!$I$35*($G$667*AF$686)/$G$667,)</f>
        <v>2.8255787472624073E-4</v>
      </c>
      <c r="AG691" s="373">
        <f ca="1">IF(AG$689 &gt;= '2.2 Input_General_Information'!$H$20, '2.3 Input_Main_Questionnaire'!$I$35*($G$667*AG$686)/$G$667,)</f>
        <v>4.4618545527783912E-4</v>
      </c>
      <c r="AH691" s="373">
        <f ca="1">IF(AH$689 &gt;= '2.2 Input_General_Information'!$H$20, '2.3 Input_Main_Questionnaire'!$I$35*($G$667*AH$686)/$G$667,)</f>
        <v>7.0308105066093046E-4</v>
      </c>
      <c r="AI691" s="373">
        <f ca="1">IF(AI$689 &gt;= '2.2 Input_General_Information'!$H$20, '2.3 Input_Main_Questionnaire'!$I$35*($G$667*AI$686)/$G$667,)</f>
        <v>1.1042260882831822E-3</v>
      </c>
      <c r="AJ691" s="373">
        <f ca="1">IF(AJ$689 &gt;= '2.2 Input_General_Information'!$H$20, '2.3 Input_Main_Questionnaire'!$I$35*($G$667*AJ$686)/$G$667,)</f>
        <v>1.7253436581019493E-3</v>
      </c>
      <c r="AK691" s="373">
        <f ca="1">IF(AK$689 &gt;= '2.2 Input_General_Information'!$H$20, '2.3 Input_Main_Questionnaire'!$I$35*($G$667*AK$686)/$G$667,)</f>
        <v>2.6745773513708799E-3</v>
      </c>
      <c r="AL691" s="373">
        <f ca="1">IF(AL$689 &gt;= '2.2 Input_General_Information'!$H$20, '2.3 Input_Main_Questionnaire'!$I$35*($G$667*AL$686)/$G$667,)</f>
        <v>4.0966840190387556E-3</v>
      </c>
      <c r="AM691" s="373">
        <f ca="1">IF(AM$689 &gt;= '2.2 Input_General_Information'!$H$20, '2.3 Input_Main_Questionnaire'!$I$35*($G$667*AM$686)/$G$667,)</f>
        <v>6.1649668530798282E-3</v>
      </c>
      <c r="AN691" s="373">
        <f ca="1">IF(AN$689 &gt;= '2.2 Input_General_Information'!$H$20, '2.3 Input_Main_Questionnaire'!$I$35*($G$667*AN$686)/$G$667,)</f>
        <v>9.0468563654000338E-3</v>
      </c>
      <c r="AO691" s="373">
        <f ca="1">IF(AO$689 &gt;= '2.2 Input_General_Information'!$H$20, '2.3 Input_Main_Questionnaire'!$I$35*($G$667*AO$686)/$G$667,)</f>
        <v>1.2831514687741017E-2</v>
      </c>
      <c r="AP691" s="373">
        <f ca="1">IF(AP$689 &gt;= '2.2 Input_General_Information'!$H$20, '2.3 Input_Main_Questionnaire'!$I$35*($G$667*AP$686)/$G$667,)</f>
        <v>1.7433075488694369E-2</v>
      </c>
      <c r="AQ691" s="373">
        <f ca="1">IF(AQ$689 &gt;= '2.2 Input_General_Information'!$H$20, '2.3 Input_Main_Questionnaire'!$I$35*($G$667*AQ$686)/$G$667,)</f>
        <v>2.2531250000004718E-2</v>
      </c>
      <c r="AR691" s="373">
        <f ca="1">IF(AR$689 &gt;= '2.2 Input_General_Information'!$H$20, '2.3 Input_Main_Questionnaire'!$I$35*($G$667*AR$686)/$G$667,)</f>
        <v>2.7629424511314584E-2</v>
      </c>
      <c r="AS691" s="373">
        <f ca="1">IF(AS$689 &gt;= '2.2 Input_General_Information'!$H$20, '2.3 Input_Main_Questionnaire'!$I$35*($G$667*AS$686)/$G$667,)</f>
        <v>3.2230985312266675E-2</v>
      </c>
      <c r="AT691" s="373">
        <f ca="1">IF(AT$689 &gt;= '2.2 Input_General_Information'!$H$20, '2.3 Input_Main_Questionnaire'!$I$35*($G$667*AT$686)/$G$667,)</f>
        <v>3.601564363460602E-2</v>
      </c>
      <c r="AU691" s="373">
        <f ca="1">IF(AU$689 &gt;= '2.2 Input_General_Information'!$H$20, '2.3 Input_Main_Questionnaire'!$I$35*($G$667*AU$686)/$G$667,)</f>
        <v>3.889753314692463E-2</v>
      </c>
      <c r="AV691" s="373">
        <f ca="1">IF(AV$689 &gt;= '2.2 Input_General_Information'!$H$20, '2.3 Input_Main_Questionnaire'!$I$35*($G$667*AV$686)/$G$667,)</f>
        <v>4.0965815980964354E-2</v>
      </c>
      <c r="AW691" s="373">
        <f ca="1">IF(AW$689 &gt;= '2.2 Input_General_Information'!$H$20, '2.3 Input_Main_Questionnaire'!$I$35*($G$667*AW$686)/$G$667,)</f>
        <v>4.2387922648631227E-2</v>
      </c>
      <c r="AX691" s="373">
        <f ca="1">IF(AX$689 &gt;= '2.2 Input_General_Information'!$H$20, '2.3 Input_Main_Questionnaire'!$I$35*($G$667*AX$686)/$G$667,)</f>
        <v>4.3337156341899448E-2</v>
      </c>
      <c r="AY691" s="373">
        <f ca="1">IF(AY$689 &gt;= '2.2 Input_General_Information'!$H$20, '2.3 Input_Main_Questionnaire'!$I$35*($G$667*AY$686)/$G$667,)</f>
        <v>4.3958273911717721E-2</v>
      </c>
      <c r="AZ691" s="373">
        <f ca="1">IF(AZ$689 &gt;= '2.2 Input_General_Information'!$H$20, '2.3 Input_Main_Questionnaire'!$I$35*($G$667*AZ$686)/$G$667,)</f>
        <v>4.435941894933966E-2</v>
      </c>
      <c r="BA691" s="373">
        <f ca="1">IF(BA$689 &gt;= '2.2 Input_General_Information'!$H$20, '2.3 Input_Main_Questionnaire'!$I$35*($G$667*BA$686)/$G$667,)</f>
        <v>4.4616314544722535E-2</v>
      </c>
      <c r="BB691" s="373">
        <f ca="1">IF(BB$689 &gt;= '2.2 Input_General_Information'!$H$20, '2.3 Input_Main_Questionnaire'!$I$35*($G$667*BB$686)/$G$667,)</f>
        <v>4.4779942125273996E-2</v>
      </c>
      <c r="BC691" s="373">
        <f ca="1">IF(BC$689 &gt;= '2.2 Input_General_Information'!$H$20, '2.3 Input_Main_Questionnaire'!$I$35*($G$667*BC$686)/$G$667,)</f>
        <v>4.4883803637306638E-2</v>
      </c>
      <c r="BD691" s="373">
        <f ca="1">IF(BD$689 &gt;= '2.2 Input_General_Information'!$H$20, '2.3 Input_Main_Questionnaire'!$I$35*($G$667*BD$686)/$G$667,)</f>
        <v>4.4949584409178824E-2</v>
      </c>
      <c r="BE691" s="373">
        <f ca="1">IF(BE$689 &gt;= '2.2 Input_General_Information'!$H$20, '2.3 Input_Main_Questionnaire'!$I$35*($G$667*BE$686)/$G$667,)</f>
        <v>4.4991188779322649E-2</v>
      </c>
      <c r="BF691" s="373">
        <f ca="1">IF(BF$689 &gt;= '2.2 Input_General_Information'!$H$20, '2.3 Input_Main_Questionnaire'!$I$35*($G$667*BF$686)/$G$667,)</f>
        <v>4.5017479144249389E-2</v>
      </c>
      <c r="BG691" s="373">
        <f ca="1">IF(BG$689 &gt;= '2.2 Input_General_Information'!$H$20, '2.3 Input_Main_Questionnaire'!$I$35*($G$667*BG$686)/$G$667,)</f>
        <v>4.5034083141118758E-2</v>
      </c>
      <c r="BH691" s="373">
        <f ca="1">IF(BH$689 &gt;= '2.2 Input_General_Information'!$H$20, '2.3 Input_Main_Questionnaire'!$I$35*($G$667*BH$686)/$G$667,)</f>
        <v>4.5044565910907407E-2</v>
      </c>
      <c r="BI691" s="373">
        <f ca="1">IF(BI$689 &gt;= '2.2 Input_General_Information'!$H$20, '2.3 Input_Main_Questionnaire'!$I$35*($G$667*BI$686)/$G$667,)</f>
        <v>4.5051182635993475E-2</v>
      </c>
      <c r="BJ691" s="373">
        <f ca="1">IF(BJ$689 &gt;= '2.2 Input_General_Information'!$H$20, '2.3 Input_Main_Questionnaire'!$I$35*($G$667*BJ$686)/$G$667,)</f>
        <v>4.5055358528456955E-2</v>
      </c>
      <c r="BK691" s="373">
        <f ca="1">IF(BK$689 &gt;= '2.2 Input_General_Information'!$H$20, '2.3 Input_Main_Questionnaire'!$I$35*($G$667*BK$686)/$G$667,)</f>
        <v>4.5057993749999997E-2</v>
      </c>
      <c r="BL691" s="381"/>
      <c r="BM691" s="381"/>
      <c r="BN691" s="381"/>
      <c r="BO691" s="381"/>
      <c r="BP691" s="381"/>
      <c r="BQ691" s="381"/>
      <c r="BR691" s="381"/>
      <c r="BS691" s="381"/>
      <c r="BT691" s="381"/>
      <c r="BU691" s="381"/>
    </row>
    <row r="692" spans="1:73" hidden="1">
      <c r="A692" s="6"/>
      <c r="B692" s="108"/>
      <c r="C692" s="1"/>
      <c r="D692" s="1"/>
      <c r="E692" s="12"/>
      <c r="F692" s="1"/>
      <c r="G692" s="633"/>
      <c r="H692" s="3"/>
      <c r="I692" s="3"/>
      <c r="J692" s="3"/>
      <c r="K692" s="3"/>
      <c r="L692" s="3"/>
      <c r="M692" s="3"/>
      <c r="N692" s="3"/>
      <c r="O692" s="1"/>
      <c r="P692" s="1"/>
      <c r="Q692" s="1"/>
      <c r="R692" s="162"/>
      <c r="S692" s="1"/>
      <c r="T692" s="103"/>
      <c r="U692" s="103"/>
      <c r="V692" s="103" t="str">
        <f>$I$10</f>
        <v>Lecturer/Researcher (Academic)</v>
      </c>
      <c r="W692" s="373">
        <f ca="1">IF(W$689 &gt;= '2.2 Input_General_Information'!$H$20, '2.3 Input_Main_Questionnaire'!$J$35*($G$667*W$686)/$G$667,)</f>
        <v>8.6125000000000315E-6</v>
      </c>
      <c r="X692" s="373">
        <f ca="1">IF(X$689 &gt;= '2.2 Input_General_Information'!$H$20, '2.3 Input_Main_Questionnaire'!$J$35*($G$667*X$686)/$G$667,)</f>
        <v>1.3649026055940746E-5</v>
      </c>
      <c r="Y692" s="373">
        <f ca="1">IF(Y$689 &gt;= '2.2 Input_General_Information'!$H$20, '2.3 Input_Main_Questionnaire'!$J$35*($G$667*Y$686)/$G$667,)</f>
        <v>2.1630135368939834E-5</v>
      </c>
      <c r="Z692" s="373">
        <f ca="1">IF(Z$689 &gt;= '2.2 Input_General_Information'!$H$20, '2.3 Input_Main_Questionnaire'!$J$35*($G$667*Z$686)/$G$667,)</f>
        <v>3.4276247946762326E-5</v>
      </c>
      <c r="AA692" s="373">
        <f ca="1">IF(AA$689 &gt;= '2.2 Input_General_Information'!$H$20, '2.3 Input_Main_Questionnaire'!$J$35*($G$667*AA$686)/$G$667,)</f>
        <v>5.4311278139233185E-5</v>
      </c>
      <c r="AB692" s="373">
        <f ca="1">IF(AB$689 &gt;= '2.2 Input_General_Information'!$H$20, '2.3 Input_Main_Questionnaire'!$J$35*($G$667*AB$686)/$G$667,)</f>
        <v>8.6045408078207748E-5</v>
      </c>
      <c r="AC692" s="373">
        <f ca="1">IF(AC$689 &gt;= '2.2 Input_General_Information'!$H$20, '2.3 Input_Main_Questionnaire'!$J$35*($G$667*AC$686)/$G$667,)</f>
        <v>1.3629245782729774E-4</v>
      </c>
      <c r="AD692" s="373">
        <f ca="1">IF(AD$689 &gt;= '2.2 Input_General_Information'!$H$20, '2.3 Input_Main_Questionnaire'!$J$35*($G$667*AD$686)/$G$667,)</f>
        <v>2.158081610980874E-4</v>
      </c>
      <c r="AE692" s="373">
        <f ca="1">IF(AE$689 &gt;= '2.2 Input_General_Information'!$H$20, '2.3 Input_Main_Questionnaire'!$J$35*($G$667*AE$686)/$G$667,)</f>
        <v>3.4153063493987698E-4</v>
      </c>
      <c r="AF692" s="373">
        <f ca="1">IF(AF$689 &gt;= '2.2 Input_General_Information'!$H$20, '2.3 Input_Main_Questionnaire'!$J$35*($G$667*AF$686)/$G$667,)</f>
        <v>5.4003432922712863E-4</v>
      </c>
      <c r="AG692" s="373">
        <f ca="1">IF(AG$689 &gt;= '2.2 Input_General_Information'!$H$20, '2.3 Input_Main_Questionnaire'!$J$35*($G$667*AG$686)/$G$667,)</f>
        <v>8.5276498942144581E-4</v>
      </c>
      <c r="AH692" s="373">
        <f ca="1">IF(AH$689 &gt;= '2.2 Input_General_Information'!$H$20, '2.3 Input_Main_Questionnaire'!$J$35*($G$667*AH$686)/$G$667,)</f>
        <v>1.34375268767096E-3</v>
      </c>
      <c r="AI692" s="373">
        <f ca="1">IF(AI$689 &gt;= '2.2 Input_General_Information'!$H$20, '2.3 Input_Main_Questionnaire'!$J$35*($G$667*AI$686)/$G$667,)</f>
        <v>2.1104348816286065E-3</v>
      </c>
      <c r="AJ692" s="373">
        <f ca="1">IF(AJ$689 &gt;= '2.2 Input_General_Information'!$H$20, '2.3 Input_Main_Questionnaire'!$J$35*($G$667*AJ$686)/$G$667,)</f>
        <v>3.2975361454431152E-3</v>
      </c>
      <c r="AK692" s="373">
        <f ca="1">IF(AK$689 &gt;= '2.2 Input_General_Information'!$H$20, '2.3 Input_Main_Questionnaire'!$J$35*($G$667*AK$686)/$G$667,)</f>
        <v>5.1117442304980214E-3</v>
      </c>
      <c r="AL692" s="373">
        <f ca="1">IF(AL$689 &gt;= '2.2 Input_General_Information'!$H$20, '2.3 Input_Main_Questionnaire'!$J$35*($G$667*AL$686)/$G$667,)</f>
        <v>7.8297234094804515E-3</v>
      </c>
      <c r="AM692" s="373">
        <f ca="1">IF(AM$689 &gt;= '2.2 Input_General_Information'!$H$20, '2.3 Input_Main_Questionnaire'!$J$35*($G$667*AM$686)/$G$667,)</f>
        <v>1.1782696703944528E-2</v>
      </c>
      <c r="AN692" s="373">
        <f ca="1">IF(AN$689 &gt;= '2.2 Input_General_Information'!$H$20, '2.3 Input_Main_Questionnaire'!$J$35*($G$667*AN$686)/$G$667,)</f>
        <v>1.7290663067297155E-2</v>
      </c>
      <c r="AO692" s="373">
        <f ca="1">IF(AO$689 &gt;= '2.2 Input_General_Information'!$H$20, '2.3 Input_Main_Questionnaire'!$J$35*($G$667*AO$686)/$G$667,)</f>
        <v>2.45240322326035E-2</v>
      </c>
      <c r="AP692" s="373">
        <f ca="1">IF(AP$689 &gt;= '2.2 Input_General_Information'!$H$20, '2.3 Input_Main_Questionnaire'!$J$35*($G$667*AP$686)/$G$667,)</f>
        <v>3.331869351375983E-2</v>
      </c>
      <c r="AQ692" s="373">
        <f ca="1">IF(AQ$689 &gt;= '2.2 Input_General_Information'!$H$20, '2.3 Input_Main_Questionnaire'!$J$35*($G$667*AQ$686)/$G$667,)</f>
        <v>4.3062500000009024E-2</v>
      </c>
      <c r="AR692" s="373">
        <f ca="1">IF(AR$689 &gt;= '2.2 Input_General_Information'!$H$20, '2.3 Input_Main_Questionnaire'!$J$35*($G$667*AR$686)/$G$667,)</f>
        <v>5.2806306486257282E-2</v>
      </c>
      <c r="AS692" s="373">
        <f ca="1">IF(AS$689 &gt;= '2.2 Input_General_Information'!$H$20, '2.3 Input_Main_Questionnaire'!$J$35*($G$667*AS$686)/$G$667,)</f>
        <v>6.1600967767411197E-2</v>
      </c>
      <c r="AT692" s="373">
        <f ca="1">IF(AT$689 &gt;= '2.2 Input_General_Information'!$H$20, '2.3 Input_Main_Questionnaire'!$J$35*($G$667*AT$686)/$G$667,)</f>
        <v>6.8834336932714416E-2</v>
      </c>
      <c r="AU692" s="373">
        <f ca="1">IF(AU$689 &gt;= '2.2 Input_General_Information'!$H$20, '2.3 Input_Main_Questionnaire'!$J$35*($G$667*AU$686)/$G$667,)</f>
        <v>7.4342303296064005E-2</v>
      </c>
      <c r="AV692" s="373">
        <f ca="1">IF(AV$689 &gt;= '2.2 Input_General_Information'!$H$20, '2.3 Input_Main_Questionnaire'!$J$35*($G$667*AV$686)/$G$667,)</f>
        <v>7.82952765905255E-2</v>
      </c>
      <c r="AW692" s="373">
        <f ca="1">IF(AW$689 &gt;= '2.2 Input_General_Information'!$H$20, '2.3 Input_Main_Questionnaire'!$J$35*($G$667*AW$686)/$G$667,)</f>
        <v>8.1013255769506021E-2</v>
      </c>
      <c r="AX692" s="373">
        <f ca="1">IF(AX$689 &gt;= '2.2 Input_General_Information'!$H$20, '2.3 Input_Main_Questionnaire'!$J$35*($G$667*AX$686)/$G$667,)</f>
        <v>8.2827463854559566E-2</v>
      </c>
      <c r="AY692" s="373">
        <f ca="1">IF(AY$689 &gt;= '2.2 Input_General_Information'!$H$20, '2.3 Input_Main_Questionnaire'!$J$35*($G$667*AY$686)/$G$667,)</f>
        <v>8.401456511837313E-2</v>
      </c>
      <c r="AZ692" s="373">
        <f ca="1">IF(AZ$689 &gt;= '2.2 Input_General_Information'!$H$20, '2.3 Input_Main_Questionnaire'!$J$35*($G$667*AZ$686)/$G$667,)</f>
        <v>8.4781247312330166E-2</v>
      </c>
      <c r="BA692" s="373">
        <f ca="1">IF(BA$689 &gt;= '2.2 Input_General_Information'!$H$20, '2.3 Input_Main_Questionnaire'!$J$35*($G$667*BA$686)/$G$667,)</f>
        <v>8.5272235010579289E-2</v>
      </c>
      <c r="BB692" s="373">
        <f ca="1">IF(BB$689 &gt;= '2.2 Input_General_Information'!$H$20, '2.3 Input_Main_Questionnaire'!$J$35*($G$667*BB$686)/$G$667,)</f>
        <v>8.5584965670773311E-2</v>
      </c>
      <c r="BC692" s="373">
        <f ca="1">IF(BC$689 &gt;= '2.2 Input_General_Information'!$H$20, '2.3 Input_Main_Questionnaire'!$J$35*($G$667*BC$686)/$G$667,)</f>
        <v>8.5783469365060414E-2</v>
      </c>
      <c r="BD692" s="373">
        <f ca="1">IF(BD$689 &gt;= '2.2 Input_General_Information'!$H$20, '2.3 Input_Main_Questionnaire'!$J$35*($G$667*BD$686)/$G$667,)</f>
        <v>8.590919183890211E-2</v>
      </c>
      <c r="BE692" s="373">
        <f ca="1">IF(BE$689 &gt;= '2.2 Input_General_Information'!$H$20, '2.3 Input_Main_Questionnaire'!$J$35*($G$667*BE$686)/$G$667,)</f>
        <v>8.5988707542172846E-2</v>
      </c>
      <c r="BF692" s="373">
        <f ca="1">IF(BF$689 &gt;= '2.2 Input_General_Information'!$H$20, '2.3 Input_Main_Questionnaire'!$J$35*($G$667*BF$686)/$G$667,)</f>
        <v>8.603895459192186E-2</v>
      </c>
      <c r="BG692" s="373">
        <f ca="1">IF(BG$689 &gt;= '2.2 Input_General_Information'!$H$20, '2.3 Input_Main_Questionnaire'!$J$35*($G$667*BG$686)/$G$667,)</f>
        <v>8.6070688721860814E-2</v>
      </c>
      <c r="BH692" s="373">
        <f ca="1">IF(BH$689 &gt;= '2.2 Input_General_Information'!$H$20, '2.3 Input_Main_Questionnaire'!$J$35*($G$667*BH$686)/$G$667,)</f>
        <v>8.6090723752053261E-2</v>
      </c>
      <c r="BI692" s="373">
        <f ca="1">IF(BI$689 &gt;= '2.2 Input_General_Information'!$H$20, '2.3 Input_Main_Questionnaire'!$J$35*($G$667*BI$686)/$G$667,)</f>
        <v>8.6103369864631074E-2</v>
      </c>
      <c r="BJ692" s="373">
        <f ca="1">IF(BJ$689 &gt;= '2.2 Input_General_Information'!$H$20, '2.3 Input_Main_Questionnaire'!$J$35*($G$667*BJ$686)/$G$667,)</f>
        <v>8.6111350973944081E-2</v>
      </c>
      <c r="BK692" s="373">
        <f ca="1">IF(BK$689 &gt;= '2.2 Input_General_Information'!$H$20, '2.3 Input_Main_Questionnaire'!$J$35*($G$667*BK$686)/$G$667,)</f>
        <v>8.6116387500000002E-2</v>
      </c>
      <c r="BL692" s="381"/>
      <c r="BM692" s="381"/>
      <c r="BN692" s="381"/>
      <c r="BO692" s="381"/>
      <c r="BP692" s="381"/>
      <c r="BQ692" s="381"/>
      <c r="BR692" s="381"/>
      <c r="BS692" s="381"/>
      <c r="BT692" s="381"/>
      <c r="BU692" s="381"/>
    </row>
    <row r="693" spans="1:73" hidden="1">
      <c r="A693" s="6"/>
      <c r="B693" s="108"/>
      <c r="C693" s="1"/>
      <c r="D693" s="1"/>
      <c r="E693" s="12"/>
      <c r="F693" s="1"/>
      <c r="G693" s="633"/>
      <c r="H693" s="3"/>
      <c r="I693" s="3"/>
      <c r="J693" s="3"/>
      <c r="K693" s="3"/>
      <c r="L693" s="3"/>
      <c r="M693" s="3"/>
      <c r="N693" s="3"/>
      <c r="O693" s="1"/>
      <c r="P693" s="1"/>
      <c r="Q693" s="1"/>
      <c r="R693" s="162"/>
      <c r="S693" s="1"/>
      <c r="T693" s="103"/>
      <c r="U693" s="103"/>
      <c r="V693" s="103" t="str">
        <f>$J$10</f>
        <v>Other</v>
      </c>
      <c r="W693" s="373">
        <f ca="1">IF(W$689 &gt;= '2.2 Input_General_Information'!$H$20, '2.3 Input_Main_Questionnaire'!$K$35*($G$667*W$686)/$G$667,)</f>
        <v>2.9875000000000108E-6</v>
      </c>
      <c r="X693" s="373">
        <f ca="1">IF(X$689 &gt;= '2.2 Input_General_Information'!$H$20, '2.3 Input_Main_Questionnaire'!$K$35*($G$667*X$686)/$G$667,)</f>
        <v>4.7345678191144238E-6</v>
      </c>
      <c r="Y693" s="373">
        <f ca="1">IF(Y$689 &gt;= '2.2 Input_General_Information'!$H$20, '2.3 Input_Main_Questionnaire'!$K$35*($G$667*Y$686)/$G$667,)</f>
        <v>7.5030513108514095E-6</v>
      </c>
      <c r="Z693" s="373">
        <f ca="1">IF(Z$689 &gt;= '2.2 Input_General_Information'!$H$20, '2.3 Input_Main_Questionnaire'!$K$35*($G$667*Z$686)/$G$667,)</f>
        <v>1.1889728968470532E-5</v>
      </c>
      <c r="AA693" s="373">
        <f ca="1">IF(AA$689 &gt;= '2.2 Input_General_Information'!$H$20, '2.3 Input_Main_Questionnaire'!$K$35*($G$667*AA$686)/$G$667,)</f>
        <v>1.8839470936540971E-5</v>
      </c>
      <c r="AB693" s="373">
        <f ca="1">IF(AB$689 &gt;= '2.2 Input_General_Information'!$H$20, '2.3 Input_Main_Questionnaire'!$K$35*($G$667*AB$686)/$G$667,)</f>
        <v>2.9847391191134469E-5</v>
      </c>
      <c r="AC693" s="373">
        <f ca="1">IF(AC$689 &gt;= '2.2 Input_General_Information'!$H$20, '2.3 Input_Main_Questionnaire'!$K$35*($G$667*AC$686)/$G$667,)</f>
        <v>4.7277064471297761E-5</v>
      </c>
      <c r="AD693" s="373">
        <f ca="1">IF(AD$689 &gt;= '2.2 Input_General_Information'!$H$20, '2.3 Input_Main_Questionnaire'!$K$35*($G$667*AD$686)/$G$667,)</f>
        <v>7.4859434691499114E-5</v>
      </c>
      <c r="AE693" s="373">
        <f ca="1">IF(AE$689 &gt;= '2.2 Input_General_Information'!$H$20, '2.3 Input_Main_Questionnaire'!$K$35*($G$667*AE$686)/$G$667,)</f>
        <v>1.1846998802704007E-4</v>
      </c>
      <c r="AF693" s="373">
        <f ca="1">IF(AF$689 &gt;= '2.2 Input_General_Information'!$H$20, '2.3 Input_Main_Questionnaire'!$K$35*($G$667*AF$686)/$G$667,)</f>
        <v>1.8732685730810415E-4</v>
      </c>
      <c r="AG693" s="373">
        <f ca="1">IF(AG$689 &gt;= '2.2 Input_General_Information'!$H$20, '2.3 Input_Main_Questionnaire'!$K$35*($G$667*AG$686)/$G$667,)</f>
        <v>2.9580672347129976E-4</v>
      </c>
      <c r="AH693" s="373">
        <f ca="1">IF(AH$689 &gt;= '2.2 Input_General_Information'!$H$20, '2.3 Input_Main_Questionnaire'!$K$35*($G$667*AH$686)/$G$667,)</f>
        <v>4.6612030820516608E-4</v>
      </c>
      <c r="AI693" s="373">
        <f ca="1">IF(AI$689 &gt;= '2.2 Input_General_Information'!$H$20, '2.3 Input_Main_Questionnaire'!$K$35*($G$667*AI$686)/$G$667,)</f>
        <v>7.3206667156638179E-4</v>
      </c>
      <c r="AJ693" s="373">
        <f ca="1">IF(AJ$689 &gt;= '2.2 Input_General_Information'!$H$20, '2.3 Input_Main_Questionnaire'!$K$35*($G$667*AJ$686)/$G$667,)</f>
        <v>1.1438478066196002E-3</v>
      </c>
      <c r="AK693" s="373">
        <f ca="1">IF(AK$689 &gt;= '2.2 Input_General_Information'!$H$20, '2.3 Input_Main_Questionnaire'!$K$35*($G$667*AK$686)/$G$667,)</f>
        <v>1.773159464570431E-3</v>
      </c>
      <c r="AL693" s="373">
        <f ca="1">IF(AL$689 &gt;= '2.2 Input_General_Information'!$H$20, '2.3 Input_Main_Questionnaire'!$K$35*($G$667*AL$686)/$G$667,)</f>
        <v>2.7159708198342927E-3</v>
      </c>
      <c r="AM693" s="373">
        <f ca="1">IF(AM$689 &gt;= '2.2 Input_General_Information'!$H$20, '2.3 Input_Main_Questionnaire'!$K$35*($G$667*AM$686)/$G$667,)</f>
        <v>4.087176360294255E-3</v>
      </c>
      <c r="AN693" s="373">
        <f ca="1">IF(AN$689 &gt;= '2.2 Input_General_Information'!$H$20, '2.3 Input_Main_Questionnaire'!$K$35*($G$667*AN$686)/$G$667,)</f>
        <v>5.9977771742874024E-3</v>
      </c>
      <c r="AO693" s="373">
        <f ca="1">IF(AO$689 &gt;= '2.2 Input_General_Information'!$H$20, '2.3 Input_Main_Questionnaire'!$K$35*($G$667*AO$686)/$G$667,)</f>
        <v>8.5068849108740734E-3</v>
      </c>
      <c r="AP693" s="373">
        <f ca="1">IF(AP$689 &gt;= '2.2 Input_General_Information'!$H$20, '2.3 Input_Main_Questionnaire'!$K$35*($G$667*AP$686)/$G$667,)</f>
        <v>1.1557572931478376E-2</v>
      </c>
      <c r="AQ693" s="373">
        <f ca="1">IF(AQ$689 &gt;= '2.2 Input_General_Information'!$H$20, '2.3 Input_Main_Questionnaire'!$K$35*($G$667*AQ$686)/$G$667,)</f>
        <v>1.4937500000003129E-2</v>
      </c>
      <c r="AR693" s="373">
        <f ca="1">IF(AR$689 &gt;= '2.2 Input_General_Information'!$H$20, '2.3 Input_Main_Questionnaire'!$K$35*($G$667*AR$686)/$G$667,)</f>
        <v>1.8317427068527559E-2</v>
      </c>
      <c r="AS693" s="373">
        <f ca="1">IF(AS$689 &gt;= '2.2 Input_General_Information'!$H$20, '2.3 Input_Main_Questionnaire'!$K$35*($G$667*AS$686)/$G$667,)</f>
        <v>2.1368115089131026E-2</v>
      </c>
      <c r="AT693" s="373">
        <f ca="1">IF(AT$689 &gt;= '2.2 Input_General_Information'!$H$20, '2.3 Input_Main_Questionnaire'!$K$35*($G$667*AT$686)/$G$667,)</f>
        <v>2.3877222825716617E-2</v>
      </c>
      <c r="AU693" s="373">
        <f ca="1">IF(AU$689 &gt;= '2.2 Input_General_Information'!$H$20, '2.3 Input_Main_Questionnaire'!$K$35*($G$667*AU$686)/$G$667,)</f>
        <v>2.5787823639708704E-2</v>
      </c>
      <c r="AV693" s="373">
        <f ca="1">IF(AV$689 &gt;= '2.2 Input_General_Information'!$H$20, '2.3 Input_Main_Questionnaire'!$K$35*($G$667*AV$686)/$G$667,)</f>
        <v>2.7159029180167774E-2</v>
      </c>
      <c r="AW693" s="373">
        <f ca="1">IF(AW$689 &gt;= '2.2 Input_General_Information'!$H$20, '2.3 Input_Main_Questionnaire'!$K$35*($G$667*AW$686)/$G$667,)</f>
        <v>2.8101840535430973E-2</v>
      </c>
      <c r="AX693" s="373">
        <f ca="1">IF(AX$689 &gt;= '2.2 Input_General_Information'!$H$20, '2.3 Input_Main_Questionnaire'!$K$35*($G$667*AX$686)/$G$667,)</f>
        <v>2.8731152193381324E-2</v>
      </c>
      <c r="AY693" s="373">
        <f ca="1">IF(AY$689 &gt;= '2.2 Input_General_Information'!$H$20, '2.3 Input_Main_Questionnaire'!$K$35*($G$667*AY$686)/$G$667,)</f>
        <v>2.914293332843422E-2</v>
      </c>
      <c r="AZ693" s="373">
        <f ca="1">IF(AZ$689 &gt;= '2.2 Input_General_Information'!$H$20, '2.3 Input_Main_Questionnaire'!$K$35*($G$667*AZ$686)/$G$667,)</f>
        <v>2.9408879691795224E-2</v>
      </c>
      <c r="BA693" s="373">
        <f ca="1">IF(BA$689 &gt;= '2.2 Input_General_Information'!$H$20, '2.3 Input_Main_Questionnaire'!$K$35*($G$667*BA$686)/$G$667,)</f>
        <v>2.9579193276528953E-2</v>
      </c>
      <c r="BB693" s="373">
        <f ca="1">IF(BB$689 &gt;= '2.2 Input_General_Information'!$H$20, '2.3 Input_Main_Questionnaire'!$K$35*($G$667*BB$686)/$G$667,)</f>
        <v>2.968767314269205E-2</v>
      </c>
      <c r="BC693" s="373">
        <f ca="1">IF(BC$689 &gt;= '2.2 Input_General_Information'!$H$20, '2.3 Input_Main_Questionnaire'!$K$35*($G$667*BC$686)/$G$667,)</f>
        <v>2.9756530011973061E-2</v>
      </c>
      <c r="BD693" s="373">
        <f ca="1">IF(BD$689 &gt;= '2.2 Input_General_Information'!$H$20, '2.3 Input_Main_Questionnaire'!$K$35*($G$667*BD$686)/$G$667,)</f>
        <v>2.980014056530857E-2</v>
      </c>
      <c r="BE693" s="373">
        <f ca="1">IF(BE$689 &gt;= '2.2 Input_General_Information'!$H$20, '2.3 Input_Main_Questionnaire'!$K$35*($G$667*BE$686)/$G$667,)</f>
        <v>2.9827722935528749E-2</v>
      </c>
      <c r="BF693" s="373">
        <f ca="1">IF(BF$689 &gt;= '2.2 Input_General_Information'!$H$20, '2.3 Input_Main_Questionnaire'!$K$35*($G$667*BF$686)/$G$667,)</f>
        <v>2.9845152608808892E-2</v>
      </c>
      <c r="BG693" s="373">
        <f ca="1">IF(BG$689 &gt;= '2.2 Input_General_Information'!$H$20, '2.3 Input_Main_Questionnaire'!$K$35*($G$667*BG$686)/$G$667,)</f>
        <v>2.9856160529063473E-2</v>
      </c>
      <c r="BH693" s="373">
        <f ca="1">IF(BH$689 &gt;= '2.2 Input_General_Information'!$H$20, '2.3 Input_Main_Questionnaire'!$K$35*($G$667*BH$686)/$G$667,)</f>
        <v>2.9863110271031539E-2</v>
      </c>
      <c r="BI693" s="373">
        <f ca="1">IF(BI$689 &gt;= '2.2 Input_General_Information'!$H$20, '2.3 Input_Main_Questionnaire'!$K$35*($G$667*BI$686)/$G$667,)</f>
        <v>2.9867496948689152E-2</v>
      </c>
      <c r="BJ693" s="373">
        <f ca="1">IF(BJ$689 &gt;= '2.2 Input_General_Information'!$H$20, '2.3 Input_Main_Questionnaire'!$K$35*($G$667*BJ$686)/$G$667,)</f>
        <v>2.9870265432180895E-2</v>
      </c>
      <c r="BK693" s="373">
        <f ca="1">IF(BK$689 &gt;= '2.2 Input_General_Information'!$H$20, '2.3 Input_Main_Questionnaire'!$K$35*($G$667*BK$686)/$G$667,)</f>
        <v>2.9872012500000003E-2</v>
      </c>
      <c r="BL693" s="381"/>
      <c r="BM693" s="381"/>
      <c r="BN693" s="381"/>
      <c r="BO693" s="381"/>
      <c r="BP693" s="381"/>
      <c r="BQ693" s="381"/>
      <c r="BR693" s="381"/>
      <c r="BS693" s="381"/>
      <c r="BT693" s="381"/>
      <c r="BU693" s="381"/>
    </row>
    <row r="694" spans="1:73" hidden="1">
      <c r="A694" s="6"/>
      <c r="B694" s="108"/>
      <c r="C694" s="1"/>
      <c r="D694" s="1"/>
      <c r="E694" s="12"/>
      <c r="F694" s="1"/>
      <c r="G694" s="633"/>
      <c r="H694" s="3"/>
      <c r="I694" s="3"/>
      <c r="J694" s="3"/>
      <c r="K694" s="3"/>
      <c r="L694" s="3"/>
      <c r="M694" s="3"/>
      <c r="N694" s="3"/>
      <c r="O694" s="1"/>
      <c r="P694" s="1"/>
      <c r="Q694" s="1"/>
      <c r="R694" s="162"/>
      <c r="S694" s="1"/>
      <c r="T694" s="103"/>
      <c r="U694" s="103"/>
      <c r="V694" s="103" t="str">
        <f>$K$10</f>
        <v>Profile 5</v>
      </c>
      <c r="W694" s="373">
        <f ca="1">IF(W$689 &gt;= '2.2 Input_General_Information'!$H$20, '2.3 Input_Main_Questionnaire'!$L$35*($G$667*W$686)/$G$667,)</f>
        <v>5.4343750000000203E-6</v>
      </c>
      <c r="X694" s="373">
        <f ca="1">IF(X$689 &gt;= '2.2 Input_General_Information'!$H$20, '2.3 Input_Main_Questionnaire'!$L$35*($G$667*X$686)/$G$667,)</f>
        <v>8.6123571521338747E-6</v>
      </c>
      <c r="Y694" s="373">
        <f ca="1">IF(Y$689 &gt;= '2.2 Input_General_Information'!$H$20, '2.3 Input_Main_Questionnaire'!$L$35*($G$667*Y$686)/$G$667,)</f>
        <v>1.3648332876119876E-5</v>
      </c>
      <c r="Z694" s="373">
        <f ca="1">IF(Z$689 &gt;= '2.2 Input_General_Information'!$H$20, '2.3 Input_Main_Questionnaire'!$L$35*($G$667*Z$686)/$G$667,)</f>
        <v>2.1627864724027465E-5</v>
      </c>
      <c r="AA694" s="373">
        <f ca="1">IF(AA$689 &gt;= '2.2 Input_General_Information'!$H$20, '2.3 Input_Main_Questionnaire'!$L$35*($G$667*AA$686)/$G$667,)</f>
        <v>3.4269707069712086E-5</v>
      </c>
      <c r="AB694" s="373">
        <f ca="1">IF(AB$689 &gt;= '2.2 Input_General_Information'!$H$20, '2.3 Input_Main_Questionnaire'!$L$35*($G$667*AB$686)/$G$667,)</f>
        <v>5.4293528537011354E-5</v>
      </c>
      <c r="AC694" s="373">
        <f ca="1">IF(AC$689 &gt;= '2.2 Input_General_Information'!$H$20, '2.3 Input_Main_Questionnaire'!$L$35*($G$667*AC$686)/$G$667,)</f>
        <v>8.5998760581157746E-5</v>
      </c>
      <c r="AD694" s="373">
        <f ca="1">IF(AD$689 &gt;= '2.2 Input_General_Information'!$H$20, '2.3 Input_Main_Questionnaire'!$L$35*($G$667*AD$686)/$G$667,)</f>
        <v>1.3617213067836504E-4</v>
      </c>
      <c r="AE694" s="373">
        <f ca="1">IF(AE$689 &gt;= '2.2 Input_General_Information'!$H$20, '2.3 Input_Main_Questionnaire'!$L$35*($G$667*AE$686)/$G$667,)</f>
        <v>2.1550136943412416E-4</v>
      </c>
      <c r="AF694" s="373">
        <f ca="1">IF(AF$689 &gt;= '2.2 Input_General_Information'!$H$20, '2.3 Input_Main_Questionnaire'!$L$35*($G$667*AF$686)/$G$667,)</f>
        <v>3.4075460759287984E-4</v>
      </c>
      <c r="AG694" s="373">
        <f ca="1">IF(AG$689 &gt;= '2.2 Input_General_Information'!$H$20, '2.3 Input_Main_Questionnaire'!$L$35*($G$667*AG$686)/$G$667,)</f>
        <v>5.3808356915961328E-4</v>
      </c>
      <c r="AH694" s="373">
        <f ca="1">IF(AH$689 &gt;= '2.2 Input_General_Information'!$H$20, '2.3 Input_Main_Questionnaire'!$L$35*($G$667*AH$686)/$G$667,)</f>
        <v>8.4789039327278664E-4</v>
      </c>
      <c r="AI694" s="373">
        <f ca="1">IF(AI$689 &gt;= '2.2 Input_General_Information'!$H$20, '2.3 Input_Main_Questionnaire'!$L$35*($G$667*AI$686)/$G$667,)</f>
        <v>1.3316568429434497E-3</v>
      </c>
      <c r="AJ694" s="373">
        <f ca="1">IF(AJ$689 &gt;= '2.2 Input_General_Information'!$H$20, '2.3 Input_Main_Questionnaire'!$L$35*($G$667*AJ$686)/$G$667,)</f>
        <v>2.0807022340078294E-3</v>
      </c>
      <c r="AK694" s="373">
        <f ca="1">IF(AK$689 &gt;= '2.2 Input_General_Information'!$H$20, '2.3 Input_Main_Questionnaire'!$L$35*($G$667*AK$686)/$G$667,)</f>
        <v>3.2254438377489329E-3</v>
      </c>
      <c r="AL694" s="373">
        <f ca="1">IF(AL$689 &gt;= '2.2 Input_General_Information'!$H$20, '2.3 Input_Main_Questionnaire'!$L$35*($G$667*AL$686)/$G$667,)</f>
        <v>4.9404531963303721E-3</v>
      </c>
      <c r="AM694" s="373">
        <f ca="1">IF(AM$689 &gt;= '2.2 Input_General_Information'!$H$20, '2.3 Input_Main_Questionnaire'!$L$35*($G$667*AM$686)/$G$667,)</f>
        <v>7.434727709782124E-3</v>
      </c>
      <c r="AN694" s="373">
        <f ca="1">IF(AN$689 &gt;= '2.2 Input_General_Information'!$H$20, '2.3 Input_Main_Questionnaire'!$L$35*($G$667*AN$686)/$G$667,)</f>
        <v>1.0910182537746645E-2</v>
      </c>
      <c r="AO694" s="373">
        <f ca="1">IF(AO$689 &gt;= '2.2 Input_General_Information'!$H$20, '2.3 Input_Main_Questionnaire'!$L$35*($G$667*AO$686)/$G$667,)</f>
        <v>1.5474343995826376E-2</v>
      </c>
      <c r="AP694" s="373">
        <f ca="1">IF(AP$689 &gt;= '2.2 Input_General_Information'!$H$20, '2.3 Input_Main_Questionnaire'!$L$35*($G$667*AP$686)/$G$667,)</f>
        <v>2.1023660384770812E-2</v>
      </c>
      <c r="AQ694" s="373">
        <f ca="1">IF(AQ$689 &gt;= '2.2 Input_General_Information'!$H$20, '2.3 Input_Main_Questionnaire'!$L$35*($G$667*AQ$686)/$G$667,)</f>
        <v>2.7171875000005691E-2</v>
      </c>
      <c r="AR694" s="373">
        <f ca="1">IF(AR$689 &gt;= '2.2 Input_General_Information'!$H$20, '2.3 Input_Main_Questionnaire'!$L$35*($G$667*AR$686)/$G$667,)</f>
        <v>3.3320089615239995E-2</v>
      </c>
      <c r="AS694" s="373">
        <f ca="1">IF(AS$689 &gt;= '2.2 Input_General_Information'!$H$20, '2.3 Input_Main_Questionnaire'!$L$35*($G$667*AS$686)/$G$667,)</f>
        <v>3.8869406004182899E-2</v>
      </c>
      <c r="AT694" s="373">
        <f ca="1">IF(AT$689 &gt;= '2.2 Input_General_Information'!$H$20, '2.3 Input_Main_Questionnaire'!$L$35*($G$667*AT$686)/$G$667,)</f>
        <v>4.3433567462260667E-2</v>
      </c>
      <c r="AU694" s="373">
        <f ca="1">IF(AU$689 &gt;= '2.2 Input_General_Information'!$H$20, '2.3 Input_Main_Questionnaire'!$L$35*($G$667*AU$686)/$G$667,)</f>
        <v>4.6909022290223264E-2</v>
      </c>
      <c r="AV694" s="373">
        <f ca="1">IF(AV$689 &gt;= '2.2 Input_General_Information'!$H$20, '2.3 Input_Main_Questionnaire'!$L$35*($G$667*AV$686)/$G$667,)</f>
        <v>4.9403296803673391E-2</v>
      </c>
      <c r="AW694" s="373">
        <f ca="1">IF(AW$689 &gt;= '2.2 Input_General_Information'!$H$20, '2.3 Input_Main_Questionnaire'!$L$35*($G$667*AW$686)/$G$667,)</f>
        <v>5.1118306162253623E-2</v>
      </c>
      <c r="AX694" s="373">
        <f ca="1">IF(AX$689 &gt;= '2.2 Input_General_Information'!$H$20, '2.3 Input_Main_Questionnaire'!$L$35*($G$667*AX$686)/$G$667,)</f>
        <v>5.2263047765993859E-2</v>
      </c>
      <c r="AY694" s="373">
        <f ca="1">IF(AY$689 &gt;= '2.2 Input_General_Information'!$H$20, '2.3 Input_Main_Questionnaire'!$L$35*($G$667*AY$686)/$G$667,)</f>
        <v>5.3012093157057655E-2</v>
      </c>
      <c r="AZ694" s="373">
        <f ca="1">IF(AZ$689 &gt;= '2.2 Input_General_Information'!$H$20, '2.3 Input_Main_Questionnaire'!$L$35*($G$667*AZ$686)/$G$667,)</f>
        <v>5.3495859606727932E-2</v>
      </c>
      <c r="BA694" s="373">
        <f ca="1">IF(BA$689 &gt;= '2.2 Input_General_Information'!$H$20, '2.3 Input_Main_Questionnaire'!$L$35*($G$667*BA$686)/$G$667,)</f>
        <v>5.3805666430840851E-2</v>
      </c>
      <c r="BB694" s="373">
        <f ca="1">IF(BB$689 &gt;= '2.2 Input_General_Information'!$H$20, '2.3 Input_Main_Questionnaire'!$L$35*($G$667*BB$686)/$G$667,)</f>
        <v>5.400299539240741E-2</v>
      </c>
      <c r="BC694" s="373">
        <f ca="1">IF(BC$689 &gt;= '2.2 Input_General_Information'!$H$20, '2.3 Input_Main_Questionnaire'!$L$35*($G$667*BC$686)/$G$667,)</f>
        <v>5.4128248630566062E-2</v>
      </c>
      <c r="BD694" s="373">
        <f ca="1">IF(BD$689 &gt;= '2.2 Input_General_Information'!$H$20, '2.3 Input_Main_Questionnaire'!$L$35*($G$667*BD$686)/$G$667,)</f>
        <v>5.4207577869321767E-2</v>
      </c>
      <c r="BE694" s="373">
        <f ca="1">IF(BE$689 &gt;= '2.2 Input_General_Information'!$H$20, '2.3 Input_Main_Questionnaire'!$L$35*($G$667*BE$686)/$G$667,)</f>
        <v>5.4257751239418936E-2</v>
      </c>
      <c r="BF694" s="373">
        <f ca="1">IF(BF$689 &gt;= '2.2 Input_General_Information'!$H$20, '2.3 Input_Main_Questionnaire'!$L$35*($G$667*BF$686)/$G$667,)</f>
        <v>5.4289456471463035E-2</v>
      </c>
      <c r="BG694" s="373">
        <f ca="1">IF(BG$689 &gt;= '2.2 Input_General_Information'!$H$20, '2.3 Input_Main_Questionnaire'!$L$35*($G$667*BG$686)/$G$667,)</f>
        <v>5.4309480292930326E-2</v>
      </c>
      <c r="BH694" s="373">
        <f ca="1">IF(BH$689 &gt;= '2.2 Input_General_Information'!$H$20, '2.3 Input_Main_Questionnaire'!$L$35*($G$667*BH$686)/$G$667,)</f>
        <v>5.4322122135275999E-2</v>
      </c>
      <c r="BI694" s="373">
        <f ca="1">IF(BI$689 &gt;= '2.2 Input_General_Information'!$H$20, '2.3 Input_Main_Questionnaire'!$L$35*($G$667*BI$686)/$G$667,)</f>
        <v>5.4330101667123896E-2</v>
      </c>
      <c r="BJ694" s="373">
        <f ca="1">IF(BJ$689 &gt;= '2.2 Input_General_Information'!$H$20, '2.3 Input_Main_Questionnaire'!$L$35*($G$667*BJ$686)/$G$667,)</f>
        <v>5.4335137642847892E-2</v>
      </c>
      <c r="BK694" s="373">
        <f ca="1">IF(BK$689 &gt;= '2.2 Input_General_Information'!$H$20, '2.3 Input_Main_Questionnaire'!$L$35*($G$667*BK$686)/$G$667,)</f>
        <v>5.4338315625000008E-2</v>
      </c>
      <c r="BL694" s="381"/>
      <c r="BM694" s="381"/>
      <c r="BN694" s="381"/>
      <c r="BO694" s="381"/>
      <c r="BP694" s="381"/>
      <c r="BQ694" s="381"/>
      <c r="BR694" s="381"/>
      <c r="BS694" s="381"/>
      <c r="BT694" s="381"/>
      <c r="BU694" s="381"/>
    </row>
    <row r="695" spans="1:73" hidden="1">
      <c r="A695" s="6"/>
      <c r="B695" s="108"/>
      <c r="C695" s="1"/>
      <c r="D695" s="1"/>
      <c r="E695" s="12"/>
      <c r="F695" s="1"/>
      <c r="G695" s="3"/>
      <c r="H695" s="3"/>
      <c r="I695" s="3"/>
      <c r="J695" s="3"/>
      <c r="K695" s="3"/>
      <c r="L695" s="3"/>
      <c r="M695" s="3"/>
      <c r="N695" s="3"/>
      <c r="O695" s="1"/>
      <c r="P695" s="1"/>
      <c r="Q695" s="1"/>
      <c r="R695" s="162"/>
      <c r="S695" s="1"/>
      <c r="T695" s="103"/>
      <c r="U695" s="103"/>
      <c r="V695" s="103" t="str">
        <f>$L$10</f>
        <v>Profile 6</v>
      </c>
      <c r="W695" s="373">
        <f ca="1">IF(W$689 &gt;= '2.2 Input_General_Information'!$H$20, '2.3 Input_Main_Questionnaire'!$M$35*($G$667*W$686)/$G$667,)</f>
        <v>5.4343750000000203E-6</v>
      </c>
      <c r="X695" s="373">
        <f ca="1">IF(X$689 &gt;= '2.2 Input_General_Information'!$H$20, '2.3 Input_Main_Questionnaire'!$M$35*($G$667*X$686)/$G$667,)</f>
        <v>8.6123571521338747E-6</v>
      </c>
      <c r="Y695" s="373">
        <f ca="1">IF(Y$689 &gt;= '2.2 Input_General_Information'!$H$20, '2.3 Input_Main_Questionnaire'!$M$35*($G$667*Y$686)/$G$667,)</f>
        <v>1.3648332876119876E-5</v>
      </c>
      <c r="Z695" s="373">
        <f ca="1">IF(Z$689 &gt;= '2.2 Input_General_Information'!$H$20, '2.3 Input_Main_Questionnaire'!$M$35*($G$667*Z$686)/$G$667,)</f>
        <v>2.1627864724027465E-5</v>
      </c>
      <c r="AA695" s="373">
        <f ca="1">IF(AA$689 &gt;= '2.2 Input_General_Information'!$H$20, '2.3 Input_Main_Questionnaire'!$M$35*($G$667*AA$686)/$G$667,)</f>
        <v>3.4269707069712086E-5</v>
      </c>
      <c r="AB695" s="373">
        <f ca="1">IF(AB$689 &gt;= '2.2 Input_General_Information'!$H$20, '2.3 Input_Main_Questionnaire'!$M$35*($G$667*AB$686)/$G$667,)</f>
        <v>5.4293528537011354E-5</v>
      </c>
      <c r="AC695" s="373">
        <f ca="1">IF(AC$689 &gt;= '2.2 Input_General_Information'!$H$20, '2.3 Input_Main_Questionnaire'!$M$35*($G$667*AC$686)/$G$667,)</f>
        <v>8.5998760581157746E-5</v>
      </c>
      <c r="AD695" s="373">
        <f ca="1">IF(AD$689 &gt;= '2.2 Input_General_Information'!$H$20, '2.3 Input_Main_Questionnaire'!$M$35*($G$667*AD$686)/$G$667,)</f>
        <v>1.3617213067836504E-4</v>
      </c>
      <c r="AE695" s="373">
        <f ca="1">IF(AE$689 &gt;= '2.2 Input_General_Information'!$H$20, '2.3 Input_Main_Questionnaire'!$M$35*($G$667*AE$686)/$G$667,)</f>
        <v>2.1550136943412416E-4</v>
      </c>
      <c r="AF695" s="373">
        <f ca="1">IF(AF$689 &gt;= '2.2 Input_General_Information'!$H$20, '2.3 Input_Main_Questionnaire'!$M$35*($G$667*AF$686)/$G$667,)</f>
        <v>3.4075460759287984E-4</v>
      </c>
      <c r="AG695" s="373">
        <f ca="1">IF(AG$689 &gt;= '2.2 Input_General_Information'!$H$20, '2.3 Input_Main_Questionnaire'!$M$35*($G$667*AG$686)/$G$667,)</f>
        <v>5.3808356915961328E-4</v>
      </c>
      <c r="AH695" s="373">
        <f ca="1">IF(AH$689 &gt;= '2.2 Input_General_Information'!$H$20, '2.3 Input_Main_Questionnaire'!$M$35*($G$667*AH$686)/$G$667,)</f>
        <v>8.4789039327278664E-4</v>
      </c>
      <c r="AI695" s="373">
        <f ca="1">IF(AI$689 &gt;= '2.2 Input_General_Information'!$H$20, '2.3 Input_Main_Questionnaire'!$M$35*($G$667*AI$686)/$G$667,)</f>
        <v>1.3316568429434497E-3</v>
      </c>
      <c r="AJ695" s="373">
        <f ca="1">IF(AJ$689 &gt;= '2.2 Input_General_Information'!$H$20, '2.3 Input_Main_Questionnaire'!$M$35*($G$667*AJ$686)/$G$667,)</f>
        <v>2.0807022340078294E-3</v>
      </c>
      <c r="AK695" s="373">
        <f ca="1">IF(AK$689 &gt;= '2.2 Input_General_Information'!$H$20, '2.3 Input_Main_Questionnaire'!$M$35*($G$667*AK$686)/$G$667,)</f>
        <v>3.2254438377489329E-3</v>
      </c>
      <c r="AL695" s="373">
        <f ca="1">IF(AL$689 &gt;= '2.2 Input_General_Information'!$H$20, '2.3 Input_Main_Questionnaire'!$M$35*($G$667*AL$686)/$G$667,)</f>
        <v>4.9404531963303721E-3</v>
      </c>
      <c r="AM695" s="373">
        <f ca="1">IF(AM$689 &gt;= '2.2 Input_General_Information'!$H$20, '2.3 Input_Main_Questionnaire'!$M$35*($G$667*AM$686)/$G$667,)</f>
        <v>7.434727709782124E-3</v>
      </c>
      <c r="AN695" s="373">
        <f ca="1">IF(AN$689 &gt;= '2.2 Input_General_Information'!$H$20, '2.3 Input_Main_Questionnaire'!$M$35*($G$667*AN$686)/$G$667,)</f>
        <v>1.0910182537746645E-2</v>
      </c>
      <c r="AO695" s="373">
        <f ca="1">IF(AO$689 &gt;= '2.2 Input_General_Information'!$H$20, '2.3 Input_Main_Questionnaire'!$M$35*($G$667*AO$686)/$G$667,)</f>
        <v>1.5474343995826376E-2</v>
      </c>
      <c r="AP695" s="373">
        <f ca="1">IF(AP$689 &gt;= '2.2 Input_General_Information'!$H$20, '2.3 Input_Main_Questionnaire'!$M$35*($G$667*AP$686)/$G$667,)</f>
        <v>2.1023660384770812E-2</v>
      </c>
      <c r="AQ695" s="373">
        <f ca="1">IF(AQ$689 &gt;= '2.2 Input_General_Information'!$H$20, '2.3 Input_Main_Questionnaire'!$M$35*($G$667*AQ$686)/$G$667,)</f>
        <v>2.7171875000005691E-2</v>
      </c>
      <c r="AR695" s="373">
        <f ca="1">IF(AR$689 &gt;= '2.2 Input_General_Information'!$H$20, '2.3 Input_Main_Questionnaire'!$M$35*($G$667*AR$686)/$G$667,)</f>
        <v>3.3320089615239995E-2</v>
      </c>
      <c r="AS695" s="373">
        <f ca="1">IF(AS$689 &gt;= '2.2 Input_General_Information'!$H$20, '2.3 Input_Main_Questionnaire'!$M$35*($G$667*AS$686)/$G$667,)</f>
        <v>3.8869406004182899E-2</v>
      </c>
      <c r="AT695" s="373">
        <f ca="1">IF(AT$689 &gt;= '2.2 Input_General_Information'!$H$20, '2.3 Input_Main_Questionnaire'!$M$35*($G$667*AT$686)/$G$667,)</f>
        <v>4.3433567462260667E-2</v>
      </c>
      <c r="AU695" s="373">
        <f ca="1">IF(AU$689 &gt;= '2.2 Input_General_Information'!$H$20, '2.3 Input_Main_Questionnaire'!$M$35*($G$667*AU$686)/$G$667,)</f>
        <v>4.6909022290223264E-2</v>
      </c>
      <c r="AV695" s="373">
        <f ca="1">IF(AV$689 &gt;= '2.2 Input_General_Information'!$H$20, '2.3 Input_Main_Questionnaire'!$M$35*($G$667*AV$686)/$G$667,)</f>
        <v>4.9403296803673391E-2</v>
      </c>
      <c r="AW695" s="373">
        <f ca="1">IF(AW$689 &gt;= '2.2 Input_General_Information'!$H$20, '2.3 Input_Main_Questionnaire'!$M$35*($G$667*AW$686)/$G$667,)</f>
        <v>5.1118306162253623E-2</v>
      </c>
      <c r="AX695" s="373">
        <f ca="1">IF(AX$689 &gt;= '2.2 Input_General_Information'!$H$20, '2.3 Input_Main_Questionnaire'!$M$35*($G$667*AX$686)/$G$667,)</f>
        <v>5.2263047765993859E-2</v>
      </c>
      <c r="AY695" s="373">
        <f ca="1">IF(AY$689 &gt;= '2.2 Input_General_Information'!$H$20, '2.3 Input_Main_Questionnaire'!$M$35*($G$667*AY$686)/$G$667,)</f>
        <v>5.3012093157057655E-2</v>
      </c>
      <c r="AZ695" s="373">
        <f ca="1">IF(AZ$689 &gt;= '2.2 Input_General_Information'!$H$20, '2.3 Input_Main_Questionnaire'!$M$35*($G$667*AZ$686)/$G$667,)</f>
        <v>5.3495859606727932E-2</v>
      </c>
      <c r="BA695" s="373">
        <f ca="1">IF(BA$689 &gt;= '2.2 Input_General_Information'!$H$20, '2.3 Input_Main_Questionnaire'!$M$35*($G$667*BA$686)/$G$667,)</f>
        <v>5.3805666430840851E-2</v>
      </c>
      <c r="BB695" s="373">
        <f ca="1">IF(BB$689 &gt;= '2.2 Input_General_Information'!$H$20, '2.3 Input_Main_Questionnaire'!$M$35*($G$667*BB$686)/$G$667,)</f>
        <v>5.400299539240741E-2</v>
      </c>
      <c r="BC695" s="373">
        <f ca="1">IF(BC$689 &gt;= '2.2 Input_General_Information'!$H$20, '2.3 Input_Main_Questionnaire'!$M$35*($G$667*BC$686)/$G$667,)</f>
        <v>5.4128248630566062E-2</v>
      </c>
      <c r="BD695" s="373">
        <f ca="1">IF(BD$689 &gt;= '2.2 Input_General_Information'!$H$20, '2.3 Input_Main_Questionnaire'!$M$35*($G$667*BD$686)/$G$667,)</f>
        <v>5.4207577869321767E-2</v>
      </c>
      <c r="BE695" s="373">
        <f ca="1">IF(BE$689 &gt;= '2.2 Input_General_Information'!$H$20, '2.3 Input_Main_Questionnaire'!$M$35*($G$667*BE$686)/$G$667,)</f>
        <v>5.4257751239418936E-2</v>
      </c>
      <c r="BF695" s="373">
        <f ca="1">IF(BF$689 &gt;= '2.2 Input_General_Information'!$H$20, '2.3 Input_Main_Questionnaire'!$M$35*($G$667*BF$686)/$G$667,)</f>
        <v>5.4289456471463035E-2</v>
      </c>
      <c r="BG695" s="373">
        <f ca="1">IF(BG$689 &gt;= '2.2 Input_General_Information'!$H$20, '2.3 Input_Main_Questionnaire'!$M$35*($G$667*BG$686)/$G$667,)</f>
        <v>5.4309480292930326E-2</v>
      </c>
      <c r="BH695" s="373">
        <f ca="1">IF(BH$689 &gt;= '2.2 Input_General_Information'!$H$20, '2.3 Input_Main_Questionnaire'!$M$35*($G$667*BH$686)/$G$667,)</f>
        <v>5.4322122135275999E-2</v>
      </c>
      <c r="BI695" s="373">
        <f ca="1">IF(BI$689 &gt;= '2.2 Input_General_Information'!$H$20, '2.3 Input_Main_Questionnaire'!$M$35*($G$667*BI$686)/$G$667,)</f>
        <v>5.4330101667123896E-2</v>
      </c>
      <c r="BJ695" s="373">
        <f ca="1">IF(BJ$689 &gt;= '2.2 Input_General_Information'!$H$20, '2.3 Input_Main_Questionnaire'!$M$35*($G$667*BJ$686)/$G$667,)</f>
        <v>5.4335137642847892E-2</v>
      </c>
      <c r="BK695" s="373">
        <f ca="1">IF(BK$689 &gt;= '2.2 Input_General_Information'!$H$20, '2.3 Input_Main_Questionnaire'!$M$35*($G$667*BK$686)/$G$667,)</f>
        <v>5.4338315625000008E-2</v>
      </c>
      <c r="BL695" s="381"/>
      <c r="BM695" s="381"/>
      <c r="BN695" s="381"/>
      <c r="BO695" s="381"/>
      <c r="BP695" s="381"/>
      <c r="BQ695" s="381"/>
      <c r="BR695" s="381"/>
      <c r="BS695" s="381"/>
      <c r="BT695" s="381"/>
      <c r="BU695" s="381"/>
    </row>
    <row r="696" spans="1:73" hidden="1">
      <c r="A696" s="6"/>
      <c r="B696" s="108"/>
      <c r="C696" s="1"/>
      <c r="D696" s="12"/>
      <c r="E696" s="1"/>
      <c r="F696" s="1"/>
      <c r="G696" s="3"/>
      <c r="H696" s="3"/>
      <c r="I696" s="3"/>
      <c r="J696" s="3"/>
      <c r="K696" s="3"/>
      <c r="L696" s="3"/>
      <c r="M696" s="3"/>
      <c r="N696" s="3"/>
      <c r="O696" s="1"/>
      <c r="P696" s="1"/>
      <c r="Q696" s="1"/>
      <c r="R696" s="162"/>
      <c r="S696" s="1"/>
      <c r="T696" s="103"/>
      <c r="U696" s="103"/>
      <c r="V696" s="103" t="str">
        <f>$M$10</f>
        <v>Profile 7</v>
      </c>
      <c r="W696" s="373">
        <f ca="1">IF(W$689 &gt;= '2.2 Input_General_Information'!$H$20, '2.3 Input_Main_Questionnaire'!$N$35*($G$667*W$686)/$G$667,)</f>
        <v>5.4343750000000203E-6</v>
      </c>
      <c r="X696" s="373">
        <f ca="1">IF(X$689 &gt;= '2.2 Input_General_Information'!$H$20, '2.3 Input_Main_Questionnaire'!$N$35*($G$667*X$686)/$G$667,)</f>
        <v>8.6123571521338747E-6</v>
      </c>
      <c r="Y696" s="373">
        <f ca="1">IF(Y$689 &gt;= '2.2 Input_General_Information'!$H$20, '2.3 Input_Main_Questionnaire'!$N$35*($G$667*Y$686)/$G$667,)</f>
        <v>1.3648332876119876E-5</v>
      </c>
      <c r="Z696" s="373">
        <f ca="1">IF(Z$689 &gt;= '2.2 Input_General_Information'!$H$20, '2.3 Input_Main_Questionnaire'!$N$35*($G$667*Z$686)/$G$667,)</f>
        <v>2.1627864724027465E-5</v>
      </c>
      <c r="AA696" s="373">
        <f ca="1">IF(AA$689 &gt;= '2.2 Input_General_Information'!$H$20, '2.3 Input_Main_Questionnaire'!$N$35*($G$667*AA$686)/$G$667,)</f>
        <v>3.4269707069712086E-5</v>
      </c>
      <c r="AB696" s="373">
        <f ca="1">IF(AB$689 &gt;= '2.2 Input_General_Information'!$H$20, '2.3 Input_Main_Questionnaire'!$N$35*($G$667*AB$686)/$G$667,)</f>
        <v>5.4293528537011354E-5</v>
      </c>
      <c r="AC696" s="373">
        <f ca="1">IF(AC$689 &gt;= '2.2 Input_General_Information'!$H$20, '2.3 Input_Main_Questionnaire'!$N$35*($G$667*AC$686)/$G$667,)</f>
        <v>8.5998760581157746E-5</v>
      </c>
      <c r="AD696" s="373">
        <f ca="1">IF(AD$689 &gt;= '2.2 Input_General_Information'!$H$20, '2.3 Input_Main_Questionnaire'!$N$35*($G$667*AD$686)/$G$667,)</f>
        <v>1.3617213067836504E-4</v>
      </c>
      <c r="AE696" s="373">
        <f ca="1">IF(AE$689 &gt;= '2.2 Input_General_Information'!$H$20, '2.3 Input_Main_Questionnaire'!$N$35*($G$667*AE$686)/$G$667,)</f>
        <v>2.1550136943412416E-4</v>
      </c>
      <c r="AF696" s="373">
        <f ca="1">IF(AF$689 &gt;= '2.2 Input_General_Information'!$H$20, '2.3 Input_Main_Questionnaire'!$N$35*($G$667*AF$686)/$G$667,)</f>
        <v>3.4075460759287984E-4</v>
      </c>
      <c r="AG696" s="373">
        <f ca="1">IF(AG$689 &gt;= '2.2 Input_General_Information'!$H$20, '2.3 Input_Main_Questionnaire'!$N$35*($G$667*AG$686)/$G$667,)</f>
        <v>5.3808356915961328E-4</v>
      </c>
      <c r="AH696" s="373">
        <f ca="1">IF(AH$689 &gt;= '2.2 Input_General_Information'!$H$20, '2.3 Input_Main_Questionnaire'!$N$35*($G$667*AH$686)/$G$667,)</f>
        <v>8.4789039327278664E-4</v>
      </c>
      <c r="AI696" s="373">
        <f ca="1">IF(AI$689 &gt;= '2.2 Input_General_Information'!$H$20, '2.3 Input_Main_Questionnaire'!$N$35*($G$667*AI$686)/$G$667,)</f>
        <v>1.3316568429434497E-3</v>
      </c>
      <c r="AJ696" s="373">
        <f ca="1">IF(AJ$689 &gt;= '2.2 Input_General_Information'!$H$20, '2.3 Input_Main_Questionnaire'!$N$35*($G$667*AJ$686)/$G$667,)</f>
        <v>2.0807022340078294E-3</v>
      </c>
      <c r="AK696" s="373">
        <f ca="1">IF(AK$689 &gt;= '2.2 Input_General_Information'!$H$20, '2.3 Input_Main_Questionnaire'!$N$35*($G$667*AK$686)/$G$667,)</f>
        <v>3.2254438377489329E-3</v>
      </c>
      <c r="AL696" s="373">
        <f ca="1">IF(AL$689 &gt;= '2.2 Input_General_Information'!$H$20, '2.3 Input_Main_Questionnaire'!$N$35*($G$667*AL$686)/$G$667,)</f>
        <v>4.9404531963303721E-3</v>
      </c>
      <c r="AM696" s="373">
        <f ca="1">IF(AM$689 &gt;= '2.2 Input_General_Information'!$H$20, '2.3 Input_Main_Questionnaire'!$N$35*($G$667*AM$686)/$G$667,)</f>
        <v>7.434727709782124E-3</v>
      </c>
      <c r="AN696" s="373">
        <f ca="1">IF(AN$689 &gt;= '2.2 Input_General_Information'!$H$20, '2.3 Input_Main_Questionnaire'!$N$35*($G$667*AN$686)/$G$667,)</f>
        <v>1.0910182537746645E-2</v>
      </c>
      <c r="AO696" s="373">
        <f ca="1">IF(AO$689 &gt;= '2.2 Input_General_Information'!$H$20, '2.3 Input_Main_Questionnaire'!$N$35*($G$667*AO$686)/$G$667,)</f>
        <v>1.5474343995826376E-2</v>
      </c>
      <c r="AP696" s="373">
        <f ca="1">IF(AP$689 &gt;= '2.2 Input_General_Information'!$H$20, '2.3 Input_Main_Questionnaire'!$N$35*($G$667*AP$686)/$G$667,)</f>
        <v>2.1023660384770812E-2</v>
      </c>
      <c r="AQ696" s="373">
        <f ca="1">IF(AQ$689 &gt;= '2.2 Input_General_Information'!$H$20, '2.3 Input_Main_Questionnaire'!$N$35*($G$667*AQ$686)/$G$667,)</f>
        <v>2.7171875000005691E-2</v>
      </c>
      <c r="AR696" s="373">
        <f ca="1">IF(AR$689 &gt;= '2.2 Input_General_Information'!$H$20, '2.3 Input_Main_Questionnaire'!$N$35*($G$667*AR$686)/$G$667,)</f>
        <v>3.3320089615239995E-2</v>
      </c>
      <c r="AS696" s="373">
        <f ca="1">IF(AS$689 &gt;= '2.2 Input_General_Information'!$H$20, '2.3 Input_Main_Questionnaire'!$N$35*($G$667*AS$686)/$G$667,)</f>
        <v>3.8869406004182899E-2</v>
      </c>
      <c r="AT696" s="373">
        <f ca="1">IF(AT$689 &gt;= '2.2 Input_General_Information'!$H$20, '2.3 Input_Main_Questionnaire'!$N$35*($G$667*AT$686)/$G$667,)</f>
        <v>4.3433567462260667E-2</v>
      </c>
      <c r="AU696" s="373">
        <f ca="1">IF(AU$689 &gt;= '2.2 Input_General_Information'!$H$20, '2.3 Input_Main_Questionnaire'!$N$35*($G$667*AU$686)/$G$667,)</f>
        <v>4.6909022290223264E-2</v>
      </c>
      <c r="AV696" s="373">
        <f ca="1">IF(AV$689 &gt;= '2.2 Input_General_Information'!$H$20, '2.3 Input_Main_Questionnaire'!$N$35*($G$667*AV$686)/$G$667,)</f>
        <v>4.9403296803673391E-2</v>
      </c>
      <c r="AW696" s="373">
        <f ca="1">IF(AW$689 &gt;= '2.2 Input_General_Information'!$H$20, '2.3 Input_Main_Questionnaire'!$N$35*($G$667*AW$686)/$G$667,)</f>
        <v>5.1118306162253623E-2</v>
      </c>
      <c r="AX696" s="373">
        <f ca="1">IF(AX$689 &gt;= '2.2 Input_General_Information'!$H$20, '2.3 Input_Main_Questionnaire'!$N$35*($G$667*AX$686)/$G$667,)</f>
        <v>5.2263047765993859E-2</v>
      </c>
      <c r="AY696" s="373">
        <f ca="1">IF(AY$689 &gt;= '2.2 Input_General_Information'!$H$20, '2.3 Input_Main_Questionnaire'!$N$35*($G$667*AY$686)/$G$667,)</f>
        <v>5.3012093157057655E-2</v>
      </c>
      <c r="AZ696" s="373">
        <f ca="1">IF(AZ$689 &gt;= '2.2 Input_General_Information'!$H$20, '2.3 Input_Main_Questionnaire'!$N$35*($G$667*AZ$686)/$G$667,)</f>
        <v>5.3495859606727932E-2</v>
      </c>
      <c r="BA696" s="373">
        <f ca="1">IF(BA$689 &gt;= '2.2 Input_General_Information'!$H$20, '2.3 Input_Main_Questionnaire'!$N$35*($G$667*BA$686)/$G$667,)</f>
        <v>5.3805666430840851E-2</v>
      </c>
      <c r="BB696" s="373">
        <f ca="1">IF(BB$689 &gt;= '2.2 Input_General_Information'!$H$20, '2.3 Input_Main_Questionnaire'!$N$35*($G$667*BB$686)/$G$667,)</f>
        <v>5.400299539240741E-2</v>
      </c>
      <c r="BC696" s="373">
        <f ca="1">IF(BC$689 &gt;= '2.2 Input_General_Information'!$H$20, '2.3 Input_Main_Questionnaire'!$N$35*($G$667*BC$686)/$G$667,)</f>
        <v>5.4128248630566062E-2</v>
      </c>
      <c r="BD696" s="373">
        <f ca="1">IF(BD$689 &gt;= '2.2 Input_General_Information'!$H$20, '2.3 Input_Main_Questionnaire'!$N$35*($G$667*BD$686)/$G$667,)</f>
        <v>5.4207577869321767E-2</v>
      </c>
      <c r="BE696" s="373">
        <f ca="1">IF(BE$689 &gt;= '2.2 Input_General_Information'!$H$20, '2.3 Input_Main_Questionnaire'!$N$35*($G$667*BE$686)/$G$667,)</f>
        <v>5.4257751239418936E-2</v>
      </c>
      <c r="BF696" s="373">
        <f ca="1">IF(BF$689 &gt;= '2.2 Input_General_Information'!$H$20, '2.3 Input_Main_Questionnaire'!$N$35*($G$667*BF$686)/$G$667,)</f>
        <v>5.4289456471463035E-2</v>
      </c>
      <c r="BG696" s="373">
        <f ca="1">IF(BG$689 &gt;= '2.2 Input_General_Information'!$H$20, '2.3 Input_Main_Questionnaire'!$N$35*($G$667*BG$686)/$G$667,)</f>
        <v>5.4309480292930326E-2</v>
      </c>
      <c r="BH696" s="373">
        <f ca="1">IF(BH$689 &gt;= '2.2 Input_General_Information'!$H$20, '2.3 Input_Main_Questionnaire'!$N$35*($G$667*BH$686)/$G$667,)</f>
        <v>5.4322122135275999E-2</v>
      </c>
      <c r="BI696" s="373">
        <f ca="1">IF(BI$689 &gt;= '2.2 Input_General_Information'!$H$20, '2.3 Input_Main_Questionnaire'!$N$35*($G$667*BI$686)/$G$667,)</f>
        <v>5.4330101667123896E-2</v>
      </c>
      <c r="BJ696" s="373">
        <f ca="1">IF(BJ$689 &gt;= '2.2 Input_General_Information'!$H$20, '2.3 Input_Main_Questionnaire'!$N$35*($G$667*BJ$686)/$G$667,)</f>
        <v>5.4335137642847892E-2</v>
      </c>
      <c r="BK696" s="373">
        <f ca="1">IF(BK$689 &gt;= '2.2 Input_General_Information'!$H$20, '2.3 Input_Main_Questionnaire'!$N$35*($G$667*BK$686)/$G$667,)</f>
        <v>5.4338315625000008E-2</v>
      </c>
      <c r="BL696" s="381"/>
      <c r="BM696" s="381"/>
      <c r="BN696" s="381"/>
      <c r="BO696" s="381"/>
      <c r="BP696" s="381"/>
      <c r="BQ696" s="381"/>
      <c r="BR696" s="381"/>
      <c r="BS696" s="381"/>
      <c r="BT696" s="381"/>
      <c r="BU696" s="381"/>
    </row>
    <row r="697" spans="1:73" hidden="1">
      <c r="A697" s="6"/>
      <c r="B697" s="108"/>
      <c r="C697" s="1"/>
      <c r="D697" s="1"/>
      <c r="E697" s="1"/>
      <c r="F697" s="1"/>
      <c r="G697" s="3"/>
      <c r="H697" s="3"/>
      <c r="I697" s="3"/>
      <c r="J697" s="3"/>
      <c r="K697" s="3"/>
      <c r="L697" s="3"/>
      <c r="M697" s="3"/>
      <c r="N697" s="3"/>
      <c r="O697" s="1"/>
      <c r="P697" s="1"/>
      <c r="Q697" s="1"/>
      <c r="R697" s="162"/>
      <c r="S697" s="1"/>
      <c r="T697" s="103"/>
      <c r="U697" s="103"/>
      <c r="V697" s="103" t="str">
        <f>$N$10</f>
        <v>Profile 8</v>
      </c>
      <c r="W697" s="373">
        <f ca="1">IF(W$689 &gt;= '2.2 Input_General_Information'!$H$20, '2.3 Input_Main_Questionnaire'!$O$35*($G$667*W$686)/$G$667,)</f>
        <v>5.4343750000000203E-6</v>
      </c>
      <c r="X697" s="373">
        <f ca="1">IF(X$689 &gt;= '2.2 Input_General_Information'!$H$20, '2.3 Input_Main_Questionnaire'!$O$35*($G$667*X$686)/$G$667,)</f>
        <v>8.6123571521338747E-6</v>
      </c>
      <c r="Y697" s="373">
        <f ca="1">IF(Y$689 &gt;= '2.2 Input_General_Information'!$H$20, '2.3 Input_Main_Questionnaire'!$O$35*($G$667*Y$686)/$G$667,)</f>
        <v>1.3648332876119876E-5</v>
      </c>
      <c r="Z697" s="373">
        <f ca="1">IF(Z$689 &gt;= '2.2 Input_General_Information'!$H$20, '2.3 Input_Main_Questionnaire'!$O$35*($G$667*Z$686)/$G$667,)</f>
        <v>2.1627864724027465E-5</v>
      </c>
      <c r="AA697" s="373">
        <f ca="1">IF(AA$689 &gt;= '2.2 Input_General_Information'!$H$20, '2.3 Input_Main_Questionnaire'!$O$35*($G$667*AA$686)/$G$667,)</f>
        <v>3.4269707069712086E-5</v>
      </c>
      <c r="AB697" s="373">
        <f ca="1">IF(AB$689 &gt;= '2.2 Input_General_Information'!$H$20, '2.3 Input_Main_Questionnaire'!$O$35*($G$667*AB$686)/$G$667,)</f>
        <v>5.4293528537011354E-5</v>
      </c>
      <c r="AC697" s="373">
        <f ca="1">IF(AC$689 &gt;= '2.2 Input_General_Information'!$H$20, '2.3 Input_Main_Questionnaire'!$O$35*($G$667*AC$686)/$G$667,)</f>
        <v>8.5998760581157746E-5</v>
      </c>
      <c r="AD697" s="373">
        <f ca="1">IF(AD$689 &gt;= '2.2 Input_General_Information'!$H$20, '2.3 Input_Main_Questionnaire'!$O$35*($G$667*AD$686)/$G$667,)</f>
        <v>1.3617213067836504E-4</v>
      </c>
      <c r="AE697" s="373">
        <f ca="1">IF(AE$689 &gt;= '2.2 Input_General_Information'!$H$20, '2.3 Input_Main_Questionnaire'!$O$35*($G$667*AE$686)/$G$667,)</f>
        <v>2.1550136943412416E-4</v>
      </c>
      <c r="AF697" s="373">
        <f ca="1">IF(AF$689 &gt;= '2.2 Input_General_Information'!$H$20, '2.3 Input_Main_Questionnaire'!$O$35*($G$667*AF$686)/$G$667,)</f>
        <v>3.4075460759287984E-4</v>
      </c>
      <c r="AG697" s="373">
        <f ca="1">IF(AG$689 &gt;= '2.2 Input_General_Information'!$H$20, '2.3 Input_Main_Questionnaire'!$O$35*($G$667*AG$686)/$G$667,)</f>
        <v>5.3808356915961328E-4</v>
      </c>
      <c r="AH697" s="373">
        <f ca="1">IF(AH$689 &gt;= '2.2 Input_General_Information'!$H$20, '2.3 Input_Main_Questionnaire'!$O$35*($G$667*AH$686)/$G$667,)</f>
        <v>8.4789039327278664E-4</v>
      </c>
      <c r="AI697" s="373">
        <f ca="1">IF(AI$689 &gt;= '2.2 Input_General_Information'!$H$20, '2.3 Input_Main_Questionnaire'!$O$35*($G$667*AI$686)/$G$667,)</f>
        <v>1.3316568429434497E-3</v>
      </c>
      <c r="AJ697" s="373">
        <f ca="1">IF(AJ$689 &gt;= '2.2 Input_General_Information'!$H$20, '2.3 Input_Main_Questionnaire'!$O$35*($G$667*AJ$686)/$G$667,)</f>
        <v>2.0807022340078294E-3</v>
      </c>
      <c r="AK697" s="373">
        <f ca="1">IF(AK$689 &gt;= '2.2 Input_General_Information'!$H$20, '2.3 Input_Main_Questionnaire'!$O$35*($G$667*AK$686)/$G$667,)</f>
        <v>3.2254438377489329E-3</v>
      </c>
      <c r="AL697" s="373">
        <f ca="1">IF(AL$689 &gt;= '2.2 Input_General_Information'!$H$20, '2.3 Input_Main_Questionnaire'!$O$35*($G$667*AL$686)/$G$667,)</f>
        <v>4.9404531963303721E-3</v>
      </c>
      <c r="AM697" s="373">
        <f ca="1">IF(AM$689 &gt;= '2.2 Input_General_Information'!$H$20, '2.3 Input_Main_Questionnaire'!$O$35*($G$667*AM$686)/$G$667,)</f>
        <v>7.434727709782124E-3</v>
      </c>
      <c r="AN697" s="373">
        <f ca="1">IF(AN$689 &gt;= '2.2 Input_General_Information'!$H$20, '2.3 Input_Main_Questionnaire'!$O$35*($G$667*AN$686)/$G$667,)</f>
        <v>1.0910182537746645E-2</v>
      </c>
      <c r="AO697" s="373">
        <f ca="1">IF(AO$689 &gt;= '2.2 Input_General_Information'!$H$20, '2.3 Input_Main_Questionnaire'!$O$35*($G$667*AO$686)/$G$667,)</f>
        <v>1.5474343995826376E-2</v>
      </c>
      <c r="AP697" s="373">
        <f ca="1">IF(AP$689 &gt;= '2.2 Input_General_Information'!$H$20, '2.3 Input_Main_Questionnaire'!$O$35*($G$667*AP$686)/$G$667,)</f>
        <v>2.1023660384770812E-2</v>
      </c>
      <c r="AQ697" s="373">
        <f ca="1">IF(AQ$689 &gt;= '2.2 Input_General_Information'!$H$20, '2.3 Input_Main_Questionnaire'!$O$35*($G$667*AQ$686)/$G$667,)</f>
        <v>2.7171875000005691E-2</v>
      </c>
      <c r="AR697" s="373">
        <f ca="1">IF(AR$689 &gt;= '2.2 Input_General_Information'!$H$20, '2.3 Input_Main_Questionnaire'!$O$35*($G$667*AR$686)/$G$667,)</f>
        <v>3.3320089615239995E-2</v>
      </c>
      <c r="AS697" s="373">
        <f ca="1">IF(AS$689 &gt;= '2.2 Input_General_Information'!$H$20, '2.3 Input_Main_Questionnaire'!$O$35*($G$667*AS$686)/$G$667,)</f>
        <v>3.8869406004182899E-2</v>
      </c>
      <c r="AT697" s="373">
        <f ca="1">IF(AT$689 &gt;= '2.2 Input_General_Information'!$H$20, '2.3 Input_Main_Questionnaire'!$O$35*($G$667*AT$686)/$G$667,)</f>
        <v>4.3433567462260667E-2</v>
      </c>
      <c r="AU697" s="373">
        <f ca="1">IF(AU$689 &gt;= '2.2 Input_General_Information'!$H$20, '2.3 Input_Main_Questionnaire'!$O$35*($G$667*AU$686)/$G$667,)</f>
        <v>4.6909022290223264E-2</v>
      </c>
      <c r="AV697" s="373">
        <f ca="1">IF(AV$689 &gt;= '2.2 Input_General_Information'!$H$20, '2.3 Input_Main_Questionnaire'!$O$35*($G$667*AV$686)/$G$667,)</f>
        <v>4.9403296803673391E-2</v>
      </c>
      <c r="AW697" s="373">
        <f ca="1">IF(AW$689 &gt;= '2.2 Input_General_Information'!$H$20, '2.3 Input_Main_Questionnaire'!$O$35*($G$667*AW$686)/$G$667,)</f>
        <v>5.1118306162253623E-2</v>
      </c>
      <c r="AX697" s="373">
        <f ca="1">IF(AX$689 &gt;= '2.2 Input_General_Information'!$H$20, '2.3 Input_Main_Questionnaire'!$O$35*($G$667*AX$686)/$G$667,)</f>
        <v>5.2263047765993859E-2</v>
      </c>
      <c r="AY697" s="373">
        <f ca="1">IF(AY$689 &gt;= '2.2 Input_General_Information'!$H$20, '2.3 Input_Main_Questionnaire'!$O$35*($G$667*AY$686)/$G$667,)</f>
        <v>5.3012093157057655E-2</v>
      </c>
      <c r="AZ697" s="373">
        <f ca="1">IF(AZ$689 &gt;= '2.2 Input_General_Information'!$H$20, '2.3 Input_Main_Questionnaire'!$O$35*($G$667*AZ$686)/$G$667,)</f>
        <v>5.3495859606727932E-2</v>
      </c>
      <c r="BA697" s="373">
        <f ca="1">IF(BA$689 &gt;= '2.2 Input_General_Information'!$H$20, '2.3 Input_Main_Questionnaire'!$O$35*($G$667*BA$686)/$G$667,)</f>
        <v>5.3805666430840851E-2</v>
      </c>
      <c r="BB697" s="373">
        <f ca="1">IF(BB$689 &gt;= '2.2 Input_General_Information'!$H$20, '2.3 Input_Main_Questionnaire'!$O$35*($G$667*BB$686)/$G$667,)</f>
        <v>5.400299539240741E-2</v>
      </c>
      <c r="BC697" s="373">
        <f ca="1">IF(BC$689 &gt;= '2.2 Input_General_Information'!$H$20, '2.3 Input_Main_Questionnaire'!$O$35*($G$667*BC$686)/$G$667,)</f>
        <v>5.4128248630566062E-2</v>
      </c>
      <c r="BD697" s="373">
        <f ca="1">IF(BD$689 &gt;= '2.2 Input_General_Information'!$H$20, '2.3 Input_Main_Questionnaire'!$O$35*($G$667*BD$686)/$G$667,)</f>
        <v>5.4207577869321767E-2</v>
      </c>
      <c r="BE697" s="373">
        <f ca="1">IF(BE$689 &gt;= '2.2 Input_General_Information'!$H$20, '2.3 Input_Main_Questionnaire'!$O$35*($G$667*BE$686)/$G$667,)</f>
        <v>5.4257751239418936E-2</v>
      </c>
      <c r="BF697" s="373">
        <f ca="1">IF(BF$689 &gt;= '2.2 Input_General_Information'!$H$20, '2.3 Input_Main_Questionnaire'!$O$35*($G$667*BF$686)/$G$667,)</f>
        <v>5.4289456471463035E-2</v>
      </c>
      <c r="BG697" s="373">
        <f ca="1">IF(BG$689 &gt;= '2.2 Input_General_Information'!$H$20, '2.3 Input_Main_Questionnaire'!$O$35*($G$667*BG$686)/$G$667,)</f>
        <v>5.4309480292930326E-2</v>
      </c>
      <c r="BH697" s="373">
        <f ca="1">IF(BH$689 &gt;= '2.2 Input_General_Information'!$H$20, '2.3 Input_Main_Questionnaire'!$O$35*($G$667*BH$686)/$G$667,)</f>
        <v>5.4322122135275999E-2</v>
      </c>
      <c r="BI697" s="373">
        <f ca="1">IF(BI$689 &gt;= '2.2 Input_General_Information'!$H$20, '2.3 Input_Main_Questionnaire'!$O$35*($G$667*BI$686)/$G$667,)</f>
        <v>5.4330101667123896E-2</v>
      </c>
      <c r="BJ697" s="373">
        <f ca="1">IF(BJ$689 &gt;= '2.2 Input_General_Information'!$H$20, '2.3 Input_Main_Questionnaire'!$O$35*($G$667*BJ$686)/$G$667,)</f>
        <v>5.4335137642847892E-2</v>
      </c>
      <c r="BK697" s="373">
        <f ca="1">IF(BK$689 &gt;= '2.2 Input_General_Information'!$H$20, '2.3 Input_Main_Questionnaire'!$O$35*($G$667*BK$686)/$G$667,)</f>
        <v>5.4338315625000008E-2</v>
      </c>
      <c r="BL697" s="381"/>
      <c r="BM697" s="381"/>
      <c r="BN697" s="381"/>
      <c r="BO697" s="381"/>
      <c r="BP697" s="381"/>
      <c r="BQ697" s="381"/>
      <c r="BR697" s="381"/>
      <c r="BS697" s="381"/>
      <c r="BT697" s="381"/>
      <c r="BU697" s="381"/>
    </row>
    <row r="698" spans="1:73" hidden="1">
      <c r="A698" s="6"/>
      <c r="B698" s="108"/>
      <c r="C698" s="1"/>
      <c r="D698" s="1"/>
      <c r="E698" s="1"/>
      <c r="F698" s="1"/>
      <c r="G698" s="3"/>
      <c r="H698" s="3"/>
      <c r="I698" s="3"/>
      <c r="J698" s="3"/>
      <c r="K698" s="3"/>
      <c r="L698" s="3"/>
      <c r="M698" s="3"/>
      <c r="N698" s="3"/>
      <c r="O698" s="1"/>
      <c r="P698" s="1"/>
      <c r="Q698" s="1"/>
      <c r="R698" s="162"/>
      <c r="S698" s="1"/>
      <c r="T698" s="103"/>
      <c r="U698" s="103"/>
      <c r="V698" s="103"/>
      <c r="W698" s="98"/>
      <c r="X698" s="98"/>
      <c r="Y698" s="98"/>
      <c r="Z698" s="98"/>
      <c r="AA698" s="98"/>
      <c r="AB698" s="98"/>
      <c r="AC698" s="98"/>
      <c r="AD698" s="98"/>
      <c r="AE698" s="98"/>
      <c r="AF698" s="98"/>
      <c r="AG698" s="98"/>
      <c r="AH698" s="98"/>
      <c r="AI698" s="98"/>
      <c r="AJ698" s="98"/>
      <c r="AK698" s="98"/>
      <c r="AL698" s="98"/>
      <c r="AM698" s="98"/>
      <c r="AN698" s="98"/>
      <c r="AO698" s="98"/>
      <c r="AP698" s="98"/>
      <c r="AQ698" s="98"/>
      <c r="AR698" s="98"/>
      <c r="AS698" s="98"/>
      <c r="AT698" s="98"/>
      <c r="AU698" s="98"/>
      <c r="AV698" s="98"/>
      <c r="AW698" s="98"/>
      <c r="AX698" s="98"/>
      <c r="AY698" s="98"/>
      <c r="AZ698" s="98"/>
      <c r="BA698" s="98"/>
      <c r="BB698" s="98"/>
      <c r="BC698" s="98"/>
      <c r="BD698" s="98"/>
      <c r="BE698" s="98"/>
      <c r="BF698" s="98"/>
      <c r="BG698" s="98"/>
      <c r="BH698" s="98"/>
      <c r="BI698" s="98"/>
      <c r="BJ698" s="98"/>
      <c r="BK698" s="98"/>
      <c r="BL698" s="99"/>
      <c r="BM698" s="99"/>
      <c r="BN698" s="99"/>
      <c r="BO698" s="99"/>
      <c r="BP698" s="99"/>
      <c r="BQ698" s="99"/>
      <c r="BR698" s="99"/>
      <c r="BS698" s="99"/>
      <c r="BT698" s="99"/>
      <c r="BU698" s="99"/>
    </row>
    <row r="699" spans="1:73" hidden="1">
      <c r="A699" s="6"/>
      <c r="B699" s="108"/>
      <c r="C699" s="1"/>
      <c r="D699" s="1"/>
      <c r="E699" s="1"/>
      <c r="F699" s="1"/>
      <c r="G699" s="3"/>
      <c r="H699" s="3"/>
      <c r="I699" s="3"/>
      <c r="J699" s="3"/>
      <c r="K699" s="3"/>
      <c r="L699" s="3"/>
      <c r="M699" s="3"/>
      <c r="N699" s="3"/>
      <c r="O699" s="1"/>
      <c r="P699" s="1"/>
      <c r="Q699" s="1"/>
      <c r="R699" s="162"/>
      <c r="S699" s="1"/>
      <c r="T699" s="103"/>
      <c r="U699" s="103"/>
      <c r="V699" s="103" t="str">
        <f>D680</f>
        <v>Time saved on peer reviews thanks to the compliance with the FAIR principles</v>
      </c>
      <c r="W699" s="98"/>
      <c r="X699" s="98"/>
      <c r="Y699" s="98"/>
      <c r="Z699" s="98"/>
      <c r="AA699" s="98"/>
      <c r="AB699" s="98"/>
      <c r="AC699" s="98"/>
      <c r="AD699" s="98"/>
      <c r="AE699" s="98"/>
      <c r="AF699" s="98"/>
      <c r="AG699" s="98"/>
      <c r="AH699" s="98"/>
      <c r="AI699" s="98"/>
      <c r="AJ699" s="98"/>
      <c r="AK699" s="98"/>
      <c r="AL699" s="98"/>
      <c r="AM699" s="98"/>
      <c r="AN699" s="98"/>
      <c r="AO699" s="98"/>
      <c r="AP699" s="98"/>
      <c r="AQ699" s="98"/>
      <c r="AR699" s="98"/>
      <c r="AS699" s="98"/>
      <c r="AT699" s="98"/>
      <c r="AU699" s="98"/>
      <c r="AV699" s="98"/>
      <c r="AW699" s="98"/>
      <c r="AX699" s="98"/>
      <c r="AY699" s="98"/>
      <c r="AZ699" s="98"/>
      <c r="BA699" s="98"/>
      <c r="BB699" s="98"/>
      <c r="BC699" s="98"/>
      <c r="BD699" s="98"/>
      <c r="BE699" s="98"/>
      <c r="BF699" s="98"/>
      <c r="BG699" s="98"/>
      <c r="BH699" s="98"/>
      <c r="BI699" s="98"/>
      <c r="BJ699" s="98"/>
      <c r="BK699" s="98"/>
      <c r="BL699" s="99"/>
      <c r="BM699" s="99"/>
      <c r="BN699" s="99"/>
      <c r="BO699" s="99"/>
      <c r="BP699" s="99"/>
      <c r="BQ699" s="99"/>
      <c r="BR699" s="99"/>
      <c r="BS699" s="99"/>
      <c r="BT699" s="99"/>
      <c r="BU699" s="99"/>
    </row>
    <row r="700" spans="1:73" hidden="1">
      <c r="A700" s="6"/>
      <c r="B700" s="108"/>
      <c r="C700" s="1"/>
      <c r="D700" s="12"/>
      <c r="E700" s="1"/>
      <c r="F700" s="1"/>
      <c r="G700" s="3"/>
      <c r="H700" s="3"/>
      <c r="I700" s="3"/>
      <c r="J700" s="3"/>
      <c r="K700" s="3"/>
      <c r="L700" s="3"/>
      <c r="M700" s="3"/>
      <c r="N700" s="3"/>
      <c r="O700" s="1"/>
      <c r="P700" s="1"/>
      <c r="Q700" s="1"/>
      <c r="R700" s="162"/>
      <c r="S700" s="1"/>
      <c r="T700" s="103"/>
      <c r="U700" s="103"/>
      <c r="V700" s="103"/>
      <c r="W700" s="98">
        <f>Growth!B20</f>
        <v>2018</v>
      </c>
      <c r="X700" s="98">
        <f t="shared" ref="X700:BK700" si="110">W700+1</f>
        <v>2019</v>
      </c>
      <c r="Y700" s="98">
        <f t="shared" si="110"/>
        <v>2020</v>
      </c>
      <c r="Z700" s="98">
        <f t="shared" si="110"/>
        <v>2021</v>
      </c>
      <c r="AA700" s="98">
        <f t="shared" si="110"/>
        <v>2022</v>
      </c>
      <c r="AB700" s="98">
        <f t="shared" si="110"/>
        <v>2023</v>
      </c>
      <c r="AC700" s="98">
        <f t="shared" si="110"/>
        <v>2024</v>
      </c>
      <c r="AD700" s="98">
        <f t="shared" si="110"/>
        <v>2025</v>
      </c>
      <c r="AE700" s="98">
        <f t="shared" si="110"/>
        <v>2026</v>
      </c>
      <c r="AF700" s="98">
        <f t="shared" si="110"/>
        <v>2027</v>
      </c>
      <c r="AG700" s="98">
        <f t="shared" si="110"/>
        <v>2028</v>
      </c>
      <c r="AH700" s="98">
        <f t="shared" si="110"/>
        <v>2029</v>
      </c>
      <c r="AI700" s="98">
        <f t="shared" si="110"/>
        <v>2030</v>
      </c>
      <c r="AJ700" s="98">
        <f t="shared" si="110"/>
        <v>2031</v>
      </c>
      <c r="AK700" s="98">
        <f t="shared" si="110"/>
        <v>2032</v>
      </c>
      <c r="AL700" s="98">
        <f t="shared" si="110"/>
        <v>2033</v>
      </c>
      <c r="AM700" s="98">
        <f t="shared" si="110"/>
        <v>2034</v>
      </c>
      <c r="AN700" s="98">
        <f t="shared" si="110"/>
        <v>2035</v>
      </c>
      <c r="AO700" s="98">
        <f t="shared" si="110"/>
        <v>2036</v>
      </c>
      <c r="AP700" s="98">
        <f t="shared" si="110"/>
        <v>2037</v>
      </c>
      <c r="AQ700" s="98">
        <f t="shared" si="110"/>
        <v>2038</v>
      </c>
      <c r="AR700" s="98">
        <f t="shared" si="110"/>
        <v>2039</v>
      </c>
      <c r="AS700" s="98">
        <f t="shared" si="110"/>
        <v>2040</v>
      </c>
      <c r="AT700" s="98">
        <f t="shared" si="110"/>
        <v>2041</v>
      </c>
      <c r="AU700" s="98">
        <f t="shared" si="110"/>
        <v>2042</v>
      </c>
      <c r="AV700" s="98">
        <f t="shared" si="110"/>
        <v>2043</v>
      </c>
      <c r="AW700" s="98">
        <f t="shared" si="110"/>
        <v>2044</v>
      </c>
      <c r="AX700" s="98">
        <f t="shared" si="110"/>
        <v>2045</v>
      </c>
      <c r="AY700" s="98">
        <f t="shared" si="110"/>
        <v>2046</v>
      </c>
      <c r="AZ700" s="98">
        <f t="shared" si="110"/>
        <v>2047</v>
      </c>
      <c r="BA700" s="98">
        <f t="shared" si="110"/>
        <v>2048</v>
      </c>
      <c r="BB700" s="98">
        <f t="shared" si="110"/>
        <v>2049</v>
      </c>
      <c r="BC700" s="98">
        <f t="shared" si="110"/>
        <v>2050</v>
      </c>
      <c r="BD700" s="98">
        <f t="shared" si="110"/>
        <v>2051</v>
      </c>
      <c r="BE700" s="98">
        <f t="shared" si="110"/>
        <v>2052</v>
      </c>
      <c r="BF700" s="98">
        <f t="shared" si="110"/>
        <v>2053</v>
      </c>
      <c r="BG700" s="98">
        <f t="shared" si="110"/>
        <v>2054</v>
      </c>
      <c r="BH700" s="98">
        <f t="shared" si="110"/>
        <v>2055</v>
      </c>
      <c r="BI700" s="98">
        <f t="shared" si="110"/>
        <v>2056</v>
      </c>
      <c r="BJ700" s="98">
        <f t="shared" si="110"/>
        <v>2057</v>
      </c>
      <c r="BK700" s="98">
        <f t="shared" si="110"/>
        <v>2058</v>
      </c>
      <c r="BL700" s="99"/>
      <c r="BM700" s="99"/>
      <c r="BN700" s="99"/>
      <c r="BO700" s="99"/>
      <c r="BP700" s="99"/>
      <c r="BQ700" s="99"/>
      <c r="BR700" s="99"/>
      <c r="BS700" s="99"/>
      <c r="BT700" s="99"/>
      <c r="BU700" s="99"/>
    </row>
    <row r="701" spans="1:73" hidden="1">
      <c r="A701" s="6"/>
      <c r="B701" s="108"/>
      <c r="C701" s="1"/>
      <c r="D701" s="1"/>
      <c r="E701" s="12"/>
      <c r="F701" s="1"/>
      <c r="G701" s="3"/>
      <c r="H701" s="3"/>
      <c r="I701" s="3"/>
      <c r="J701" s="3"/>
      <c r="K701" s="3"/>
      <c r="L701" s="3"/>
      <c r="M701" s="3"/>
      <c r="N701" s="3"/>
      <c r="O701" s="1"/>
      <c r="P701" s="1"/>
      <c r="Q701" s="1"/>
      <c r="R701" s="162"/>
      <c r="S701" s="1"/>
      <c r="T701" s="103"/>
      <c r="U701" s="103"/>
      <c r="V701" s="103" t="str">
        <f>G$10</f>
        <v>PhD researcher</v>
      </c>
      <c r="W701" s="373">
        <f ca="1">IF(W$700 &gt;= '2.2 Input_General_Information'!$H$20, W712*'2.3 Input_Main_Questionnaire'!$H$35,)</f>
        <v>2.8480811427560003E-3</v>
      </c>
      <c r="X701" s="373">
        <f ca="1">IF(X$700 &gt;= '2.2 Input_General_Information'!$H$20, X712*'2.3 Input_Main_Questionnaire'!$H$35,)</f>
        <v>2.485320888744405E-3</v>
      </c>
      <c r="Y701" s="373">
        <f ca="1">IF(Y$700 &gt;= '2.2 Input_General_Information'!$H$20, Y712*'2.3 Input_Main_Questionnaire'!$H$35,)</f>
        <v>2.3923305053064224E-3</v>
      </c>
      <c r="Z701" s="373">
        <f ca="1">IF(Z$700 &gt;= '2.2 Input_General_Information'!$H$20, Z712*'2.3 Input_Main_Questionnaire'!$H$35,)</f>
        <v>2.8069636039753623E-3</v>
      </c>
      <c r="AA701" s="373">
        <f ca="1">IF(AA$700 &gt;= '2.2 Input_General_Information'!$H$20, AA712*'2.3 Input_Main_Questionnaire'!$H$35,)</f>
        <v>2.8056445717075666E-3</v>
      </c>
      <c r="AB701" s="373">
        <f ca="1">IF(AB$700 &gt;= '2.2 Input_General_Information'!$H$20, AB712*'2.3 Input_Main_Questionnaire'!$H$35,)</f>
        <v>2.8037507719479451E-3</v>
      </c>
      <c r="AC701" s="373">
        <f ca="1">IF(AC$700 &gt;= '2.2 Input_General_Information'!$H$20, AC712*'2.3 Input_Main_Questionnaire'!$H$35,)</f>
        <v>2.8011535980583943E-3</v>
      </c>
      <c r="AD701" s="373">
        <f ca="1">IF(AD$700 &gt;= '2.2 Input_General_Information'!$H$20, AD712*'2.3 Input_Main_Questionnaire'!$H$35,)</f>
        <v>2.7975962468501348E-3</v>
      </c>
      <c r="AE701" s="373">
        <f ca="1">IF(AE$700 &gt;= '2.2 Input_General_Information'!$H$20, AE712*'2.3 Input_Main_Questionnaire'!$H$35,)</f>
        <v>2.7926105930611137E-3</v>
      </c>
      <c r="AF701" s="373">
        <f ca="1">IF(AF$700 &gt;= '2.2 Input_General_Information'!$H$20, AF712*'2.3 Input_Main_Questionnaire'!$H$35,)</f>
        <v>2.7854033510098302E-3</v>
      </c>
      <c r="AG701" s="373">
        <f ca="1">IF(AG$700 &gt;= '2.2 Input_General_Information'!$H$20, AG712*'2.3 Input_Main_Questionnaire'!$H$35,)</f>
        <v>2.7746909254158852E-3</v>
      </c>
      <c r="AH701" s="373">
        <f ca="1">IF(AH$700 &gt;= '2.2 Input_General_Information'!$H$20, AH712*'2.3 Input_Main_Questionnaire'!$H$35,)</f>
        <v>2.7584583964197031E-3</v>
      </c>
      <c r="AI701" s="373">
        <f ca="1">IF(AI$700 &gt;= '2.2 Input_General_Information'!$H$20, AI712*'2.3 Input_Main_Questionnaire'!$H$35,)</f>
        <v>2.733619766143273E-3</v>
      </c>
      <c r="AJ701" s="373">
        <f ca="1">IF(AJ$700 &gt;= '2.2 Input_General_Information'!$H$20, AJ712*'2.3 Input_Main_Questionnaire'!$H$35,)</f>
        <v>2.6955777795347963E-3</v>
      </c>
      <c r="AK701" s="373">
        <f ca="1">IF(AK$700 &gt;= '2.2 Input_General_Information'!$H$20, AK712*'2.3 Input_Main_Questionnaire'!$H$35,)</f>
        <v>2.6377497937771438E-3</v>
      </c>
      <c r="AL701" s="373">
        <f ca="1">IF(AL$700 &gt;= '2.2 Input_General_Information'!$H$20, AL712*'2.3 Input_Main_Questionnaire'!$H$35,)</f>
        <v>2.5512872364566886E-3</v>
      </c>
      <c r="AM701" s="373">
        <f ca="1">IF(AM$700 &gt;= '2.2 Input_General_Information'!$H$20, AM712*'2.3 Input_Main_Questionnaire'!$H$35,)</f>
        <v>2.4255072909893814E-3</v>
      </c>
      <c r="AN701" s="373">
        <f ca="1">IF(AN$700 &gt;= '2.2 Input_General_Information'!$H$20, AN712*'2.3 Input_Main_Questionnaire'!$H$35,)</f>
        <v>2.2498825714571073E-3</v>
      </c>
      <c r="AO701" s="373">
        <f ca="1">IF(AO$700 &gt;= '2.2 Input_General_Information'!$H$20, AO712*'2.3 Input_Main_Questionnaire'!$H$35,)</f>
        <v>2.0183209880419296E-3</v>
      </c>
      <c r="AP701" s="373">
        <f ca="1">IF(AP$700 &gt;= '2.2 Input_General_Information'!$H$20, AP712*'2.3 Input_Main_Questionnaire'!$H$35,)</f>
        <v>1.735023515889644E-3</v>
      </c>
      <c r="AQ701" s="373">
        <f ca="1">IF(AQ$700 &gt;= '2.2 Input_General_Information'!$H$20, AQ712*'2.3 Input_Main_Questionnaire'!$H$35,)</f>
        <v>1.4183605598297871E-3</v>
      </c>
      <c r="AR701" s="373">
        <f ca="1">IF(AR$700 &gt;= '2.2 Input_General_Information'!$H$20, AR712*'2.3 Input_Main_Questionnaire'!$H$35,)</f>
        <v>1.0979499549702934E-3</v>
      </c>
      <c r="AS701" s="373">
        <f ca="1">IF(AS$700 &gt;= '2.2 Input_General_Information'!$H$20, AS712*'2.3 Input_Main_Questionnaire'!$H$35,)</f>
        <v>8.0452524849309692E-4</v>
      </c>
      <c r="AT701" s="373">
        <f ca="1">IF(AT$700 &gt;= '2.2 Input_General_Information'!$H$20, AT712*'2.3 Input_Main_Questionnaire'!$H$35,)</f>
        <v>5.5920250950131849E-4</v>
      </c>
      <c r="AU701" s="373">
        <f ca="1">IF(AU$700 &gt;= '2.2 Input_General_Information'!$H$20, AU712*'2.3 Input_Main_Questionnaire'!$H$35,)</f>
        <v>3.6923217940738797E-4</v>
      </c>
      <c r="AV701" s="373">
        <f ca="1">IF(AV$700 &gt;= '2.2 Input_General_Information'!$H$20, AV712*'2.3 Input_Main_Questionnaire'!$H$35,)</f>
        <v>2.3075612637334846E-4</v>
      </c>
      <c r="AW701" s="373">
        <f ca="1">IF(AW$700 &gt;= '2.2 Input_General_Information'!$H$20, AW712*'2.3 Input_Main_Questionnaire'!$H$35,)</f>
        <v>1.342888052555008E-4</v>
      </c>
      <c r="AX701" s="373">
        <f ca="1">IF(AX$700 &gt;= '2.2 Input_General_Information'!$H$20, AX712*'2.3 Input_Main_Questionnaire'!$H$35,)</f>
        <v>6.9242116995783232E-5</v>
      </c>
      <c r="AY701" s="373">
        <f ca="1">IF(AY$700 &gt;= '2.2 Input_General_Information'!$H$20, AY712*'2.3 Input_Main_Questionnaire'!$H$35,)</f>
        <v>2.6365041526884425E-5</v>
      </c>
      <c r="AZ701" s="373">
        <f ca="1">IF(AZ$700 &gt;= '2.2 Input_General_Information'!$H$20, AZ712*'2.3 Input_Main_Questionnaire'!$H$35,)</f>
        <v>-1.4685315677809771E-6</v>
      </c>
      <c r="BA701" s="373">
        <f ca="1">IF(BA$700 &gt;= '2.2 Input_General_Information'!$H$20, BA712*'2.3 Input_Main_Questionnaire'!$H$35,)</f>
        <v>-1.9354354080672769E-5</v>
      </c>
      <c r="BB701" s="373">
        <f ca="1">IF(BB$700 &gt;= '2.2 Input_General_Information'!$H$20, BB712*'2.3 Input_Main_Questionnaire'!$H$35,)</f>
        <v>-3.0772116515235648E-5</v>
      </c>
      <c r="BC701" s="373">
        <f ca="1">IF(BC$700 &gt;= '2.2 Input_General_Information'!$H$20, BC712*'2.3 Input_Main_Questionnaire'!$H$35,)</f>
        <v>-3.802993433252364E-5</v>
      </c>
      <c r="BD701" s="373">
        <f ca="1">IF(BD$700 &gt;= '2.2 Input_General_Information'!$H$20, BD712*'2.3 Input_Main_Questionnaire'!$H$35,)</f>
        <v>-4.2630915529998876E-5</v>
      </c>
      <c r="BE701" s="373">
        <f ca="1">IF(BE$700 &gt;= '2.2 Input_General_Information'!$H$20, BE712*'2.3 Input_Main_Questionnaire'!$H$35,)</f>
        <v>-4.5542597267242214E-5</v>
      </c>
      <c r="BF701" s="373">
        <f ca="1">IF(BF$700 &gt;= '2.2 Input_General_Information'!$H$20, BF712*'2.3 Input_Main_Questionnaire'!$H$35,)</f>
        <v>-4.7383205169060022E-5</v>
      </c>
      <c r="BG701" s="373">
        <f ca="1">IF(BG$700 &gt;= '2.2 Input_General_Information'!$H$20, BG712*'2.3 Input_Main_Questionnaire'!$H$35,)</f>
        <v>-4.8545931544043167E-5</v>
      </c>
      <c r="BH701" s="373">
        <f ca="1">IF(BH$700 &gt;= '2.2 Input_General_Information'!$H$20, BH712*'2.3 Input_Main_Questionnaire'!$H$35,)</f>
        <v>-4.9280113260198003E-5</v>
      </c>
      <c r="BI701" s="373">
        <f ca="1">IF(BI$700 &gt;= '2.2 Input_General_Information'!$H$20, BI712*'2.3 Input_Main_Questionnaire'!$H$35,)</f>
        <v>-4.9743570427155856E-5</v>
      </c>
      <c r="BJ701" s="373">
        <f ca="1">IF(BJ$700 &gt;= '2.2 Input_General_Information'!$H$20, BJ712*'2.3 Input_Main_Questionnaire'!$H$35,)</f>
        <v>-5.0036079937462696E-5</v>
      </c>
      <c r="BK701" s="373">
        <f ca="1">IF(BK$700 &gt;= '2.2 Input_General_Information'!$H$20, BK712*'2.3 Input_Main_Questionnaire'!$H$35,)</f>
        <v>-5.0220676123777405E-5</v>
      </c>
      <c r="BL701" s="381"/>
      <c r="BM701" s="381"/>
      <c r="BN701" s="381"/>
      <c r="BO701" s="381"/>
      <c r="BP701" s="381"/>
      <c r="BQ701" s="381"/>
      <c r="BR701" s="381"/>
      <c r="BS701" s="381"/>
      <c r="BT701" s="381"/>
      <c r="BU701" s="381"/>
    </row>
    <row r="702" spans="1:73" hidden="1">
      <c r="A702" s="6"/>
      <c r="B702" s="108"/>
      <c r="C702" s="1"/>
      <c r="D702" s="1"/>
      <c r="E702" s="1"/>
      <c r="F702" s="1"/>
      <c r="G702" s="3"/>
      <c r="H702" s="3"/>
      <c r="I702" s="3"/>
      <c r="J702" s="3"/>
      <c r="K702" s="3"/>
      <c r="L702" s="3"/>
      <c r="M702" s="3"/>
      <c r="N702" s="3"/>
      <c r="O702" s="1"/>
      <c r="P702" s="1"/>
      <c r="Q702" s="1"/>
      <c r="R702" s="162"/>
      <c r="S702" s="1"/>
      <c r="T702" s="103"/>
      <c r="U702" s="103"/>
      <c r="V702" s="103" t="str">
        <f>$H$10</f>
        <v>Lecturer assistant/Research assistant (Academic)</v>
      </c>
      <c r="W702" s="373">
        <f ca="1">IF(W$700 &gt;= '2.2 Input_General_Information'!$H$20, W713*'2.3 Input_Main_Questionnaire'!$I$35,)</f>
        <v>2.9521981426699996E-3</v>
      </c>
      <c r="X702" s="373">
        <f ca="1">IF(X$700 &gt;= '2.2 Input_General_Information'!$H$20, X713*'2.3 Input_Main_Questionnaire'!$I$35,)</f>
        <v>2.5235177892884712E-3</v>
      </c>
      <c r="Y702" s="373">
        <f ca="1">IF(Y$700 &gt;= '2.2 Input_General_Information'!$H$20, Y713*'2.3 Input_Main_Questionnaire'!$I$35,)</f>
        <v>2.4136615038271203E-3</v>
      </c>
      <c r="Z702" s="373">
        <f ca="1">IF(Z$700 &gt;= '2.2 Input_General_Information'!$H$20, Z713*'2.3 Input_Main_Questionnaire'!$I$35,)</f>
        <v>2.9037293255869917E-3</v>
      </c>
      <c r="AA702" s="373">
        <f ca="1">IF(AA$700 &gt;= '2.2 Input_General_Information'!$H$20, AA713*'2.3 Input_Main_Questionnaire'!$I$35,)</f>
        <v>2.9022667424668035E-3</v>
      </c>
      <c r="AB702" s="373">
        <f ca="1">IF(AB$700 &gt;= '2.2 Input_General_Information'!$H$20, AB713*'2.3 Input_Main_Questionnaire'!$I$35,)</f>
        <v>2.9001810991658864E-3</v>
      </c>
      <c r="AC702" s="373">
        <f ca="1">IF(AC$700 &gt;= '2.2 Input_General_Information'!$H$20, AC713*'2.3 Input_Main_Questionnaire'!$I$35,)</f>
        <v>2.8973531373939665E-3</v>
      </c>
      <c r="AD702" s="373">
        <f ca="1">IF(AD$700 &gt;= '2.2 Input_General_Information'!$H$20, AD713*'2.3 Input_Main_Questionnaire'!$I$35,)</f>
        <v>2.8935310313132753E-3</v>
      </c>
      <c r="AE702" s="373">
        <f ca="1">IF(AE$700 &gt;= '2.2 Input_General_Information'!$H$20, AE713*'2.3 Input_Main_Questionnaire'!$I$35,)</f>
        <v>2.8882429121358374E-3</v>
      </c>
      <c r="AF702" s="373">
        <f ca="1">IF(AF$700 &gt;= '2.2 Input_General_Information'!$H$20, AF713*'2.3 Input_Main_Questionnaire'!$I$35,)</f>
        <v>2.8806789251701673E-3</v>
      </c>
      <c r="AG702" s="373">
        <f ca="1">IF(AG$700 &gt;= '2.2 Input_General_Information'!$H$20, AG713*'2.3 Input_Main_Questionnaire'!$I$35,)</f>
        <v>2.8695212027913413E-3</v>
      </c>
      <c r="AH702" s="373">
        <f ca="1">IF(AH$700 &gt;= '2.2 Input_General_Information'!$H$20, AH713*'2.3 Input_Main_Questionnaire'!$I$35,)</f>
        <v>2.8526960826336929E-3</v>
      </c>
      <c r="AI702" s="373">
        <f ca="1">IF(AI$700 &gt;= '2.2 Input_General_Information'!$H$20, AI713*'2.3 Input_Main_Questionnaire'!$I$35,)</f>
        <v>2.8270245757756429E-3</v>
      </c>
      <c r="AJ702" s="373">
        <f ca="1">IF(AJ$700 &gt;= '2.2 Input_General_Information'!$H$20, AJ713*'2.3 Input_Main_Questionnaire'!$I$35,)</f>
        <v>2.7877688346728607E-3</v>
      </c>
      <c r="AK702" s="373">
        <f ca="1">IF(AK$700 &gt;= '2.2 Input_General_Information'!$H$20, AK713*'2.3 Input_Main_Questionnaire'!$I$35,)</f>
        <v>2.7281423226078166E-3</v>
      </c>
      <c r="AL702" s="373">
        <f ca="1">IF(AL$700 &gt;= '2.2 Input_General_Information'!$H$20, AL713*'2.3 Input_Main_Questionnaire'!$I$35,)</f>
        <v>2.6390167620683634E-3</v>
      </c>
      <c r="AM702" s="373">
        <f ca="1">IF(AM$700 &gt;= '2.2 Input_General_Information'!$H$20, AM713*'2.3 Input_Main_Questionnaire'!$I$35,)</f>
        <v>2.5093582417742314E-3</v>
      </c>
      <c r="AN702" s="373">
        <f ca="1">IF(AN$700 &gt;= '2.2 Input_General_Information'!$H$20, AN713*'2.3 Input_Main_Questionnaire'!$I$35,)</f>
        <v>2.3282626263483263E-3</v>
      </c>
      <c r="AO702" s="373">
        <f ca="1">IF(AO$700 &gt;= '2.2 Input_General_Information'!$H$20, AO713*'2.3 Input_Main_Questionnaire'!$I$35,)</f>
        <v>2.0893488622264569E-3</v>
      </c>
      <c r="AP702" s="373">
        <f ca="1">IF(AP$700 &gt;= '2.2 Input_General_Information'!$H$20, AP713*'2.3 Input_Main_Questionnaire'!$I$35,)</f>
        <v>1.7967933670498309E-3</v>
      </c>
      <c r="AQ702" s="373">
        <f ca="1">IF(AQ$700 &gt;= '2.2 Input_General_Information'!$H$20, AQ713*'2.3 Input_Main_Questionnaire'!$I$35,)</f>
        <v>1.469365837075865E-3</v>
      </c>
      <c r="AR702" s="373">
        <f ca="1">IF(AR$700 &gt;= '2.2 Input_General_Information'!$H$20, AR713*'2.3 Input_Main_Questionnaire'!$I$35,)</f>
        <v>1.1375093928201034E-3</v>
      </c>
      <c r="AS702" s="373">
        <f ca="1">IF(AS$700 &gt;= '2.2 Input_General_Information'!$H$20, AS713*'2.3 Input_Main_Questionnaire'!$I$35,)</f>
        <v>8.3298568633695478E-4</v>
      </c>
      <c r="AT702" s="373">
        <f ca="1">IF(AT$700 &gt;= '2.2 Input_General_Information'!$H$20, AT713*'2.3 Input_Main_Questionnaire'!$I$35,)</f>
        <v>5.7780919811107581E-4</v>
      </c>
      <c r="AU702" s="373">
        <f ca="1">IF(AU$700 &gt;= '2.2 Input_General_Information'!$H$20, AU713*'2.3 Input_Main_Questionnaire'!$I$35,)</f>
        <v>3.7976015857996831E-4</v>
      </c>
      <c r="AV702" s="373">
        <f ca="1">IF(AV$700 &gt;= '2.2 Input_General_Information'!$H$20, AV713*'2.3 Input_Main_Questionnaire'!$I$35,)</f>
        <v>2.3509757170122014E-4</v>
      </c>
      <c r="AW702" s="373">
        <f ca="1">IF(AW$700 &gt;= '2.2 Input_General_Information'!$H$20, AW713*'2.3 Input_Main_Questionnaire'!$I$35,)</f>
        <v>1.3414853365967307E-4</v>
      </c>
      <c r="AX702" s="373">
        <f ca="1">IF(AX$700 &gt;= '2.2 Input_General_Information'!$H$20, AX713*'2.3 Input_Main_Questionnaire'!$I$35,)</f>
        <v>6.5991068904899065E-5</v>
      </c>
      <c r="AY702" s="373">
        <f ca="1">IF(AY$700 &gt;= '2.2 Input_General_Information'!$H$20, AY713*'2.3 Input_Main_Questionnaire'!$I$35,)</f>
        <v>2.102129341614526E-5</v>
      </c>
      <c r="AZ702" s="373">
        <f ca="1">IF(AZ$700 &gt;= '2.2 Input_General_Information'!$H$20, AZ713*'2.3 Input_Main_Questionnaire'!$I$35,)</f>
        <v>-8.1895912571707994E-6</v>
      </c>
      <c r="BA702" s="373">
        <f ca="1">IF(BA$700 &gt;= '2.2 Input_General_Information'!$H$20, BA713*'2.3 Input_Main_Questionnaire'!$I$35,)</f>
        <v>-2.6968548516327922E-5</v>
      </c>
      <c r="BB702" s="373">
        <f ca="1">IF(BB$700 &gt;= '2.2 Input_General_Information'!$H$20, BB713*'2.3 Input_Main_Questionnaire'!$I$35,)</f>
        <v>-3.8959827232448439E-5</v>
      </c>
      <c r="BC702" s="373">
        <f ca="1">IF(BC$700 &gt;= '2.2 Input_General_Information'!$H$20, BC713*'2.3 Input_Main_Questionnaire'!$I$35,)</f>
        <v>-4.6583583868209719E-5</v>
      </c>
      <c r="BD702" s="373">
        <f ca="1">IF(BD$700 &gt;= '2.2 Input_General_Information'!$H$20, BD713*'2.3 Input_Main_Questionnaire'!$I$35,)</f>
        <v>-5.1417102834797494E-5</v>
      </c>
      <c r="BE702" s="373">
        <f ca="1">IF(BE$700 &gt;= '2.2 Input_General_Information'!$H$20, BE713*'2.3 Input_Main_Questionnaire'!$I$35,)</f>
        <v>-5.4476166566969342E-5</v>
      </c>
      <c r="BF702" s="373">
        <f ca="1">IF(BF$700 &gt;= '2.2 Input_General_Information'!$H$20, BF713*'2.3 Input_Main_Questionnaire'!$I$35,)</f>
        <v>-5.6410030175658749E-5</v>
      </c>
      <c r="BG702" s="373">
        <f ca="1">IF(BG$700 &gt;= '2.2 Input_General_Information'!$H$20, BG713*'2.3 Input_Main_Questionnaire'!$I$35,)</f>
        <v>-5.7631702083478774E-5</v>
      </c>
      <c r="BH702" s="373">
        <f ca="1">IF(BH$700 &gt;= '2.2 Input_General_Information'!$H$20, BH713*'2.3 Input_Main_Questionnaire'!$I$35,)</f>
        <v>-5.8403117727908263E-5</v>
      </c>
      <c r="BI702" s="373">
        <f ca="1">IF(BI$700 &gt;= '2.2 Input_General_Information'!$H$20, BI713*'2.3 Input_Main_Questionnaire'!$I$35,)</f>
        <v>-5.8890084517648035E-5</v>
      </c>
      <c r="BJ702" s="373">
        <f ca="1">IF(BJ$700 &gt;= '2.2 Input_General_Information'!$H$20, BJ713*'2.3 Input_Main_Questionnaire'!$I$35,)</f>
        <v>-5.919743418496921E-5</v>
      </c>
      <c r="BK702" s="373">
        <f ca="1">IF(BK$700 &gt;= '2.2 Input_General_Information'!$H$20, BK713*'2.3 Input_Main_Questionnaire'!$I$35,)</f>
        <v>-5.9391396491665022E-5</v>
      </c>
      <c r="BL702" s="381"/>
      <c r="BM702" s="381"/>
      <c r="BN702" s="381"/>
      <c r="BO702" s="381"/>
      <c r="BP702" s="381"/>
      <c r="BQ702" s="381"/>
      <c r="BR702" s="381"/>
      <c r="BS702" s="381"/>
      <c r="BT702" s="381"/>
      <c r="BU702" s="381"/>
    </row>
    <row r="703" spans="1:73" hidden="1">
      <c r="A703" s="6"/>
      <c r="B703" s="108"/>
      <c r="C703" s="1"/>
      <c r="D703" s="1"/>
      <c r="E703" s="1"/>
      <c r="F703" s="1"/>
      <c r="G703" s="3"/>
      <c r="H703" s="3"/>
      <c r="I703" s="3"/>
      <c r="J703" s="3"/>
      <c r="K703" s="3"/>
      <c r="L703" s="3"/>
      <c r="M703" s="3"/>
      <c r="N703" s="3"/>
      <c r="O703" s="1"/>
      <c r="P703" s="1"/>
      <c r="Q703" s="1"/>
      <c r="R703" s="162"/>
      <c r="S703" s="1"/>
      <c r="T703" s="103"/>
      <c r="U703" s="103"/>
      <c r="V703" s="103" t="str">
        <f>$I$10</f>
        <v>Lecturer/Researcher (Academic)</v>
      </c>
      <c r="W703" s="373">
        <f ca="1">IF(W$700 &gt;= '2.2 Input_General_Information'!$H$20, W714*'2.3 Input_Main_Questionnaire'!$J$35,)</f>
        <v>5.215674426638001E-3</v>
      </c>
      <c r="X703" s="373">
        <f ca="1">IF(X$700 &gt;= '2.2 Input_General_Information'!$H$20, X714*'2.3 Input_Main_Questionnaire'!$J$35,)</f>
        <v>4.5561466675558037E-3</v>
      </c>
      <c r="Y703" s="373">
        <f ca="1">IF(Y$700 &gt;= '2.2 Input_General_Information'!$H$20, Y714*'2.3 Input_Main_Questionnaire'!$J$35,)</f>
        <v>4.3870796336375681E-3</v>
      </c>
      <c r="Z703" s="373">
        <f ca="1">IF(Z$700 &gt;= '2.2 Input_General_Information'!$H$20, Z714*'2.3 Input_Main_Questionnaire'!$J$35,)</f>
        <v>5.1409084142232464E-3</v>
      </c>
      <c r="AA703" s="373">
        <f ca="1">IF(AA$700 &gt;= '2.2 Input_General_Information'!$H$20, AA714*'2.3 Input_Main_Questionnaire'!$J$35,)</f>
        <v>5.1385015551224308E-3</v>
      </c>
      <c r="AB703" s="373">
        <f ca="1">IF(AB$700 &gt;= '2.2 Input_General_Information'!$H$20, AB714*'2.3 Input_Main_Questionnaire'!$J$35,)</f>
        <v>5.1350446107657462E-3</v>
      </c>
      <c r="AC703" s="373">
        <f ca="1">IF(AC$700 &gt;= '2.2 Input_General_Information'!$H$20, AC714*'2.3 Input_Main_Questionnaire'!$J$35,)</f>
        <v>5.1303007857549238E-3</v>
      </c>
      <c r="AD703" s="373">
        <f ca="1">IF(AD$700 &gt;= '2.2 Input_General_Information'!$H$20, AD714*'2.3 Input_Main_Questionnaire'!$J$35,)</f>
        <v>5.123798490380198E-3</v>
      </c>
      <c r="AE703" s="373">
        <f ca="1">IF(AE$700 &gt;= '2.2 Input_General_Information'!$H$20, AE714*'2.3 Input_Main_Questionnaire'!$J$35,)</f>
        <v>5.1146792326676217E-3</v>
      </c>
      <c r="AF703" s="373">
        <f ca="1">IF(AF$700 &gt;= '2.2 Input_General_Information'!$H$20, AF714*'2.3 Input_Main_Questionnaire'!$J$35,)</f>
        <v>5.1014891416926852E-3</v>
      </c>
      <c r="AG703" s="373">
        <f ca="1">IF(AG$700 &gt;= '2.2 Input_General_Information'!$H$20, AG714*'2.3 Input_Main_Questionnaire'!$J$35,)</f>
        <v>5.0818764253122792E-3</v>
      </c>
      <c r="AH703" s="373">
        <f ca="1">IF(AH$700 &gt;= '2.2 Input_General_Information'!$H$20, AH714*'2.3 Input_Main_Questionnaire'!$J$35,)</f>
        <v>5.0521498147953238E-3</v>
      </c>
      <c r="AI703" s="373">
        <f ca="1">IF(AI$700 &gt;= '2.2 Input_General_Information'!$H$20, AI714*'2.3 Input_Main_Questionnaire'!$J$35,)</f>
        <v>5.0066561358560399E-3</v>
      </c>
      <c r="AJ703" s="373">
        <f ca="1">IF(AJ$700 &gt;= '2.2 Input_General_Information'!$H$20, AJ714*'2.3 Input_Main_Questionnaire'!$J$35,)</f>
        <v>4.9369739618545161E-3</v>
      </c>
      <c r="AK703" s="373">
        <f ca="1">IF(AK$700 &gt;= '2.2 Input_General_Information'!$H$20, AK714*'2.3 Input_Main_Questionnaire'!$J$35,)</f>
        <v>4.831045192587387E-3</v>
      </c>
      <c r="AL703" s="373">
        <f ca="1">IF(AL$700 &gt;= '2.2 Input_General_Information'!$H$20, AL714*'2.3 Input_Main_Questionnaire'!$J$35,)</f>
        <v>4.6726615048279189E-3</v>
      </c>
      <c r="AM703" s="373">
        <f ca="1">IF(AM$700 &gt;= '2.2 Input_General_Information'!$H$20, AM714*'2.3 Input_Main_Questionnaire'!$J$35,)</f>
        <v>4.4422559292722555E-3</v>
      </c>
      <c r="AN703" s="373">
        <f ca="1">IF(AN$700 &gt;= '2.2 Input_General_Information'!$H$20, AN714*'2.3 Input_Main_Questionnaire'!$J$35,)</f>
        <v>4.1205489881612489E-3</v>
      </c>
      <c r="AO703" s="373">
        <f ca="1">IF(AO$700 &gt;= '2.2 Input_General_Information'!$H$20, AO714*'2.3 Input_Main_Questionnaire'!$J$35,)</f>
        <v>3.6963903034483527E-3</v>
      </c>
      <c r="AP703" s="373">
        <f ca="1">IF(AP$700 &gt;= '2.2 Input_General_Information'!$H$20, AP714*'2.3 Input_Main_Questionnaire'!$J$35,)</f>
        <v>3.1774893100194679E-3</v>
      </c>
      <c r="AQ703" s="373">
        <f ca="1">IF(AQ$700 &gt;= '2.2 Input_General_Information'!$H$20, AQ714*'2.3 Input_Main_Questionnaire'!$J$35,)</f>
        <v>2.5975124056313225E-3</v>
      </c>
      <c r="AR703" s="373">
        <f ca="1">IF(AR$700 &gt;= '2.2 Input_General_Information'!$H$20, AR714*'2.3 Input_Main_Questionnaire'!$J$35,)</f>
        <v>2.0107219924983769E-3</v>
      </c>
      <c r="AS703" s="373">
        <f ca="1">IF(AS$700 &gt;= '2.2 Input_General_Information'!$H$20, AS714*'2.3 Input_Main_Questionnaire'!$J$35,)</f>
        <v>1.4734089217051148E-3</v>
      </c>
      <c r="AT703" s="373">
        <f ca="1">IF(AT$700 &gt;= '2.2 Input_General_Information'!$H$20, AT714*'2.3 Input_Main_Questionnaire'!$J$35,)</f>
        <v>1.0242314161601224E-3</v>
      </c>
      <c r="AU703" s="373">
        <f ca="1">IF(AU$700 &gt;= '2.2 Input_General_Information'!$H$20, AU714*'2.3 Input_Main_Questionnaire'!$J$35,)</f>
        <v>6.7644307088423597E-4</v>
      </c>
      <c r="AV703" s="373">
        <f ca="1">IF(AV$700 &gt;= '2.2 Input_General_Information'!$H$20, AV714*'2.3 Input_Main_Questionnaire'!$J$35,)</f>
        <v>4.2295501226899461E-4</v>
      </c>
      <c r="AW703" s="373">
        <f ca="1">IF(AW$700 &gt;= '2.2 Input_General_Information'!$H$20, AW714*'2.3 Input_Main_Questionnaire'!$J$35,)</f>
        <v>2.463819078198384E-4</v>
      </c>
      <c r="AX703" s="373">
        <f ca="1">IF(AX$700 &gt;= '2.2 Input_General_Information'!$H$20, AX714*'2.3 Input_Main_Questionnaire'!$J$35,)</f>
        <v>1.2732899185339625E-4</v>
      </c>
      <c r="AY703" s="373">
        <f ca="1">IF(AY$700 &gt;= '2.2 Input_General_Information'!$H$20, AY714*'2.3 Input_Main_Questionnaire'!$J$35,)</f>
        <v>4.8856260893715656E-5</v>
      </c>
      <c r="AZ703" s="373">
        <f ca="1">IF(AZ$700 &gt;= '2.2 Input_General_Information'!$H$20, AZ714*'2.3 Input_Main_Questionnaire'!$J$35,)</f>
        <v>-2.0824504307269554E-6</v>
      </c>
      <c r="BA703" s="373">
        <f ca="1">IF(BA$700 &gt;= '2.2 Input_General_Information'!$H$20, BA714*'2.3 Input_Main_Questionnaire'!$J$35,)</f>
        <v>-3.4814873508058931E-5</v>
      </c>
      <c r="BB703" s="373">
        <f ca="1">IF(BB$700 &gt;= '2.2 Input_General_Information'!$H$20, BB714*'2.3 Input_Main_Questionnaire'!$J$35,)</f>
        <v>-5.5709945570256722E-5</v>
      </c>
      <c r="BC703" s="373">
        <f ca="1">IF(BC$700 &gt;= '2.2 Input_General_Information'!$H$20, BC714*'2.3 Input_Main_Questionnaire'!$J$35,)</f>
        <v>-6.8991987110033541E-5</v>
      </c>
      <c r="BD703" s="373">
        <f ca="1">IF(BD$700 &gt;= '2.2 Input_General_Information'!$H$20, BD714*'2.3 Input_Main_Questionnaire'!$J$35,)</f>
        <v>-7.7411880979703489E-5</v>
      </c>
      <c r="BE703" s="373">
        <f ca="1">IF(BE$700 &gt;= '2.2 Input_General_Information'!$H$20, BE714*'2.3 Input_Main_Questionnaire'!$J$35,)</f>
        <v>-8.274030045990767E-5</v>
      </c>
      <c r="BF703" s="373">
        <f ca="1">IF(BF$700 &gt;= '2.2 Input_General_Information'!$H$20, BF714*'2.3 Input_Main_Questionnaire'!$J$35,)</f>
        <v>-8.6108631327859439E-5</v>
      </c>
      <c r="BG703" s="373">
        <f ca="1">IF(BG$700 &gt;= '2.2 Input_General_Information'!$H$20, BG714*'2.3 Input_Main_Questionnaire'!$J$35,)</f>
        <v>-8.823642902069206E-5</v>
      </c>
      <c r="BH703" s="373">
        <f ca="1">IF(BH$700 &gt;= '2.2 Input_General_Information'!$H$20, BH714*'2.3 Input_Main_Questionnaire'!$J$35,)</f>
        <v>-8.9579985618778695E-5</v>
      </c>
      <c r="BI703" s="373">
        <f ca="1">IF(BI$700 &gt;= '2.2 Input_General_Information'!$H$20, BI714*'2.3 Input_Main_Questionnaire'!$J$35,)</f>
        <v>-9.0428114299221288E-5</v>
      </c>
      <c r="BJ703" s="373">
        <f ca="1">IF(BJ$700 &gt;= '2.2 Input_General_Information'!$H$20, BJ714*'2.3 Input_Main_Questionnaire'!$J$35,)</f>
        <v>-9.0963407812134868E-5</v>
      </c>
      <c r="BK703" s="373">
        <f ca="1">IF(BK$700 &gt;= '2.2 Input_General_Information'!$H$20, BK714*'2.3 Input_Main_Questionnaire'!$J$35,)</f>
        <v>-9.1301219457406768E-5</v>
      </c>
      <c r="BL703" s="381"/>
      <c r="BM703" s="381"/>
      <c r="BN703" s="381"/>
      <c r="BO703" s="381"/>
      <c r="BP703" s="381"/>
      <c r="BQ703" s="381"/>
      <c r="BR703" s="381"/>
      <c r="BS703" s="381"/>
      <c r="BT703" s="381"/>
      <c r="BU703" s="381"/>
    </row>
    <row r="704" spans="1:73" hidden="1">
      <c r="A704" s="6"/>
      <c r="B704" s="108"/>
      <c r="C704" s="1"/>
      <c r="D704" s="1"/>
      <c r="E704" s="1"/>
      <c r="F704" s="1"/>
      <c r="G704" s="3"/>
      <c r="H704" s="3"/>
      <c r="I704" s="3"/>
      <c r="J704" s="3"/>
      <c r="K704" s="3"/>
      <c r="L704" s="3"/>
      <c r="M704" s="3"/>
      <c r="N704" s="3"/>
      <c r="O704" s="1"/>
      <c r="P704" s="1"/>
      <c r="Q704" s="1"/>
      <c r="R704" s="162"/>
      <c r="S704" s="1"/>
      <c r="T704" s="103"/>
      <c r="U704" s="103"/>
      <c r="V704" s="103" t="str">
        <f>$J$10</f>
        <v>Other</v>
      </c>
      <c r="W704" s="373">
        <f ca="1">IF(W$700 &gt;= '2.2 Input_General_Information'!$H$20, W715*'2.3 Input_Main_Questionnaire'!$K$35,)</f>
        <v>1.7894518943800002E-3</v>
      </c>
      <c r="X704" s="373">
        <f ca="1">IF(X$700 &gt;= '2.2 Input_General_Information'!$H$20, X715*'2.3 Input_Main_Questionnaire'!$K$35,)</f>
        <v>1.4848773877355252E-3</v>
      </c>
      <c r="Y704" s="373">
        <f ca="1">IF(Y$700 &gt;= '2.2 Input_General_Information'!$H$20, Y715*'2.3 Input_Main_Questionnaire'!$K$35,)</f>
        <v>1.4068491794411123E-3</v>
      </c>
      <c r="Z704" s="373">
        <f ca="1">IF(Z$700 &gt;= '2.2 Input_General_Information'!$H$20, Z715*'2.3 Input_Main_Questionnaire'!$K$35,)</f>
        <v>1.7551049322075956E-3</v>
      </c>
      <c r="AA704" s="373">
        <f ca="1">IF(AA$700 &gt;= '2.2 Input_General_Information'!$H$20, AA715*'2.3 Input_Main_Questionnaire'!$K$35,)</f>
        <v>1.754137415639891E-3</v>
      </c>
      <c r="AB704" s="373">
        <f ca="1">IF(AB$700 &gt;= '2.2 Input_General_Information'!$H$20, AB715*'2.3 Input_Main_Questionnaire'!$K$35,)</f>
        <v>1.7527690609794584E-3</v>
      </c>
      <c r="AC704" s="373">
        <f ca="1">IF(AC$700 &gt;= '2.2 Input_General_Information'!$H$20, AC715*'2.3 Input_Main_Questionnaire'!$K$35,)</f>
        <v>1.7509395159679049E-3</v>
      </c>
      <c r="AD704" s="373">
        <f ca="1">IF(AD$700 &gt;= '2.2 Input_General_Information'!$H$20, AD715*'2.3 Input_Main_Questionnaire'!$K$35,)</f>
        <v>1.7485083415517378E-3</v>
      </c>
      <c r="AE704" s="373">
        <f ca="1">IF(AE$700 &gt;= '2.2 Input_General_Information'!$H$20, AE715*'2.3 Input_Main_Questionnaire'!$K$35,)</f>
        <v>1.745200875603567E-3</v>
      </c>
      <c r="AF704" s="373">
        <f ca="1">IF(AF$700 &gt;= '2.2 Input_General_Information'!$H$20, AF715*'2.3 Input_Main_Questionnaire'!$K$35,)</f>
        <v>1.740536791115213E-3</v>
      </c>
      <c r="AG704" s="373">
        <f ca="1">IF(AG$700 &gt;= '2.2 Input_General_Information'!$H$20, AG715*'2.3 Input_Main_Questionnaire'!$K$35,)</f>
        <v>1.7337280206188123E-3</v>
      </c>
      <c r="AH704" s="373">
        <f ca="1">IF(AH$700 &gt;= '2.2 Input_General_Information'!$H$20, AH715*'2.3 Input_Main_Questionnaire'!$K$35,)</f>
        <v>1.7235303014832522E-3</v>
      </c>
      <c r="AI704" s="373">
        <f ca="1">IF(AI$700 &gt;= '2.2 Input_General_Information'!$H$20, AI715*'2.3 Input_Main_Questionnaire'!$K$35,)</f>
        <v>1.7080335542528E-3</v>
      </c>
      <c r="AJ704" s="373">
        <f ca="1">IF(AJ$700 &gt;= '2.2 Input_General_Information'!$H$20, AJ715*'2.3 Input_Main_Questionnaire'!$K$35,)</f>
        <v>1.6843893042039959E-3</v>
      </c>
      <c r="AK704" s="373">
        <f ca="1">IF(AK$700 &gt;= '2.2 Input_General_Information'!$H$20, AK715*'2.3 Input_Main_Questionnaire'!$K$35,)</f>
        <v>1.6485151614142382E-3</v>
      </c>
      <c r="AL704" s="373">
        <f ca="1">IF(AL$700 &gt;= '2.2 Input_General_Information'!$H$20, AL715*'2.3 Input_Main_Questionnaire'!$K$35,)</f>
        <v>1.5949152750019499E-3</v>
      </c>
      <c r="AM704" s="373">
        <f ca="1">IF(AM$700 &gt;= '2.2 Input_General_Information'!$H$20, AM715*'2.3 Input_Main_Questionnaire'!$K$35,)</f>
        <v>1.516935026194977E-3</v>
      </c>
      <c r="AN704" s="373">
        <f ca="1">IF(AN$700 &gt;= '2.2 Input_General_Information'!$H$20, AN715*'2.3 Input_Main_Questionnaire'!$K$35,)</f>
        <v>1.4079718384330314E-3</v>
      </c>
      <c r="AO704" s="373">
        <f ca="1">IF(AO$700 &gt;= '2.2 Input_General_Information'!$H$20, AO715*'2.3 Input_Main_Questionnaire'!$K$35,)</f>
        <v>1.264101601882187E-3</v>
      </c>
      <c r="AP704" s="373">
        <f ca="1">IF(AP$700 &gt;= '2.2 Input_General_Information'!$H$20, AP715*'2.3 Input_Main_Questionnaire'!$K$35,)</f>
        <v>1.0877044974139985E-3</v>
      </c>
      <c r="AQ704" s="373">
        <f ca="1">IF(AQ$700 &gt;= '2.2 Input_General_Information'!$H$20, AQ715*'2.3 Input_Main_Questionnaire'!$K$35,)</f>
        <v>8.8992633544731823E-4</v>
      </c>
      <c r="AR704" s="373">
        <f ca="1">IF(AR$700 &gt;= '2.2 Input_General_Information'!$H$20, AR715*'2.3 Input_Main_Questionnaire'!$K$35,)</f>
        <v>6.8900127346396085E-4</v>
      </c>
      <c r="AS704" s="373">
        <f ca="1">IF(AS$700 &gt;= '2.2 Input_General_Information'!$H$20, AS715*'2.3 Input_Main_Questionnaire'!$K$35,)</f>
        <v>5.041003321717228E-4</v>
      </c>
      <c r="AT704" s="373">
        <f ca="1">IF(AT$700 &gt;= '2.2 Input_General_Information'!$H$20, AT715*'2.3 Input_Main_Questionnaire'!$K$35,)</f>
        <v>3.4867485578151698E-4</v>
      </c>
      <c r="AU704" s="373">
        <f ca="1">IF(AU$700 &gt;= '2.2 Input_General_Information'!$H$20, AU715*'2.3 Input_Main_Questionnaire'!$K$35,)</f>
        <v>2.2766566143536646E-4</v>
      </c>
      <c r="AV704" s="373">
        <f ca="1">IF(AV$700 &gt;= '2.2 Input_General_Information'!$H$20, AV715*'2.3 Input_Main_Questionnaire'!$K$35,)</f>
        <v>1.3902449340956306E-4</v>
      </c>
      <c r="AW704" s="373">
        <f ca="1">IF(AW$700 &gt;= '2.2 Input_General_Information'!$H$20, AW715*'2.3 Input_Main_Questionnaire'!$K$35,)</f>
        <v>7.7023608652951293E-5</v>
      </c>
      <c r="AX704" s="373">
        <f ca="1">IF(AX$700 &gt;= '2.2 Input_General_Information'!$H$20, AX715*'2.3 Input_Main_Questionnaire'!$K$35,)</f>
        <v>3.5087922682752181E-5</v>
      </c>
      <c r="AY704" s="373">
        <f ca="1">IF(AY$700 &gt;= '2.2 Input_General_Information'!$H$20, AY715*'2.3 Input_Main_Questionnaire'!$K$35,)</f>
        <v>7.3836493956539938E-6</v>
      </c>
      <c r="AZ704" s="373">
        <f ca="1">IF(AZ$700 &gt;= '2.2 Input_General_Information'!$H$20, AZ715*'2.3 Input_Main_Questionnaire'!$K$35,)</f>
        <v>-1.0627950775544292E-5</v>
      </c>
      <c r="BA704" s="373">
        <f ca="1">IF(BA$700 &gt;= '2.2 Input_General_Information'!$H$20, BA715*'2.3 Input_Main_Questionnaire'!$K$35,)</f>
        <v>-2.2213940176933792E-5</v>
      </c>
      <c r="BB704" s="373">
        <f ca="1">IF(BB$700 &gt;= '2.2 Input_General_Information'!$H$20, BB715*'2.3 Input_Main_Questionnaire'!$K$35,)</f>
        <v>-2.9614981890349479E-5</v>
      </c>
      <c r="BC704" s="373">
        <f ca="1">IF(BC$700 &gt;= '2.2 Input_General_Information'!$H$20, BC715*'2.3 Input_Main_Questionnaire'!$K$35,)</f>
        <v>-3.4321534840236321E-5</v>
      </c>
      <c r="BD704" s="373">
        <f ca="1">IF(BD$700 &gt;= '2.2 Input_General_Information'!$H$20, BD715*'2.3 Input_Main_Questionnaire'!$K$35,)</f>
        <v>-3.730599128312447E-5</v>
      </c>
      <c r="BE704" s="373">
        <f ca="1">IF(BE$700 &gt;= '2.2 Input_General_Information'!$H$20, BE715*'2.3 Input_Main_Questionnaire'!$K$35,)</f>
        <v>-3.9194997161700363E-5</v>
      </c>
      <c r="BF704" s="373">
        <f ca="1">IF(BF$700 &gt;= '2.2 Input_General_Information'!$H$20, BF715*'2.3 Input_Main_Questionnaire'!$K$35,)</f>
        <v>-4.0389253850708922E-5</v>
      </c>
      <c r="BG704" s="373">
        <f ca="1">IF(BG$700 &gt;= '2.2 Input_General_Information'!$H$20, BG715*'2.3 Input_Main_Questionnaire'!$K$35,)</f>
        <v>-4.1143726322787276E-5</v>
      </c>
      <c r="BH704" s="373">
        <f ca="1">IF(BH$700 &gt;= '2.2 Input_General_Information'!$H$20, BH715*'2.3 Input_Main_Questionnaire'!$K$35,)</f>
        <v>-4.1620143988458802E-5</v>
      </c>
      <c r="BI704" s="373">
        <f ca="1">IF(BI$700 &gt;= '2.2 Input_General_Information'!$H$20, BI715*'2.3 Input_Main_Questionnaire'!$K$35,)</f>
        <v>-4.1920893796779026E-5</v>
      </c>
      <c r="BJ704" s="373">
        <f ca="1">IF(BJ$700 &gt;= '2.2 Input_General_Information'!$H$20, BJ715*'2.3 Input_Main_Questionnaire'!$K$35,)</f>
        <v>-4.2110714183381205E-5</v>
      </c>
      <c r="BK704" s="373">
        <f ca="1">IF(BK$700 &gt;= '2.2 Input_General_Information'!$H$20, BK715*'2.3 Input_Main_Questionnaire'!$K$35,)</f>
        <v>-4.2230506777421677E-5</v>
      </c>
      <c r="BL704" s="381"/>
      <c r="BM704" s="381"/>
      <c r="BN704" s="381"/>
      <c r="BO704" s="381"/>
      <c r="BP704" s="381"/>
      <c r="BQ704" s="381"/>
      <c r="BR704" s="381"/>
      <c r="BS704" s="381"/>
      <c r="BT704" s="381"/>
      <c r="BU704" s="381"/>
    </row>
    <row r="705" spans="1:73" hidden="1">
      <c r="A705" s="6"/>
      <c r="B705" s="108"/>
      <c r="C705" s="1"/>
      <c r="D705" s="1"/>
      <c r="E705" s="1"/>
      <c r="F705" s="12"/>
      <c r="G705" s="3"/>
      <c r="H705" s="3"/>
      <c r="I705" s="3"/>
      <c r="J705" s="3"/>
      <c r="K705" s="3"/>
      <c r="L705" s="3"/>
      <c r="M705" s="3"/>
      <c r="N705" s="3"/>
      <c r="O705" s="1"/>
      <c r="P705" s="1"/>
      <c r="Q705" s="1"/>
      <c r="R705" s="162"/>
      <c r="S705" s="1"/>
      <c r="T705" s="103"/>
      <c r="U705" s="103"/>
      <c r="V705" s="103" t="str">
        <f>$K$10</f>
        <v>Profile 5</v>
      </c>
      <c r="W705" s="373">
        <f ca="1">IF(W$700 &gt;= '2.2 Input_General_Information'!$H$20, W716*'2.3 Input_Main_Questionnaire'!$L$35,)</f>
        <v>3.2137140635841257E-3</v>
      </c>
      <c r="X705" s="373">
        <f ca="1">IF(X$700 &gt;= '2.2 Input_General_Information'!$H$20, X716*'2.3 Input_Main_Questionnaire'!$L$35,)</f>
        <v>2.7544048930316003E-3</v>
      </c>
      <c r="Y705" s="373">
        <f ca="1">IF(Y$700 &gt;= '2.2 Input_General_Information'!$H$20, Y716*'2.3 Input_Main_Questionnaire'!$L$35,)</f>
        <v>2.6366955454814596E-3</v>
      </c>
      <c r="Z705" s="373">
        <f ca="1">IF(Z$700 &gt;= '2.2 Input_General_Information'!$H$20, Z716*'2.3 Input_Main_Questionnaire'!$L$35,)</f>
        <v>3.161767447951094E-3</v>
      </c>
      <c r="AA705" s="373">
        <f ca="1">IF(AA$700 &gt;= '2.2 Input_General_Information'!$H$20, AA716*'2.3 Input_Main_Questionnaire'!$L$35,)</f>
        <v>3.1601886015507293E-3</v>
      </c>
      <c r="AB705" s="373">
        <f ca="1">IF(AB$700 &gt;= '2.2 Input_General_Information'!$H$20, AB716*'2.3 Input_Main_Questionnaire'!$L$35,)</f>
        <v>3.1579353074675039E-3</v>
      </c>
      <c r="AC705" s="373">
        <f ca="1">IF(AC$700 &gt;= '2.2 Input_General_Information'!$H$20, AC716*'2.3 Input_Main_Questionnaire'!$L$35,)</f>
        <v>3.1548757833431743E-3</v>
      </c>
      <c r="AD705" s="373">
        <f ca="1">IF(AD$700 &gt;= '2.2 Input_General_Information'!$H$20, AD716*'2.3 Input_Main_Questionnaire'!$L$35,)</f>
        <v>3.1507338919763176E-3</v>
      </c>
      <c r="AE705" s="373">
        <f ca="1">IF(AE$700 &gt;= '2.2 Input_General_Information'!$H$20, AE716*'2.3 Input_Main_Questionnaire'!$L$35,)</f>
        <v>3.1449940999221811E-3</v>
      </c>
      <c r="AF705" s="373">
        <f ca="1">IF(AF$700 &gt;= '2.2 Input_General_Information'!$H$20, AF716*'2.3 Input_Main_Questionnaire'!$L$35,)</f>
        <v>3.1367730787982754E-3</v>
      </c>
      <c r="AG705" s="373">
        <f ca="1">IF(AG$700 &gt;= '2.2 Input_General_Information'!$H$20, AG716*'2.3 Input_Main_Questionnaire'!$L$35,)</f>
        <v>3.1246344549390411E-3</v>
      </c>
      <c r="AH705" s="373">
        <f ca="1">IF(AH$700 &gt;= '2.2 Input_General_Information'!$H$20, AH716*'2.3 Input_Main_Questionnaire'!$L$35,)</f>
        <v>3.1063187931185698E-3</v>
      </c>
      <c r="AI705" s="373">
        <f ca="1">IF(AI$700 &gt;= '2.2 Input_General_Information'!$H$20, AI716*'2.3 Input_Main_Questionnaire'!$L$35,)</f>
        <v>3.0783627334819014E-3</v>
      </c>
      <c r="AJ705" s="373">
        <f ca="1">IF(AJ$700 &gt;= '2.2 Input_General_Information'!$H$20, AJ716*'2.3 Input_Main_Questionnaire'!$L$35,)</f>
        <v>3.0356049020320627E-3</v>
      </c>
      <c r="AK705" s="373">
        <f ca="1">IF(AK$700 &gt;= '2.2 Input_General_Information'!$H$20, AK716*'2.3 Input_Main_Questionnaire'!$L$35,)</f>
        <v>2.970652461444605E-3</v>
      </c>
      <c r="AL705" s="373">
        <f ca="1">IF(AL$700 &gt;= '2.2 Input_General_Information'!$H$20, AL716*'2.3 Input_Main_Questionnaire'!$L$35,)</f>
        <v>2.8735624143296267E-3</v>
      </c>
      <c r="AM705" s="373">
        <f ca="1">IF(AM$700 &gt;= '2.2 Input_General_Information'!$H$20, AM716*'2.3 Input_Main_Questionnaire'!$L$35,)</f>
        <v>2.7323179266188569E-3</v>
      </c>
      <c r="AN705" s="373">
        <f ca="1">IF(AN$700 &gt;= '2.2 Input_General_Information'!$H$20, AN716*'2.3 Input_Main_Questionnaire'!$L$35,)</f>
        <v>2.5350478072046082E-3</v>
      </c>
      <c r="AO705" s="373">
        <f ca="1">IF(AO$700 &gt;= '2.2 Input_General_Information'!$H$20, AO716*'2.3 Input_Main_Questionnaire'!$L$35,)</f>
        <v>2.274814988519044E-3</v>
      </c>
      <c r="AP705" s="373">
        <f ca="1">IF(AP$700 &gt;= '2.2 Input_General_Information'!$H$20, AP716*'2.3 Input_Main_Questionnaire'!$L$35,)</f>
        <v>1.9561906967171206E-3</v>
      </c>
      <c r="AQ705" s="373">
        <f ca="1">IF(AQ$700 &gt;= '2.2 Input_General_Information'!$H$20, AQ716*'2.3 Input_Main_Questionnaire'!$L$35,)</f>
        <v>1.5996452910970883E-3</v>
      </c>
      <c r="AR705" s="373">
        <f ca="1">IF(AR$700 &gt;= '2.2 Input_General_Information'!$H$20, AR716*'2.3 Input_Main_Questionnaire'!$L$35,)</f>
        <v>1.2383545599184511E-3</v>
      </c>
      <c r="AS705" s="373">
        <f ca="1">IF(AS$700 &gt;= '2.2 Input_General_Information'!$H$20, AS716*'2.3 Input_Main_Questionnaire'!$L$35,)</f>
        <v>9.0690702174279169E-4</v>
      </c>
      <c r="AT705" s="373">
        <f ca="1">IF(AT$700 &gt;= '2.2 Input_General_Information'!$H$20, AT716*'2.3 Input_Main_Questionnaire'!$L$35,)</f>
        <v>6.2924963454378939E-4</v>
      </c>
      <c r="AU705" s="373">
        <f ca="1">IF(AU$700 &gt;= '2.2 Input_General_Information'!$H$20, AU716*'2.3 Input_Main_Questionnaire'!$L$35,)</f>
        <v>4.1381490150336272E-4</v>
      </c>
      <c r="AV705" s="373">
        <f ca="1">IF(AV$700 &gt;= '2.2 Input_General_Information'!$H$20, AV716*'2.3 Input_Main_Questionnaire'!$L$35,)</f>
        <v>2.5649442403148138E-4</v>
      </c>
      <c r="AW705" s="373">
        <f ca="1">IF(AW$700 &gt;= '2.2 Input_General_Information'!$H$20, AW716*'2.3 Input_Main_Questionnaire'!$L$35,)</f>
        <v>1.4673620444522869E-4</v>
      </c>
      <c r="AX705" s="373">
        <f ca="1">IF(AX$700 &gt;= '2.2 Input_General_Information'!$H$20, AX716*'2.3 Input_Main_Questionnaire'!$L$35,)</f>
        <v>7.2643341338369315E-5</v>
      </c>
      <c r="AY705" s="373">
        <f ca="1">IF(AY$700 &gt;= '2.2 Input_General_Information'!$H$20, AY716*'2.3 Input_Main_Questionnaire'!$L$35,)</f>
        <v>2.3763252448157847E-5</v>
      </c>
      <c r="AZ705" s="373">
        <f ca="1">IF(AZ$700 &gt;= '2.2 Input_General_Information'!$H$20, AZ716*'2.3 Input_Main_Questionnaire'!$L$35,)</f>
        <v>-7.9850458591425677E-6</v>
      </c>
      <c r="BA705" s="373">
        <f ca="1">IF(BA$700 &gt;= '2.2 Input_General_Information'!$H$20, BA716*'2.3 Input_Main_Questionnaire'!$L$35,)</f>
        <v>-2.8394131156616092E-5</v>
      </c>
      <c r="BB705" s="373">
        <f ca="1">IF(BB$700 &gt;= '2.2 Input_General_Information'!$H$20, BB716*'2.3 Input_Main_Questionnaire'!$L$35,)</f>
        <v>-4.1425862432301352E-5</v>
      </c>
      <c r="BC705" s="373">
        <f ca="1">IF(BC$700 &gt;= '2.2 Input_General_Information'!$H$20, BC716*'2.3 Input_Main_Questionnaire'!$L$35,)</f>
        <v>-4.9710923301632209E-5</v>
      </c>
      <c r="BD705" s="373">
        <f ca="1">IF(BD$700 &gt;= '2.2 Input_General_Information'!$H$20, BD716*'2.3 Input_Main_Questionnaire'!$L$35,)</f>
        <v>-5.4963637516316588E-5</v>
      </c>
      <c r="BE705" s="373">
        <f ca="1">IF(BE$700 &gt;= '2.2 Input_General_Information'!$H$20, BE716*'2.3 Input_Main_Questionnaire'!$L$35,)</f>
        <v>-5.8287973128344039E-5</v>
      </c>
      <c r="BF705" s="373">
        <f ca="1">IF(BF$700 &gt;= '2.2 Input_General_Information'!$H$20, BF716*'2.3 Input_Main_Questionnaire'!$L$35,)</f>
        <v>-6.0389522770458047E-5</v>
      </c>
      <c r="BG705" s="373">
        <f ca="1">IF(BG$700 &gt;= '2.2 Input_General_Information'!$H$20, BG716*'2.3 Input_Main_Questionnaire'!$L$35,)</f>
        <v>-6.1717121463637792E-5</v>
      </c>
      <c r="BH705" s="373">
        <f ca="1">IF(BH$700 &gt;= '2.2 Input_General_Information'!$H$20, BH716*'2.3 Input_Main_Questionnaire'!$L$35,)</f>
        <v>-6.2555421879295577E-5</v>
      </c>
      <c r="BI705" s="373">
        <f ca="1">IF(BI$700 &gt;= '2.2 Input_General_Information'!$H$20, BI716*'2.3 Input_Main_Questionnaire'!$L$35,)</f>
        <v>-6.3084609854981884E-5</v>
      </c>
      <c r="BJ705" s="373">
        <f ca="1">IF(BJ$700 &gt;= '2.2 Input_General_Information'!$H$20, BJ716*'2.3 Input_Main_Questionnaire'!$L$35,)</f>
        <v>-6.3418607180316505E-5</v>
      </c>
      <c r="BK705" s="373">
        <f ca="1">IF(BK$700 &gt;= '2.2 Input_General_Information'!$H$20, BK716*'2.3 Input_Main_Questionnaire'!$L$35,)</f>
        <v>-6.3629386183584606E-5</v>
      </c>
      <c r="BL705" s="381"/>
      <c r="BM705" s="381"/>
      <c r="BN705" s="381"/>
      <c r="BO705" s="381"/>
      <c r="BP705" s="381"/>
      <c r="BQ705" s="381"/>
      <c r="BR705" s="381"/>
      <c r="BS705" s="381"/>
      <c r="BT705" s="381"/>
      <c r="BU705" s="381"/>
    </row>
    <row r="706" spans="1:73" hidden="1">
      <c r="A706" s="6"/>
      <c r="B706" s="108"/>
      <c r="C706" s="1"/>
      <c r="D706" s="1"/>
      <c r="E706" s="1"/>
      <c r="F706" s="12"/>
      <c r="G706" s="3"/>
      <c r="H706" s="3"/>
      <c r="I706" s="3"/>
      <c r="J706" s="3"/>
      <c r="K706" s="3"/>
      <c r="L706" s="3"/>
      <c r="M706" s="3"/>
      <c r="N706" s="3"/>
      <c r="O706" s="1"/>
      <c r="P706" s="1"/>
      <c r="Q706" s="36"/>
      <c r="R706" s="162"/>
      <c r="S706" s="1"/>
      <c r="T706" s="103"/>
      <c r="U706" s="103"/>
      <c r="V706" s="103" t="str">
        <f>$L$10</f>
        <v>Profile 6</v>
      </c>
      <c r="W706" s="373">
        <f ca="1">IF(W$700 &gt;= '2.2 Input_General_Information'!$H$20, W717*'2.3 Input_Main_Questionnaire'!$M$35,)</f>
        <v>3.2137140635841257E-3</v>
      </c>
      <c r="X706" s="373">
        <f ca="1">IF(X$700 &gt;= '2.2 Input_General_Information'!$H$20, X717*'2.3 Input_Main_Questionnaire'!$M$35,)</f>
        <v>2.7544048930316003E-3</v>
      </c>
      <c r="Y706" s="373">
        <f ca="1">IF(Y$700 &gt;= '2.2 Input_General_Information'!$H$20, Y717*'2.3 Input_Main_Questionnaire'!$M$35,)</f>
        <v>2.6366955454814596E-3</v>
      </c>
      <c r="Z706" s="373">
        <f ca="1">IF(Z$700 &gt;= '2.2 Input_General_Information'!$H$20, Z717*'2.3 Input_Main_Questionnaire'!$M$35,)</f>
        <v>3.161767447951094E-3</v>
      </c>
      <c r="AA706" s="373">
        <f ca="1">IF(AA$700 &gt;= '2.2 Input_General_Information'!$H$20, AA717*'2.3 Input_Main_Questionnaire'!$M$35,)</f>
        <v>3.1601886015507293E-3</v>
      </c>
      <c r="AB706" s="373">
        <f ca="1">IF(AB$700 &gt;= '2.2 Input_General_Information'!$H$20, AB717*'2.3 Input_Main_Questionnaire'!$M$35,)</f>
        <v>3.1579353074675039E-3</v>
      </c>
      <c r="AC706" s="373">
        <f ca="1">IF(AC$700 &gt;= '2.2 Input_General_Information'!$H$20, AC717*'2.3 Input_Main_Questionnaire'!$M$35,)</f>
        <v>3.1548757833431743E-3</v>
      </c>
      <c r="AD706" s="373">
        <f ca="1">IF(AD$700 &gt;= '2.2 Input_General_Information'!$H$20, AD717*'2.3 Input_Main_Questionnaire'!$M$35,)</f>
        <v>3.1507338919763176E-3</v>
      </c>
      <c r="AE706" s="373">
        <f ca="1">IF(AE$700 &gt;= '2.2 Input_General_Information'!$H$20, AE717*'2.3 Input_Main_Questionnaire'!$M$35,)</f>
        <v>3.1449940999221811E-3</v>
      </c>
      <c r="AF706" s="373">
        <f ca="1">IF(AF$700 &gt;= '2.2 Input_General_Information'!$H$20, AF717*'2.3 Input_Main_Questionnaire'!$M$35,)</f>
        <v>3.1367730787982754E-3</v>
      </c>
      <c r="AG706" s="373">
        <f ca="1">IF(AG$700 &gt;= '2.2 Input_General_Information'!$H$20, AG717*'2.3 Input_Main_Questionnaire'!$M$35,)</f>
        <v>3.1246344549390411E-3</v>
      </c>
      <c r="AH706" s="373">
        <f ca="1">IF(AH$700 &gt;= '2.2 Input_General_Information'!$H$20, AH717*'2.3 Input_Main_Questionnaire'!$M$35,)</f>
        <v>3.1063187931185698E-3</v>
      </c>
      <c r="AI706" s="373">
        <f ca="1">IF(AI$700 &gt;= '2.2 Input_General_Information'!$H$20, AI717*'2.3 Input_Main_Questionnaire'!$M$35,)</f>
        <v>3.0783627334819014E-3</v>
      </c>
      <c r="AJ706" s="373">
        <f ca="1">IF(AJ$700 &gt;= '2.2 Input_General_Information'!$H$20, AJ717*'2.3 Input_Main_Questionnaire'!$M$35,)</f>
        <v>3.0356049020320627E-3</v>
      </c>
      <c r="AK706" s="373">
        <f ca="1">IF(AK$700 &gt;= '2.2 Input_General_Information'!$H$20, AK717*'2.3 Input_Main_Questionnaire'!$M$35,)</f>
        <v>2.970652461444605E-3</v>
      </c>
      <c r="AL706" s="373">
        <f ca="1">IF(AL$700 &gt;= '2.2 Input_General_Information'!$H$20, AL717*'2.3 Input_Main_Questionnaire'!$M$35,)</f>
        <v>2.8735624143296267E-3</v>
      </c>
      <c r="AM706" s="373">
        <f ca="1">IF(AM$700 &gt;= '2.2 Input_General_Information'!$H$20, AM717*'2.3 Input_Main_Questionnaire'!$M$35,)</f>
        <v>2.7323179266188569E-3</v>
      </c>
      <c r="AN706" s="373">
        <f ca="1">IF(AN$700 &gt;= '2.2 Input_General_Information'!$H$20, AN717*'2.3 Input_Main_Questionnaire'!$M$35,)</f>
        <v>2.5350478072046082E-3</v>
      </c>
      <c r="AO706" s="373">
        <f ca="1">IF(AO$700 &gt;= '2.2 Input_General_Information'!$H$20, AO717*'2.3 Input_Main_Questionnaire'!$M$35,)</f>
        <v>2.274814988519044E-3</v>
      </c>
      <c r="AP706" s="373">
        <f ca="1">IF(AP$700 &gt;= '2.2 Input_General_Information'!$H$20, AP717*'2.3 Input_Main_Questionnaire'!$M$35,)</f>
        <v>1.9561906967171206E-3</v>
      </c>
      <c r="AQ706" s="373">
        <f ca="1">IF(AQ$700 &gt;= '2.2 Input_General_Information'!$H$20, AQ717*'2.3 Input_Main_Questionnaire'!$M$35,)</f>
        <v>1.5996452910970883E-3</v>
      </c>
      <c r="AR706" s="373">
        <f ca="1">IF(AR$700 &gt;= '2.2 Input_General_Information'!$H$20, AR717*'2.3 Input_Main_Questionnaire'!$M$35,)</f>
        <v>1.2383545599184511E-3</v>
      </c>
      <c r="AS706" s="373">
        <f ca="1">IF(AS$700 &gt;= '2.2 Input_General_Information'!$H$20, AS717*'2.3 Input_Main_Questionnaire'!$M$35,)</f>
        <v>9.0690702174279169E-4</v>
      </c>
      <c r="AT706" s="373">
        <f ca="1">IF(AT$700 &gt;= '2.2 Input_General_Information'!$H$20, AT717*'2.3 Input_Main_Questionnaire'!$M$35,)</f>
        <v>6.2924963454378939E-4</v>
      </c>
      <c r="AU706" s="373">
        <f ca="1">IF(AU$700 &gt;= '2.2 Input_General_Information'!$H$20, AU717*'2.3 Input_Main_Questionnaire'!$M$35,)</f>
        <v>4.1381490150336272E-4</v>
      </c>
      <c r="AV706" s="373">
        <f ca="1">IF(AV$700 &gt;= '2.2 Input_General_Information'!$H$20, AV717*'2.3 Input_Main_Questionnaire'!$M$35,)</f>
        <v>2.5649442403148138E-4</v>
      </c>
      <c r="AW706" s="373">
        <f ca="1">IF(AW$700 &gt;= '2.2 Input_General_Information'!$H$20, AW717*'2.3 Input_Main_Questionnaire'!$M$35,)</f>
        <v>1.4673620444522869E-4</v>
      </c>
      <c r="AX706" s="373">
        <f ca="1">IF(AX$700 &gt;= '2.2 Input_General_Information'!$H$20, AX717*'2.3 Input_Main_Questionnaire'!$M$35,)</f>
        <v>7.2643341338369315E-5</v>
      </c>
      <c r="AY706" s="373">
        <f ca="1">IF(AY$700 &gt;= '2.2 Input_General_Information'!$H$20, AY717*'2.3 Input_Main_Questionnaire'!$M$35,)</f>
        <v>2.3763252448157847E-5</v>
      </c>
      <c r="AZ706" s="373">
        <f ca="1">IF(AZ$700 &gt;= '2.2 Input_General_Information'!$H$20, AZ717*'2.3 Input_Main_Questionnaire'!$M$35,)</f>
        <v>-7.9850458591425677E-6</v>
      </c>
      <c r="BA706" s="373">
        <f ca="1">IF(BA$700 &gt;= '2.2 Input_General_Information'!$H$20, BA717*'2.3 Input_Main_Questionnaire'!$M$35,)</f>
        <v>-2.8394131156616092E-5</v>
      </c>
      <c r="BB706" s="373">
        <f ca="1">IF(BB$700 &gt;= '2.2 Input_General_Information'!$H$20, BB717*'2.3 Input_Main_Questionnaire'!$M$35,)</f>
        <v>-4.1425862432301352E-5</v>
      </c>
      <c r="BC706" s="373">
        <f ca="1">IF(BC$700 &gt;= '2.2 Input_General_Information'!$H$20, BC717*'2.3 Input_Main_Questionnaire'!$M$35,)</f>
        <v>-4.9710923301632209E-5</v>
      </c>
      <c r="BD706" s="373">
        <f ca="1">IF(BD$700 &gt;= '2.2 Input_General_Information'!$H$20, BD717*'2.3 Input_Main_Questionnaire'!$M$35,)</f>
        <v>-5.4963637516316588E-5</v>
      </c>
      <c r="BE706" s="373">
        <f ca="1">IF(BE$700 &gt;= '2.2 Input_General_Information'!$H$20, BE717*'2.3 Input_Main_Questionnaire'!$M$35,)</f>
        <v>-5.8287973128344039E-5</v>
      </c>
      <c r="BF706" s="373">
        <f ca="1">IF(BF$700 &gt;= '2.2 Input_General_Information'!$H$20, BF717*'2.3 Input_Main_Questionnaire'!$M$35,)</f>
        <v>-6.0389522770458047E-5</v>
      </c>
      <c r="BG706" s="373">
        <f ca="1">IF(BG$700 &gt;= '2.2 Input_General_Information'!$H$20, BG717*'2.3 Input_Main_Questionnaire'!$M$35,)</f>
        <v>-6.1717121463637792E-5</v>
      </c>
      <c r="BH706" s="373">
        <f ca="1">IF(BH$700 &gt;= '2.2 Input_General_Information'!$H$20, BH717*'2.3 Input_Main_Questionnaire'!$M$35,)</f>
        <v>-6.2555421879295577E-5</v>
      </c>
      <c r="BI706" s="373">
        <f ca="1">IF(BI$700 &gt;= '2.2 Input_General_Information'!$H$20, BI717*'2.3 Input_Main_Questionnaire'!$M$35,)</f>
        <v>-6.3084609854981884E-5</v>
      </c>
      <c r="BJ706" s="373">
        <f ca="1">IF(BJ$700 &gt;= '2.2 Input_General_Information'!$H$20, BJ717*'2.3 Input_Main_Questionnaire'!$M$35,)</f>
        <v>-6.3418607180316505E-5</v>
      </c>
      <c r="BK706" s="373">
        <f ca="1">IF(BK$700 &gt;= '2.2 Input_General_Information'!$H$20, BK717*'2.3 Input_Main_Questionnaire'!$M$35,)</f>
        <v>-6.3629386183584606E-5</v>
      </c>
      <c r="BL706" s="381"/>
      <c r="BM706" s="381"/>
      <c r="BN706" s="381"/>
      <c r="BO706" s="381"/>
      <c r="BP706" s="381"/>
      <c r="BQ706" s="381"/>
      <c r="BR706" s="381"/>
      <c r="BS706" s="381"/>
      <c r="BT706" s="381"/>
      <c r="BU706" s="381"/>
    </row>
    <row r="707" spans="1:73" hidden="1">
      <c r="A707" s="6"/>
      <c r="B707" s="108"/>
      <c r="C707" s="1"/>
      <c r="D707" s="1"/>
      <c r="E707" s="1"/>
      <c r="F707" s="1"/>
      <c r="G707" s="3"/>
      <c r="H707" s="3"/>
      <c r="I707" s="3"/>
      <c r="J707" s="3"/>
      <c r="K707" s="3"/>
      <c r="L707" s="3"/>
      <c r="M707" s="3"/>
      <c r="N707" s="3"/>
      <c r="O707" s="1"/>
      <c r="P707" s="1"/>
      <c r="Q707" s="36"/>
      <c r="R707" s="162"/>
      <c r="S707" s="1"/>
      <c r="T707" s="103"/>
      <c r="U707" s="103"/>
      <c r="V707" s="103" t="str">
        <f>$M$10</f>
        <v>Profile 7</v>
      </c>
      <c r="W707" s="373">
        <f ca="1">IF(W$700 &gt;= '2.2 Input_General_Information'!$H$20, W718*'2.3 Input_Main_Questionnaire'!$N$35,)</f>
        <v>3.2137140635841257E-3</v>
      </c>
      <c r="X707" s="373">
        <f ca="1">IF(X$700 &gt;= '2.2 Input_General_Information'!$H$20, X718*'2.3 Input_Main_Questionnaire'!$N$35,)</f>
        <v>2.7544048930316003E-3</v>
      </c>
      <c r="Y707" s="373">
        <f ca="1">IF(Y$700 &gt;= '2.2 Input_General_Information'!$H$20, Y718*'2.3 Input_Main_Questionnaire'!$N$35,)</f>
        <v>2.6366955454814596E-3</v>
      </c>
      <c r="Z707" s="373">
        <f ca="1">IF(Z$700 &gt;= '2.2 Input_General_Information'!$H$20, Z718*'2.3 Input_Main_Questionnaire'!$N$35,)</f>
        <v>3.161767447951094E-3</v>
      </c>
      <c r="AA707" s="373">
        <f ca="1">IF(AA$700 &gt;= '2.2 Input_General_Information'!$H$20, AA718*'2.3 Input_Main_Questionnaire'!$N$35,)</f>
        <v>3.1601886015507293E-3</v>
      </c>
      <c r="AB707" s="373">
        <f ca="1">IF(AB$700 &gt;= '2.2 Input_General_Information'!$H$20, AB718*'2.3 Input_Main_Questionnaire'!$N$35,)</f>
        <v>3.1579353074675039E-3</v>
      </c>
      <c r="AC707" s="373">
        <f ca="1">IF(AC$700 &gt;= '2.2 Input_General_Information'!$H$20, AC718*'2.3 Input_Main_Questionnaire'!$N$35,)</f>
        <v>3.1548757833431743E-3</v>
      </c>
      <c r="AD707" s="373">
        <f ca="1">IF(AD$700 &gt;= '2.2 Input_General_Information'!$H$20, AD718*'2.3 Input_Main_Questionnaire'!$N$35,)</f>
        <v>3.1507338919763176E-3</v>
      </c>
      <c r="AE707" s="373">
        <f ca="1">IF(AE$700 &gt;= '2.2 Input_General_Information'!$H$20, AE718*'2.3 Input_Main_Questionnaire'!$N$35,)</f>
        <v>3.1449940999221811E-3</v>
      </c>
      <c r="AF707" s="373">
        <f ca="1">IF(AF$700 &gt;= '2.2 Input_General_Information'!$H$20, AF718*'2.3 Input_Main_Questionnaire'!$N$35,)</f>
        <v>3.1367730787982754E-3</v>
      </c>
      <c r="AG707" s="373">
        <f ca="1">IF(AG$700 &gt;= '2.2 Input_General_Information'!$H$20, AG718*'2.3 Input_Main_Questionnaire'!$N$35,)</f>
        <v>3.1246344549390411E-3</v>
      </c>
      <c r="AH707" s="373">
        <f ca="1">IF(AH$700 &gt;= '2.2 Input_General_Information'!$H$20, AH718*'2.3 Input_Main_Questionnaire'!$N$35,)</f>
        <v>3.1063187931185698E-3</v>
      </c>
      <c r="AI707" s="373">
        <f ca="1">IF(AI$700 &gt;= '2.2 Input_General_Information'!$H$20, AI718*'2.3 Input_Main_Questionnaire'!$N$35,)</f>
        <v>3.0783627334819014E-3</v>
      </c>
      <c r="AJ707" s="373">
        <f ca="1">IF(AJ$700 &gt;= '2.2 Input_General_Information'!$H$20, AJ718*'2.3 Input_Main_Questionnaire'!$N$35,)</f>
        <v>3.0356049020320627E-3</v>
      </c>
      <c r="AK707" s="373">
        <f ca="1">IF(AK$700 &gt;= '2.2 Input_General_Information'!$H$20, AK718*'2.3 Input_Main_Questionnaire'!$N$35,)</f>
        <v>2.970652461444605E-3</v>
      </c>
      <c r="AL707" s="373">
        <f ca="1">IF(AL$700 &gt;= '2.2 Input_General_Information'!$H$20, AL718*'2.3 Input_Main_Questionnaire'!$N$35,)</f>
        <v>2.8735624143296267E-3</v>
      </c>
      <c r="AM707" s="373">
        <f ca="1">IF(AM$700 &gt;= '2.2 Input_General_Information'!$H$20, AM718*'2.3 Input_Main_Questionnaire'!$N$35,)</f>
        <v>2.7323179266188569E-3</v>
      </c>
      <c r="AN707" s="373">
        <f ca="1">IF(AN$700 &gt;= '2.2 Input_General_Information'!$H$20, AN718*'2.3 Input_Main_Questionnaire'!$N$35,)</f>
        <v>2.5350478072046082E-3</v>
      </c>
      <c r="AO707" s="373">
        <f ca="1">IF(AO$700 &gt;= '2.2 Input_General_Information'!$H$20, AO718*'2.3 Input_Main_Questionnaire'!$N$35,)</f>
        <v>2.274814988519044E-3</v>
      </c>
      <c r="AP707" s="373">
        <f ca="1">IF(AP$700 &gt;= '2.2 Input_General_Information'!$H$20, AP718*'2.3 Input_Main_Questionnaire'!$N$35,)</f>
        <v>1.9561906967171206E-3</v>
      </c>
      <c r="AQ707" s="373">
        <f ca="1">IF(AQ$700 &gt;= '2.2 Input_General_Information'!$H$20, AQ718*'2.3 Input_Main_Questionnaire'!$N$35,)</f>
        <v>1.5996452910970883E-3</v>
      </c>
      <c r="AR707" s="373">
        <f ca="1">IF(AR$700 &gt;= '2.2 Input_General_Information'!$H$20, AR718*'2.3 Input_Main_Questionnaire'!$N$35,)</f>
        <v>1.2383545599184511E-3</v>
      </c>
      <c r="AS707" s="373">
        <f ca="1">IF(AS$700 &gt;= '2.2 Input_General_Information'!$H$20, AS718*'2.3 Input_Main_Questionnaire'!$N$35,)</f>
        <v>9.0690702174279169E-4</v>
      </c>
      <c r="AT707" s="373">
        <f ca="1">IF(AT$700 &gt;= '2.2 Input_General_Information'!$H$20, AT718*'2.3 Input_Main_Questionnaire'!$N$35,)</f>
        <v>6.2924963454378939E-4</v>
      </c>
      <c r="AU707" s="373">
        <f ca="1">IF(AU$700 &gt;= '2.2 Input_General_Information'!$H$20, AU718*'2.3 Input_Main_Questionnaire'!$N$35,)</f>
        <v>4.1381490150336272E-4</v>
      </c>
      <c r="AV707" s="373">
        <f ca="1">IF(AV$700 &gt;= '2.2 Input_General_Information'!$H$20, AV718*'2.3 Input_Main_Questionnaire'!$N$35,)</f>
        <v>2.5649442403148138E-4</v>
      </c>
      <c r="AW707" s="373">
        <f ca="1">IF(AW$700 &gt;= '2.2 Input_General_Information'!$H$20, AW718*'2.3 Input_Main_Questionnaire'!$N$35,)</f>
        <v>1.4673620444522869E-4</v>
      </c>
      <c r="AX707" s="373">
        <f ca="1">IF(AX$700 &gt;= '2.2 Input_General_Information'!$H$20, AX718*'2.3 Input_Main_Questionnaire'!$N$35,)</f>
        <v>7.2643341338369315E-5</v>
      </c>
      <c r="AY707" s="373">
        <f ca="1">IF(AY$700 &gt;= '2.2 Input_General_Information'!$H$20, AY718*'2.3 Input_Main_Questionnaire'!$N$35,)</f>
        <v>2.3763252448157847E-5</v>
      </c>
      <c r="AZ707" s="373">
        <f ca="1">IF(AZ$700 &gt;= '2.2 Input_General_Information'!$H$20, AZ718*'2.3 Input_Main_Questionnaire'!$N$35,)</f>
        <v>-7.9850458591425677E-6</v>
      </c>
      <c r="BA707" s="373">
        <f ca="1">IF(BA$700 &gt;= '2.2 Input_General_Information'!$H$20, BA718*'2.3 Input_Main_Questionnaire'!$N$35,)</f>
        <v>-2.8394131156616092E-5</v>
      </c>
      <c r="BB707" s="373">
        <f ca="1">IF(BB$700 &gt;= '2.2 Input_General_Information'!$H$20, BB718*'2.3 Input_Main_Questionnaire'!$N$35,)</f>
        <v>-4.1425862432301352E-5</v>
      </c>
      <c r="BC707" s="373">
        <f ca="1">IF(BC$700 &gt;= '2.2 Input_General_Information'!$H$20, BC718*'2.3 Input_Main_Questionnaire'!$N$35,)</f>
        <v>-4.9710923301632209E-5</v>
      </c>
      <c r="BD707" s="373">
        <f ca="1">IF(BD$700 &gt;= '2.2 Input_General_Information'!$H$20, BD718*'2.3 Input_Main_Questionnaire'!$N$35,)</f>
        <v>-5.4963637516316588E-5</v>
      </c>
      <c r="BE707" s="373">
        <f ca="1">IF(BE$700 &gt;= '2.2 Input_General_Information'!$H$20, BE718*'2.3 Input_Main_Questionnaire'!$N$35,)</f>
        <v>-5.8287973128344039E-5</v>
      </c>
      <c r="BF707" s="373">
        <f ca="1">IF(BF$700 &gt;= '2.2 Input_General_Information'!$H$20, BF718*'2.3 Input_Main_Questionnaire'!$N$35,)</f>
        <v>-6.0389522770458047E-5</v>
      </c>
      <c r="BG707" s="373">
        <f ca="1">IF(BG$700 &gt;= '2.2 Input_General_Information'!$H$20, BG718*'2.3 Input_Main_Questionnaire'!$N$35,)</f>
        <v>-6.1717121463637792E-5</v>
      </c>
      <c r="BH707" s="373">
        <f ca="1">IF(BH$700 &gt;= '2.2 Input_General_Information'!$H$20, BH718*'2.3 Input_Main_Questionnaire'!$N$35,)</f>
        <v>-6.2555421879295577E-5</v>
      </c>
      <c r="BI707" s="373">
        <f ca="1">IF(BI$700 &gt;= '2.2 Input_General_Information'!$H$20, BI718*'2.3 Input_Main_Questionnaire'!$N$35,)</f>
        <v>-6.3084609854981884E-5</v>
      </c>
      <c r="BJ707" s="373">
        <f ca="1">IF(BJ$700 &gt;= '2.2 Input_General_Information'!$H$20, BJ718*'2.3 Input_Main_Questionnaire'!$N$35,)</f>
        <v>-6.3418607180316505E-5</v>
      </c>
      <c r="BK707" s="373">
        <f ca="1">IF(BK$700 &gt;= '2.2 Input_General_Information'!$H$20, BK718*'2.3 Input_Main_Questionnaire'!$N$35,)</f>
        <v>-6.3629386183584606E-5</v>
      </c>
      <c r="BL707" s="381"/>
      <c r="BM707" s="381"/>
      <c r="BN707" s="381"/>
      <c r="BO707" s="381"/>
      <c r="BP707" s="381"/>
      <c r="BQ707" s="381"/>
      <c r="BR707" s="381"/>
      <c r="BS707" s="381"/>
      <c r="BT707" s="381"/>
      <c r="BU707" s="381"/>
    </row>
    <row r="708" spans="1:73" hidden="1">
      <c r="A708" s="6"/>
      <c r="B708" s="108"/>
      <c r="C708" s="1"/>
      <c r="D708" s="1"/>
      <c r="E708" s="1"/>
      <c r="F708" s="12"/>
      <c r="G708" s="35"/>
      <c r="H708" s="3"/>
      <c r="I708" s="3"/>
      <c r="J708" s="3"/>
      <c r="K708" s="3"/>
      <c r="L708" s="3"/>
      <c r="M708" s="3"/>
      <c r="N708" s="3"/>
      <c r="O708" s="1"/>
      <c r="P708" s="1"/>
      <c r="Q708" s="655"/>
      <c r="R708" s="162"/>
      <c r="S708" s="1"/>
      <c r="T708" s="103"/>
      <c r="U708" s="103"/>
      <c r="V708" s="103" t="str">
        <f>$N$10</f>
        <v>Profile 8</v>
      </c>
      <c r="W708" s="373">
        <f ca="1">IF(W$700 &gt;= '2.2 Input_General_Information'!$H$20, W719*'2.3 Input_Main_Questionnaire'!$O$35,)</f>
        <v>3.2137140635841257E-3</v>
      </c>
      <c r="X708" s="373">
        <f ca="1">IF(X$700 &gt;= '2.2 Input_General_Information'!$H$20, X719*'2.3 Input_Main_Questionnaire'!$O$35,)</f>
        <v>2.7544048930316003E-3</v>
      </c>
      <c r="Y708" s="373">
        <f ca="1">IF(Y$700 &gt;= '2.2 Input_General_Information'!$H$20, Y719*'2.3 Input_Main_Questionnaire'!$O$35,)</f>
        <v>2.6366955454814596E-3</v>
      </c>
      <c r="Z708" s="373">
        <f ca="1">IF(Z$700 &gt;= '2.2 Input_General_Information'!$H$20, Z719*'2.3 Input_Main_Questionnaire'!$O$35,)</f>
        <v>3.161767447951094E-3</v>
      </c>
      <c r="AA708" s="373">
        <f ca="1">IF(AA$700 &gt;= '2.2 Input_General_Information'!$H$20, AA719*'2.3 Input_Main_Questionnaire'!$O$35,)</f>
        <v>3.1601886015507293E-3</v>
      </c>
      <c r="AB708" s="373">
        <f ca="1">IF(AB$700 &gt;= '2.2 Input_General_Information'!$H$20, AB719*'2.3 Input_Main_Questionnaire'!$O$35,)</f>
        <v>3.1579353074675039E-3</v>
      </c>
      <c r="AC708" s="373">
        <f ca="1">IF(AC$700 &gt;= '2.2 Input_General_Information'!$H$20, AC719*'2.3 Input_Main_Questionnaire'!$O$35,)</f>
        <v>3.1548757833431743E-3</v>
      </c>
      <c r="AD708" s="373">
        <f ca="1">IF(AD$700 &gt;= '2.2 Input_General_Information'!$H$20, AD719*'2.3 Input_Main_Questionnaire'!$O$35,)</f>
        <v>3.1507338919763176E-3</v>
      </c>
      <c r="AE708" s="373">
        <f ca="1">IF(AE$700 &gt;= '2.2 Input_General_Information'!$H$20, AE719*'2.3 Input_Main_Questionnaire'!$O$35,)</f>
        <v>3.1449940999221811E-3</v>
      </c>
      <c r="AF708" s="373">
        <f ca="1">IF(AF$700 &gt;= '2.2 Input_General_Information'!$H$20, AF719*'2.3 Input_Main_Questionnaire'!$O$35,)</f>
        <v>3.1367730787982754E-3</v>
      </c>
      <c r="AG708" s="373">
        <f ca="1">IF(AG$700 &gt;= '2.2 Input_General_Information'!$H$20, AG719*'2.3 Input_Main_Questionnaire'!$O$35,)</f>
        <v>3.1246344549390411E-3</v>
      </c>
      <c r="AH708" s="373">
        <f ca="1">IF(AH$700 &gt;= '2.2 Input_General_Information'!$H$20, AH719*'2.3 Input_Main_Questionnaire'!$O$35,)</f>
        <v>3.1063187931185698E-3</v>
      </c>
      <c r="AI708" s="373">
        <f ca="1">IF(AI$700 &gt;= '2.2 Input_General_Information'!$H$20, AI719*'2.3 Input_Main_Questionnaire'!$O$35,)</f>
        <v>3.0783627334819014E-3</v>
      </c>
      <c r="AJ708" s="373">
        <f ca="1">IF(AJ$700 &gt;= '2.2 Input_General_Information'!$H$20, AJ719*'2.3 Input_Main_Questionnaire'!$O$35,)</f>
        <v>3.0356049020320627E-3</v>
      </c>
      <c r="AK708" s="373">
        <f ca="1">IF(AK$700 &gt;= '2.2 Input_General_Information'!$H$20, AK719*'2.3 Input_Main_Questionnaire'!$O$35,)</f>
        <v>2.970652461444605E-3</v>
      </c>
      <c r="AL708" s="373">
        <f ca="1">IF(AL$700 &gt;= '2.2 Input_General_Information'!$H$20, AL719*'2.3 Input_Main_Questionnaire'!$O$35,)</f>
        <v>2.8735624143296267E-3</v>
      </c>
      <c r="AM708" s="373">
        <f ca="1">IF(AM$700 &gt;= '2.2 Input_General_Information'!$H$20, AM719*'2.3 Input_Main_Questionnaire'!$O$35,)</f>
        <v>2.7323179266188569E-3</v>
      </c>
      <c r="AN708" s="373">
        <f ca="1">IF(AN$700 &gt;= '2.2 Input_General_Information'!$H$20, AN719*'2.3 Input_Main_Questionnaire'!$O$35,)</f>
        <v>2.5350478072046082E-3</v>
      </c>
      <c r="AO708" s="373">
        <f ca="1">IF(AO$700 &gt;= '2.2 Input_General_Information'!$H$20, AO719*'2.3 Input_Main_Questionnaire'!$O$35,)</f>
        <v>2.274814988519044E-3</v>
      </c>
      <c r="AP708" s="373">
        <f ca="1">IF(AP$700 &gt;= '2.2 Input_General_Information'!$H$20, AP719*'2.3 Input_Main_Questionnaire'!$O$35,)</f>
        <v>1.9561906967171206E-3</v>
      </c>
      <c r="AQ708" s="373">
        <f ca="1">IF(AQ$700 &gt;= '2.2 Input_General_Information'!$H$20, AQ719*'2.3 Input_Main_Questionnaire'!$O$35,)</f>
        <v>1.5996452910970883E-3</v>
      </c>
      <c r="AR708" s="373">
        <f ca="1">IF(AR$700 &gt;= '2.2 Input_General_Information'!$H$20, AR719*'2.3 Input_Main_Questionnaire'!$O$35,)</f>
        <v>1.2383545599184511E-3</v>
      </c>
      <c r="AS708" s="373">
        <f ca="1">IF(AS$700 &gt;= '2.2 Input_General_Information'!$H$20, AS719*'2.3 Input_Main_Questionnaire'!$O$35,)</f>
        <v>9.0690702174279169E-4</v>
      </c>
      <c r="AT708" s="373">
        <f ca="1">IF(AT$700 &gt;= '2.2 Input_General_Information'!$H$20, AT719*'2.3 Input_Main_Questionnaire'!$O$35,)</f>
        <v>6.2924963454378939E-4</v>
      </c>
      <c r="AU708" s="373">
        <f ca="1">IF(AU$700 &gt;= '2.2 Input_General_Information'!$H$20, AU719*'2.3 Input_Main_Questionnaire'!$O$35,)</f>
        <v>4.1381490150336272E-4</v>
      </c>
      <c r="AV708" s="373">
        <f ca="1">IF(AV$700 &gt;= '2.2 Input_General_Information'!$H$20, AV719*'2.3 Input_Main_Questionnaire'!$O$35,)</f>
        <v>2.5649442403148138E-4</v>
      </c>
      <c r="AW708" s="373">
        <f ca="1">IF(AW$700 &gt;= '2.2 Input_General_Information'!$H$20, AW719*'2.3 Input_Main_Questionnaire'!$O$35,)</f>
        <v>1.4673620444522869E-4</v>
      </c>
      <c r="AX708" s="373">
        <f ca="1">IF(AX$700 &gt;= '2.2 Input_General_Information'!$H$20, AX719*'2.3 Input_Main_Questionnaire'!$O$35,)</f>
        <v>7.2643341338369315E-5</v>
      </c>
      <c r="AY708" s="373">
        <f ca="1">IF(AY$700 &gt;= '2.2 Input_General_Information'!$H$20, AY719*'2.3 Input_Main_Questionnaire'!$O$35,)</f>
        <v>2.3763252448157847E-5</v>
      </c>
      <c r="AZ708" s="373">
        <f ca="1">IF(AZ$700 &gt;= '2.2 Input_General_Information'!$H$20, AZ719*'2.3 Input_Main_Questionnaire'!$O$35,)</f>
        <v>-7.9850458591425677E-6</v>
      </c>
      <c r="BA708" s="373">
        <f ca="1">IF(BA$700 &gt;= '2.2 Input_General_Information'!$H$20, BA719*'2.3 Input_Main_Questionnaire'!$O$35,)</f>
        <v>-2.8394131156616092E-5</v>
      </c>
      <c r="BB708" s="373">
        <f ca="1">IF(BB$700 &gt;= '2.2 Input_General_Information'!$H$20, BB719*'2.3 Input_Main_Questionnaire'!$O$35,)</f>
        <v>-4.1425862432301352E-5</v>
      </c>
      <c r="BC708" s="373">
        <f ca="1">IF(BC$700 &gt;= '2.2 Input_General_Information'!$H$20, BC719*'2.3 Input_Main_Questionnaire'!$O$35,)</f>
        <v>-4.9710923301632209E-5</v>
      </c>
      <c r="BD708" s="373">
        <f ca="1">IF(BD$700 &gt;= '2.2 Input_General_Information'!$H$20, BD719*'2.3 Input_Main_Questionnaire'!$O$35,)</f>
        <v>-5.4963637516316588E-5</v>
      </c>
      <c r="BE708" s="373">
        <f ca="1">IF(BE$700 &gt;= '2.2 Input_General_Information'!$H$20, BE719*'2.3 Input_Main_Questionnaire'!$O$35,)</f>
        <v>-5.8287973128344039E-5</v>
      </c>
      <c r="BF708" s="373">
        <f ca="1">IF(BF$700 &gt;= '2.2 Input_General_Information'!$H$20, BF719*'2.3 Input_Main_Questionnaire'!$O$35,)</f>
        <v>-6.0389522770458047E-5</v>
      </c>
      <c r="BG708" s="373">
        <f ca="1">IF(BG$700 &gt;= '2.2 Input_General_Information'!$H$20, BG719*'2.3 Input_Main_Questionnaire'!$O$35,)</f>
        <v>-6.1717121463637792E-5</v>
      </c>
      <c r="BH708" s="373">
        <f ca="1">IF(BH$700 &gt;= '2.2 Input_General_Information'!$H$20, BH719*'2.3 Input_Main_Questionnaire'!$O$35,)</f>
        <v>-6.2555421879295577E-5</v>
      </c>
      <c r="BI708" s="373">
        <f ca="1">IF(BI$700 &gt;= '2.2 Input_General_Information'!$H$20, BI719*'2.3 Input_Main_Questionnaire'!$O$35,)</f>
        <v>-6.3084609854981884E-5</v>
      </c>
      <c r="BJ708" s="373">
        <f ca="1">IF(BJ$700 &gt;= '2.2 Input_General_Information'!$H$20, BJ719*'2.3 Input_Main_Questionnaire'!$O$35,)</f>
        <v>-6.3418607180316505E-5</v>
      </c>
      <c r="BK708" s="373">
        <f ca="1">IF(BK$700 &gt;= '2.2 Input_General_Information'!$H$20, BK719*'2.3 Input_Main_Questionnaire'!$O$35,)</f>
        <v>-6.3629386183584606E-5</v>
      </c>
      <c r="BL708" s="381"/>
      <c r="BM708" s="381"/>
      <c r="BN708" s="381"/>
      <c r="BO708" s="381"/>
      <c r="BP708" s="381"/>
      <c r="BQ708" s="381"/>
      <c r="BR708" s="381"/>
      <c r="BS708" s="381"/>
      <c r="BT708" s="381"/>
      <c r="BU708" s="381"/>
    </row>
    <row r="709" spans="1:73" hidden="1">
      <c r="A709" s="6"/>
      <c r="B709" s="108"/>
      <c r="C709" s="1"/>
      <c r="D709" s="1"/>
      <c r="E709" s="1"/>
      <c r="F709" s="656"/>
      <c r="G709" s="52"/>
      <c r="H709" s="3"/>
      <c r="I709" s="3"/>
      <c r="J709" s="3"/>
      <c r="K709" s="3"/>
      <c r="L709" s="3"/>
      <c r="M709" s="3"/>
      <c r="N709" s="3"/>
      <c r="O709" s="1"/>
      <c r="P709" s="1"/>
      <c r="Q709" s="1"/>
      <c r="R709" s="162"/>
      <c r="S709" s="1"/>
      <c r="T709" s="103"/>
      <c r="U709" s="103"/>
      <c r="V709" s="103"/>
      <c r="W709" s="98"/>
      <c r="X709" s="98"/>
      <c r="Y709" s="98"/>
      <c r="Z709" s="98"/>
      <c r="AA709" s="98"/>
      <c r="AB709" s="98"/>
      <c r="AC709" s="98"/>
      <c r="AD709" s="98"/>
      <c r="AE709" s="98"/>
      <c r="AF709" s="98"/>
      <c r="AG709" s="98"/>
      <c r="AH709" s="98"/>
      <c r="AI709" s="98"/>
      <c r="AJ709" s="98"/>
      <c r="AK709" s="98"/>
      <c r="AL709" s="98"/>
      <c r="AM709" s="98"/>
      <c r="AN709" s="98"/>
      <c r="AO709" s="98"/>
      <c r="AP709" s="98"/>
      <c r="AQ709" s="98"/>
      <c r="AR709" s="98"/>
      <c r="AS709" s="98"/>
      <c r="AT709" s="98"/>
      <c r="AU709" s="98"/>
      <c r="AV709" s="98"/>
      <c r="AW709" s="98"/>
      <c r="AX709" s="98"/>
      <c r="AY709" s="98"/>
      <c r="AZ709" s="98"/>
      <c r="BA709" s="98"/>
      <c r="BB709" s="98"/>
      <c r="BC709" s="98"/>
      <c r="BD709" s="98"/>
      <c r="BE709" s="98"/>
      <c r="BF709" s="98"/>
      <c r="BG709" s="98"/>
      <c r="BH709" s="98"/>
      <c r="BI709" s="98"/>
      <c r="BJ709" s="98"/>
      <c r="BK709" s="98"/>
      <c r="BL709" s="99"/>
      <c r="BM709" s="99"/>
      <c r="BN709" s="99"/>
      <c r="BO709" s="99"/>
      <c r="BP709" s="99"/>
      <c r="BQ709" s="99"/>
      <c r="BR709" s="99"/>
      <c r="BS709" s="99"/>
      <c r="BT709" s="99"/>
      <c r="BU709" s="99"/>
    </row>
    <row r="710" spans="1:73" hidden="1">
      <c r="A710" s="6"/>
      <c r="B710" s="108"/>
      <c r="C710" s="1"/>
      <c r="D710" s="1"/>
      <c r="E710" s="1"/>
      <c r="F710" s="656"/>
      <c r="G710" s="52"/>
      <c r="H710" s="3"/>
      <c r="I710" s="3"/>
      <c r="J710" s="3"/>
      <c r="K710" s="3"/>
      <c r="L710" s="3"/>
      <c r="M710" s="3"/>
      <c r="N710" s="3"/>
      <c r="O710" s="1"/>
      <c r="P710" s="1"/>
      <c r="Q710" s="1"/>
      <c r="R710" s="162"/>
      <c r="S710" s="1"/>
      <c r="T710" s="103"/>
      <c r="U710" s="103"/>
      <c r="V710" s="103" t="str">
        <f>D677</f>
        <v>Time saved for each peer review thanks to the FAIR principles</v>
      </c>
      <c r="W710" s="98"/>
      <c r="X710" s="98"/>
      <c r="Y710" s="98"/>
      <c r="Z710" s="98"/>
      <c r="AA710" s="98"/>
      <c r="AB710" s="98"/>
      <c r="AC710" s="98"/>
      <c r="AD710" s="98"/>
      <c r="AE710" s="98"/>
      <c r="AF710" s="98"/>
      <c r="AG710" s="98"/>
      <c r="AH710" s="98"/>
      <c r="AI710" s="98"/>
      <c r="AJ710" s="98"/>
      <c r="AK710" s="98"/>
      <c r="AL710" s="98"/>
      <c r="AM710" s="98"/>
      <c r="AN710" s="98"/>
      <c r="AO710" s="98"/>
      <c r="AP710" s="98"/>
      <c r="AQ710" s="98"/>
      <c r="AR710" s="98"/>
      <c r="AS710" s="98"/>
      <c r="AT710" s="98"/>
      <c r="AU710" s="98"/>
      <c r="AV710" s="98"/>
      <c r="AW710" s="98"/>
      <c r="AX710" s="98"/>
      <c r="AY710" s="98"/>
      <c r="AZ710" s="98"/>
      <c r="BA710" s="98"/>
      <c r="BB710" s="98"/>
      <c r="BC710" s="98"/>
      <c r="BD710" s="98"/>
      <c r="BE710" s="98"/>
      <c r="BF710" s="98"/>
      <c r="BG710" s="98"/>
      <c r="BH710" s="98"/>
      <c r="BI710" s="98"/>
      <c r="BJ710" s="98"/>
      <c r="BK710" s="98"/>
      <c r="BL710" s="99"/>
      <c r="BM710" s="99"/>
      <c r="BN710" s="99"/>
      <c r="BO710" s="99"/>
      <c r="BP710" s="99"/>
      <c r="BQ710" s="99"/>
      <c r="BR710" s="99"/>
      <c r="BS710" s="99"/>
      <c r="BT710" s="99"/>
      <c r="BU710" s="99"/>
    </row>
    <row r="711" spans="1:73" hidden="1">
      <c r="A711" s="6"/>
      <c r="B711" s="108"/>
      <c r="C711" s="1"/>
      <c r="D711" s="1"/>
      <c r="E711" s="1"/>
      <c r="F711" s="656"/>
      <c r="G711" s="52"/>
      <c r="H711" s="3"/>
      <c r="I711" s="3"/>
      <c r="J711" s="3"/>
      <c r="K711" s="3"/>
      <c r="L711" s="3"/>
      <c r="M711" s="3"/>
      <c r="N711" s="3"/>
      <c r="O711" s="1"/>
      <c r="P711" s="1"/>
      <c r="Q711" s="1"/>
      <c r="R711" s="162"/>
      <c r="S711" s="1"/>
      <c r="T711" s="103"/>
      <c r="U711" s="103"/>
      <c r="V711" s="103"/>
      <c r="W711" s="98">
        <f>Growth!B20</f>
        <v>2018</v>
      </c>
      <c r="X711" s="98">
        <f t="shared" ref="X711:BK711" si="111">W711+1</f>
        <v>2019</v>
      </c>
      <c r="Y711" s="98">
        <f t="shared" si="111"/>
        <v>2020</v>
      </c>
      <c r="Z711" s="98">
        <f t="shared" si="111"/>
        <v>2021</v>
      </c>
      <c r="AA711" s="98">
        <f t="shared" si="111"/>
        <v>2022</v>
      </c>
      <c r="AB711" s="98">
        <f t="shared" si="111"/>
        <v>2023</v>
      </c>
      <c r="AC711" s="98">
        <f t="shared" si="111"/>
        <v>2024</v>
      </c>
      <c r="AD711" s="98">
        <f t="shared" si="111"/>
        <v>2025</v>
      </c>
      <c r="AE711" s="98">
        <f t="shared" si="111"/>
        <v>2026</v>
      </c>
      <c r="AF711" s="98">
        <f t="shared" si="111"/>
        <v>2027</v>
      </c>
      <c r="AG711" s="98">
        <f t="shared" si="111"/>
        <v>2028</v>
      </c>
      <c r="AH711" s="98">
        <f t="shared" si="111"/>
        <v>2029</v>
      </c>
      <c r="AI711" s="98">
        <f t="shared" si="111"/>
        <v>2030</v>
      </c>
      <c r="AJ711" s="98">
        <f t="shared" si="111"/>
        <v>2031</v>
      </c>
      <c r="AK711" s="98">
        <f t="shared" si="111"/>
        <v>2032</v>
      </c>
      <c r="AL711" s="98">
        <f t="shared" si="111"/>
        <v>2033</v>
      </c>
      <c r="AM711" s="98">
        <f t="shared" si="111"/>
        <v>2034</v>
      </c>
      <c r="AN711" s="98">
        <f t="shared" si="111"/>
        <v>2035</v>
      </c>
      <c r="AO711" s="98">
        <f t="shared" si="111"/>
        <v>2036</v>
      </c>
      <c r="AP711" s="98">
        <f t="shared" si="111"/>
        <v>2037</v>
      </c>
      <c r="AQ711" s="98">
        <f t="shared" si="111"/>
        <v>2038</v>
      </c>
      <c r="AR711" s="98">
        <f t="shared" si="111"/>
        <v>2039</v>
      </c>
      <c r="AS711" s="98">
        <f t="shared" si="111"/>
        <v>2040</v>
      </c>
      <c r="AT711" s="98">
        <f t="shared" si="111"/>
        <v>2041</v>
      </c>
      <c r="AU711" s="98">
        <f t="shared" si="111"/>
        <v>2042</v>
      </c>
      <c r="AV711" s="98">
        <f t="shared" si="111"/>
        <v>2043</v>
      </c>
      <c r="AW711" s="98">
        <f t="shared" si="111"/>
        <v>2044</v>
      </c>
      <c r="AX711" s="98">
        <f t="shared" si="111"/>
        <v>2045</v>
      </c>
      <c r="AY711" s="98">
        <f t="shared" si="111"/>
        <v>2046</v>
      </c>
      <c r="AZ711" s="98">
        <f t="shared" si="111"/>
        <v>2047</v>
      </c>
      <c r="BA711" s="98">
        <f t="shared" si="111"/>
        <v>2048</v>
      </c>
      <c r="BB711" s="98">
        <f t="shared" si="111"/>
        <v>2049</v>
      </c>
      <c r="BC711" s="98">
        <f t="shared" si="111"/>
        <v>2050</v>
      </c>
      <c r="BD711" s="98">
        <f t="shared" si="111"/>
        <v>2051</v>
      </c>
      <c r="BE711" s="98">
        <f t="shared" si="111"/>
        <v>2052</v>
      </c>
      <c r="BF711" s="98">
        <f t="shared" si="111"/>
        <v>2053</v>
      </c>
      <c r="BG711" s="98">
        <f t="shared" si="111"/>
        <v>2054</v>
      </c>
      <c r="BH711" s="98">
        <f t="shared" si="111"/>
        <v>2055</v>
      </c>
      <c r="BI711" s="98">
        <f t="shared" si="111"/>
        <v>2056</v>
      </c>
      <c r="BJ711" s="98">
        <f t="shared" si="111"/>
        <v>2057</v>
      </c>
      <c r="BK711" s="98">
        <f t="shared" si="111"/>
        <v>2058</v>
      </c>
      <c r="BL711" s="99"/>
      <c r="BM711" s="99"/>
      <c r="BN711" s="99"/>
      <c r="BO711" s="99"/>
      <c r="BP711" s="99"/>
      <c r="BQ711" s="99"/>
      <c r="BR711" s="99"/>
      <c r="BS711" s="99"/>
      <c r="BT711" s="99"/>
      <c r="BU711" s="99"/>
    </row>
    <row r="712" spans="1:73" hidden="1">
      <c r="A712" s="6"/>
      <c r="B712" s="108"/>
      <c r="C712" s="1"/>
      <c r="D712" s="1"/>
      <c r="E712" s="1"/>
      <c r="F712" s="656"/>
      <c r="G712" s="52"/>
      <c r="H712" s="3"/>
      <c r="I712" s="3"/>
      <c r="J712" s="3"/>
      <c r="K712" s="3"/>
      <c r="L712" s="3"/>
      <c r="M712" s="3"/>
      <c r="N712" s="3"/>
      <c r="O712" s="1"/>
      <c r="P712" s="1"/>
      <c r="Q712" s="1"/>
      <c r="R712" s="162"/>
      <c r="S712" s="1"/>
      <c r="T712" s="103"/>
      <c r="U712" s="103"/>
      <c r="V712" s="103" t="str">
        <f>G$10</f>
        <v>PhD researcher</v>
      </c>
      <c r="W712" s="261">
        <f ca="1">IF(W$711 &gt;= '2.2 Input_General_Information'!$H$20, N("Pre-processing data and reports") + (W427+W438+W452) + N("Integrating Data") + (W526+W537),)</f>
        <v>3.1610223560000004E-2</v>
      </c>
      <c r="X712" s="261">
        <f ca="1">IF(X$711 &gt;= '2.2 Input_General_Information'!$H$20, N("Pre-processing data and reports") + (X427+X438+X452) + N("Integrating Data") + (X526+X537),)</f>
        <v>2.7584027622024471E-2</v>
      </c>
      <c r="Y712" s="261">
        <f ca="1">IF(Y$711 &gt;= '2.2 Input_General_Information'!$H$20, N("Pre-processing data and reports") + (Y427+Y438+Y452) + N("Integrating Data") + (Y526+Y537),)</f>
        <v>2.6551947894632881E-2</v>
      </c>
      <c r="Z712" s="261">
        <f ca="1">IF(Z$711 &gt;= '2.2 Input_General_Information'!$H$20, N("Pre-processing data and reports") + (Z427+Z438+Z452) + N("Integrating Data") + (Z526+Z537),)</f>
        <v>3.1153869078527883E-2</v>
      </c>
      <c r="AA712" s="261">
        <f ca="1">IF(AA$711 &gt;= '2.2 Input_General_Information'!$H$20, N("Pre-processing data and reports") + (AA427+AA438+AA452) + N("Integrating Data") + (AA526+AA537),)</f>
        <v>3.1139229430716609E-2</v>
      </c>
      <c r="AB712" s="261">
        <f ca="1">IF(AB$711 &gt;= '2.2 Input_General_Information'!$H$20, N("Pre-processing data and reports") + (AB427+AB438+AB452) + N("Integrating Data") + (AB526+AB537),)</f>
        <v>3.1118210565459988E-2</v>
      </c>
      <c r="AC712" s="261">
        <f ca="1">IF(AC$711 &gt;= '2.2 Input_General_Information'!$H$20, N("Pre-processing data and reports") + (AC427+AC438+AC452) + N("Integrating Data") + (AC526+AC537),)</f>
        <v>3.1089385106086508E-2</v>
      </c>
      <c r="AD712" s="261">
        <f ca="1">IF(AD$711 &gt;= '2.2 Input_General_Information'!$H$20, N("Pre-processing data and reports") + (AD427+AD438+AD452) + N("Integrating Data") + (AD526+AD537),)</f>
        <v>3.1049902850722916E-2</v>
      </c>
      <c r="AE712" s="261">
        <f ca="1">IF(AE$711 &gt;= '2.2 Input_General_Information'!$H$20, N("Pre-processing data and reports") + (AE427+AE438+AE452) + N("Integrating Data") + (AE526+AE537),)</f>
        <v>3.0994568180478511E-2</v>
      </c>
      <c r="AF712" s="261">
        <f ca="1">IF(AF$711 &gt;= '2.2 Input_General_Information'!$H$20, N("Pre-processing data and reports") + (AF427+AF438+AF452) + N("Integrating Data") + (AF526+AF537),)</f>
        <v>3.0914576592783908E-2</v>
      </c>
      <c r="AG712" s="261">
        <f ca="1">IF(AG$711 &gt;= '2.2 Input_General_Information'!$H$20, N("Pre-processing data and reports") + (AG427+AG438+AG452) + N("Integrating Data") + (AG526+AG537),)</f>
        <v>3.0795681747124142E-2</v>
      </c>
      <c r="AH712" s="261">
        <f ca="1">IF(AH$711 &gt;= '2.2 Input_General_Information'!$H$20, N("Pre-processing data and reports") + (AH427+AH438+AH452) + N("Integrating Data") + (AH526+AH537),)</f>
        <v>3.0615520493004474E-2</v>
      </c>
      <c r="AI712" s="261">
        <f ca="1">IF(AI$711 &gt;= '2.2 Input_General_Information'!$H$20, N("Pre-processing data and reports") + (AI427+AI438+AI452) + N("Integrating Data") + (AI526+AI537),)</f>
        <v>3.0339842021567958E-2</v>
      </c>
      <c r="AJ712" s="261">
        <f ca="1">IF(AJ$711 &gt;= '2.2 Input_General_Information'!$H$20, N("Pre-processing data and reports") + (AJ427+AJ438+AJ452) + N("Integrating Data") + (AJ526+AJ537),)</f>
        <v>2.9917622414370657E-2</v>
      </c>
      <c r="AK712" s="261">
        <f ca="1">IF(AK$711 &gt;= '2.2 Input_General_Information'!$H$20, N("Pre-processing data and reports") + (AK427+AK438+AK452) + N("Integrating Data") + (AK526+AK537),)</f>
        <v>2.9275802372665301E-2</v>
      </c>
      <c r="AL712" s="261">
        <f ca="1">IF(AL$711 &gt;= '2.2 Input_General_Information'!$H$20, N("Pre-processing data and reports") + (AL427+AL438+AL452) + N("Integrating Data") + (AL526+AL537),)</f>
        <v>2.8316173545579228E-2</v>
      </c>
      <c r="AM712" s="261">
        <f ca="1">IF(AM$711 &gt;= '2.2 Input_General_Information'!$H$20, N("Pre-processing data and reports") + (AM427+AM438+AM452) + N("Integrating Data") + (AM526+AM537),)</f>
        <v>2.692016971131389E-2</v>
      </c>
      <c r="AN712" s="261">
        <f ca="1">IF(AN$711 &gt;= '2.2 Input_General_Information'!$H$20, N("Pre-processing data and reports") + (AN427+AN438+AN452) + N("Integrating Data") + (AN526+AN537),)</f>
        <v>2.4970949738702633E-2</v>
      </c>
      <c r="AO712" s="261">
        <f ca="1">IF(AO$711 &gt;= '2.2 Input_General_Information'!$H$20, N("Pre-processing data and reports") + (AO427+AO438+AO452) + N("Integrating Data") + (AO526+AO537),)</f>
        <v>2.2400898868389894E-2</v>
      </c>
      <c r="AP712" s="261">
        <f ca="1">IF(AP$711 &gt;= '2.2 Input_General_Information'!$H$20, N("Pre-processing data and reports") + (AP427+AP438+AP452) + N("Integrating Data") + (AP526+AP537),)</f>
        <v>1.9256642795667526E-2</v>
      </c>
      <c r="AQ712" s="261">
        <f ca="1">IF(AQ$711 &gt;= '2.2 Input_General_Information'!$H$20, N("Pre-processing data and reports") + (AQ427+AQ438+AQ452) + N("Integrating Data") + (AQ526+AQ537),)</f>
        <v>1.5742070586346139E-2</v>
      </c>
      <c r="AR712" s="261">
        <f ca="1">IF(AR$711 &gt;= '2.2 Input_General_Information'!$H$20, N("Pre-processing data and reports") + (AR427+AR438+AR452) + N("Integrating Data") + (AR526+AR537),)</f>
        <v>1.2185904050724677E-2</v>
      </c>
      <c r="AS712" s="261">
        <f ca="1">IF(AS$711 &gt;= '2.2 Input_General_Information'!$H$20, N("Pre-processing data and reports") + (AS427+AS438+AS452) + N("Integrating Data") + (AS526+AS537),)</f>
        <v>8.9292480409888676E-3</v>
      </c>
      <c r="AT712" s="261">
        <f ca="1">IF(AT$711 &gt;= '2.2 Input_General_Information'!$H$20, N("Pre-processing data and reports") + (AT427+AT438+AT452) + N("Integrating Data") + (AT526+AT537),)</f>
        <v>6.2064651442987626E-3</v>
      </c>
      <c r="AU712" s="261">
        <f ca="1">IF(AU$711 &gt;= '2.2 Input_General_Information'!$H$20, N("Pre-processing data and reports") + (AU427+AU438+AU452) + N("Integrating Data") + (AU526+AU537),)</f>
        <v>4.0980264085170694E-3</v>
      </c>
      <c r="AV712" s="261">
        <f ca="1">IF(AV$711 &gt;= '2.2 Input_General_Information'!$H$20, N("Pre-processing data and reports") + (AV427+AV438+AV452) + N("Integrating Data") + (AV526+AV537),)</f>
        <v>2.5611112805033124E-3</v>
      </c>
      <c r="AW712" s="261">
        <f ca="1">IF(AW$711 &gt;= '2.2 Input_General_Information'!$H$20, N("Pre-processing data and reports") + (AW427+AW438+AW452) + N("Integrating Data") + (AW526+AW537),)</f>
        <v>1.4904417897391876E-3</v>
      </c>
      <c r="AX712" s="261">
        <f ca="1">IF(AX$711 &gt;= '2.2 Input_General_Information'!$H$20, N("Pre-processing data and reports") + (AX427+AX438+AX452) + N("Integrating Data") + (AX526+AX537),)</f>
        <v>7.6850296332722789E-4</v>
      </c>
      <c r="AY712" s="261">
        <f ca="1">IF(AY$711 &gt;= '2.2 Input_General_Information'!$H$20, N("Pre-processing data and reports") + (AY427+AY438+AY452) + N("Integrating Data") + (AY526+AY537),)</f>
        <v>2.9261977277341203E-4</v>
      </c>
      <c r="AZ712" s="261">
        <f ca="1">IF(AZ$711 &gt;= '2.2 Input_General_Information'!$H$20, N("Pre-processing data and reports") + (AZ427+AZ438+AZ452) + N("Integrating Data") + (AZ526+AZ537),)</f>
        <v>-1.6298907522541367E-5</v>
      </c>
      <c r="BA712" s="261">
        <f ca="1">IF(BA$711 &gt;= '2.2 Input_General_Information'!$H$20, N("Pre-processing data and reports") + (BA427+BA438+BA452) + N("Integrating Data") + (BA526+BA537),)</f>
        <v>-2.1480970122833261E-4</v>
      </c>
      <c r="BB712" s="261">
        <f ca="1">IF(BB$711 &gt;= '2.2 Input_General_Information'!$H$20, N("Pre-processing data and reports") + (BB427+BB438+BB452) + N("Integrating Data") + (BB526+BB537),)</f>
        <v>-3.4153292469739897E-4</v>
      </c>
      <c r="BC712" s="261">
        <f ca="1">IF(BC$711 &gt;= '2.2 Input_General_Information'!$H$20, N("Pre-processing data and reports") + (BC427+BC438+BC452) + N("Integrating Data") + (BC526+BC537),)</f>
        <v>-4.2208584164843107E-4</v>
      </c>
      <c r="BD712" s="261">
        <f ca="1">IF(BD$711 &gt;= '2.2 Input_General_Information'!$H$20, N("Pre-processing data and reports") + (BD427+BD438+BD452) + N("Integrating Data") + (BD526+BD537),)</f>
        <v>-4.7315111576025392E-4</v>
      </c>
      <c r="BE712" s="261">
        <f ca="1">IF(BE$711 &gt;= '2.2 Input_General_Information'!$H$20, N("Pre-processing data and reports") + (BE427+BE438+BE452) + N("Integrating Data") + (BE526+BE537),)</f>
        <v>-5.0546722827127873E-4</v>
      </c>
      <c r="BF712" s="261">
        <f ca="1">IF(BF$711 &gt;= '2.2 Input_General_Information'!$H$20, N("Pre-processing data and reports") + (BF427+BF438+BF452) + N("Integrating Data") + (BF526+BF537),)</f>
        <v>-5.2589572884639314E-4</v>
      </c>
      <c r="BG712" s="261">
        <f ca="1">IF(BG$711 &gt;= '2.2 Input_General_Information'!$H$20, N("Pre-processing data and reports") + (BG427+BG438+BG452) + N("Integrating Data") + (BG526+BG537),)</f>
        <v>-5.3880057207595082E-4</v>
      </c>
      <c r="BH712" s="261">
        <f ca="1">IF(BH$711 &gt;= '2.2 Input_General_Information'!$H$20, N("Pre-processing data and reports") + (BH427+BH438+BH452) + N("Integrating Data") + (BH526+BH537),)</f>
        <v>-5.4694909278799118E-4</v>
      </c>
      <c r="BI712" s="261">
        <f ca="1">IF(BI$711 &gt;= '2.2 Input_General_Information'!$H$20, N("Pre-processing data and reports") + (BI427+BI438+BI452) + N("Integrating Data") + (BI526+BI537),)</f>
        <v>-5.5209290152226256E-4</v>
      </c>
      <c r="BJ712" s="261">
        <f ca="1">IF(BJ$711 &gt;= '2.2 Input_General_Information'!$H$20, N("Pre-processing data and reports") + (BJ427+BJ438+BJ452) + N("Integrating Data") + (BJ526+BJ537),)</f>
        <v>-5.5533939997183903E-4</v>
      </c>
      <c r="BK712" s="261">
        <f ca="1">IF(BK$711 &gt;= '2.2 Input_General_Information'!$H$20, N("Pre-processing data and reports") + (BK427+BK438+BK452) + N("Integrating Data") + (BK526+BK537),)</f>
        <v>-5.5738819227277921E-4</v>
      </c>
      <c r="BL712" s="657"/>
      <c r="BM712" s="657"/>
      <c r="BN712" s="657"/>
      <c r="BO712" s="657"/>
      <c r="BP712" s="657"/>
      <c r="BQ712" s="657"/>
      <c r="BR712" s="657"/>
      <c r="BS712" s="657"/>
      <c r="BT712" s="657"/>
      <c r="BU712" s="657"/>
    </row>
    <row r="713" spans="1:73" hidden="1">
      <c r="A713" s="6"/>
      <c r="B713" s="108"/>
      <c r="C713" s="1"/>
      <c r="D713" s="1"/>
      <c r="E713" s="1"/>
      <c r="F713" s="656"/>
      <c r="G713" s="52"/>
      <c r="H713" s="3"/>
      <c r="I713" s="3"/>
      <c r="J713" s="3"/>
      <c r="K713" s="3"/>
      <c r="L713" s="3"/>
      <c r="M713" s="3"/>
      <c r="N713" s="3"/>
      <c r="O713" s="1"/>
      <c r="P713" s="1"/>
      <c r="Q713" s="1"/>
      <c r="R713" s="162"/>
      <c r="S713" s="1"/>
      <c r="T713" s="103"/>
      <c r="U713" s="103"/>
      <c r="V713" s="103" t="str">
        <f>$H$10</f>
        <v>Lecturer assistant/Research assistant (Academic)</v>
      </c>
      <c r="W713" s="261">
        <f ca="1">IF(W$711 &gt;= '2.2 Input_General_Information'!$H$20, N("Pre-processing data and reports") + (W428+W439+W453) + N("Integrating Data") + (W527+W538),)</f>
        <v>4.0945882699999998E-2</v>
      </c>
      <c r="X713" s="261">
        <f ca="1">IF(X$711 &gt;= '2.2 Input_General_Information'!$H$20, N("Pre-processing data and reports") + (X428+X439+X453) + N("Integrating Data") + (X527+X538),)</f>
        <v>3.5000246730769367E-2</v>
      </c>
      <c r="Y713" s="261">
        <f ca="1">IF(Y$711 &gt;= '2.2 Input_General_Information'!$H$20, N("Pre-processing data and reports") + (Y428+Y439+Y453) + N("Integrating Data") + (Y527+Y538),)</f>
        <v>3.3476581190390022E-2</v>
      </c>
      <c r="Z713" s="261">
        <f ca="1">IF(Z$711 &gt;= '2.2 Input_General_Information'!$H$20, N("Pre-processing data and reports") + (Z428+Z439+Z453) + N("Integrating Data") + (Z527+Z538),)</f>
        <v>4.0273638357655919E-2</v>
      </c>
      <c r="AA713" s="261">
        <f ca="1">IF(AA$711 &gt;= '2.2 Input_General_Information'!$H$20, N("Pre-processing data and reports") + (AA428+AA439+AA453) + N("Integrating Data") + (AA527+AA538),)</f>
        <v>4.0253352877486874E-2</v>
      </c>
      <c r="AB713" s="261">
        <f ca="1">IF(AB$711 &gt;= '2.2 Input_General_Information'!$H$20, N("Pre-processing data and reports") + (AB428+AB439+AB453) + N("Integrating Data") + (AB527+AB538),)</f>
        <v>4.0224425785934624E-2</v>
      </c>
      <c r="AC713" s="261">
        <f ca="1">IF(AC$711 &gt;= '2.2 Input_General_Information'!$H$20, N("Pre-processing data and reports") + (AC428+AC439+AC453) + N("Integrating Data") + (AC527+AC538),)</f>
        <v>4.0185203015172907E-2</v>
      </c>
      <c r="AD713" s="261">
        <f ca="1">IF(AD$711 &gt;= '2.2 Input_General_Information'!$H$20, N("Pre-processing data and reports") + (AD428+AD439+AD453) + N("Integrating Data") + (AD527+AD538),)</f>
        <v>4.0132191835135583E-2</v>
      </c>
      <c r="AE713" s="261">
        <f ca="1">IF(AE$711 &gt;= '2.2 Input_General_Information'!$H$20, N("Pre-processing data and reports") + (AE428+AE439+AE453) + N("Integrating Data") + (AE527+AE538),)</f>
        <v>4.0058847602438802E-2</v>
      </c>
      <c r="AF713" s="261">
        <f ca="1">IF(AF$711 &gt;= '2.2 Input_General_Information'!$H$20, N("Pre-processing data and reports") + (AF428+AF439+AF453) + N("Integrating Data") + (AF527+AF538),)</f>
        <v>3.9953937935785958E-2</v>
      </c>
      <c r="AG713" s="261">
        <f ca="1">IF(AG$711 &gt;= '2.2 Input_General_Information'!$H$20, N("Pre-processing data and reports") + (AG428+AG439+AG453) + N("Integrating Data") + (AG527+AG538),)</f>
        <v>3.9799184504734277E-2</v>
      </c>
      <c r="AH713" s="261">
        <f ca="1">IF(AH$711 &gt;= '2.2 Input_General_Information'!$H$20, N("Pre-processing data and reports") + (AH428+AH439+AH453) + N("Integrating Data") + (AH527+AH538),)</f>
        <v>3.9565826388816824E-2</v>
      </c>
      <c r="AI713" s="261">
        <f ca="1">IF(AI$711 &gt;= '2.2 Input_General_Information'!$H$20, N("Pre-processing data and reports") + (AI428+AI439+AI453) + N("Integrating Data") + (AI527+AI538),)</f>
        <v>3.920977220215871E-2</v>
      </c>
      <c r="AJ713" s="261">
        <f ca="1">IF(AJ$711 &gt;= '2.2 Input_General_Information'!$H$20, N("Pre-processing data and reports") + (AJ428+AJ439+AJ453) + N("Integrating Data") + (AJ527+AJ538),)</f>
        <v>3.8665309773548692E-2</v>
      </c>
      <c r="AK713" s="261">
        <f ca="1">IF(AK$711 &gt;= '2.2 Input_General_Information'!$H$20, N("Pre-processing data and reports") + (AK428+AK439+AK453) + N("Integrating Data") + (AK527+AK538),)</f>
        <v>3.7838312380136151E-2</v>
      </c>
      <c r="AL713" s="261">
        <f ca="1">IF(AL$711 &gt;= '2.2 Input_General_Information'!$H$20, N("Pre-processing data and reports") + (AL428+AL439+AL453) + N("Integrating Data") + (AL527+AL538),)</f>
        <v>3.6602174231183962E-2</v>
      </c>
      <c r="AM713" s="261">
        <f ca="1">IF(AM$711 &gt;= '2.2 Input_General_Information'!$H$20, N("Pre-processing data and reports") + (AM428+AM439+AM453) + N("Integrating Data") + (AM527+AM538),)</f>
        <v>3.4803859109212645E-2</v>
      </c>
      <c r="AN713" s="261">
        <f ca="1">IF(AN$711 &gt;= '2.2 Input_General_Information'!$H$20, N("Pre-processing data and reports") + (AN428+AN439+AN453) + N("Integrating Data") + (AN527+AN538),)</f>
        <v>3.2292130739921307E-2</v>
      </c>
      <c r="AO713" s="261">
        <f ca="1">IF(AO$711 &gt;= '2.2 Input_General_Information'!$H$20, N("Pre-processing data and reports") + (AO428+AO439+AO453) + N("Integrating Data") + (AO527+AO538),)</f>
        <v>2.8978486299950857E-2</v>
      </c>
      <c r="AP713" s="261">
        <f ca="1">IF(AP$711 &gt;= '2.2 Input_General_Information'!$H$20, N("Pre-processing data and reports") + (AP428+AP439+AP453) + N("Integrating Data") + (AP527+AP538),)</f>
        <v>2.4920851138000431E-2</v>
      </c>
      <c r="AQ713" s="261">
        <f ca="1">IF(AQ$711 &gt;= '2.2 Input_General_Information'!$H$20, N("Pre-processing data and reports") + (AQ428+AQ439+AQ453) + N("Integrating Data") + (AQ527+AQ538),)</f>
        <v>2.0379553912286616E-2</v>
      </c>
      <c r="AR713" s="261">
        <f ca="1">IF(AR$711 &gt;= '2.2 Input_General_Information'!$H$20, N("Pre-processing data and reports") + (AR428+AR439+AR453) + N("Integrating Data") + (AR527+AR538),)</f>
        <v>1.5776829304023625E-2</v>
      </c>
      <c r="AS713" s="261">
        <f ca="1">IF(AS$711 &gt;= '2.2 Input_General_Information'!$H$20, N("Pre-processing data and reports") + (AS428+AS439+AS453) + N("Integrating Data") + (AS527+AS538),)</f>
        <v>1.1553199533106169E-2</v>
      </c>
      <c r="AT713" s="261">
        <f ca="1">IF(AT$711 &gt;= '2.2 Input_General_Information'!$H$20, N("Pre-processing data and reports") + (AT428+AT439+AT453) + N("Integrating Data") + (AT527+AT538),)</f>
        <v>8.0139971998762251E-3</v>
      </c>
      <c r="AU713" s="261">
        <f ca="1">IF(AU$711 &gt;= '2.2 Input_General_Information'!$H$20, N("Pre-processing data and reports") + (AU428+AU439+AU453) + N("Integrating Data") + (AU527+AU538),)</f>
        <v>5.2671311869621129E-3</v>
      </c>
      <c r="AV713" s="261">
        <f ca="1">IF(AV$711 &gt;= '2.2 Input_General_Information'!$H$20, N("Pre-processing data and reports") + (AV428+AV439+AV453) + N("Integrating Data") + (AV527+AV538),)</f>
        <v>3.2607152801833587E-3</v>
      </c>
      <c r="AW713" s="261">
        <f ca="1">IF(AW$711 &gt;= '2.2 Input_General_Information'!$H$20, N("Pre-processing data and reports") + (AW428+AW439+AW453) + N("Integrating Data") + (AW527+AW538),)</f>
        <v>1.8605899259316653E-3</v>
      </c>
      <c r="AX713" s="261">
        <f ca="1">IF(AX$711 &gt;= '2.2 Input_General_Information'!$H$20, N("Pre-processing data and reports") + (AX428+AX439+AX453) + N("Integrating Data") + (AX527+AX538),)</f>
        <v>9.1527141338278867E-4</v>
      </c>
      <c r="AY713" s="261">
        <f ca="1">IF(AY$711 &gt;= '2.2 Input_General_Information'!$H$20, N("Pre-processing data and reports") + (AY428+AY439+AY453) + N("Integrating Data") + (AY527+AY538),)</f>
        <v>2.9155746763030873E-4</v>
      </c>
      <c r="AZ713" s="261">
        <f ca="1">IF(AZ$711 &gt;= '2.2 Input_General_Information'!$H$20, N("Pre-processing data and reports") + (AZ428+AZ439+AZ453) + N("Integrating Data") + (AZ527+AZ538),)</f>
        <v>-1.135865638997337E-4</v>
      </c>
      <c r="BA713" s="261">
        <f ca="1">IF(BA$711 &gt;= '2.2 Input_General_Information'!$H$20, N("Pre-processing data and reports") + (BA428+BA439+BA453) + N("Integrating Data") + (BA527+BA538),)</f>
        <v>-3.7404366874241226E-4</v>
      </c>
      <c r="BB713" s="261">
        <f ca="1">IF(BB$711 &gt;= '2.2 Input_General_Information'!$H$20, N("Pre-processing data and reports") + (BB428+BB439+BB453) + N("Integrating Data") + (BB527+BB538),)</f>
        <v>-5.4035821404228076E-4</v>
      </c>
      <c r="BC713" s="261">
        <f ca="1">IF(BC$711 &gt;= '2.2 Input_General_Information'!$H$20, N("Pre-processing data and reports") + (BC428+BC439+BC453) + N("Integrating Data") + (BC527+BC538),)</f>
        <v>-6.4609686363675063E-4</v>
      </c>
      <c r="BD713" s="261">
        <f ca="1">IF(BD$711 &gt;= '2.2 Input_General_Information'!$H$20, N("Pre-processing data and reports") + (BD428+BD439+BD453) + N("Integrating Data") + (BD527+BD538),)</f>
        <v>-7.1313596164767679E-4</v>
      </c>
      <c r="BE713" s="261">
        <f ca="1">IF(BE$711 &gt;= '2.2 Input_General_Information'!$H$20, N("Pre-processing data and reports") + (BE428+BE439+BE453) + N("Integrating Data") + (BE527+BE538),)</f>
        <v>-7.555640300550533E-4</v>
      </c>
      <c r="BF713" s="261">
        <f ca="1">IF(BF$711 &gt;= '2.2 Input_General_Information'!$H$20, N("Pre-processing data and reports") + (BF428+BF439+BF453) + N("Integrating Data") + (BF527+BF538),)</f>
        <v>-7.8238599411454581E-4</v>
      </c>
      <c r="BG713" s="261">
        <f ca="1">IF(BG$711 &gt;= '2.2 Input_General_Information'!$H$20, N("Pre-processing data and reports") + (BG428+BG439+BG453) + N("Integrating Data") + (BG527+BG538),)</f>
        <v>-7.9933012598444901E-4</v>
      </c>
      <c r="BH713" s="261">
        <f ca="1">IF(BH$711 &gt;= '2.2 Input_General_Information'!$H$20, N("Pre-processing data and reports") + (BH428+BH439+BH453) + N("Integrating Data") + (BH527+BH538),)</f>
        <v>-8.1002937209304115E-4</v>
      </c>
      <c r="BI713" s="261">
        <f ca="1">IF(BI$711 &gt;= '2.2 Input_General_Information'!$H$20, N("Pre-processing data and reports") + (BI428+BI439+BI453) + N("Integrating Data") + (BI527+BI538),)</f>
        <v>-8.1678341910746235E-4</v>
      </c>
      <c r="BJ713" s="261">
        <f ca="1">IF(BJ$711 &gt;= '2.2 Input_General_Information'!$H$20, N("Pre-processing data and reports") + (BJ428+BJ439+BJ453) + N("Integrating Data") + (BJ527+BJ538),)</f>
        <v>-8.2104624389693777E-4</v>
      </c>
      <c r="BK713" s="261">
        <f ca="1">IF(BK$711 &gt;= '2.2 Input_General_Information'!$H$20, N("Pre-processing data and reports") + (BK428+BK439+BK453) + N("Integrating Data") + (BK527+BK538),)</f>
        <v>-8.2373642845582555E-4</v>
      </c>
      <c r="BL713" s="657"/>
      <c r="BM713" s="657"/>
      <c r="BN713" s="657"/>
      <c r="BO713" s="657"/>
      <c r="BP713" s="657"/>
      <c r="BQ713" s="657"/>
      <c r="BR713" s="657"/>
      <c r="BS713" s="657"/>
      <c r="BT713" s="657"/>
      <c r="BU713" s="657"/>
    </row>
    <row r="714" spans="1:73" hidden="1">
      <c r="A714" s="6"/>
      <c r="B714" s="108"/>
      <c r="C714" s="1"/>
      <c r="D714" s="1"/>
      <c r="E714" s="1"/>
      <c r="F714" s="656"/>
      <c r="G714" s="52"/>
      <c r="H714" s="3"/>
      <c r="I714" s="3"/>
      <c r="J714" s="3"/>
      <c r="K714" s="3"/>
      <c r="L714" s="3"/>
      <c r="M714" s="3"/>
      <c r="N714" s="3"/>
      <c r="O714" s="1"/>
      <c r="P714" s="1"/>
      <c r="Q714" s="1"/>
      <c r="R714" s="162"/>
      <c r="S714" s="1"/>
      <c r="T714" s="103"/>
      <c r="U714" s="103"/>
      <c r="V714" s="103" t="str">
        <f>$I$10</f>
        <v>Lecturer/Researcher (Academic)</v>
      </c>
      <c r="W714" s="261">
        <f ca="1">IF(W$711 &gt;= '2.2 Input_General_Information'!$H$20, N("Pre-processing data and reports") + (W429+W440+W454) + N("Integrating Data") + (W528+W539),)</f>
        <v>3.7849596710000002E-2</v>
      </c>
      <c r="X714" s="261">
        <f ca="1">IF(X$711 &gt;= '2.2 Input_General_Information'!$H$20, N("Pre-processing data and reports") + (X429+X440+X454) + N("Integrating Data") + (X528+X539),)</f>
        <v>3.3063473639737329E-2</v>
      </c>
      <c r="Y714" s="261">
        <f ca="1">IF(Y$711 &gt;= '2.2 Input_General_Information'!$H$20, N("Pre-processing data and reports") + (Y429+Y440+Y454) + N("Integrating Data") + (Y528+Y539),)</f>
        <v>3.1836572087355353E-2</v>
      </c>
      <c r="Z714" s="261">
        <f ca="1">IF(Z$711 &gt;= '2.2 Input_General_Information'!$H$20, N("Pre-processing data and reports") + (Z429+Z440+Z454) + N("Integrating Data") + (Z528+Z539),)</f>
        <v>3.7307027679413976E-2</v>
      </c>
      <c r="AA714" s="261">
        <f ca="1">IF(AA$711 &gt;= '2.2 Input_General_Information'!$H$20, N("Pre-processing data and reports") + (AA429+AA440+AA454) + N("Integrating Data") + (AA528+AA539),)</f>
        <v>3.7289561357927652E-2</v>
      </c>
      <c r="AB714" s="261">
        <f ca="1">IF(AB$711 &gt;= '2.2 Input_General_Information'!$H$20, N("Pre-processing data and reports") + (AB429+AB440+AB454) + N("Integrating Data") + (AB528+AB539),)</f>
        <v>3.7264474678996705E-2</v>
      </c>
      <c r="AC714" s="261">
        <f ca="1">IF(AC$711 &gt;= '2.2 Input_General_Information'!$H$20, N("Pre-processing data and reports") + (AC429+AC440+AC454) + N("Integrating Data") + (AC528+AC539),)</f>
        <v>3.7230049243504523E-2</v>
      </c>
      <c r="AD714" s="261">
        <f ca="1">IF(AD$711 &gt;= '2.2 Input_General_Information'!$H$20, N("Pre-processing data and reports") + (AD429+AD440+AD454) + N("Integrating Data") + (AD528+AD539),)</f>
        <v>3.7182862774892585E-2</v>
      </c>
      <c r="AE714" s="261">
        <f ca="1">IF(AE$711 &gt;= '2.2 Input_General_Information'!$H$20, N("Pre-processing data and reports") + (AE429+AE440+AE454) + N("Integrating Data") + (AE528+AE539),)</f>
        <v>3.7116685287863729E-2</v>
      </c>
      <c r="AF714" s="261">
        <f ca="1">IF(AF$711 &gt;= '2.2 Input_General_Information'!$H$20, N("Pre-processing data and reports") + (AF429+AF440+AF454) + N("Integrating Data") + (AF528+AF539),)</f>
        <v>3.7020966195157365E-2</v>
      </c>
      <c r="AG714" s="261">
        <f ca="1">IF(AG$711 &gt;= '2.2 Input_General_Information'!$H$20, N("Pre-processing data and reports") + (AG429+AG440+AG454) + N("Integrating Data") + (AG528+AG539),)</f>
        <v>3.6878638790364869E-2</v>
      </c>
      <c r="AH714" s="261">
        <f ca="1">IF(AH$711 &gt;= '2.2 Input_General_Information'!$H$20, N("Pre-processing data and reports") + (AH429+AH440+AH454) + N("Integrating Data") + (AH528+AH539),)</f>
        <v>3.6662915927397122E-2</v>
      </c>
      <c r="AI714" s="261">
        <f ca="1">IF(AI$711 &gt;= '2.2 Input_General_Information'!$H$20, N("Pre-processing data and reports") + (AI429+AI440+AI454) + N("Integrating Data") + (AI528+AI539),)</f>
        <v>3.6332773119419737E-2</v>
      </c>
      <c r="AJ714" s="261">
        <f ca="1">IF(AJ$711 &gt;= '2.2 Input_General_Information'!$H$20, N("Pre-processing data and reports") + (AJ429+AJ440+AJ454) + N("Integrating Data") + (AJ528+AJ539),)</f>
        <v>3.5827096965562522E-2</v>
      </c>
      <c r="AK714" s="261">
        <f ca="1">IF(AK$711 &gt;= '2.2 Input_General_Information'!$H$20, N("Pre-processing data and reports") + (AK429+AK440+AK454) + N("Integrating Data") + (AK528+AK539),)</f>
        <v>3.5058383110213254E-2</v>
      </c>
      <c r="AL714" s="261">
        <f ca="1">IF(AL$711 &gt;= '2.2 Input_General_Information'!$H$20, N("Pre-processing data and reports") + (AL429+AL440+AL454) + N("Integrating Data") + (AL528+AL539),)</f>
        <v>3.3909009468997955E-2</v>
      </c>
      <c r="AM714" s="261">
        <f ca="1">IF(AM$711 &gt;= '2.2 Input_General_Information'!$H$20, N("Pre-processing data and reports") + (AM429+AM440+AM454) + N("Integrating Data") + (AM528+AM539),)</f>
        <v>3.2236980618811722E-2</v>
      </c>
      <c r="AN714" s="261">
        <f ca="1">IF(AN$711 &gt;= '2.2 Input_General_Information'!$H$20, N("Pre-processing data and reports") + (AN429+AN440+AN454) + N("Integrating Data") + (AN528+AN539),)</f>
        <v>2.9902387432229671E-2</v>
      </c>
      <c r="AO714" s="261">
        <f ca="1">IF(AO$711 &gt;= '2.2 Input_General_Information'!$H$20, N("Pre-processing data and reports") + (AO429+AO440+AO454) + N("Integrating Data") + (AO528+AO539),)</f>
        <v>2.6824312797157857E-2</v>
      </c>
      <c r="AP714" s="261">
        <f ca="1">IF(AP$711 &gt;= '2.2 Input_General_Information'!$H$20, N("Pre-processing data and reports") + (AP429+AP440+AP454) + N("Integrating Data") + (AP528+AP539),)</f>
        <v>2.3058703265743597E-2</v>
      </c>
      <c r="AQ714" s="261">
        <f ca="1">IF(AQ$711 &gt;= '2.2 Input_General_Information'!$H$20, N("Pre-processing data and reports") + (AQ429+AQ440+AQ454) + N("Integrating Data") + (AQ528+AQ539),)</f>
        <v>1.8849872319530642E-2</v>
      </c>
      <c r="AR714" s="261">
        <f ca="1">IF(AR$711 &gt;= '2.2 Input_General_Information'!$H$20, N("Pre-processing data and reports") + (AR429+AR440+AR454) + N("Integrating Data") + (AR528+AR539),)</f>
        <v>1.4591596462252372E-2</v>
      </c>
      <c r="AS714" s="261">
        <f ca="1">IF(AS$711 &gt;= '2.2 Input_General_Information'!$H$20, N("Pre-processing data and reports") + (AS429+AS440+AS454) + N("Integrating Data") + (AS528+AS539),)</f>
        <v>1.0692372436176449E-2</v>
      </c>
      <c r="AT714" s="261">
        <f ca="1">IF(AT$711 &gt;= '2.2 Input_General_Information'!$H$20, N("Pre-processing data and reports") + (AT429+AT440+AT454) + N("Integrating Data") + (AT528+AT539),)</f>
        <v>7.4327388690865201E-3</v>
      </c>
      <c r="AU714" s="261">
        <f ca="1">IF(AU$711 &gt;= '2.2 Input_General_Information'!$H$20, N("Pre-processing data and reports") + (AU429+AU440+AU454) + N("Integrating Data") + (AU528+AU539),)</f>
        <v>4.9088756958217414E-3</v>
      </c>
      <c r="AV714" s="261">
        <f ca="1">IF(AV$711 &gt;= '2.2 Input_General_Information'!$H$20, N("Pre-processing data and reports") + (AV429+AV440+AV454) + N("Integrating Data") + (AV528+AV539),)</f>
        <v>3.0693397116763033E-3</v>
      </c>
      <c r="AW714" s="261">
        <f ca="1">IF(AW$711 &gt;= '2.2 Input_General_Information'!$H$20, N("Pre-processing data and reports") + (AW429+AW440+AW454) + N("Integrating Data") + (AW528+AW539),)</f>
        <v>1.7879674007245166E-3</v>
      </c>
      <c r="AX714" s="261">
        <f ca="1">IF(AX$711 &gt;= '2.2 Input_General_Information'!$H$20, N("Pre-processing data and reports") + (AX429+AX440+AX454) + N("Integrating Data") + (AX528+AX539),)</f>
        <v>9.240130032902484E-4</v>
      </c>
      <c r="AY714" s="261">
        <f ca="1">IF(AY$711 &gt;= '2.2 Input_General_Information'!$H$20, N("Pre-processing data and reports") + (AY429+AY440+AY454) + N("Integrating Data") + (AY528+AY539),)</f>
        <v>3.5454470895294381E-4</v>
      </c>
      <c r="AZ714" s="261">
        <f ca="1">IF(AZ$711 &gt;= '2.2 Input_General_Information'!$H$20, N("Pre-processing data and reports") + (AZ429+AZ440+AZ454) + N("Integrating Data") + (AZ528+AZ539),)</f>
        <v>-1.5112122138802287E-5</v>
      </c>
      <c r="BA714" s="261">
        <f ca="1">IF(BA$711 &gt;= '2.2 Input_General_Information'!$H$20, N("Pre-processing data and reports") + (BA429+BA440+BA454) + N("Integrating Data") + (BA528+BA539),)</f>
        <v>-2.5264784838939714E-4</v>
      </c>
      <c r="BB714" s="261">
        <f ca="1">IF(BB$711 &gt;= '2.2 Input_General_Information'!$H$20, N("Pre-processing data and reports") + (BB429+BB440+BB454) + N("Integrating Data") + (BB528+BB539),)</f>
        <v>-4.0428117249823454E-4</v>
      </c>
      <c r="BC714" s="261">
        <f ca="1">IF(BC$711 &gt;= '2.2 Input_General_Information'!$H$20, N("Pre-processing data and reports") + (BC429+BC440+BC454) + N("Integrating Data") + (BC528+BC539),)</f>
        <v>-5.0066754071141899E-4</v>
      </c>
      <c r="BD714" s="261">
        <f ca="1">IF(BD$711 &gt;= '2.2 Input_General_Information'!$H$20, N("Pre-processing data and reports") + (BD429+BD440+BD454) + N("Integrating Data") + (BD528+BD539),)</f>
        <v>-5.6176981843035912E-4</v>
      </c>
      <c r="BE714" s="261">
        <f ca="1">IF(BE$711 &gt;= '2.2 Input_General_Information'!$H$20, N("Pre-processing data and reports") + (BE429+BE440+BE454) + N("Integrating Data") + (BE528+BE539),)</f>
        <v>-6.0043759404867678E-4</v>
      </c>
      <c r="BF714" s="261">
        <f ca="1">IF(BF$711 &gt;= '2.2 Input_General_Information'!$H$20, N("Pre-processing data and reports") + (BF429+BF440+BF454) + N("Integrating Data") + (BF528+BF539),)</f>
        <v>-6.2488121428054739E-4</v>
      </c>
      <c r="BG714" s="261">
        <f ca="1">IF(BG$711 &gt;= '2.2 Input_General_Information'!$H$20, N("Pre-processing data and reports") + (BG429+BG440+BG454) + N("Integrating Data") + (BG528+BG539),)</f>
        <v>-6.4032241669587846E-4</v>
      </c>
      <c r="BH714" s="261">
        <f ca="1">IF(BH$711 &gt;= '2.2 Input_General_Information'!$H$20, N("Pre-processing data and reports") + (BH429+BH440+BH454) + N("Integrating Data") + (BH528+BH539),)</f>
        <v>-6.5007246457749412E-4</v>
      </c>
      <c r="BI714" s="261">
        <f ca="1">IF(BI$711 &gt;= '2.2 Input_General_Information'!$H$20, N("Pre-processing data and reports") + (BI429+BI440+BI454) + N("Integrating Data") + (BI528+BI539),)</f>
        <v>-6.5622724455167839E-4</v>
      </c>
      <c r="BJ714" s="261">
        <f ca="1">IF(BJ$711 &gt;= '2.2 Input_General_Information'!$H$20, N("Pre-processing data and reports") + (BJ429+BJ440+BJ454) + N("Integrating Data") + (BJ528+BJ539),)</f>
        <v>-6.6011181286019496E-4</v>
      </c>
      <c r="BK714" s="261">
        <f ca="1">IF(BK$711 &gt;= '2.2 Input_General_Information'!$H$20, N("Pre-processing data and reports") + (BK429+BK440+BK454) + N("Integrating Data") + (BK528+BK539),)</f>
        <v>-6.6256327617856864E-4</v>
      </c>
      <c r="BL714" s="657"/>
      <c r="BM714" s="657"/>
      <c r="BN714" s="657"/>
      <c r="BO714" s="657"/>
      <c r="BP714" s="657"/>
      <c r="BQ714" s="657"/>
      <c r="BR714" s="657"/>
      <c r="BS714" s="657"/>
      <c r="BT714" s="657"/>
      <c r="BU714" s="657"/>
    </row>
    <row r="715" spans="1:73" hidden="1">
      <c r="A715" s="6"/>
      <c r="B715" s="108"/>
      <c r="C715" s="1"/>
      <c r="D715" s="1"/>
      <c r="E715" s="1"/>
      <c r="F715" s="656"/>
      <c r="G715" s="52"/>
      <c r="H715" s="3"/>
      <c r="I715" s="3"/>
      <c r="J715" s="3"/>
      <c r="K715" s="3"/>
      <c r="L715" s="3"/>
      <c r="M715" s="3"/>
      <c r="N715" s="3"/>
      <c r="O715" s="1"/>
      <c r="P715" s="1"/>
      <c r="Q715" s="1"/>
      <c r="R715" s="162"/>
      <c r="S715" s="1"/>
      <c r="T715" s="103"/>
      <c r="U715" s="103"/>
      <c r="V715" s="103" t="str">
        <f>$J$10</f>
        <v>Other</v>
      </c>
      <c r="W715" s="261">
        <f ca="1">IF(W$711 &gt;= '2.2 Input_General_Information'!$H$20,N("Pre-processing data and reports") + (W430+W441+W455) + N("Integrating Data") + (W529+W540),)</f>
        <v>3.7436232100000001E-2</v>
      </c>
      <c r="X715" s="261">
        <f ca="1">IF(X$711 &gt;= '2.2 Input_General_Information'!$H$20,N("Pre-processing data and reports") + (X430+X441+X455) + N("Integrating Data") + (X529+X540),)</f>
        <v>3.1064380496559105E-2</v>
      </c>
      <c r="Y715" s="261">
        <f ca="1">IF(Y$711 &gt;= '2.2 Input_General_Information'!$H$20,N("Pre-processing data and reports") + (Y430+Y441+Y455) + N("Integrating Data") + (Y529+Y540),)</f>
        <v>2.9431991201696907E-2</v>
      </c>
      <c r="Z715" s="261">
        <f ca="1">IF(Z$711 &gt;= '2.2 Input_General_Information'!$H$20,N("Pre-processing data and reports") + (Z430+Z441+Z455) + N("Integrating Data") + (Z529+Z540),)</f>
        <v>3.6717676406016642E-2</v>
      </c>
      <c r="AA715" s="261">
        <f ca="1">IF(AA$711 &gt;= '2.2 Input_General_Information'!$H$20,N("Pre-processing data and reports") + (AA430+AA441+AA455) + N("Integrating Data") + (AA529+AA540),)</f>
        <v>3.6697435473637886E-2</v>
      </c>
      <c r="AB715" s="261">
        <f ca="1">IF(AB$711 &gt;= '2.2 Input_General_Information'!$H$20,N("Pre-processing data and reports") + (AB430+AB441+AB455) + N("Integrating Data") + (AB529+AB540),)</f>
        <v>3.666880880710164E-2</v>
      </c>
      <c r="AC715" s="261">
        <f ca="1">IF(AC$711 &gt;= '2.2 Input_General_Information'!$H$20,N("Pre-processing data and reports") + (AC430+AC441+AC455) + N("Integrating Data") + (AC529+AC540),)</f>
        <v>3.6630533806859933E-2</v>
      </c>
      <c r="AD715" s="261">
        <f ca="1">IF(AD$711 &gt;= '2.2 Input_General_Information'!$H$20,N("Pre-processing data and reports") + (AD430+AD441+AD455) + N("Integrating Data") + (AD529+AD540),)</f>
        <v>3.6579672417400372E-2</v>
      </c>
      <c r="AE715" s="261">
        <f ca="1">IF(AE$711 &gt;= '2.2 Input_General_Information'!$H$20,N("Pre-processing data and reports") + (AE430+AE441+AE455) + N("Integrating Data") + (AE529+AE540),)</f>
        <v>3.6510478569112277E-2</v>
      </c>
      <c r="AF715" s="261">
        <f ca="1">IF(AF$711 &gt;= '2.2 Input_General_Information'!$H$20,N("Pre-processing data and reports") + (AF430+AF441+AF455) + N("Integrating Data") + (AF529+AF540),)</f>
        <v>3.6412903579816171E-2</v>
      </c>
      <c r="AG715" s="261">
        <f ca="1">IF(AG$711 &gt;= '2.2 Input_General_Information'!$H$20,N("Pre-processing data and reports") + (AG430+AG441+AG455) + N("Integrating Data") + (AG529+AG540),)</f>
        <v>3.6270460682401931E-2</v>
      </c>
      <c r="AH715" s="261">
        <f ca="1">IF(AH$711 &gt;= '2.2 Input_General_Information'!$H$20,N("Pre-processing data and reports") + (AH430+AH441+AH455) + N("Integrating Data") + (AH529+AH540),)</f>
        <v>3.6057119277892305E-2</v>
      </c>
      <c r="AI715" s="261">
        <f ca="1">IF(AI$711 &gt;= '2.2 Input_General_Information'!$H$20,N("Pre-processing data and reports") + (AI430+AI441+AI455) + N("Integrating Data") + (AI529+AI540),)</f>
        <v>3.5732919545037656E-2</v>
      </c>
      <c r="AJ715" s="261">
        <f ca="1">IF(AJ$711 &gt;= '2.2 Input_General_Information'!$H$20,N("Pre-processing data and reports") + (AJ430+AJ441+AJ455) + N("Integrating Data") + (AJ529+AJ540),)</f>
        <v>3.523826996242669E-2</v>
      </c>
      <c r="AK715" s="261">
        <f ca="1">IF(AK$711 &gt;= '2.2 Input_General_Information'!$H$20,N("Pre-processing data and reports") + (AK430+AK441+AK455) + N("Integrating Data") + (AK529+AK540),)</f>
        <v>3.4487764883143056E-2</v>
      </c>
      <c r="AL715" s="261">
        <f ca="1">IF(AL$711 &gt;= '2.2 Input_General_Information'!$H$20,N("Pre-processing data and reports") + (AL430+AL441+AL455) + N("Integrating Data") + (AL529+AL540),)</f>
        <v>3.3366428347321127E-2</v>
      </c>
      <c r="AM715" s="261">
        <f ca="1">IF(AM$711 &gt;= '2.2 Input_General_Information'!$H$20,N("Pre-processing data and reports") + (AM430+AM441+AM455) + N("Integrating Data") + (AM529+AM540),)</f>
        <v>3.1735042389016255E-2</v>
      </c>
      <c r="AN715" s="261">
        <f ca="1">IF(AN$711 &gt;= '2.2 Input_General_Information'!$H$20,N("Pre-processing data and reports") + (AN430+AN441+AN455) + N("Integrating Data") + (AN529+AN540),)</f>
        <v>2.9455477791486009E-2</v>
      </c>
      <c r="AO715" s="261">
        <f ca="1">IF(AO$711 &gt;= '2.2 Input_General_Information'!$H$20,N("Pre-processing data and reports") + (AO430+AO441+AO455) + N("Integrating Data") + (AO529+AO540),)</f>
        <v>2.6445640206740312E-2</v>
      </c>
      <c r="AP715" s="261">
        <f ca="1">IF(AP$711 &gt;= '2.2 Input_General_Information'!$H$20,N("Pre-processing data and reports") + (AP430+AP441+AP455) + N("Integrating Data") + (AP529+AP540),)</f>
        <v>2.2755324213681975E-2</v>
      </c>
      <c r="AQ715" s="261">
        <f ca="1">IF(AQ$711 &gt;= '2.2 Input_General_Information'!$H$20,N("Pre-processing data and reports") + (AQ430+AQ441+AQ455) + N("Integrating Data") + (AQ529+AQ540),)</f>
        <v>1.8617705762496196E-2</v>
      </c>
      <c r="AR715" s="261">
        <f ca="1">IF(AR$711 &gt;= '2.2 Input_General_Information'!$H$20,N("Pre-processing data and reports") + (AR430+AR441+AR455) + N("Integrating Data") + (AR529+AR540),)</f>
        <v>1.441425258292805E-2</v>
      </c>
      <c r="AS715" s="261">
        <f ca="1">IF(AS$711 &gt;= '2.2 Input_General_Information'!$H$20,N("Pre-processing data and reports") + (AS430+AS441+AS455) + N("Integrating Data") + (AS529+AS540),)</f>
        <v>1.0546032053801732E-2</v>
      </c>
      <c r="AT715" s="261">
        <f ca="1">IF(AT$711 &gt;= '2.2 Input_General_Information'!$H$20,N("Pre-processing data and reports") + (AT430+AT441+AT455) + N("Integrating Data") + (AT529+AT540),)</f>
        <v>7.2944530498225309E-3</v>
      </c>
      <c r="AU715" s="261">
        <f ca="1">IF(AU$711 &gt;= '2.2 Input_General_Information'!$H$20,N("Pre-processing data and reports") + (AU430+AU441+AU455) + N("Integrating Data") + (AU529+AU540),)</f>
        <v>4.7628799463465786E-3</v>
      </c>
      <c r="AV715" s="261">
        <f ca="1">IF(AV$711 &gt;= '2.2 Input_General_Information'!$H$20,N("Pre-processing data and reports") + (AV430+AV441+AV455) + N("Integrating Data") + (AV529+AV540),)</f>
        <v>2.9084622052209844E-3</v>
      </c>
      <c r="AW715" s="261">
        <f ca="1">IF(AW$711 &gt;= '2.2 Input_General_Information'!$H$20,N("Pre-processing data and reports") + (AW430+AW441+AW455) + N("Integrating Data") + (AW529+AW540),)</f>
        <v>1.6113725659613241E-3</v>
      </c>
      <c r="AX715" s="261">
        <f ca="1">IF(AX$711 &gt;= '2.2 Input_General_Information'!$H$20,N("Pre-processing data and reports") + (AX430+AX441+AX455) + N("Integrating Data") + (AX529+AX540),)</f>
        <v>7.3405695989021296E-4</v>
      </c>
      <c r="AY715" s="261">
        <f ca="1">IF(AY$711 &gt;= '2.2 Input_General_Information'!$H$20,N("Pre-processing data and reports") + (AY430+AY441+AY455) + N("Integrating Data") + (AY529+AY540),)</f>
        <v>1.5446965262874463E-4</v>
      </c>
      <c r="AZ715" s="261">
        <f ca="1">IF(AZ$711 &gt;= '2.2 Input_General_Information'!$H$20,N("Pre-processing data and reports") + (AZ430+AZ441+AZ455) + N("Integrating Data") + (AZ529+AZ540),)</f>
        <v>-2.2234206643398098E-4</v>
      </c>
      <c r="BA715" s="261">
        <f ca="1">IF(BA$711 &gt;= '2.2 Input_General_Information'!$H$20,N("Pre-processing data and reports") + (BA430+BA441+BA455) + N("Integrating Data") + (BA529+BA540),)</f>
        <v>-4.6472678194422155E-4</v>
      </c>
      <c r="BB715" s="261">
        <f ca="1">IF(BB$711 &gt;= '2.2 Input_General_Information'!$H$20,N("Pre-processing data and reports") + (BB430+BB441+BB455) + N("Integrating Data") + (BB529+BB540),)</f>
        <v>-6.195602905930853E-4</v>
      </c>
      <c r="BC715" s="261">
        <f ca="1">IF(BC$711 &gt;= '2.2 Input_General_Information'!$H$20,N("Pre-processing data and reports") + (BC430+BC441+BC455) + N("Integrating Data") + (BC529+BC540),)</f>
        <v>-7.18023741427538E-4</v>
      </c>
      <c r="BD715" s="261">
        <f ca="1">IF(BD$711 &gt;= '2.2 Input_General_Information'!$H$20,N("Pre-processing data and reports") + (BD430+BD441+BD455) + N("Integrating Data") + (BD529+BD540),)</f>
        <v>-7.8046006868461232E-4</v>
      </c>
      <c r="BE715" s="261">
        <f ca="1">IF(BE$711 &gt;= '2.2 Input_General_Information'!$H$20,N("Pre-processing data and reports") + (BE430+BE441+BE455) + N("Integrating Data") + (BE529+BE540),)</f>
        <v>-8.1997902011925444E-4</v>
      </c>
      <c r="BF715" s="261">
        <f ca="1">IF(BF$711 &gt;= '2.2 Input_General_Information'!$H$20,N("Pre-processing data and reports") + (BF430+BF441+BF455) + N("Integrating Data") + (BF529+BF540),)</f>
        <v>-8.4496346968010298E-4</v>
      </c>
      <c r="BG715" s="261">
        <f ca="1">IF(BG$711 &gt;= '2.2 Input_General_Information'!$H$20,N("Pre-processing data and reports") + (BG430+BG441+BG455) + N("Integrating Data") + (BG529+BG540),)</f>
        <v>-8.6074741261061237E-4</v>
      </c>
      <c r="BH715" s="261">
        <f ca="1">IF(BH$711 &gt;= '2.2 Input_General_Information'!$H$20,N("Pre-processing data and reports") + (BH430+BH441+BH455) + N("Integrating Data") + (BH529+BH540),)</f>
        <v>-8.7071430938198322E-4</v>
      </c>
      <c r="BI715" s="261">
        <f ca="1">IF(BI$711 &gt;= '2.2 Input_General_Information'!$H$20,N("Pre-processing data and reports") + (BI430+BI441+BI455) + N("Integrating Data") + (BI529+BI540),)</f>
        <v>-8.7700614637613024E-4</v>
      </c>
      <c r="BJ715" s="261">
        <f ca="1">IF(BJ$711 &gt;= '2.2 Input_General_Information'!$H$20,N("Pre-processing data and reports") + (BJ430+BJ441+BJ455) + N("Integrating Data") + (BJ529+BJ540),)</f>
        <v>-8.8097728417115494E-4</v>
      </c>
      <c r="BK715" s="261">
        <f ca="1">IF(BK$711 &gt;= '2.2 Input_General_Information'!$H$20,N("Pre-processing data and reports") + (BK430+BK441+BK455) + N("Integrating Data") + (BK529+BK540),)</f>
        <v>-8.8348340538539074E-4</v>
      </c>
      <c r="BL715" s="657"/>
      <c r="BM715" s="657"/>
      <c r="BN715" s="657"/>
      <c r="BO715" s="657"/>
      <c r="BP715" s="657"/>
      <c r="BQ715" s="657"/>
      <c r="BR715" s="657"/>
      <c r="BS715" s="657"/>
      <c r="BT715" s="657"/>
      <c r="BU715" s="657"/>
    </row>
    <row r="716" spans="1:73" hidden="1">
      <c r="A716" s="6"/>
      <c r="B716" s="108"/>
      <c r="C716" s="1"/>
      <c r="D716" s="1"/>
      <c r="E716" s="1"/>
      <c r="F716" s="656"/>
      <c r="G716" s="52"/>
      <c r="H716" s="3"/>
      <c r="I716" s="3"/>
      <c r="J716" s="3"/>
      <c r="K716" s="3"/>
      <c r="L716" s="3"/>
      <c r="M716" s="3"/>
      <c r="N716" s="3"/>
      <c r="O716" s="1"/>
      <c r="P716" s="1"/>
      <c r="Q716" s="1"/>
      <c r="R716" s="162"/>
      <c r="S716" s="1"/>
      <c r="T716" s="103"/>
      <c r="U716" s="103"/>
      <c r="V716" s="103" t="str">
        <f>$K$10</f>
        <v>Profile 5</v>
      </c>
      <c r="W716" s="261">
        <f ca="1">IF(W$711 &gt;= '2.2 Input_General_Information'!$H$20, N("Pre-processing data and reports") + (W431+W442+W456) + N("Integrating Data") + (W530+W541),)</f>
        <v>3.6960483767500003E-2</v>
      </c>
      <c r="X716" s="261">
        <f ca="1">IF(X$711 &gt;= '2.2 Input_General_Information'!$H$20, N("Pre-processing data and reports") + (X431+X442+X456) + N("Integrating Data") + (X530+X541),)</f>
        <v>3.1678032122272569E-2</v>
      </c>
      <c r="Y716" s="261">
        <f ca="1">IF(Y$711 &gt;= '2.2 Input_General_Information'!$H$20, N("Pre-processing data and reports") + (Y431+Y442+Y456) + N("Integrating Data") + (Y530+Y541),)</f>
        <v>3.0324273093518792E-2</v>
      </c>
      <c r="Z716" s="261">
        <f ca="1">IF(Z$711 &gt;= '2.2 Input_General_Information'!$H$20, N("Pre-processing data and reports") + (Z431+Z442+Z456) + N("Integrating Data") + (Z530+Z541),)</f>
        <v>3.6363052880403604E-2</v>
      </c>
      <c r="AA716" s="261">
        <f ca="1">IF(AA$711 &gt;= '2.2 Input_General_Information'!$H$20, N("Pre-processing data and reports") + (AA431+AA442+AA456) + N("Integrating Data") + (AA530+AA541),)</f>
        <v>3.6344894784942253E-2</v>
      </c>
      <c r="AB716" s="261">
        <f ca="1">IF(AB$711 &gt;= '2.2 Input_General_Information'!$H$20, N("Pre-processing data and reports") + (AB431+AB442+AB456) + N("Integrating Data") + (AB530+AB541),)</f>
        <v>3.6318979959373242E-2</v>
      </c>
      <c r="AC716" s="261">
        <f ca="1">IF(AC$711 &gt;= '2.2 Input_General_Information'!$H$20, N("Pre-processing data and reports") + (AC431+AC442+AC456) + N("Integrating Data") + (AC530+AC541),)</f>
        <v>3.6283792792905965E-2</v>
      </c>
      <c r="AD716" s="261">
        <f ca="1">IF(AD$711 &gt;= '2.2 Input_General_Information'!$H$20, N("Pre-processing data and reports") + (AD431+AD442+AD456) + N("Integrating Data") + (AD530+AD541),)</f>
        <v>3.6236157469537865E-2</v>
      </c>
      <c r="AE716" s="261">
        <f ca="1">IF(AE$711 &gt;= '2.2 Input_General_Information'!$H$20, N("Pre-processing data and reports") + (AE431+AE442+AE456) + N("Integrating Data") + (AE530+AE541),)</f>
        <v>3.6170144909973327E-2</v>
      </c>
      <c r="AF716" s="261">
        <f ca="1">IF(AF$711 &gt;= '2.2 Input_General_Information'!$H$20, N("Pre-processing data and reports") + (AF431+AF442+AF456) + N("Integrating Data") + (AF530+AF541),)</f>
        <v>3.6075596075885855E-2</v>
      </c>
      <c r="AG716" s="261">
        <f ca="1">IF(AG$711 &gt;= '2.2 Input_General_Information'!$H$20, N("Pre-processing data and reports") + (AG431+AG442+AG456) + N("Integrating Data") + (AG530+AG541),)</f>
        <v>3.5935991431156306E-2</v>
      </c>
      <c r="AH716" s="261">
        <f ca="1">IF(AH$711 &gt;= '2.2 Input_General_Information'!$H$20, N("Pre-processing data and reports") + (AH431+AH442+AH456) + N("Integrating Data") + (AH530+AH541),)</f>
        <v>3.5725345521777682E-2</v>
      </c>
      <c r="AI716" s="261">
        <f ca="1">IF(AI$711 &gt;= '2.2 Input_General_Information'!$H$20, N("Pre-processing data and reports") + (AI431+AI442+AI456) + N("Integrating Data") + (AI530+AI541),)</f>
        <v>3.5403826722046013E-2</v>
      </c>
      <c r="AJ716" s="261">
        <f ca="1">IF(AJ$711 &gt;= '2.2 Input_General_Information'!$H$20, N("Pre-processing data and reports") + (AJ431+AJ442+AJ456) + N("Integrating Data") + (AJ530+AJ541),)</f>
        <v>3.4912074778977141E-2</v>
      </c>
      <c r="AK716" s="261">
        <f ca="1">IF(AK$711 &gt;= '2.2 Input_General_Information'!$H$20, N("Pre-processing data and reports") + (AK431+AK442+AK456) + N("Integrating Data") + (AK530+AK541),)</f>
        <v>3.4165065686539445E-2</v>
      </c>
      <c r="AL716" s="261">
        <f ca="1">IF(AL$711 &gt;= '2.2 Input_General_Information'!$H$20, N("Pre-processing data and reports") + (AL431+AL442+AL456) + N("Integrating Data") + (AL530+AL541),)</f>
        <v>3.3048446398270571E-2</v>
      </c>
      <c r="AM716" s="261">
        <f ca="1">IF(AM$711 &gt;= '2.2 Input_General_Information'!$H$20, N("Pre-processing data and reports") + (AM431+AM442+AM456) + N("Integrating Data") + (AM530+AM541),)</f>
        <v>3.1424012957088632E-2</v>
      </c>
      <c r="AN716" s="261">
        <f ca="1">IF(AN$711 &gt;= '2.2 Input_General_Information'!$H$20, N("Pre-processing data and reports") + (AN431+AN442+AN456) + N("Integrating Data") + (AN530+AN541),)</f>
        <v>2.9155236425584909E-2</v>
      </c>
      <c r="AO716" s="261">
        <f ca="1">IF(AO$711 &gt;= '2.2 Input_General_Information'!$H$20, N("Pre-processing data and reports") + (AO431+AO442+AO456) + N("Integrating Data") + (AO530+AO541),)</f>
        <v>2.6162334543059731E-2</v>
      </c>
      <c r="AP716" s="261">
        <f ca="1">IF(AP$711 &gt;= '2.2 Input_General_Information'!$H$20, N("Pre-processing data and reports") + (AP431+AP442+AP456) + N("Integrating Data") + (AP530+AP541),)</f>
        <v>2.2497880353273381E-2</v>
      </c>
      <c r="AQ716" s="261">
        <f ca="1">IF(AQ$711 &gt;= '2.2 Input_General_Information'!$H$20, N("Pre-processing data and reports") + (AQ431+AQ442+AQ456) + N("Integrating Data") + (AQ530+AQ541),)</f>
        <v>1.8397300645164899E-2</v>
      </c>
      <c r="AR716" s="261">
        <f ca="1">IF(AR$711 &gt;= '2.2 Input_General_Information'!$H$20, N("Pre-processing data and reports") + (AR431+AR442+AR456) + N("Integrating Data") + (AR530+AR541),)</f>
        <v>1.4242145599982183E-2</v>
      </c>
      <c r="AS716" s="261">
        <f ca="1">IF(AS$711 &gt;= '2.2 Input_General_Information'!$H$20, N("Pre-processing data and reports") + (AS431+AS442+AS456) + N("Integrating Data") + (AS530+AS541),)</f>
        <v>1.0430213016018304E-2</v>
      </c>
      <c r="AT716" s="261">
        <f ca="1">IF(AT$711 &gt;= '2.2 Input_General_Information'!$H$20, N("Pre-processing data and reports") + (AT431+AT442+AT456) + N("Integrating Data") + (AT530+AT541),)</f>
        <v>7.2369135657710092E-3</v>
      </c>
      <c r="AU716" s="261">
        <f ca="1">IF(AU$711 &gt;= '2.2 Input_General_Information'!$H$20, N("Pre-processing data and reports") + (AU431+AU442+AU456) + N("Integrating Data") + (AU530+AU541),)</f>
        <v>4.7592283094118762E-3</v>
      </c>
      <c r="AV716" s="261">
        <f ca="1">IF(AV$711 &gt;= '2.2 Input_General_Information'!$H$20, N("Pre-processing data and reports") + (AV431+AV442+AV456) + N("Integrating Data") + (AV530+AV541),)</f>
        <v>2.9499071193959904E-3</v>
      </c>
      <c r="AW716" s="261">
        <f ca="1">IF(AW$711 &gt;= '2.2 Input_General_Information'!$H$20, N("Pre-processing data and reports") + (AW431+AW442+AW456) + N("Integrating Data") + (AW530+AW541),)</f>
        <v>1.6875929205891738E-3</v>
      </c>
      <c r="AX716" s="261">
        <f ca="1">IF(AX$711 &gt;= '2.2 Input_General_Information'!$H$20, N("Pre-processing data and reports") + (AX431+AX442+AX456) + N("Integrating Data") + (AX530+AX541),)</f>
        <v>8.3546108497261989E-4</v>
      </c>
      <c r="AY716" s="261">
        <f ca="1">IF(AY$711 &gt;= '2.2 Input_General_Information'!$H$20, N("Pre-processing data and reports") + (AY431+AY442+AY456) + N("Integrating Data") + (AY530+AY541),)</f>
        <v>2.7329790049635243E-4</v>
      </c>
      <c r="AZ716" s="261">
        <f ca="1">IF(AZ$711 &gt;= '2.2 Input_General_Information'!$H$20, N("Pre-processing data and reports") + (AZ431+AZ442+AZ456) + N("Integrating Data") + (AZ530+AZ541),)</f>
        <v>-9.1834914998764421E-5</v>
      </c>
      <c r="BA716" s="261">
        <f ca="1">IF(BA$711 &gt;= '2.2 Input_General_Information'!$H$20, N("Pre-processing data and reports") + (BA431+BA442+BA456) + N("Integrating Data") + (BA530+BA541),)</f>
        <v>-3.2655700007609072E-4</v>
      </c>
      <c r="BB716" s="261">
        <f ca="1">IF(BB$711 &gt;= '2.2 Input_General_Information'!$H$20, N("Pre-processing data and reports") + (BB431+BB442+BB456) + N("Integrating Data") + (BB530+BB541),)</f>
        <v>-4.7643315045774979E-4</v>
      </c>
      <c r="BC716" s="261">
        <f ca="1">IF(BC$711 &gt;= '2.2 Input_General_Information'!$H$20, N("Pre-processing data and reports") + (BC431+BC442+BC456) + N("Integrating Data") + (BC530+BC541),)</f>
        <v>-5.7171849685603454E-4</v>
      </c>
      <c r="BD716" s="261">
        <f ca="1">IF(BD$711 &gt;= '2.2 Input_General_Information'!$H$20, N("Pre-processing data and reports") + (BD431+BD442+BD456) + N("Integrating Data") + (BD530+BD541),)</f>
        <v>-6.3212924113072546E-4</v>
      </c>
      <c r="BE716" s="261">
        <f ca="1">IF(BE$711 &gt;= '2.2 Input_General_Information'!$H$20, N("Pre-processing data and reports") + (BE431+BE442+BE456) + N("Integrating Data") + (BE530+BE541),)</f>
        <v>-6.7036196812356565E-4</v>
      </c>
      <c r="BF716" s="261">
        <f ca="1">IF(BF$711 &gt;= '2.2 Input_General_Information'!$H$20, N("Pre-processing data and reports") + (BF431+BF442+BF456) + N("Integrating Data") + (BF530+BF541),)</f>
        <v>-6.9453160173039725E-4</v>
      </c>
      <c r="BG716" s="261">
        <f ca="1">IF(BG$711 &gt;= '2.2 Input_General_Information'!$H$20, N("Pre-processing data and reports") + (BG431+BG442+BG456) + N("Integrating Data") + (BG530+BG541),)</f>
        <v>-7.0980013184172256E-4</v>
      </c>
      <c r="BH716" s="261">
        <f ca="1">IF(BH$711 &gt;= '2.2 Input_General_Information'!$H$20, N("Pre-processing data and reports") + (BH431+BH442+BH456) + N("Integrating Data") + (BH530+BH541),)</f>
        <v>-7.1944130971012725E-4</v>
      </c>
      <c r="BI716" s="261">
        <f ca="1">IF(BI$711 &gt;= '2.2 Input_General_Information'!$H$20, N("Pre-processing data and reports") + (BI431+BI442+BI456) + N("Integrating Data") + (BI530+BI541),)</f>
        <v>-7.2552742788938322E-4</v>
      </c>
      <c r="BJ716" s="261">
        <f ca="1">IF(BJ$711 &gt;= '2.2 Input_General_Information'!$H$20, N("Pre-processing data and reports") + (BJ431+BJ442+BJ456) + N("Integrating Data") + (BJ530+BJ541),)</f>
        <v>-7.2936868522503154E-4</v>
      </c>
      <c r="BK716" s="261">
        <f ca="1">IF(BK$711 &gt;= '2.2 Input_General_Information'!$H$20, N("Pre-processing data and reports") + (BK431+BK442+BK456) + N("Integrating Data") + (BK530+BK541),)</f>
        <v>-7.3179282557314087E-4</v>
      </c>
      <c r="BL716" s="657"/>
      <c r="BM716" s="657"/>
      <c r="BN716" s="657"/>
      <c r="BO716" s="657"/>
      <c r="BP716" s="657"/>
      <c r="BQ716" s="657"/>
      <c r="BR716" s="657"/>
      <c r="BS716" s="657"/>
      <c r="BT716" s="657"/>
      <c r="BU716" s="657"/>
    </row>
    <row r="717" spans="1:73" hidden="1">
      <c r="A717" s="6"/>
      <c r="B717" s="108"/>
      <c r="C717" s="1"/>
      <c r="D717" s="1"/>
      <c r="E717" s="1"/>
      <c r="F717" s="656"/>
      <c r="G717" s="52"/>
      <c r="H717" s="3"/>
      <c r="I717" s="3"/>
      <c r="J717" s="3"/>
      <c r="K717" s="3"/>
      <c r="L717" s="3"/>
      <c r="M717" s="3"/>
      <c r="N717" s="3"/>
      <c r="O717" s="1"/>
      <c r="P717" s="1"/>
      <c r="Q717" s="1"/>
      <c r="R717" s="162"/>
      <c r="S717" s="1"/>
      <c r="T717" s="103"/>
      <c r="U717" s="103"/>
      <c r="V717" s="103" t="str">
        <f>$L$10</f>
        <v>Profile 6</v>
      </c>
      <c r="W717" s="261">
        <f ca="1">IF(W$711 &gt;= '2.2 Input_General_Information'!$H$20, N("Pre-processing data and reports") + (W432+W443+W457) + N("Integrating Data") + (W531+W542),)</f>
        <v>3.6960483767500003E-2</v>
      </c>
      <c r="X717" s="261">
        <f ca="1">IF(X$711 &gt;= '2.2 Input_General_Information'!$H$20, N("Pre-processing data and reports") + (X432+X443+X457) + N("Integrating Data") + (X531+X542),)</f>
        <v>3.1678032122272569E-2</v>
      </c>
      <c r="Y717" s="261">
        <f ca="1">IF(Y$711 &gt;= '2.2 Input_General_Information'!$H$20, N("Pre-processing data and reports") + (Y432+Y443+Y457) + N("Integrating Data") + (Y531+Y542),)</f>
        <v>3.0324273093518792E-2</v>
      </c>
      <c r="Z717" s="261">
        <f ca="1">IF(Z$711 &gt;= '2.2 Input_General_Information'!$H$20, N("Pre-processing data and reports") + (Z432+Z443+Z457) + N("Integrating Data") + (Z531+Z542),)</f>
        <v>3.6363052880403604E-2</v>
      </c>
      <c r="AA717" s="261">
        <f ca="1">IF(AA$711 &gt;= '2.2 Input_General_Information'!$H$20, N("Pre-processing data and reports") + (AA432+AA443+AA457) + N("Integrating Data") + (AA531+AA542),)</f>
        <v>3.6344894784942253E-2</v>
      </c>
      <c r="AB717" s="261">
        <f ca="1">IF(AB$711 &gt;= '2.2 Input_General_Information'!$H$20, N("Pre-processing data and reports") + (AB432+AB443+AB457) + N("Integrating Data") + (AB531+AB542),)</f>
        <v>3.6318979959373242E-2</v>
      </c>
      <c r="AC717" s="261">
        <f ca="1">IF(AC$711 &gt;= '2.2 Input_General_Information'!$H$20, N("Pre-processing data and reports") + (AC432+AC443+AC457) + N("Integrating Data") + (AC531+AC542),)</f>
        <v>3.6283792792905965E-2</v>
      </c>
      <c r="AD717" s="261">
        <f ca="1">IF(AD$711 &gt;= '2.2 Input_General_Information'!$H$20, N("Pre-processing data and reports") + (AD432+AD443+AD457) + N("Integrating Data") + (AD531+AD542),)</f>
        <v>3.6236157469537865E-2</v>
      </c>
      <c r="AE717" s="261">
        <f ca="1">IF(AE$711 &gt;= '2.2 Input_General_Information'!$H$20, N("Pre-processing data and reports") + (AE432+AE443+AE457) + N("Integrating Data") + (AE531+AE542),)</f>
        <v>3.6170144909973327E-2</v>
      </c>
      <c r="AF717" s="261">
        <f ca="1">IF(AF$711 &gt;= '2.2 Input_General_Information'!$H$20, N("Pre-processing data and reports") + (AF432+AF443+AF457) + N("Integrating Data") + (AF531+AF542),)</f>
        <v>3.6075596075885855E-2</v>
      </c>
      <c r="AG717" s="261">
        <f ca="1">IF(AG$711 &gt;= '2.2 Input_General_Information'!$H$20, N("Pre-processing data and reports") + (AG432+AG443+AG457) + N("Integrating Data") + (AG531+AG542),)</f>
        <v>3.5935991431156306E-2</v>
      </c>
      <c r="AH717" s="261">
        <f ca="1">IF(AH$711 &gt;= '2.2 Input_General_Information'!$H$20, N("Pre-processing data and reports") + (AH432+AH443+AH457) + N("Integrating Data") + (AH531+AH542),)</f>
        <v>3.5725345521777682E-2</v>
      </c>
      <c r="AI717" s="261">
        <f ca="1">IF(AI$711 &gt;= '2.2 Input_General_Information'!$H$20, N("Pre-processing data and reports") + (AI432+AI443+AI457) + N("Integrating Data") + (AI531+AI542),)</f>
        <v>3.5403826722046013E-2</v>
      </c>
      <c r="AJ717" s="261">
        <f ca="1">IF(AJ$711 &gt;= '2.2 Input_General_Information'!$H$20, N("Pre-processing data and reports") + (AJ432+AJ443+AJ457) + N("Integrating Data") + (AJ531+AJ542),)</f>
        <v>3.4912074778977141E-2</v>
      </c>
      <c r="AK717" s="261">
        <f ca="1">IF(AK$711 &gt;= '2.2 Input_General_Information'!$H$20, N("Pre-processing data and reports") + (AK432+AK443+AK457) + N("Integrating Data") + (AK531+AK542),)</f>
        <v>3.4165065686539445E-2</v>
      </c>
      <c r="AL717" s="261">
        <f ca="1">IF(AL$711 &gt;= '2.2 Input_General_Information'!$H$20, N("Pre-processing data and reports") + (AL432+AL443+AL457) + N("Integrating Data") + (AL531+AL542),)</f>
        <v>3.3048446398270571E-2</v>
      </c>
      <c r="AM717" s="261">
        <f ca="1">IF(AM$711 &gt;= '2.2 Input_General_Information'!$H$20, N("Pre-processing data and reports") + (AM432+AM443+AM457) + N("Integrating Data") + (AM531+AM542),)</f>
        <v>3.1424012957088632E-2</v>
      </c>
      <c r="AN717" s="261">
        <f ca="1">IF(AN$711 &gt;= '2.2 Input_General_Information'!$H$20, N("Pre-processing data and reports") + (AN432+AN443+AN457) + N("Integrating Data") + (AN531+AN542),)</f>
        <v>2.9155236425584909E-2</v>
      </c>
      <c r="AO717" s="261">
        <f ca="1">IF(AO$711 &gt;= '2.2 Input_General_Information'!$H$20, N("Pre-processing data and reports") + (AO432+AO443+AO457) + N("Integrating Data") + (AO531+AO542),)</f>
        <v>2.6162334543059731E-2</v>
      </c>
      <c r="AP717" s="261">
        <f ca="1">IF(AP$711 &gt;= '2.2 Input_General_Information'!$H$20, N("Pre-processing data and reports") + (AP432+AP443+AP457) + N("Integrating Data") + (AP531+AP542),)</f>
        <v>2.2497880353273381E-2</v>
      </c>
      <c r="AQ717" s="261">
        <f ca="1">IF(AQ$711 &gt;= '2.2 Input_General_Information'!$H$20, N("Pre-processing data and reports") + (AQ432+AQ443+AQ457) + N("Integrating Data") + (AQ531+AQ542),)</f>
        <v>1.8397300645164899E-2</v>
      </c>
      <c r="AR717" s="261">
        <f ca="1">IF(AR$711 &gt;= '2.2 Input_General_Information'!$H$20, N("Pre-processing data and reports") + (AR432+AR443+AR457) + N("Integrating Data") + (AR531+AR542),)</f>
        <v>1.4242145599982183E-2</v>
      </c>
      <c r="AS717" s="261">
        <f ca="1">IF(AS$711 &gt;= '2.2 Input_General_Information'!$H$20, N("Pre-processing data and reports") + (AS432+AS443+AS457) + N("Integrating Data") + (AS531+AS542),)</f>
        <v>1.0430213016018304E-2</v>
      </c>
      <c r="AT717" s="261">
        <f ca="1">IF(AT$711 &gt;= '2.2 Input_General_Information'!$H$20, N("Pre-processing data and reports") + (AT432+AT443+AT457) + N("Integrating Data") + (AT531+AT542),)</f>
        <v>7.2369135657710092E-3</v>
      </c>
      <c r="AU717" s="261">
        <f ca="1">IF(AU$711 &gt;= '2.2 Input_General_Information'!$H$20, N("Pre-processing data and reports") + (AU432+AU443+AU457) + N("Integrating Data") + (AU531+AU542),)</f>
        <v>4.7592283094118762E-3</v>
      </c>
      <c r="AV717" s="261">
        <f ca="1">IF(AV$711 &gt;= '2.2 Input_General_Information'!$H$20, N("Pre-processing data and reports") + (AV432+AV443+AV457) + N("Integrating Data") + (AV531+AV542),)</f>
        <v>2.9499071193959904E-3</v>
      </c>
      <c r="AW717" s="261">
        <f ca="1">IF(AW$711 &gt;= '2.2 Input_General_Information'!$H$20, N("Pre-processing data and reports") + (AW432+AW443+AW457) + N("Integrating Data") + (AW531+AW542),)</f>
        <v>1.6875929205891738E-3</v>
      </c>
      <c r="AX717" s="261">
        <f ca="1">IF(AX$711 &gt;= '2.2 Input_General_Information'!$H$20, N("Pre-processing data and reports") + (AX432+AX443+AX457) + N("Integrating Data") + (AX531+AX542),)</f>
        <v>8.3546108497261989E-4</v>
      </c>
      <c r="AY717" s="261">
        <f ca="1">IF(AY$711 &gt;= '2.2 Input_General_Information'!$H$20, N("Pre-processing data and reports") + (AY432+AY443+AY457) + N("Integrating Data") + (AY531+AY542),)</f>
        <v>2.7329790049635243E-4</v>
      </c>
      <c r="AZ717" s="261">
        <f ca="1">IF(AZ$711 &gt;= '2.2 Input_General_Information'!$H$20, N("Pre-processing data and reports") + (AZ432+AZ443+AZ457) + N("Integrating Data") + (AZ531+AZ542),)</f>
        <v>-9.1834914998764421E-5</v>
      </c>
      <c r="BA717" s="261">
        <f ca="1">IF(BA$711 &gt;= '2.2 Input_General_Information'!$H$20, N("Pre-processing data and reports") + (BA432+BA443+BA457) + N("Integrating Data") + (BA531+BA542),)</f>
        <v>-3.2655700007609072E-4</v>
      </c>
      <c r="BB717" s="261">
        <f ca="1">IF(BB$711 &gt;= '2.2 Input_General_Information'!$H$20, N("Pre-processing data and reports") + (BB432+BB443+BB457) + N("Integrating Data") + (BB531+BB542),)</f>
        <v>-4.7643315045774979E-4</v>
      </c>
      <c r="BC717" s="261">
        <f ca="1">IF(BC$711 &gt;= '2.2 Input_General_Information'!$H$20, N("Pre-processing data and reports") + (BC432+BC443+BC457) + N("Integrating Data") + (BC531+BC542),)</f>
        <v>-5.7171849685603454E-4</v>
      </c>
      <c r="BD717" s="261">
        <f ca="1">IF(BD$711 &gt;= '2.2 Input_General_Information'!$H$20, N("Pre-processing data and reports") + (BD432+BD443+BD457) + N("Integrating Data") + (BD531+BD542),)</f>
        <v>-6.3212924113072546E-4</v>
      </c>
      <c r="BE717" s="261">
        <f ca="1">IF(BE$711 &gt;= '2.2 Input_General_Information'!$H$20, N("Pre-processing data and reports") + (BE432+BE443+BE457) + N("Integrating Data") + (BE531+BE542),)</f>
        <v>-6.7036196812356565E-4</v>
      </c>
      <c r="BF717" s="261">
        <f ca="1">IF(BF$711 &gt;= '2.2 Input_General_Information'!$H$20, N("Pre-processing data and reports") + (BF432+BF443+BF457) + N("Integrating Data") + (BF531+BF542),)</f>
        <v>-6.9453160173039725E-4</v>
      </c>
      <c r="BG717" s="261">
        <f ca="1">IF(BG$711 &gt;= '2.2 Input_General_Information'!$H$20, N("Pre-processing data and reports") + (BG432+BG443+BG457) + N("Integrating Data") + (BG531+BG542),)</f>
        <v>-7.0980013184172256E-4</v>
      </c>
      <c r="BH717" s="261">
        <f ca="1">IF(BH$711 &gt;= '2.2 Input_General_Information'!$H$20, N("Pre-processing data and reports") + (BH432+BH443+BH457) + N("Integrating Data") + (BH531+BH542),)</f>
        <v>-7.1944130971012725E-4</v>
      </c>
      <c r="BI717" s="261">
        <f ca="1">IF(BI$711 &gt;= '2.2 Input_General_Information'!$H$20, N("Pre-processing data and reports") + (BI432+BI443+BI457) + N("Integrating Data") + (BI531+BI542),)</f>
        <v>-7.2552742788938322E-4</v>
      </c>
      <c r="BJ717" s="261">
        <f ca="1">IF(BJ$711 &gt;= '2.2 Input_General_Information'!$H$20, N("Pre-processing data and reports") + (BJ432+BJ443+BJ457) + N("Integrating Data") + (BJ531+BJ542),)</f>
        <v>-7.2936868522503154E-4</v>
      </c>
      <c r="BK717" s="261">
        <f ca="1">IF(BK$711 &gt;= '2.2 Input_General_Information'!$H$20, N("Pre-processing data and reports") + (BK432+BK443+BK457) + N("Integrating Data") + (BK531+BK542),)</f>
        <v>-7.3179282557314087E-4</v>
      </c>
      <c r="BL717" s="657"/>
      <c r="BM717" s="657"/>
      <c r="BN717" s="657"/>
      <c r="BO717" s="657"/>
      <c r="BP717" s="657"/>
      <c r="BQ717" s="657"/>
      <c r="BR717" s="657"/>
      <c r="BS717" s="657"/>
      <c r="BT717" s="657"/>
      <c r="BU717" s="657"/>
    </row>
    <row r="718" spans="1:73" hidden="1">
      <c r="A718" s="6"/>
      <c r="B718" s="108"/>
      <c r="C718" s="1"/>
      <c r="D718" s="1"/>
      <c r="E718" s="1"/>
      <c r="F718" s="656"/>
      <c r="G718" s="52"/>
      <c r="H718" s="3"/>
      <c r="I718" s="3"/>
      <c r="J718" s="3"/>
      <c r="K718" s="3"/>
      <c r="L718" s="3"/>
      <c r="M718" s="3"/>
      <c r="N718" s="3"/>
      <c r="O718" s="1"/>
      <c r="P718" s="1"/>
      <c r="Q718" s="1"/>
      <c r="R718" s="162"/>
      <c r="S718" s="1"/>
      <c r="T718" s="103"/>
      <c r="U718" s="103"/>
      <c r="V718" s="103" t="str">
        <f>$M$10</f>
        <v>Profile 7</v>
      </c>
      <c r="W718" s="261">
        <f ca="1">IF(W$711 &gt;= '2.2 Input_General_Information'!$H$20, N("Pre-processing data and reports") + (W433+W444+W458) + N("Integrating Data") + (W532+W543),)</f>
        <v>3.6960483767500003E-2</v>
      </c>
      <c r="X718" s="261">
        <f ca="1">IF(X$711 &gt;= '2.2 Input_General_Information'!$H$20, N("Pre-processing data and reports") + (X433+X444+X458) + N("Integrating Data") + (X532+X543),)</f>
        <v>3.1678032122272569E-2</v>
      </c>
      <c r="Y718" s="261">
        <f ca="1">IF(Y$711 &gt;= '2.2 Input_General_Information'!$H$20, N("Pre-processing data and reports") + (Y433+Y444+Y458) + N("Integrating Data") + (Y532+Y543),)</f>
        <v>3.0324273093518792E-2</v>
      </c>
      <c r="Z718" s="261">
        <f ca="1">IF(Z$711 &gt;= '2.2 Input_General_Information'!$H$20, N("Pre-processing data and reports") + (Z433+Z444+Z458) + N("Integrating Data") + (Z532+Z543),)</f>
        <v>3.6363052880403604E-2</v>
      </c>
      <c r="AA718" s="261">
        <f ca="1">IF(AA$711 &gt;= '2.2 Input_General_Information'!$H$20, N("Pre-processing data and reports") + (AA433+AA444+AA458) + N("Integrating Data") + (AA532+AA543),)</f>
        <v>3.6344894784942253E-2</v>
      </c>
      <c r="AB718" s="261">
        <f ca="1">IF(AB$711 &gt;= '2.2 Input_General_Information'!$H$20, N("Pre-processing data and reports") + (AB433+AB444+AB458) + N("Integrating Data") + (AB532+AB543),)</f>
        <v>3.6318979959373242E-2</v>
      </c>
      <c r="AC718" s="261">
        <f ca="1">IF(AC$711 &gt;= '2.2 Input_General_Information'!$H$20, N("Pre-processing data and reports") + (AC433+AC444+AC458) + N("Integrating Data") + (AC532+AC543),)</f>
        <v>3.6283792792905965E-2</v>
      </c>
      <c r="AD718" s="261">
        <f ca="1">IF(AD$711 &gt;= '2.2 Input_General_Information'!$H$20, N("Pre-processing data and reports") + (AD433+AD444+AD458) + N("Integrating Data") + (AD532+AD543),)</f>
        <v>3.6236157469537865E-2</v>
      </c>
      <c r="AE718" s="261">
        <f ca="1">IF(AE$711 &gt;= '2.2 Input_General_Information'!$H$20, N("Pre-processing data and reports") + (AE433+AE444+AE458) + N("Integrating Data") + (AE532+AE543),)</f>
        <v>3.6170144909973327E-2</v>
      </c>
      <c r="AF718" s="261">
        <f ca="1">IF(AF$711 &gt;= '2.2 Input_General_Information'!$H$20, N("Pre-processing data and reports") + (AF433+AF444+AF458) + N("Integrating Data") + (AF532+AF543),)</f>
        <v>3.6075596075885855E-2</v>
      </c>
      <c r="AG718" s="261">
        <f ca="1">IF(AG$711 &gt;= '2.2 Input_General_Information'!$H$20, N("Pre-processing data and reports") + (AG433+AG444+AG458) + N("Integrating Data") + (AG532+AG543),)</f>
        <v>3.5935991431156306E-2</v>
      </c>
      <c r="AH718" s="261">
        <f ca="1">IF(AH$711 &gt;= '2.2 Input_General_Information'!$H$20, N("Pre-processing data and reports") + (AH433+AH444+AH458) + N("Integrating Data") + (AH532+AH543),)</f>
        <v>3.5725345521777682E-2</v>
      </c>
      <c r="AI718" s="261">
        <f ca="1">IF(AI$711 &gt;= '2.2 Input_General_Information'!$H$20, N("Pre-processing data and reports") + (AI433+AI444+AI458) + N("Integrating Data") + (AI532+AI543),)</f>
        <v>3.5403826722046013E-2</v>
      </c>
      <c r="AJ718" s="261">
        <f ca="1">IF(AJ$711 &gt;= '2.2 Input_General_Information'!$H$20, N("Pre-processing data and reports") + (AJ433+AJ444+AJ458) + N("Integrating Data") + (AJ532+AJ543),)</f>
        <v>3.4912074778977141E-2</v>
      </c>
      <c r="AK718" s="261">
        <f ca="1">IF(AK$711 &gt;= '2.2 Input_General_Information'!$H$20, N("Pre-processing data and reports") + (AK433+AK444+AK458) + N("Integrating Data") + (AK532+AK543),)</f>
        <v>3.4165065686539445E-2</v>
      </c>
      <c r="AL718" s="261">
        <f ca="1">IF(AL$711 &gt;= '2.2 Input_General_Information'!$H$20, N("Pre-processing data and reports") + (AL433+AL444+AL458) + N("Integrating Data") + (AL532+AL543),)</f>
        <v>3.3048446398270571E-2</v>
      </c>
      <c r="AM718" s="261">
        <f ca="1">IF(AM$711 &gt;= '2.2 Input_General_Information'!$H$20, N("Pre-processing data and reports") + (AM433+AM444+AM458) + N("Integrating Data") + (AM532+AM543),)</f>
        <v>3.1424012957088632E-2</v>
      </c>
      <c r="AN718" s="261">
        <f ca="1">IF(AN$711 &gt;= '2.2 Input_General_Information'!$H$20, N("Pre-processing data and reports") + (AN433+AN444+AN458) + N("Integrating Data") + (AN532+AN543),)</f>
        <v>2.9155236425584909E-2</v>
      </c>
      <c r="AO718" s="261">
        <f ca="1">IF(AO$711 &gt;= '2.2 Input_General_Information'!$H$20, N("Pre-processing data and reports") + (AO433+AO444+AO458) + N("Integrating Data") + (AO532+AO543),)</f>
        <v>2.6162334543059731E-2</v>
      </c>
      <c r="AP718" s="261">
        <f ca="1">IF(AP$711 &gt;= '2.2 Input_General_Information'!$H$20, N("Pre-processing data and reports") + (AP433+AP444+AP458) + N("Integrating Data") + (AP532+AP543),)</f>
        <v>2.2497880353273381E-2</v>
      </c>
      <c r="AQ718" s="261">
        <f ca="1">IF(AQ$711 &gt;= '2.2 Input_General_Information'!$H$20, N("Pre-processing data and reports") + (AQ433+AQ444+AQ458) + N("Integrating Data") + (AQ532+AQ543),)</f>
        <v>1.8397300645164899E-2</v>
      </c>
      <c r="AR718" s="261">
        <f ca="1">IF(AR$711 &gt;= '2.2 Input_General_Information'!$H$20, N("Pre-processing data and reports") + (AR433+AR444+AR458) + N("Integrating Data") + (AR532+AR543),)</f>
        <v>1.4242145599982183E-2</v>
      </c>
      <c r="AS718" s="261">
        <f ca="1">IF(AS$711 &gt;= '2.2 Input_General_Information'!$H$20, N("Pre-processing data and reports") + (AS433+AS444+AS458) + N("Integrating Data") + (AS532+AS543),)</f>
        <v>1.0430213016018304E-2</v>
      </c>
      <c r="AT718" s="261">
        <f ca="1">IF(AT$711 &gt;= '2.2 Input_General_Information'!$H$20, N("Pre-processing data and reports") + (AT433+AT444+AT458) + N("Integrating Data") + (AT532+AT543),)</f>
        <v>7.2369135657710092E-3</v>
      </c>
      <c r="AU718" s="261">
        <f ca="1">IF(AU$711 &gt;= '2.2 Input_General_Information'!$H$20, N("Pre-processing data and reports") + (AU433+AU444+AU458) + N("Integrating Data") + (AU532+AU543),)</f>
        <v>4.7592283094118762E-3</v>
      </c>
      <c r="AV718" s="261">
        <f ca="1">IF(AV$711 &gt;= '2.2 Input_General_Information'!$H$20, N("Pre-processing data and reports") + (AV433+AV444+AV458) + N("Integrating Data") + (AV532+AV543),)</f>
        <v>2.9499071193959904E-3</v>
      </c>
      <c r="AW718" s="261">
        <f ca="1">IF(AW$711 &gt;= '2.2 Input_General_Information'!$H$20, N("Pre-processing data and reports") + (AW433+AW444+AW458) + N("Integrating Data") + (AW532+AW543),)</f>
        <v>1.6875929205891738E-3</v>
      </c>
      <c r="AX718" s="261">
        <f ca="1">IF(AX$711 &gt;= '2.2 Input_General_Information'!$H$20, N("Pre-processing data and reports") + (AX433+AX444+AX458) + N("Integrating Data") + (AX532+AX543),)</f>
        <v>8.3546108497261989E-4</v>
      </c>
      <c r="AY718" s="261">
        <f ca="1">IF(AY$711 &gt;= '2.2 Input_General_Information'!$H$20, N("Pre-processing data and reports") + (AY433+AY444+AY458) + N("Integrating Data") + (AY532+AY543),)</f>
        <v>2.7329790049635243E-4</v>
      </c>
      <c r="AZ718" s="261">
        <f ca="1">IF(AZ$711 &gt;= '2.2 Input_General_Information'!$H$20, N("Pre-processing data and reports") + (AZ433+AZ444+AZ458) + N("Integrating Data") + (AZ532+AZ543),)</f>
        <v>-9.1834914998764421E-5</v>
      </c>
      <c r="BA718" s="261">
        <f ca="1">IF(BA$711 &gt;= '2.2 Input_General_Information'!$H$20, N("Pre-processing data and reports") + (BA433+BA444+BA458) + N("Integrating Data") + (BA532+BA543),)</f>
        <v>-3.2655700007609072E-4</v>
      </c>
      <c r="BB718" s="261">
        <f ca="1">IF(BB$711 &gt;= '2.2 Input_General_Information'!$H$20, N("Pre-processing data and reports") + (BB433+BB444+BB458) + N("Integrating Data") + (BB532+BB543),)</f>
        <v>-4.7643315045774979E-4</v>
      </c>
      <c r="BC718" s="261">
        <f ca="1">IF(BC$711 &gt;= '2.2 Input_General_Information'!$H$20, N("Pre-processing data and reports") + (BC433+BC444+BC458) + N("Integrating Data") + (BC532+BC543),)</f>
        <v>-5.7171849685603454E-4</v>
      </c>
      <c r="BD718" s="261">
        <f ca="1">IF(BD$711 &gt;= '2.2 Input_General_Information'!$H$20, N("Pre-processing data and reports") + (BD433+BD444+BD458) + N("Integrating Data") + (BD532+BD543),)</f>
        <v>-6.3212924113072546E-4</v>
      </c>
      <c r="BE718" s="261">
        <f ca="1">IF(BE$711 &gt;= '2.2 Input_General_Information'!$H$20, N("Pre-processing data and reports") + (BE433+BE444+BE458) + N("Integrating Data") + (BE532+BE543),)</f>
        <v>-6.7036196812356565E-4</v>
      </c>
      <c r="BF718" s="261">
        <f ca="1">IF(BF$711 &gt;= '2.2 Input_General_Information'!$H$20, N("Pre-processing data and reports") + (BF433+BF444+BF458) + N("Integrating Data") + (BF532+BF543),)</f>
        <v>-6.9453160173039725E-4</v>
      </c>
      <c r="BG718" s="261">
        <f ca="1">IF(BG$711 &gt;= '2.2 Input_General_Information'!$H$20, N("Pre-processing data and reports") + (BG433+BG444+BG458) + N("Integrating Data") + (BG532+BG543),)</f>
        <v>-7.0980013184172256E-4</v>
      </c>
      <c r="BH718" s="261">
        <f ca="1">IF(BH$711 &gt;= '2.2 Input_General_Information'!$H$20, N("Pre-processing data and reports") + (BH433+BH444+BH458) + N("Integrating Data") + (BH532+BH543),)</f>
        <v>-7.1944130971012725E-4</v>
      </c>
      <c r="BI718" s="261">
        <f ca="1">IF(BI$711 &gt;= '2.2 Input_General_Information'!$H$20, N("Pre-processing data and reports") + (BI433+BI444+BI458) + N("Integrating Data") + (BI532+BI543),)</f>
        <v>-7.2552742788938322E-4</v>
      </c>
      <c r="BJ718" s="261">
        <f ca="1">IF(BJ$711 &gt;= '2.2 Input_General_Information'!$H$20, N("Pre-processing data and reports") + (BJ433+BJ444+BJ458) + N("Integrating Data") + (BJ532+BJ543),)</f>
        <v>-7.2936868522503154E-4</v>
      </c>
      <c r="BK718" s="261">
        <f ca="1">IF(BK$711 &gt;= '2.2 Input_General_Information'!$H$20, N("Pre-processing data and reports") + (BK433+BK444+BK458) + N("Integrating Data") + (BK532+BK543),)</f>
        <v>-7.3179282557314087E-4</v>
      </c>
      <c r="BL718" s="657"/>
      <c r="BM718" s="657"/>
      <c r="BN718" s="657"/>
      <c r="BO718" s="657"/>
      <c r="BP718" s="657"/>
      <c r="BQ718" s="657"/>
      <c r="BR718" s="657"/>
      <c r="BS718" s="657"/>
      <c r="BT718" s="657"/>
      <c r="BU718" s="657"/>
    </row>
    <row r="719" spans="1:73" hidden="1">
      <c r="A719" s="6"/>
      <c r="B719" s="108"/>
      <c r="C719" s="1"/>
      <c r="D719" s="1"/>
      <c r="E719" s="1"/>
      <c r="F719" s="656"/>
      <c r="G719" s="52"/>
      <c r="H719" s="3"/>
      <c r="I719" s="3"/>
      <c r="J719" s="3"/>
      <c r="K719" s="3"/>
      <c r="L719" s="3"/>
      <c r="M719" s="3"/>
      <c r="N719" s="3"/>
      <c r="O719" s="1"/>
      <c r="P719" s="1"/>
      <c r="Q719" s="1"/>
      <c r="R719" s="162"/>
      <c r="S719" s="1"/>
      <c r="T719" s="103"/>
      <c r="U719" s="103"/>
      <c r="V719" s="103" t="str">
        <f>$N$10</f>
        <v>Profile 8</v>
      </c>
      <c r="W719" s="261">
        <f ca="1">IF(W$711 &gt;= '2.2 Input_General_Information'!$H$20, N("Pre-processing data and reports") + (W434+W445+W459) + N("Integrating Data") + (W533+W544),)</f>
        <v>3.6960483767500003E-2</v>
      </c>
      <c r="X719" s="261">
        <f ca="1">IF(X$711 &gt;= '2.2 Input_General_Information'!$H$20, N("Pre-processing data and reports") + (X434+X445+X459) + N("Integrating Data") + (X533+X544),)</f>
        <v>3.1678032122272569E-2</v>
      </c>
      <c r="Y719" s="261">
        <f ca="1">IF(Y$711 &gt;= '2.2 Input_General_Information'!$H$20, N("Pre-processing data and reports") + (Y434+Y445+Y459) + N("Integrating Data") + (Y533+Y544),)</f>
        <v>3.0324273093518792E-2</v>
      </c>
      <c r="Z719" s="261">
        <f ca="1">IF(Z$711 &gt;= '2.2 Input_General_Information'!$H$20, N("Pre-processing data and reports") + (Z434+Z445+Z459) + N("Integrating Data") + (Z533+Z544),)</f>
        <v>3.6363052880403604E-2</v>
      </c>
      <c r="AA719" s="261">
        <f ca="1">IF(AA$711 &gt;= '2.2 Input_General_Information'!$H$20, N("Pre-processing data and reports") + (AA434+AA445+AA459) + N("Integrating Data") + (AA533+AA544),)</f>
        <v>3.6344894784942253E-2</v>
      </c>
      <c r="AB719" s="261">
        <f ca="1">IF(AB$711 &gt;= '2.2 Input_General_Information'!$H$20, N("Pre-processing data and reports") + (AB434+AB445+AB459) + N("Integrating Data") + (AB533+AB544),)</f>
        <v>3.6318979959373242E-2</v>
      </c>
      <c r="AC719" s="261">
        <f ca="1">IF(AC$711 &gt;= '2.2 Input_General_Information'!$H$20, N("Pre-processing data and reports") + (AC434+AC445+AC459) + N("Integrating Data") + (AC533+AC544),)</f>
        <v>3.6283792792905965E-2</v>
      </c>
      <c r="AD719" s="261">
        <f ca="1">IF(AD$711 &gt;= '2.2 Input_General_Information'!$H$20, N("Pre-processing data and reports") + (AD434+AD445+AD459) + N("Integrating Data") + (AD533+AD544),)</f>
        <v>3.6236157469537865E-2</v>
      </c>
      <c r="AE719" s="261">
        <f ca="1">IF(AE$711 &gt;= '2.2 Input_General_Information'!$H$20, N("Pre-processing data and reports") + (AE434+AE445+AE459) + N("Integrating Data") + (AE533+AE544),)</f>
        <v>3.6170144909973327E-2</v>
      </c>
      <c r="AF719" s="261">
        <f ca="1">IF(AF$711 &gt;= '2.2 Input_General_Information'!$H$20, N("Pre-processing data and reports") + (AF434+AF445+AF459) + N("Integrating Data") + (AF533+AF544),)</f>
        <v>3.6075596075885855E-2</v>
      </c>
      <c r="AG719" s="261">
        <f ca="1">IF(AG$711 &gt;= '2.2 Input_General_Information'!$H$20, N("Pre-processing data and reports") + (AG434+AG445+AG459) + N("Integrating Data") + (AG533+AG544),)</f>
        <v>3.5935991431156306E-2</v>
      </c>
      <c r="AH719" s="261">
        <f ca="1">IF(AH$711 &gt;= '2.2 Input_General_Information'!$H$20, N("Pre-processing data and reports") + (AH434+AH445+AH459) + N("Integrating Data") + (AH533+AH544),)</f>
        <v>3.5725345521777682E-2</v>
      </c>
      <c r="AI719" s="261">
        <f ca="1">IF(AI$711 &gt;= '2.2 Input_General_Information'!$H$20, N("Pre-processing data and reports") + (AI434+AI445+AI459) + N("Integrating Data") + (AI533+AI544),)</f>
        <v>3.5403826722046013E-2</v>
      </c>
      <c r="AJ719" s="261">
        <f ca="1">IF(AJ$711 &gt;= '2.2 Input_General_Information'!$H$20, N("Pre-processing data and reports") + (AJ434+AJ445+AJ459) + N("Integrating Data") + (AJ533+AJ544),)</f>
        <v>3.4912074778977141E-2</v>
      </c>
      <c r="AK719" s="261">
        <f ca="1">IF(AK$711 &gt;= '2.2 Input_General_Information'!$H$20, N("Pre-processing data and reports") + (AK434+AK445+AK459) + N("Integrating Data") + (AK533+AK544),)</f>
        <v>3.4165065686539445E-2</v>
      </c>
      <c r="AL719" s="261">
        <f ca="1">IF(AL$711 &gt;= '2.2 Input_General_Information'!$H$20, N("Pre-processing data and reports") + (AL434+AL445+AL459) + N("Integrating Data") + (AL533+AL544),)</f>
        <v>3.3048446398270571E-2</v>
      </c>
      <c r="AM719" s="261">
        <f ca="1">IF(AM$711 &gt;= '2.2 Input_General_Information'!$H$20, N("Pre-processing data and reports") + (AM434+AM445+AM459) + N("Integrating Data") + (AM533+AM544),)</f>
        <v>3.1424012957088632E-2</v>
      </c>
      <c r="AN719" s="261">
        <f ca="1">IF(AN$711 &gt;= '2.2 Input_General_Information'!$H$20, N("Pre-processing data and reports") + (AN434+AN445+AN459) + N("Integrating Data") + (AN533+AN544),)</f>
        <v>2.9155236425584909E-2</v>
      </c>
      <c r="AO719" s="261">
        <f ca="1">IF(AO$711 &gt;= '2.2 Input_General_Information'!$H$20, N("Pre-processing data and reports") + (AO434+AO445+AO459) + N("Integrating Data") + (AO533+AO544),)</f>
        <v>2.6162334543059731E-2</v>
      </c>
      <c r="AP719" s="261">
        <f ca="1">IF(AP$711 &gt;= '2.2 Input_General_Information'!$H$20, N("Pre-processing data and reports") + (AP434+AP445+AP459) + N("Integrating Data") + (AP533+AP544),)</f>
        <v>2.2497880353273381E-2</v>
      </c>
      <c r="AQ719" s="261">
        <f ca="1">IF(AQ$711 &gt;= '2.2 Input_General_Information'!$H$20, N("Pre-processing data and reports") + (AQ434+AQ445+AQ459) + N("Integrating Data") + (AQ533+AQ544),)</f>
        <v>1.8397300645164899E-2</v>
      </c>
      <c r="AR719" s="261">
        <f ca="1">IF(AR$711 &gt;= '2.2 Input_General_Information'!$H$20, N("Pre-processing data and reports") + (AR434+AR445+AR459) + N("Integrating Data") + (AR533+AR544),)</f>
        <v>1.4242145599982183E-2</v>
      </c>
      <c r="AS719" s="261">
        <f ca="1">IF(AS$711 &gt;= '2.2 Input_General_Information'!$H$20, N("Pre-processing data and reports") + (AS434+AS445+AS459) + N("Integrating Data") + (AS533+AS544),)</f>
        <v>1.0430213016018304E-2</v>
      </c>
      <c r="AT719" s="261">
        <f ca="1">IF(AT$711 &gt;= '2.2 Input_General_Information'!$H$20, N("Pre-processing data and reports") + (AT434+AT445+AT459) + N("Integrating Data") + (AT533+AT544),)</f>
        <v>7.2369135657710092E-3</v>
      </c>
      <c r="AU719" s="261">
        <f ca="1">IF(AU$711 &gt;= '2.2 Input_General_Information'!$H$20, N("Pre-processing data and reports") + (AU434+AU445+AU459) + N("Integrating Data") + (AU533+AU544),)</f>
        <v>4.7592283094118762E-3</v>
      </c>
      <c r="AV719" s="261">
        <f ca="1">IF(AV$711 &gt;= '2.2 Input_General_Information'!$H$20, N("Pre-processing data and reports") + (AV434+AV445+AV459) + N("Integrating Data") + (AV533+AV544),)</f>
        <v>2.9499071193959904E-3</v>
      </c>
      <c r="AW719" s="261">
        <f ca="1">IF(AW$711 &gt;= '2.2 Input_General_Information'!$H$20, N("Pre-processing data and reports") + (AW434+AW445+AW459) + N("Integrating Data") + (AW533+AW544),)</f>
        <v>1.6875929205891738E-3</v>
      </c>
      <c r="AX719" s="261">
        <f ca="1">IF(AX$711 &gt;= '2.2 Input_General_Information'!$H$20, N("Pre-processing data and reports") + (AX434+AX445+AX459) + N("Integrating Data") + (AX533+AX544),)</f>
        <v>8.3546108497261989E-4</v>
      </c>
      <c r="AY719" s="261">
        <f ca="1">IF(AY$711 &gt;= '2.2 Input_General_Information'!$H$20, N("Pre-processing data and reports") + (AY434+AY445+AY459) + N("Integrating Data") + (AY533+AY544),)</f>
        <v>2.7329790049635243E-4</v>
      </c>
      <c r="AZ719" s="261">
        <f ca="1">IF(AZ$711 &gt;= '2.2 Input_General_Information'!$H$20, N("Pre-processing data and reports") + (AZ434+AZ445+AZ459) + N("Integrating Data") + (AZ533+AZ544),)</f>
        <v>-9.1834914998764421E-5</v>
      </c>
      <c r="BA719" s="261">
        <f ca="1">IF(BA$711 &gt;= '2.2 Input_General_Information'!$H$20, N("Pre-processing data and reports") + (BA434+BA445+BA459) + N("Integrating Data") + (BA533+BA544),)</f>
        <v>-3.2655700007609072E-4</v>
      </c>
      <c r="BB719" s="261">
        <f ca="1">IF(BB$711 &gt;= '2.2 Input_General_Information'!$H$20, N("Pre-processing data and reports") + (BB434+BB445+BB459) + N("Integrating Data") + (BB533+BB544),)</f>
        <v>-4.7643315045774979E-4</v>
      </c>
      <c r="BC719" s="261">
        <f ca="1">IF(BC$711 &gt;= '2.2 Input_General_Information'!$H$20, N("Pre-processing data and reports") + (BC434+BC445+BC459) + N("Integrating Data") + (BC533+BC544),)</f>
        <v>-5.7171849685603454E-4</v>
      </c>
      <c r="BD719" s="261">
        <f ca="1">IF(BD$711 &gt;= '2.2 Input_General_Information'!$H$20, N("Pre-processing data and reports") + (BD434+BD445+BD459) + N("Integrating Data") + (BD533+BD544),)</f>
        <v>-6.3212924113072546E-4</v>
      </c>
      <c r="BE719" s="261">
        <f ca="1">IF(BE$711 &gt;= '2.2 Input_General_Information'!$H$20, N("Pre-processing data and reports") + (BE434+BE445+BE459) + N("Integrating Data") + (BE533+BE544),)</f>
        <v>-6.7036196812356565E-4</v>
      </c>
      <c r="BF719" s="261">
        <f ca="1">IF(BF$711 &gt;= '2.2 Input_General_Information'!$H$20, N("Pre-processing data and reports") + (BF434+BF445+BF459) + N("Integrating Data") + (BF533+BF544),)</f>
        <v>-6.9453160173039725E-4</v>
      </c>
      <c r="BG719" s="261">
        <f ca="1">IF(BG$711 &gt;= '2.2 Input_General_Information'!$H$20, N("Pre-processing data and reports") + (BG434+BG445+BG459) + N("Integrating Data") + (BG533+BG544),)</f>
        <v>-7.0980013184172256E-4</v>
      </c>
      <c r="BH719" s="261">
        <f ca="1">IF(BH$711 &gt;= '2.2 Input_General_Information'!$H$20, N("Pre-processing data and reports") + (BH434+BH445+BH459) + N("Integrating Data") + (BH533+BH544),)</f>
        <v>-7.1944130971012725E-4</v>
      </c>
      <c r="BI719" s="261">
        <f ca="1">IF(BI$711 &gt;= '2.2 Input_General_Information'!$H$20, N("Pre-processing data and reports") + (BI434+BI445+BI459) + N("Integrating Data") + (BI533+BI544),)</f>
        <v>-7.2552742788938322E-4</v>
      </c>
      <c r="BJ719" s="261">
        <f ca="1">IF(BJ$711 &gt;= '2.2 Input_General_Information'!$H$20, N("Pre-processing data and reports") + (BJ434+BJ445+BJ459) + N("Integrating Data") + (BJ533+BJ544),)</f>
        <v>-7.2936868522503154E-4</v>
      </c>
      <c r="BK719" s="261">
        <f ca="1">IF(BK$711 &gt;= '2.2 Input_General_Information'!$H$20, N("Pre-processing data and reports") + (BK434+BK445+BK459) + N("Integrating Data") + (BK533+BK544),)</f>
        <v>-7.3179282557314087E-4</v>
      </c>
      <c r="BL719" s="657"/>
      <c r="BM719" s="657"/>
      <c r="BN719" s="657"/>
      <c r="BO719" s="657"/>
      <c r="BP719" s="657"/>
      <c r="BQ719" s="657"/>
      <c r="BR719" s="657"/>
      <c r="BS719" s="657"/>
      <c r="BT719" s="657"/>
      <c r="BU719" s="657"/>
    </row>
    <row r="720" spans="1:73" hidden="1">
      <c r="A720" s="6"/>
      <c r="B720" s="108"/>
      <c r="C720" s="1"/>
      <c r="D720" s="1"/>
      <c r="E720" s="1"/>
      <c r="F720" s="656"/>
      <c r="G720" s="52"/>
      <c r="H720" s="3"/>
      <c r="I720" s="3"/>
      <c r="J720" s="3"/>
      <c r="K720" s="3"/>
      <c r="L720" s="3"/>
      <c r="M720" s="3"/>
      <c r="N720" s="3"/>
      <c r="O720" s="1"/>
      <c r="P720" s="1"/>
      <c r="Q720" s="1"/>
      <c r="R720" s="162"/>
      <c r="S720" s="1"/>
      <c r="T720" s="103"/>
      <c r="U720" s="9" t="s">
        <v>29</v>
      </c>
      <c r="V720" s="103"/>
      <c r="W720" s="98"/>
      <c r="X720" s="98"/>
      <c r="Y720" s="98"/>
      <c r="Z720" s="98"/>
      <c r="AA720" s="98"/>
      <c r="AB720" s="98"/>
      <c r="AC720" s="98"/>
      <c r="AD720" s="98"/>
      <c r="AE720" s="98"/>
      <c r="AF720" s="98"/>
      <c r="AG720" s="98"/>
      <c r="AH720" s="98"/>
      <c r="AI720" s="98"/>
      <c r="AJ720" s="98"/>
      <c r="AK720" s="98"/>
      <c r="AL720" s="98"/>
      <c r="AM720" s="98"/>
      <c r="AN720" s="98"/>
      <c r="AO720" s="98"/>
      <c r="AP720" s="98"/>
      <c r="AQ720" s="98"/>
      <c r="AR720" s="98"/>
      <c r="AS720" s="98"/>
      <c r="AT720" s="98"/>
      <c r="AU720" s="98"/>
      <c r="AV720" s="98"/>
      <c r="AW720" s="98"/>
      <c r="AX720" s="98"/>
      <c r="AY720" s="98"/>
      <c r="AZ720" s="98"/>
      <c r="BA720" s="98"/>
      <c r="BB720" s="98"/>
      <c r="BC720" s="98"/>
      <c r="BD720" s="98"/>
      <c r="BE720" s="98"/>
      <c r="BF720" s="98"/>
      <c r="BG720" s="98"/>
      <c r="BH720" s="98"/>
      <c r="BI720" s="98"/>
      <c r="BJ720" s="98"/>
      <c r="BK720" s="98"/>
      <c r="BL720" s="99"/>
      <c r="BM720" s="99"/>
      <c r="BN720" s="99"/>
      <c r="BO720" s="99"/>
      <c r="BP720" s="99"/>
      <c r="BQ720" s="99"/>
      <c r="BR720" s="99"/>
      <c r="BS720" s="99"/>
      <c r="BT720" s="99"/>
      <c r="BU720" s="99"/>
    </row>
    <row r="721" spans="1:73">
      <c r="A721" s="6"/>
      <c r="B721" s="658"/>
      <c r="C721" s="1"/>
      <c r="D721" s="32" t="str">
        <f>"Inputs on: "&amp;'2.3 Input_Main_Questionnaire'!E317</f>
        <v>Inputs on: Other FAIR-related activities</v>
      </c>
      <c r="E721" s="33"/>
      <c r="F721" s="33"/>
      <c r="G721" s="32"/>
      <c r="H721" s="33"/>
      <c r="I721" s="33"/>
      <c r="J721" s="32"/>
      <c r="K721" s="33"/>
      <c r="L721" s="33"/>
      <c r="M721" s="33"/>
      <c r="N721" s="33"/>
      <c r="O721" s="11"/>
      <c r="P721" s="1"/>
      <c r="Q721" s="1"/>
      <c r="R721" s="162"/>
      <c r="S721" s="1"/>
      <c r="T721" s="103"/>
      <c r="U721" s="103"/>
      <c r="V721" s="103"/>
      <c r="W721" s="98"/>
      <c r="X721" s="98"/>
      <c r="Y721" s="98"/>
      <c r="Z721" s="98"/>
      <c r="AA721" s="98"/>
      <c r="AB721" s="98"/>
      <c r="AC721" s="98"/>
      <c r="AD721" s="98"/>
      <c r="AE721" s="98"/>
      <c r="AF721" s="98"/>
      <c r="AG721" s="98"/>
      <c r="AH721" s="98"/>
      <c r="AI721" s="98"/>
      <c r="AJ721" s="98"/>
      <c r="AK721" s="98"/>
      <c r="AL721" s="98"/>
      <c r="AM721" s="98"/>
      <c r="AN721" s="98"/>
      <c r="AO721" s="98"/>
      <c r="AP721" s="98"/>
      <c r="AQ721" s="98"/>
      <c r="AR721" s="98"/>
      <c r="AS721" s="98"/>
      <c r="AT721" s="98"/>
      <c r="AU721" s="98"/>
      <c r="AV721" s="98"/>
      <c r="AW721" s="98"/>
      <c r="AX721" s="98"/>
      <c r="AY721" s="98"/>
      <c r="AZ721" s="98"/>
      <c r="BA721" s="98"/>
      <c r="BB721" s="98"/>
      <c r="BC721" s="98"/>
      <c r="BD721" s="98"/>
      <c r="BE721" s="98"/>
      <c r="BF721" s="98"/>
      <c r="BG721" s="98"/>
      <c r="BH721" s="98"/>
      <c r="BI721" s="98"/>
      <c r="BJ721" s="98"/>
      <c r="BK721" s="98"/>
      <c r="BL721" s="99"/>
      <c r="BM721" s="99"/>
      <c r="BN721" s="99"/>
      <c r="BO721" s="99"/>
      <c r="BP721" s="99"/>
      <c r="BQ721" s="99"/>
      <c r="BR721" s="99"/>
      <c r="BS721" s="99"/>
      <c r="BT721" s="99"/>
      <c r="BU721" s="99"/>
    </row>
    <row r="722" spans="1:73" ht="5.25" customHeight="1">
      <c r="A722" s="6"/>
      <c r="B722" s="108"/>
      <c r="C722" s="1"/>
      <c r="D722" s="12"/>
      <c r="E722" s="6"/>
      <c r="F722" s="12"/>
      <c r="G722" s="3"/>
      <c r="H722" s="3"/>
      <c r="I722" s="3"/>
      <c r="J722" s="3"/>
      <c r="K722" s="3"/>
      <c r="L722" s="3"/>
      <c r="M722" s="3"/>
      <c r="N722" s="3"/>
      <c r="O722" s="1"/>
      <c r="P722" s="1"/>
      <c r="Q722" s="1"/>
      <c r="R722" s="162"/>
      <c r="S722" s="1"/>
      <c r="T722" s="103"/>
      <c r="U722" s="103"/>
      <c r="V722" s="103"/>
      <c r="W722" s="98"/>
      <c r="X722" s="98"/>
      <c r="Y722" s="98"/>
      <c r="Z722" s="98"/>
      <c r="AA722" s="98"/>
      <c r="AB722" s="98"/>
      <c r="AC722" s="98"/>
      <c r="AD722" s="98"/>
      <c r="AE722" s="98"/>
      <c r="AF722" s="98"/>
      <c r="AG722" s="98"/>
      <c r="AH722" s="98"/>
      <c r="AI722" s="98"/>
      <c r="AJ722" s="98"/>
      <c r="AK722" s="98"/>
      <c r="AL722" s="98"/>
      <c r="AM722" s="98"/>
      <c r="AN722" s="98"/>
      <c r="AO722" s="98"/>
      <c r="AP722" s="98"/>
      <c r="AQ722" s="98"/>
      <c r="AR722" s="98"/>
      <c r="AS722" s="98"/>
      <c r="AT722" s="98"/>
      <c r="AU722" s="98"/>
      <c r="AV722" s="98"/>
      <c r="AW722" s="98"/>
      <c r="AX722" s="98"/>
      <c r="AY722" s="98"/>
      <c r="AZ722" s="98"/>
      <c r="BA722" s="98"/>
      <c r="BB722" s="98"/>
      <c r="BC722" s="98"/>
      <c r="BD722" s="98"/>
      <c r="BE722" s="98"/>
      <c r="BF722" s="98"/>
      <c r="BG722" s="98"/>
      <c r="BH722" s="98"/>
      <c r="BI722" s="98"/>
      <c r="BJ722" s="98"/>
      <c r="BK722" s="98"/>
      <c r="BL722" s="99"/>
      <c r="BM722" s="99"/>
      <c r="BN722" s="99"/>
      <c r="BO722" s="99"/>
      <c r="BP722" s="99"/>
      <c r="BQ722" s="99"/>
      <c r="BR722" s="99"/>
      <c r="BS722" s="99"/>
      <c r="BT722" s="99"/>
      <c r="BU722" s="99"/>
    </row>
    <row r="723" spans="1:73">
      <c r="A723" s="6"/>
      <c r="B723" s="97" t="s">
        <v>654</v>
      </c>
      <c r="C723" s="1"/>
      <c r="D723" s="654" t="s">
        <v>535</v>
      </c>
      <c r="E723" s="200"/>
      <c r="F723" s="646"/>
      <c r="G723" s="149">
        <f ca="1">-IF('2.3 Input_Main_Questionnaire'!$H$325='2.3 Input_Main_Questionnaire'!$H$334,'2.3 Input_Main_Questionnaire'!H323*'2.3 Input_Main_Questionnaire'!H336,'2.3 Input_Main_Questionnaire'!H323*HLOOKUP('2.3 Input_Main_Questionnaire'!$H$325,'2.2 Input_General_Information'!$H$91:$O$96,4,FALSE))</f>
        <v>-26391.165241351599</v>
      </c>
      <c r="H723" s="3"/>
      <c r="I723" s="3"/>
      <c r="J723" s="3"/>
      <c r="K723" s="3"/>
      <c r="L723" s="3"/>
      <c r="M723" s="3"/>
      <c r="N723" s="3"/>
      <c r="O723" s="1"/>
      <c r="P723" s="1"/>
      <c r="Q723" s="1"/>
      <c r="R723" s="162"/>
      <c r="S723" s="1"/>
      <c r="T723" s="103"/>
      <c r="U723" s="103"/>
      <c r="V723" s="103"/>
      <c r="W723" s="98"/>
      <c r="X723" s="98"/>
      <c r="Y723" s="98"/>
      <c r="Z723" s="98"/>
      <c r="AA723" s="98"/>
      <c r="AB723" s="98"/>
      <c r="AC723" s="98"/>
      <c r="AD723" s="98"/>
      <c r="AE723" s="98"/>
      <c r="AF723" s="98"/>
      <c r="AG723" s="98"/>
      <c r="AH723" s="98"/>
      <c r="AI723" s="98"/>
      <c r="AJ723" s="98"/>
      <c r="AK723" s="98"/>
      <c r="AL723" s="98"/>
      <c r="AM723" s="98"/>
      <c r="AN723" s="98"/>
      <c r="AO723" s="98"/>
      <c r="AP723" s="98"/>
      <c r="AQ723" s="98"/>
      <c r="AR723" s="98"/>
      <c r="AS723" s="98"/>
      <c r="AT723" s="98"/>
      <c r="AU723" s="98"/>
      <c r="AV723" s="98"/>
      <c r="AW723" s="98"/>
      <c r="AX723" s="98"/>
      <c r="AY723" s="98"/>
      <c r="AZ723" s="98"/>
      <c r="BA723" s="98"/>
      <c r="BB723" s="98"/>
      <c r="BC723" s="98"/>
      <c r="BD723" s="98"/>
      <c r="BE723" s="98"/>
      <c r="BF723" s="98"/>
      <c r="BG723" s="98"/>
      <c r="BH723" s="98"/>
      <c r="BI723" s="98"/>
      <c r="BJ723" s="98"/>
      <c r="BK723" s="98"/>
      <c r="BL723" s="99"/>
      <c r="BM723" s="99"/>
      <c r="BN723" s="99"/>
      <c r="BO723" s="99"/>
      <c r="BP723" s="99"/>
      <c r="BQ723" s="99"/>
      <c r="BR723" s="99"/>
      <c r="BS723" s="99"/>
      <c r="BT723" s="99"/>
      <c r="BU723" s="99"/>
    </row>
    <row r="724" spans="1:73" ht="5.25" customHeight="1">
      <c r="A724" s="6"/>
      <c r="B724" s="577"/>
      <c r="C724" s="578"/>
      <c r="D724" s="25"/>
      <c r="E724" s="25"/>
      <c r="F724" s="4"/>
      <c r="G724" s="4"/>
      <c r="H724" s="4"/>
      <c r="I724" s="4"/>
      <c r="J724" s="4"/>
      <c r="K724" s="4"/>
      <c r="L724" s="4"/>
      <c r="M724" s="4"/>
      <c r="N724" s="4"/>
      <c r="O724" s="1"/>
      <c r="P724" s="1"/>
      <c r="Q724" s="1"/>
      <c r="R724" s="162"/>
      <c r="S724" s="1"/>
      <c r="T724" s="103"/>
      <c r="U724" s="103"/>
      <c r="V724" s="103"/>
      <c r="W724" s="81"/>
      <c r="X724" s="81"/>
      <c r="Y724" s="81"/>
      <c r="Z724" s="81"/>
      <c r="AA724" s="81"/>
      <c r="AB724" s="81"/>
      <c r="AC724" s="81"/>
      <c r="AD724" s="81"/>
      <c r="AE724" s="81"/>
      <c r="AF724" s="81"/>
      <c r="AG724" s="81"/>
      <c r="AH724" s="81"/>
      <c r="AI724" s="81"/>
      <c r="AJ724" s="81"/>
      <c r="AK724" s="81"/>
      <c r="AL724" s="81"/>
      <c r="AM724" s="81"/>
      <c r="AN724" s="81"/>
      <c r="AO724" s="81"/>
      <c r="AP724" s="81"/>
      <c r="AQ724" s="81"/>
      <c r="AR724" s="81"/>
      <c r="AS724" s="81"/>
      <c r="AT724" s="81"/>
      <c r="AU724" s="81"/>
      <c r="AV724" s="81"/>
      <c r="AW724" s="81"/>
      <c r="AX724" s="81"/>
      <c r="AY724" s="81"/>
      <c r="AZ724" s="81"/>
      <c r="BA724" s="81"/>
      <c r="BB724" s="81"/>
      <c r="BC724" s="81"/>
      <c r="BD724" s="81"/>
      <c r="BE724" s="81"/>
      <c r="BF724" s="81"/>
      <c r="BG724" s="81"/>
      <c r="BH724" s="81"/>
      <c r="BI724" s="81"/>
      <c r="BJ724" s="81"/>
      <c r="BK724" s="81"/>
      <c r="BL724" s="6"/>
      <c r="BM724" s="6"/>
      <c r="BN724" s="6"/>
      <c r="BO724" s="6"/>
      <c r="BP724" s="6"/>
      <c r="BQ724" s="6"/>
      <c r="BR724" s="6"/>
      <c r="BS724" s="6"/>
      <c r="BT724" s="6"/>
      <c r="BU724" s="6"/>
    </row>
    <row r="725" spans="1:73">
      <c r="A725" s="6"/>
      <c r="B725" s="97" t="s">
        <v>648</v>
      </c>
      <c r="C725" s="1"/>
      <c r="D725" s="147" t="s">
        <v>526</v>
      </c>
      <c r="E725" s="200"/>
      <c r="F725" s="200"/>
      <c r="G725" s="149">
        <f>-('2.3 Input_Main_Questionnaire'!H354-'2.3 Input_Main_Questionnaire'!H352)*('2.3 Input_Main_Questionnaire'!H365*('2.3 Input_Main_Questionnaire'!H367+'2.3 Input_Main_Questionnaire'!H384)+(1-'2.3 Input_Main_Questionnaire'!H365)*'2.3 Input_Main_Questionnaire'!H384)</f>
        <v>-108150</v>
      </c>
      <c r="H725" s="6"/>
      <c r="I725" s="3"/>
      <c r="J725" s="659"/>
      <c r="K725" s="3"/>
      <c r="L725" s="3"/>
      <c r="M725" s="3"/>
      <c r="N725" s="3"/>
      <c r="O725" s="1"/>
      <c r="P725" s="1"/>
      <c r="Q725" s="1"/>
      <c r="R725" s="162"/>
      <c r="S725" s="1"/>
      <c r="T725" s="103"/>
      <c r="U725" s="103"/>
      <c r="V725" s="103"/>
      <c r="W725" s="98"/>
      <c r="X725" s="98"/>
      <c r="Y725" s="98"/>
      <c r="Z725" s="98"/>
      <c r="AA725" s="98"/>
      <c r="AB725" s="98"/>
      <c r="AC725" s="98"/>
      <c r="AD725" s="98"/>
      <c r="AE725" s="98"/>
      <c r="AF725" s="98"/>
      <c r="AG725" s="98"/>
      <c r="AH725" s="98"/>
      <c r="AI725" s="98"/>
      <c r="AJ725" s="98"/>
      <c r="AK725" s="98"/>
      <c r="AL725" s="98"/>
      <c r="AM725" s="98"/>
      <c r="AN725" s="98"/>
      <c r="AO725" s="98"/>
      <c r="AP725" s="98"/>
      <c r="AQ725" s="98"/>
      <c r="AR725" s="98"/>
      <c r="AS725" s="98"/>
      <c r="AT725" s="98"/>
      <c r="AU725" s="98"/>
      <c r="AV725" s="98"/>
      <c r="AW725" s="98"/>
      <c r="AX725" s="98"/>
      <c r="AY725" s="98"/>
      <c r="AZ725" s="98"/>
      <c r="BA725" s="98"/>
      <c r="BB725" s="98"/>
      <c r="BC725" s="98"/>
      <c r="BD725" s="98"/>
      <c r="BE725" s="98"/>
      <c r="BF725" s="98"/>
      <c r="BG725" s="98"/>
      <c r="BH725" s="98"/>
      <c r="BI725" s="98"/>
      <c r="BJ725" s="98"/>
      <c r="BK725" s="98"/>
      <c r="BL725" s="99"/>
      <c r="BM725" s="99"/>
      <c r="BN725" s="99"/>
      <c r="BO725" s="99"/>
      <c r="BP725" s="99"/>
      <c r="BQ725" s="99"/>
      <c r="BR725" s="99"/>
      <c r="BS725" s="99"/>
      <c r="BT725" s="99"/>
      <c r="BU725" s="99"/>
    </row>
    <row r="726" spans="1:73" ht="4.5" customHeight="1">
      <c r="A726" s="6"/>
      <c r="B726" s="97"/>
      <c r="C726" s="1"/>
      <c r="D726" s="30"/>
      <c r="E726" s="23"/>
      <c r="F726" s="23"/>
      <c r="G726" s="125"/>
      <c r="H726" s="6"/>
      <c r="I726" s="3"/>
      <c r="J726" s="659"/>
      <c r="K726" s="3"/>
      <c r="L726" s="3"/>
      <c r="M726" s="3"/>
      <c r="N726" s="3"/>
      <c r="O726" s="1"/>
      <c r="P726" s="1"/>
      <c r="Q726" s="1"/>
      <c r="R726" s="162"/>
      <c r="S726" s="1"/>
      <c r="T726" s="103"/>
      <c r="U726" s="103"/>
      <c r="V726" s="103"/>
      <c r="W726" s="98"/>
      <c r="X726" s="98"/>
      <c r="Y726" s="98"/>
      <c r="Z726" s="98"/>
      <c r="AA726" s="98"/>
      <c r="AB726" s="98"/>
      <c r="AC726" s="98"/>
      <c r="AD726" s="98"/>
      <c r="AE726" s="98"/>
      <c r="AF726" s="98"/>
      <c r="AG726" s="98"/>
      <c r="AH726" s="98"/>
      <c r="AI726" s="98"/>
      <c r="AJ726" s="98"/>
      <c r="AK726" s="98"/>
      <c r="AL726" s="98"/>
      <c r="AM726" s="98"/>
      <c r="AN726" s="98"/>
      <c r="AO726" s="98"/>
      <c r="AP726" s="98"/>
      <c r="AQ726" s="98"/>
      <c r="AR726" s="98"/>
      <c r="AS726" s="98"/>
      <c r="AT726" s="98"/>
      <c r="AU726" s="98"/>
      <c r="AV726" s="98"/>
      <c r="AW726" s="98"/>
      <c r="AX726" s="98"/>
      <c r="AY726" s="98"/>
      <c r="AZ726" s="98"/>
      <c r="BA726" s="98"/>
      <c r="BB726" s="98"/>
      <c r="BC726" s="98"/>
      <c r="BD726" s="98"/>
      <c r="BE726" s="98"/>
      <c r="BF726" s="98"/>
      <c r="BG726" s="98"/>
      <c r="BH726" s="98"/>
      <c r="BI726" s="98"/>
      <c r="BJ726" s="98"/>
      <c r="BK726" s="98"/>
      <c r="BL726" s="99"/>
      <c r="BM726" s="99"/>
      <c r="BN726" s="99"/>
      <c r="BO726" s="99"/>
      <c r="BP726" s="99"/>
      <c r="BQ726" s="99"/>
      <c r="BR726" s="99"/>
      <c r="BS726" s="99"/>
      <c r="BT726" s="99"/>
      <c r="BU726" s="99"/>
    </row>
    <row r="727" spans="1:73">
      <c r="A727" s="6"/>
      <c r="B727" s="97" t="s">
        <v>648</v>
      </c>
      <c r="C727" s="1"/>
      <c r="D727" s="147" t="s">
        <v>531</v>
      </c>
      <c r="E727" s="200"/>
      <c r="F727" s="200"/>
      <c r="G727" s="149">
        <f>-'2.3 Input_Main_Questionnaire'!H346</f>
        <v>-5000</v>
      </c>
      <c r="H727" s="6"/>
      <c r="I727" s="3"/>
      <c r="J727" s="659"/>
      <c r="K727" s="3"/>
      <c r="L727" s="3"/>
      <c r="M727" s="3"/>
      <c r="N727" s="3"/>
      <c r="O727" s="1"/>
      <c r="P727" s="1"/>
      <c r="Q727" s="1"/>
      <c r="R727" s="162"/>
      <c r="S727" s="1"/>
      <c r="T727" s="103"/>
      <c r="U727" s="103"/>
      <c r="V727" s="103"/>
      <c r="W727" s="98"/>
      <c r="X727" s="98"/>
      <c r="Y727" s="98"/>
      <c r="Z727" s="98"/>
      <c r="AA727" s="98"/>
      <c r="AB727" s="98"/>
      <c r="AC727" s="98"/>
      <c r="AD727" s="98"/>
      <c r="AE727" s="98"/>
      <c r="AF727" s="98"/>
      <c r="AG727" s="98"/>
      <c r="AH727" s="98"/>
      <c r="AI727" s="98"/>
      <c r="AJ727" s="98"/>
      <c r="AK727" s="98"/>
      <c r="AL727" s="98"/>
      <c r="AM727" s="98"/>
      <c r="AN727" s="98"/>
      <c r="AO727" s="98"/>
      <c r="AP727" s="98"/>
      <c r="AQ727" s="98"/>
      <c r="AR727" s="98"/>
      <c r="AS727" s="98"/>
      <c r="AT727" s="98"/>
      <c r="AU727" s="98"/>
      <c r="AV727" s="98"/>
      <c r="AW727" s="98"/>
      <c r="AX727" s="98"/>
      <c r="AY727" s="98"/>
      <c r="AZ727" s="98"/>
      <c r="BA727" s="98"/>
      <c r="BB727" s="98"/>
      <c r="BC727" s="98"/>
      <c r="BD727" s="98"/>
      <c r="BE727" s="98"/>
      <c r="BF727" s="98"/>
      <c r="BG727" s="98"/>
      <c r="BH727" s="98"/>
      <c r="BI727" s="98"/>
      <c r="BJ727" s="98"/>
      <c r="BK727" s="98"/>
      <c r="BL727" s="99"/>
      <c r="BM727" s="99"/>
      <c r="BN727" s="99"/>
      <c r="BO727" s="99"/>
      <c r="BP727" s="99"/>
      <c r="BQ727" s="99"/>
      <c r="BR727" s="99"/>
      <c r="BS727" s="99"/>
      <c r="BT727" s="99"/>
      <c r="BU727" s="99"/>
    </row>
    <row r="728" spans="1:73" hidden="1">
      <c r="A728" s="6"/>
      <c r="B728" s="108"/>
      <c r="C728" s="1"/>
      <c r="D728" s="1"/>
      <c r="E728" s="1"/>
      <c r="F728" s="656"/>
      <c r="G728" s="52"/>
      <c r="H728" s="3"/>
      <c r="I728" s="3"/>
      <c r="J728" s="3"/>
      <c r="K728" s="3"/>
      <c r="L728" s="3"/>
      <c r="M728" s="3"/>
      <c r="N728" s="3"/>
      <c r="O728" s="1"/>
      <c r="P728" s="1"/>
      <c r="Q728" s="1"/>
      <c r="R728" s="162"/>
      <c r="S728" s="1"/>
      <c r="T728" s="103"/>
      <c r="U728" s="9" t="s">
        <v>5</v>
      </c>
      <c r="V728" s="103"/>
      <c r="W728" s="98"/>
      <c r="X728" s="98"/>
      <c r="Y728" s="98"/>
      <c r="Z728" s="98"/>
      <c r="AA728" s="98"/>
      <c r="AB728" s="98"/>
      <c r="AC728" s="98"/>
      <c r="AD728" s="98"/>
      <c r="AE728" s="98"/>
      <c r="AF728" s="98"/>
      <c r="AG728" s="98"/>
      <c r="AH728" s="98"/>
      <c r="AI728" s="98"/>
      <c r="AJ728" s="98"/>
      <c r="AK728" s="98"/>
      <c r="AL728" s="98"/>
      <c r="AM728" s="98"/>
      <c r="AN728" s="98"/>
      <c r="AO728" s="98"/>
      <c r="AP728" s="98"/>
      <c r="AQ728" s="98"/>
      <c r="AR728" s="98"/>
      <c r="AS728" s="98"/>
      <c r="AT728" s="98"/>
      <c r="AU728" s="98"/>
      <c r="AV728" s="98"/>
      <c r="AW728" s="98"/>
      <c r="AX728" s="98"/>
      <c r="AY728" s="98"/>
      <c r="AZ728" s="98"/>
      <c r="BA728" s="98"/>
      <c r="BB728" s="98"/>
      <c r="BC728" s="98"/>
      <c r="BD728" s="98"/>
      <c r="BE728" s="98"/>
      <c r="BF728" s="98"/>
      <c r="BG728" s="98"/>
      <c r="BH728" s="98"/>
      <c r="BI728" s="98"/>
      <c r="BJ728" s="98"/>
      <c r="BK728" s="98"/>
      <c r="BL728" s="99"/>
      <c r="BM728" s="99"/>
      <c r="BN728" s="99"/>
      <c r="BO728" s="99"/>
      <c r="BP728" s="99"/>
      <c r="BQ728" s="99"/>
      <c r="BR728" s="99"/>
      <c r="BS728" s="99"/>
      <c r="BT728" s="99"/>
      <c r="BU728" s="99"/>
    </row>
    <row r="729" spans="1:73" hidden="1">
      <c r="A729" s="6"/>
      <c r="B729" s="108"/>
      <c r="C729" s="1"/>
      <c r="D729" s="1"/>
      <c r="E729" s="1"/>
      <c r="F729" s="12"/>
      <c r="G729" s="3"/>
      <c r="H729" s="3"/>
      <c r="I729" s="3"/>
      <c r="J729" s="3"/>
      <c r="K729" s="3"/>
      <c r="L729" s="3"/>
      <c r="M729" s="3"/>
      <c r="N729" s="3"/>
      <c r="O729" s="1"/>
      <c r="P729" s="1"/>
      <c r="Q729" s="1"/>
      <c r="R729" s="162"/>
      <c r="S729" s="1"/>
      <c r="T729" s="103"/>
      <c r="U729" s="103"/>
      <c r="V729" s="103"/>
      <c r="W729" s="98">
        <f t="shared" ref="W729:BK729" si="112">W9</f>
        <v>2018</v>
      </c>
      <c r="X729" s="98">
        <f t="shared" si="112"/>
        <v>2019</v>
      </c>
      <c r="Y729" s="98">
        <f t="shared" si="112"/>
        <v>2020</v>
      </c>
      <c r="Z729" s="98">
        <f t="shared" si="112"/>
        <v>2021</v>
      </c>
      <c r="AA729" s="98">
        <f t="shared" si="112"/>
        <v>2022</v>
      </c>
      <c r="AB729" s="98">
        <f t="shared" si="112"/>
        <v>2023</v>
      </c>
      <c r="AC729" s="98">
        <f t="shared" si="112"/>
        <v>2024</v>
      </c>
      <c r="AD729" s="98">
        <f t="shared" si="112"/>
        <v>2025</v>
      </c>
      <c r="AE729" s="98">
        <f t="shared" si="112"/>
        <v>2026</v>
      </c>
      <c r="AF729" s="98">
        <f t="shared" si="112"/>
        <v>2027</v>
      </c>
      <c r="AG729" s="98">
        <f t="shared" si="112"/>
        <v>2028</v>
      </c>
      <c r="AH729" s="98">
        <f t="shared" si="112"/>
        <v>2029</v>
      </c>
      <c r="AI729" s="98">
        <f t="shared" si="112"/>
        <v>2030</v>
      </c>
      <c r="AJ729" s="98">
        <f t="shared" si="112"/>
        <v>2031</v>
      </c>
      <c r="AK729" s="98">
        <f t="shared" si="112"/>
        <v>2032</v>
      </c>
      <c r="AL729" s="98">
        <f t="shared" si="112"/>
        <v>2033</v>
      </c>
      <c r="AM729" s="98">
        <f t="shared" si="112"/>
        <v>2034</v>
      </c>
      <c r="AN729" s="98">
        <f t="shared" si="112"/>
        <v>2035</v>
      </c>
      <c r="AO729" s="98">
        <f t="shared" si="112"/>
        <v>2036</v>
      </c>
      <c r="AP729" s="98">
        <f t="shared" si="112"/>
        <v>2037</v>
      </c>
      <c r="AQ729" s="98">
        <f t="shared" si="112"/>
        <v>2038</v>
      </c>
      <c r="AR729" s="98">
        <f t="shared" si="112"/>
        <v>2039</v>
      </c>
      <c r="AS729" s="98">
        <f t="shared" si="112"/>
        <v>2040</v>
      </c>
      <c r="AT729" s="98">
        <f t="shared" si="112"/>
        <v>2041</v>
      </c>
      <c r="AU729" s="98">
        <f t="shared" si="112"/>
        <v>2042</v>
      </c>
      <c r="AV729" s="98">
        <f t="shared" si="112"/>
        <v>2043</v>
      </c>
      <c r="AW729" s="98">
        <f t="shared" si="112"/>
        <v>2044</v>
      </c>
      <c r="AX729" s="98">
        <f t="shared" si="112"/>
        <v>2045</v>
      </c>
      <c r="AY729" s="98">
        <f t="shared" si="112"/>
        <v>2046</v>
      </c>
      <c r="AZ729" s="98">
        <f t="shared" si="112"/>
        <v>2047</v>
      </c>
      <c r="BA729" s="98">
        <f t="shared" si="112"/>
        <v>2048</v>
      </c>
      <c r="BB729" s="98">
        <f t="shared" si="112"/>
        <v>2049</v>
      </c>
      <c r="BC729" s="98">
        <f t="shared" si="112"/>
        <v>2050</v>
      </c>
      <c r="BD729" s="98">
        <f t="shared" si="112"/>
        <v>2051</v>
      </c>
      <c r="BE729" s="98">
        <f t="shared" si="112"/>
        <v>2052</v>
      </c>
      <c r="BF729" s="98">
        <f t="shared" si="112"/>
        <v>2053</v>
      </c>
      <c r="BG729" s="98">
        <f t="shared" si="112"/>
        <v>2054</v>
      </c>
      <c r="BH729" s="98">
        <f t="shared" si="112"/>
        <v>2055</v>
      </c>
      <c r="BI729" s="98">
        <f t="shared" si="112"/>
        <v>2056</v>
      </c>
      <c r="BJ729" s="98">
        <f t="shared" si="112"/>
        <v>2057</v>
      </c>
      <c r="BK729" s="98">
        <f t="shared" si="112"/>
        <v>2058</v>
      </c>
      <c r="BL729" s="98"/>
      <c r="BM729" s="98"/>
      <c r="BN729" s="98"/>
      <c r="BO729" s="98"/>
      <c r="BP729" s="98"/>
      <c r="BQ729" s="98"/>
      <c r="BR729" s="98"/>
      <c r="BS729" s="98"/>
      <c r="BT729" s="98"/>
      <c r="BU729" s="98"/>
    </row>
    <row r="730" spans="1:73" hidden="1">
      <c r="A730" s="6"/>
      <c r="B730" s="108"/>
      <c r="C730" s="1"/>
      <c r="D730" s="1"/>
      <c r="E730" s="1"/>
      <c r="F730" s="12"/>
      <c r="G730" s="3"/>
      <c r="H730" s="3"/>
      <c r="I730" s="3"/>
      <c r="J730" s="3"/>
      <c r="K730" s="3"/>
      <c r="L730" s="3"/>
      <c r="M730" s="3"/>
      <c r="N730" s="3"/>
      <c r="O730" s="1"/>
      <c r="P730" s="1"/>
      <c r="Q730" s="1"/>
      <c r="R730" s="162"/>
      <c r="S730" s="1"/>
      <c r="T730" s="103"/>
      <c r="U730" s="103"/>
      <c r="V730" s="103"/>
      <c r="W730" s="581">
        <f ca="1">IF(W$729&lt;'2.2 Input_General_Information'!$H$20,,IF(W$729='2.2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-108150</v>
      </c>
      <c r="X730" s="581">
        <f ca="1">IF(X$729&lt;'2.2 Input_General_Information'!$H$20,,IF(X$729='2.2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Y730" s="581">
        <f ca="1">IF(Y$729&lt;'2.2 Input_General_Information'!$H$20,,IF(Y$729='2.2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Z730" s="581">
        <f ca="1">IF(Z$729&lt;'2.2 Input_General_Information'!$H$20,,IF(Z$729='2.2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A730" s="581">
        <f ca="1">IF(AA$729&lt;'2.2 Input_General_Information'!$H$20,,IF(AA$729='2.2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B730" s="581">
        <f ca="1">IF(AB$729&lt;'2.2 Input_General_Information'!$H$20,,IF(AB$729='2.2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C730" s="581">
        <f ca="1">IF(AC$729&lt;'2.2 Input_General_Information'!$H$20,,IF(AC$729='2.2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D730" s="581">
        <f ca="1">IF(AD$729&lt;'2.2 Input_General_Information'!$H$20,,IF(AD$729='2.2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E730" s="581">
        <f ca="1">IF(AE$729&lt;'2.2 Input_General_Information'!$H$20,,IF(AE$729='2.2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F730" s="581">
        <f ca="1">IF(AF$729&lt;'2.2 Input_General_Information'!$H$20,,IF(AF$729='2.2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G730" s="581">
        <f ca="1">IF(AG$729&lt;'2.2 Input_General_Information'!$H$20,,IF(AG$729='2.2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H730" s="581">
        <f ca="1">IF(AH$729&lt;'2.2 Input_General_Information'!$H$20,,IF(AH$729='2.2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I730" s="581">
        <f ca="1">IF(AI$729&lt;'2.2 Input_General_Information'!$H$20,,IF(AI$729='2.2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J730" s="581">
        <f ca="1">IF(AJ$729&lt;'2.2 Input_General_Information'!$H$20,,IF(AJ$729='2.2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K730" s="581">
        <f ca="1">IF(AK$729&lt;'2.2 Input_General_Information'!$H$20,,IF(AK$729='2.2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L730" s="581">
        <f ca="1">IF(AL$729&lt;'2.2 Input_General_Information'!$H$20,,IF(AL$729='2.2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M730" s="581">
        <f ca="1">IF(AM$729&lt;'2.2 Input_General_Information'!$H$20,,IF(AM$729='2.2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N730" s="581">
        <f ca="1">IF(AN$729&lt;'2.2 Input_General_Information'!$H$20,,IF(AN$729='2.2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O730" s="581">
        <f ca="1">IF(AO$729&lt;'2.2 Input_General_Information'!$H$20,,IF(AO$729='2.2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P730" s="581">
        <f ca="1">IF(AP$729&lt;'2.2 Input_General_Information'!$H$20,,IF(AP$729='2.2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Q730" s="581">
        <f ca="1">IF(AQ$729&lt;'2.2 Input_General_Information'!$H$20,,IF(AQ$729='2.2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R730" s="581">
        <f ca="1">IF(AR$729&lt;'2.2 Input_General_Information'!$H$20,,IF(AR$729='2.2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S730" s="581">
        <f ca="1">IF(AS$729&lt;'2.2 Input_General_Information'!$H$20,,IF(AS$729='2.2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T730" s="581">
        <f ca="1">IF(AT$729&lt;'2.2 Input_General_Information'!$H$20,,IF(AT$729='2.2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U730" s="581">
        <f ca="1">IF(AU$729&lt;'2.2 Input_General_Information'!$H$20,,IF(AU$729='2.2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V730" s="581">
        <f ca="1">IF(AV$729&lt;'2.2 Input_General_Information'!$H$20,,IF(AV$729='2.2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W730" s="581">
        <f ca="1">IF(AW$729&lt;'2.2 Input_General_Information'!$H$20,,IF(AW$729='2.2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X730" s="581">
        <f ca="1">IF(AX$729&lt;'2.2 Input_General_Information'!$H$20,,IF(AX$729='2.2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Y730" s="581">
        <f ca="1">IF(AY$729&lt;'2.2 Input_General_Information'!$H$20,,IF(AY$729='2.2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AZ730" s="581">
        <f ca="1">IF(AZ$729&lt;'2.2 Input_General_Information'!$H$20,,IF(AZ$729='2.2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BA730" s="581">
        <f ca="1">IF(BA$729&lt;'2.2 Input_General_Information'!$H$20,,IF(BA$729='2.2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BB730" s="581">
        <f ca="1">IF(BB$729&lt;'2.2 Input_General_Information'!$H$20,,IF(BB$729='2.2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BC730" s="581">
        <f ca="1">IF(BC$729&lt;'2.2 Input_General_Information'!$H$20,,IF(BC$729='2.2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BD730" s="581">
        <f ca="1">IF(BD$729&lt;'2.2 Input_General_Information'!$H$20,,IF(BD$729='2.2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BE730" s="581">
        <f ca="1">IF(BE$729&lt;'2.2 Input_General_Information'!$H$20,,IF(BE$729='2.2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BF730" s="581">
        <f ca="1">IF(BF$729&lt;'2.2 Input_General_Information'!$H$20,,IF(BF$729='2.2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BG730" s="581">
        <f ca="1">IF(BG$729&lt;'2.2 Input_General_Information'!$H$20,,IF(BG$729='2.2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BH730" s="581">
        <f ca="1">IF(BH$729&lt;'2.2 Input_General_Information'!$H$20,,IF(BH$729='2.2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BI730" s="581">
        <f ca="1">IF(BI$729&lt;'2.2 Input_General_Information'!$H$20,,IF(BI$729='2.2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BJ730" s="581">
        <f ca="1">IF(BJ$729&lt;'2.2 Input_General_Information'!$H$20,,IF(BJ$729='2.2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BK730" s="581">
        <f ca="1">IF(BK$729&lt;'2.2 Input_General_Information'!$H$20,,IF(BK$729='2.2 Input_General_Information'!$H$20,-('2.3 Input_Main_Questionnaire'!$H$354-'2.3 Input_Main_Questionnaire'!$H$352)*('2.3 Input_Main_Questionnaire'!$H$365*('2.3 Input_Main_Questionnaire'!$H$367+'2.3 Input_Main_Questionnaire'!$H$384)+(1-'2.3 Input_Main_Questionnaire'!$H$365)*'2.3 Input_Main_Questionnaire'!$H$384),-('2.3 Input_Main_Questionnaire'!$H$354-'2.3 Input_Main_Questionnaire'!$H$352)*'2.3 Input_Main_Questionnaire'!$H$384))</f>
        <v>-105000</v>
      </c>
      <c r="BL730" s="98"/>
      <c r="BM730" s="98"/>
      <c r="BN730" s="98"/>
      <c r="BO730" s="98"/>
      <c r="BP730" s="98"/>
      <c r="BQ730" s="98"/>
      <c r="BR730" s="98"/>
      <c r="BS730" s="98"/>
      <c r="BT730" s="98"/>
      <c r="BU730" s="98"/>
    </row>
    <row r="731" spans="1:73" s="94" customFormat="1" hidden="1">
      <c r="A731" s="54"/>
      <c r="B731" s="583"/>
      <c r="C731" s="325"/>
      <c r="D731" s="325"/>
      <c r="E731" s="325"/>
      <c r="F731" s="325"/>
      <c r="G731" s="43"/>
      <c r="H731" s="43"/>
      <c r="I731" s="43"/>
      <c r="J731" s="43"/>
      <c r="K731" s="43"/>
      <c r="L731" s="43"/>
      <c r="M731" s="43"/>
      <c r="N731" s="43"/>
      <c r="O731" s="325"/>
      <c r="P731" s="325"/>
      <c r="Q731" s="325"/>
      <c r="R731" s="253"/>
      <c r="S731" s="1"/>
      <c r="T731" s="103"/>
      <c r="U731" s="9"/>
      <c r="V731" s="103"/>
      <c r="W731" s="153">
        <f ca="1">IF(AND(W$711 &gt;= '2.2 Input_General_Information'!$H$20, W$711&lt;= '2.2 Input_General_Information'!$H$20+'2.2 Input_General_Information'!$H$40),$G$727,)</f>
        <v>-5000</v>
      </c>
      <c r="X731" s="153">
        <f ca="1">IF(AND(X$711 &gt;= '2.2 Input_General_Information'!$H$20, X$711&lt;= '2.2 Input_General_Information'!$H$20+'2.2 Input_General_Information'!$H$40),$G$727,)</f>
        <v>-5000</v>
      </c>
      <c r="Y731" s="153">
        <f ca="1">IF(AND(Y$711 &gt;= '2.2 Input_General_Information'!$H$20, Y$711&lt;= '2.2 Input_General_Information'!$H$20+'2.2 Input_General_Information'!$H$40),$G$727,)</f>
        <v>-5000</v>
      </c>
      <c r="Z731" s="153">
        <f ca="1">IF(AND(Z$711 &gt;= '2.2 Input_General_Information'!$H$20, Z$711&lt;= '2.2 Input_General_Information'!$H$20+'2.2 Input_General_Information'!$H$40),$G$727,)</f>
        <v>-5000</v>
      </c>
      <c r="AA731" s="153">
        <f ca="1">IF(AND(AA$711 &gt;= '2.2 Input_General_Information'!$H$20, AA$711&lt;= '2.2 Input_General_Information'!$H$20+'2.2 Input_General_Information'!$H$40),$G$727,)</f>
        <v>0</v>
      </c>
      <c r="AB731" s="153">
        <f ca="1">IF(AND(AB$711 &gt;= '2.2 Input_General_Information'!$H$20, AB$711&lt;= '2.2 Input_General_Information'!$H$20+'2.2 Input_General_Information'!$H$40),$G$727,)</f>
        <v>0</v>
      </c>
      <c r="AC731" s="153">
        <f ca="1">IF(AND(AC$711 &gt;= '2.2 Input_General_Information'!$H$20, AC$711&lt;= '2.2 Input_General_Information'!$H$20+'2.2 Input_General_Information'!$H$40),$G$727,)</f>
        <v>0</v>
      </c>
      <c r="AD731" s="153">
        <f ca="1">IF(AND(AD$711 &gt;= '2.2 Input_General_Information'!$H$20, AD$711&lt;= '2.2 Input_General_Information'!$H$20+'2.2 Input_General_Information'!$H$40),$G$727,)</f>
        <v>0</v>
      </c>
      <c r="AE731" s="153">
        <f ca="1">IF(AND(AE$711 &gt;= '2.2 Input_General_Information'!$H$20, AE$711&lt;= '2.2 Input_General_Information'!$H$20+'2.2 Input_General_Information'!$H$40),$G$727,)</f>
        <v>0</v>
      </c>
      <c r="AF731" s="153">
        <f ca="1">IF(AND(AF$711 &gt;= '2.2 Input_General_Information'!$H$20, AF$711&lt;= '2.2 Input_General_Information'!$H$20+'2.2 Input_General_Information'!$H$40),$G$727,)</f>
        <v>0</v>
      </c>
      <c r="AG731" s="153">
        <f ca="1">IF(AND(AG$711 &gt;= '2.2 Input_General_Information'!$H$20, AG$711&lt;= '2.2 Input_General_Information'!$H$20+'2.2 Input_General_Information'!$H$40),$G$727,)</f>
        <v>0</v>
      </c>
      <c r="AH731" s="98">
        <f ca="1">IF(AND(AH$711 &gt;= '2.2 Input_General_Information'!$H$20, AH$711&lt;= '2.2 Input_General_Information'!$H$20+'2.2 Input_General_Information'!$H$40),$G$727,)</f>
        <v>0</v>
      </c>
      <c r="AI731" s="98">
        <f ca="1">IF(AND(AI$711 &gt;= '2.2 Input_General_Information'!$H$20, AI$711&lt;= '2.2 Input_General_Information'!$H$20+'2.2 Input_General_Information'!$H$40),$G$727,)</f>
        <v>0</v>
      </c>
      <c r="AJ731" s="98">
        <f ca="1">IF(AND(AJ$711 &gt;= '2.2 Input_General_Information'!$H$20, AJ$711&lt;= '2.2 Input_General_Information'!$H$20+'2.2 Input_General_Information'!$H$40),$G$727,)</f>
        <v>0</v>
      </c>
      <c r="AK731" s="98">
        <f ca="1">IF(AND(AK$711 &gt;= '2.2 Input_General_Information'!$H$20, AK$711&lt;= '2.2 Input_General_Information'!$H$20+'2.2 Input_General_Information'!$H$40),$G$727,)</f>
        <v>0</v>
      </c>
      <c r="AL731" s="98">
        <f ca="1">IF(AND(AL$711 &gt;= '2.2 Input_General_Information'!$H$20, AL$711&lt;= '2.2 Input_General_Information'!$H$20+'2.2 Input_General_Information'!$H$40),$G$727,)</f>
        <v>0</v>
      </c>
      <c r="AM731" s="98">
        <f ca="1">IF(AND(AM$711 &gt;= '2.2 Input_General_Information'!$H$20, AM$711&lt;= '2.2 Input_General_Information'!$H$20+'2.2 Input_General_Information'!$H$40),$G$727,)</f>
        <v>0</v>
      </c>
      <c r="AN731" s="98">
        <f ca="1">IF(AND(AN$711 &gt;= '2.2 Input_General_Information'!$H$20, AN$711&lt;= '2.2 Input_General_Information'!$H$20+'2.2 Input_General_Information'!$H$40),$G$727,)</f>
        <v>0</v>
      </c>
      <c r="AO731" s="98">
        <f ca="1">IF(AND(AO$711 &gt;= '2.2 Input_General_Information'!$H$20, AO$711&lt;= '2.2 Input_General_Information'!$H$20+'2.2 Input_General_Information'!$H$40),$G$727,)</f>
        <v>0</v>
      </c>
      <c r="AP731" s="98">
        <f ca="1">IF(AND(AP$711 &gt;= '2.2 Input_General_Information'!$H$20, AP$711&lt;= '2.2 Input_General_Information'!$H$20+'2.2 Input_General_Information'!$H$40),$G$727,)</f>
        <v>0</v>
      </c>
      <c r="AQ731" s="98">
        <f ca="1">IF(AND(AQ$711 &gt;= '2.2 Input_General_Information'!$H$20, AQ$711&lt;= '2.2 Input_General_Information'!$H$20+'2.2 Input_General_Information'!$H$40),$G$727,)</f>
        <v>0</v>
      </c>
      <c r="AR731" s="98">
        <f ca="1">IF(AND(AR$711 &gt;= '2.2 Input_General_Information'!$H$20, AR$711&lt;= '2.2 Input_General_Information'!$H$20+'2.2 Input_General_Information'!$H$40),$G$727,)</f>
        <v>0</v>
      </c>
      <c r="AS731" s="98">
        <f ca="1">IF(AND(AS$711 &gt;= '2.2 Input_General_Information'!$H$20, AS$711&lt;= '2.2 Input_General_Information'!$H$20+'2.2 Input_General_Information'!$H$40),$G$727,)</f>
        <v>0</v>
      </c>
      <c r="AT731" s="98">
        <f ca="1">IF(AND(AT$711 &gt;= '2.2 Input_General_Information'!$H$20, AT$711&lt;= '2.2 Input_General_Information'!$H$20+'2.2 Input_General_Information'!$H$40),$G$727,)</f>
        <v>0</v>
      </c>
      <c r="AU731" s="98">
        <f ca="1">IF(AND(AU$711 &gt;= '2.2 Input_General_Information'!$H$20, AU$711&lt;= '2.2 Input_General_Information'!$H$20+'2.2 Input_General_Information'!$H$40),$G$727,)</f>
        <v>0</v>
      </c>
      <c r="AV731" s="98">
        <f ca="1">IF(AND(AV$711 &gt;= '2.2 Input_General_Information'!$H$20, AV$711&lt;= '2.2 Input_General_Information'!$H$20+'2.2 Input_General_Information'!$H$40),$G$727,)</f>
        <v>0</v>
      </c>
      <c r="AW731" s="98">
        <f ca="1">IF(AND(AW$711 &gt;= '2.2 Input_General_Information'!$H$20, AW$711&lt;= '2.2 Input_General_Information'!$H$20+'2.2 Input_General_Information'!$H$40),$G$727,)</f>
        <v>0</v>
      </c>
      <c r="AX731" s="98">
        <f ca="1">IF(AND(AX$711 &gt;= '2.2 Input_General_Information'!$H$20, AX$711&lt;= '2.2 Input_General_Information'!$H$20+'2.2 Input_General_Information'!$H$40),$G$727,)</f>
        <v>0</v>
      </c>
      <c r="AY731" s="98">
        <f ca="1">IF(AND(AY$711 &gt;= '2.2 Input_General_Information'!$H$20, AY$711&lt;= '2.2 Input_General_Information'!$H$20+'2.2 Input_General_Information'!$H$40),$G$727,)</f>
        <v>0</v>
      </c>
      <c r="AZ731" s="98">
        <f ca="1">IF(AND(AZ$711 &gt;= '2.2 Input_General_Information'!$H$20, AZ$711&lt;= '2.2 Input_General_Information'!$H$20+'2.2 Input_General_Information'!$H$40),$G$727,)</f>
        <v>0</v>
      </c>
      <c r="BA731" s="98">
        <f ca="1">IF(AND(BA$711 &gt;= '2.2 Input_General_Information'!$H$20, BA$711&lt;= '2.2 Input_General_Information'!$H$20+'2.2 Input_General_Information'!$H$40),$G$727,)</f>
        <v>0</v>
      </c>
      <c r="BB731" s="98">
        <f ca="1">IF(AND(BB$711 &gt;= '2.2 Input_General_Information'!$H$20, BB$711&lt;= '2.2 Input_General_Information'!$H$20+'2.2 Input_General_Information'!$H$40),$G$727,)</f>
        <v>0</v>
      </c>
      <c r="BC731" s="98">
        <f ca="1">IF(AND(BC$711 &gt;= '2.2 Input_General_Information'!$H$20, BC$711&lt;= '2.2 Input_General_Information'!$H$20+'2.2 Input_General_Information'!$H$40),$G$727,)</f>
        <v>0</v>
      </c>
      <c r="BD731" s="98">
        <f ca="1">IF(AND(BD$711 &gt;= '2.2 Input_General_Information'!$H$20, BD$711&lt;= '2.2 Input_General_Information'!$H$20+'2.2 Input_General_Information'!$H$40),$G$727,)</f>
        <v>0</v>
      </c>
      <c r="BE731" s="98">
        <f ca="1">IF(AND(BE$711 &gt;= '2.2 Input_General_Information'!$H$20, BE$711&lt;= '2.2 Input_General_Information'!$H$20+'2.2 Input_General_Information'!$H$40),$G$727,)</f>
        <v>0</v>
      </c>
      <c r="BF731" s="98">
        <f ca="1">IF(AND(BF$711 &gt;= '2.2 Input_General_Information'!$H$20, BF$711&lt;= '2.2 Input_General_Information'!$H$20+'2.2 Input_General_Information'!$H$40),$G$727,)</f>
        <v>0</v>
      </c>
      <c r="BG731" s="98">
        <f ca="1">IF(AND(BG$711 &gt;= '2.2 Input_General_Information'!$H$20, BG$711&lt;= '2.2 Input_General_Information'!$H$20+'2.2 Input_General_Information'!$H$40),$G$727,)</f>
        <v>0</v>
      </c>
      <c r="BH731" s="98">
        <f ca="1">IF(AND(BH$711 &gt;= '2.2 Input_General_Information'!$H$20, BH$711&lt;= '2.2 Input_General_Information'!$H$20+'2.2 Input_General_Information'!$H$40),$G$727,)</f>
        <v>0</v>
      </c>
      <c r="BI731" s="98">
        <f ca="1">IF(AND(BI$711 &gt;= '2.2 Input_General_Information'!$H$20, BI$711&lt;= '2.2 Input_General_Information'!$H$20+'2.2 Input_General_Information'!$H$40),$G$727,)</f>
        <v>0</v>
      </c>
      <c r="BJ731" s="98">
        <f ca="1">IF(AND(BJ$711 &gt;= '2.2 Input_General_Information'!$H$20, BJ$711&lt;= '2.2 Input_General_Information'!$H$20+'2.2 Input_General_Information'!$H$40),$G$727,)</f>
        <v>0</v>
      </c>
      <c r="BK731" s="98">
        <f ca="1">IF(AND(BK$711 &gt;= '2.2 Input_General_Information'!$H$20, BK$711&lt;= '2.2 Input_General_Information'!$H$20+'2.2 Input_General_Information'!$H$40),$G$727,)</f>
        <v>0</v>
      </c>
      <c r="BL731" s="346"/>
      <c r="BM731" s="346"/>
      <c r="BN731" s="346"/>
      <c r="BO731" s="346"/>
      <c r="BP731" s="346"/>
      <c r="BQ731" s="346"/>
      <c r="BR731" s="346"/>
      <c r="BS731" s="346"/>
      <c r="BT731" s="346"/>
      <c r="BU731" s="346"/>
    </row>
    <row r="732" spans="1:73" s="94" customFormat="1" hidden="1">
      <c r="A732" s="54"/>
      <c r="B732" s="583"/>
      <c r="C732" s="325"/>
      <c r="D732" s="325"/>
      <c r="E732" s="325"/>
      <c r="F732" s="325"/>
      <c r="G732" s="43"/>
      <c r="H732" s="43"/>
      <c r="I732" s="43"/>
      <c r="J732" s="43"/>
      <c r="K732" s="43"/>
      <c r="L732" s="43"/>
      <c r="M732" s="43"/>
      <c r="N732" s="43"/>
      <c r="O732" s="325"/>
      <c r="P732" s="325"/>
      <c r="Q732" s="325"/>
      <c r="R732" s="253"/>
      <c r="S732" s="325"/>
      <c r="T732" s="647"/>
      <c r="U732" s="9" t="s">
        <v>29</v>
      </c>
      <c r="V732" s="647"/>
      <c r="W732" s="581"/>
      <c r="X732" s="581"/>
      <c r="Y732" s="581"/>
      <c r="Z732" s="581"/>
      <c r="AA732" s="581"/>
      <c r="AB732" s="581"/>
      <c r="AC732" s="581"/>
      <c r="AD732" s="581"/>
      <c r="AE732" s="581"/>
      <c r="AF732" s="581"/>
      <c r="AG732" s="581"/>
      <c r="AH732" s="581"/>
      <c r="AI732" s="581"/>
      <c r="AJ732" s="581"/>
      <c r="AK732" s="581"/>
      <c r="AL732" s="581"/>
      <c r="AM732" s="581"/>
      <c r="AN732" s="581"/>
      <c r="AO732" s="581"/>
      <c r="AP732" s="581"/>
      <c r="AQ732" s="581"/>
      <c r="AR732" s="581"/>
      <c r="AS732" s="581"/>
      <c r="AT732" s="581"/>
      <c r="AU732" s="581"/>
      <c r="AV732" s="581"/>
      <c r="AW732" s="581"/>
      <c r="AX732" s="581"/>
      <c r="AY732" s="581"/>
      <c r="AZ732" s="581"/>
      <c r="BA732" s="581"/>
      <c r="BB732" s="581"/>
      <c r="BC732" s="581"/>
      <c r="BD732" s="581"/>
      <c r="BE732" s="581"/>
      <c r="BF732" s="581"/>
      <c r="BG732" s="581"/>
      <c r="BH732" s="581"/>
      <c r="BI732" s="581"/>
      <c r="BJ732" s="581"/>
      <c r="BK732" s="581"/>
      <c r="BL732" s="346"/>
      <c r="BM732" s="346"/>
      <c r="BN732" s="346"/>
      <c r="BO732" s="346"/>
      <c r="BP732" s="346"/>
      <c r="BQ732" s="346"/>
      <c r="BR732" s="346"/>
      <c r="BS732" s="346"/>
      <c r="BT732" s="346"/>
      <c r="BU732" s="346"/>
    </row>
    <row r="733" spans="1:73" ht="5.25" customHeight="1">
      <c r="A733" s="6"/>
      <c r="B733" s="97"/>
      <c r="C733" s="12"/>
      <c r="D733" s="660"/>
      <c r="E733" s="23"/>
      <c r="F733" s="660"/>
      <c r="G733" s="599"/>
      <c r="H733" s="3"/>
      <c r="I733" s="3"/>
      <c r="J733" s="3"/>
      <c r="K733" s="3"/>
      <c r="L733" s="3"/>
      <c r="M733" s="3"/>
      <c r="N733" s="3"/>
      <c r="O733" s="1"/>
      <c r="P733" s="1"/>
      <c r="Q733" s="1"/>
      <c r="R733" s="162"/>
      <c r="S733" s="1"/>
      <c r="T733" s="6"/>
      <c r="U733" s="6"/>
      <c r="V733" s="103"/>
      <c r="W733" s="98"/>
      <c r="X733" s="98"/>
      <c r="Y733" s="98"/>
      <c r="Z733" s="98"/>
      <c r="AA733" s="98"/>
      <c r="AB733" s="98"/>
      <c r="AC733" s="98"/>
      <c r="AD733" s="98"/>
      <c r="AE733" s="98"/>
      <c r="AF733" s="98"/>
      <c r="AG733" s="98"/>
      <c r="AH733" s="98"/>
      <c r="AI733" s="98"/>
      <c r="AJ733" s="98"/>
      <c r="AK733" s="98"/>
      <c r="AL733" s="98"/>
      <c r="AM733" s="98"/>
      <c r="AN733" s="98"/>
      <c r="AO733" s="98"/>
      <c r="AP733" s="98"/>
      <c r="AQ733" s="98"/>
      <c r="AR733" s="98"/>
      <c r="AS733" s="98"/>
      <c r="AT733" s="98"/>
      <c r="AU733" s="98"/>
      <c r="AV733" s="98"/>
      <c r="AW733" s="98"/>
      <c r="AX733" s="98"/>
      <c r="AY733" s="98"/>
      <c r="AZ733" s="98"/>
      <c r="BA733" s="98"/>
      <c r="BB733" s="98"/>
      <c r="BC733" s="98"/>
      <c r="BD733" s="98"/>
      <c r="BE733" s="98"/>
      <c r="BF733" s="98"/>
      <c r="BG733" s="98"/>
      <c r="BH733" s="98"/>
      <c r="BI733" s="98"/>
      <c r="BJ733" s="98"/>
      <c r="BK733" s="98"/>
      <c r="BL733" s="99"/>
      <c r="BM733" s="99"/>
      <c r="BN733" s="99"/>
      <c r="BO733" s="99"/>
      <c r="BP733" s="99"/>
      <c r="BQ733" s="99"/>
      <c r="BR733" s="99"/>
      <c r="BS733" s="99"/>
      <c r="BT733" s="99"/>
      <c r="BU733" s="99"/>
    </row>
    <row r="734" spans="1:73" ht="17.25" customHeight="1">
      <c r="A734" s="6"/>
      <c r="B734" s="554" t="s">
        <v>648</v>
      </c>
      <c r="C734" s="566"/>
      <c r="D734" s="646" t="s">
        <v>525</v>
      </c>
      <c r="E734" s="200"/>
      <c r="F734" s="646"/>
      <c r="G734" s="149">
        <f>-'2.3 Input_Main_Questionnaire'!H390</f>
        <v>-5000</v>
      </c>
      <c r="H734" s="3"/>
      <c r="I734" s="3"/>
      <c r="J734" s="3"/>
      <c r="K734" s="3"/>
      <c r="L734" s="3"/>
      <c r="M734" s="3"/>
      <c r="N734" s="3"/>
      <c r="O734" s="1"/>
      <c r="P734" s="1"/>
      <c r="Q734" s="1"/>
      <c r="R734" s="162"/>
      <c r="S734" s="1"/>
      <c r="T734" s="6"/>
      <c r="U734" s="6"/>
      <c r="V734" s="103"/>
      <c r="W734" s="98"/>
      <c r="X734" s="98"/>
      <c r="Y734" s="98"/>
      <c r="Z734" s="98"/>
      <c r="AA734" s="98"/>
      <c r="AB734" s="98"/>
      <c r="AC734" s="98"/>
      <c r="AD734" s="98"/>
      <c r="AE734" s="98"/>
      <c r="AF734" s="98"/>
      <c r="AG734" s="98"/>
      <c r="AH734" s="98"/>
      <c r="AI734" s="98"/>
      <c r="AJ734" s="98"/>
      <c r="AK734" s="98"/>
      <c r="AL734" s="98"/>
      <c r="AM734" s="98"/>
      <c r="AN734" s="98"/>
      <c r="AO734" s="98"/>
      <c r="AP734" s="98"/>
      <c r="AQ734" s="98"/>
      <c r="AR734" s="98"/>
      <c r="AS734" s="98"/>
      <c r="AT734" s="98"/>
      <c r="AU734" s="98"/>
      <c r="AV734" s="98"/>
      <c r="AW734" s="98"/>
      <c r="AX734" s="98"/>
      <c r="AY734" s="98"/>
      <c r="AZ734" s="98"/>
      <c r="BA734" s="98"/>
      <c r="BB734" s="98"/>
      <c r="BC734" s="98"/>
      <c r="BD734" s="98"/>
      <c r="BE734" s="98"/>
      <c r="BF734" s="98"/>
      <c r="BG734" s="98"/>
      <c r="BH734" s="98"/>
      <c r="BI734" s="98"/>
      <c r="BJ734" s="98"/>
      <c r="BK734" s="98"/>
      <c r="BL734" s="99"/>
      <c r="BM734" s="99"/>
      <c r="BN734" s="99"/>
      <c r="BO734" s="99"/>
      <c r="BP734" s="99"/>
      <c r="BQ734" s="99"/>
      <c r="BR734" s="99"/>
      <c r="BS734" s="99"/>
      <c r="BT734" s="99"/>
      <c r="BU734" s="99"/>
    </row>
    <row r="735" spans="1:73" s="94" customFormat="1" ht="17.25" hidden="1" customHeight="1">
      <c r="A735" s="54"/>
      <c r="B735" s="577"/>
      <c r="C735" s="578"/>
      <c r="D735" s="325"/>
      <c r="E735" s="325"/>
      <c r="F735" s="325"/>
      <c r="G735" s="43"/>
      <c r="H735" s="43"/>
      <c r="I735" s="43"/>
      <c r="J735" s="43"/>
      <c r="K735" s="43"/>
      <c r="L735" s="43"/>
      <c r="M735" s="43"/>
      <c r="N735" s="43"/>
      <c r="O735" s="325"/>
      <c r="P735" s="325"/>
      <c r="Q735" s="325"/>
      <c r="R735" s="253"/>
      <c r="S735" s="325"/>
      <c r="T735" s="54"/>
      <c r="U735" s="9" t="s">
        <v>5</v>
      </c>
      <c r="V735" s="647"/>
      <c r="W735" s="346"/>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c r="AS735" s="346"/>
      <c r="AT735" s="346"/>
      <c r="AU735" s="346"/>
      <c r="AV735" s="346"/>
      <c r="AW735" s="346"/>
      <c r="AX735" s="346"/>
      <c r="AY735" s="346"/>
      <c r="AZ735" s="346"/>
      <c r="BA735" s="346"/>
      <c r="BB735" s="346"/>
      <c r="BC735" s="346"/>
      <c r="BD735" s="346"/>
      <c r="BE735" s="346"/>
      <c r="BF735" s="346"/>
      <c r="BG735" s="346"/>
      <c r="BH735" s="346"/>
      <c r="BI735" s="346"/>
      <c r="BJ735" s="346"/>
      <c r="BK735" s="346"/>
      <c r="BL735" s="348"/>
      <c r="BM735" s="348"/>
      <c r="BN735" s="348"/>
      <c r="BO735" s="348"/>
      <c r="BP735" s="348"/>
      <c r="BQ735" s="348"/>
      <c r="BR735" s="348"/>
      <c r="BS735" s="348"/>
      <c r="BT735" s="348"/>
      <c r="BU735" s="348"/>
    </row>
    <row r="736" spans="1:73" hidden="1">
      <c r="A736" s="6"/>
      <c r="B736" s="6"/>
      <c r="C736" s="1"/>
      <c r="D736" s="1"/>
      <c r="E736" s="12"/>
      <c r="F736" s="1"/>
      <c r="G736" s="3"/>
      <c r="H736" s="3"/>
      <c r="I736" s="3"/>
      <c r="J736" s="3"/>
      <c r="K736" s="3"/>
      <c r="L736" s="3"/>
      <c r="M736" s="3"/>
      <c r="N736" s="3"/>
      <c r="O736" s="1"/>
      <c r="P736" s="1"/>
      <c r="Q736" s="1"/>
      <c r="R736" s="162"/>
      <c r="S736" s="1"/>
      <c r="T736" s="6"/>
      <c r="U736" s="6"/>
      <c r="V736" s="103" t="str">
        <f>D734</f>
        <v>Software maintenance costs</v>
      </c>
      <c r="W736" s="98">
        <f>Growth!B20</f>
        <v>2018</v>
      </c>
      <c r="X736" s="98">
        <f t="shared" ref="X736:BK736" si="113">W736+1</f>
        <v>2019</v>
      </c>
      <c r="Y736" s="98">
        <f t="shared" si="113"/>
        <v>2020</v>
      </c>
      <c r="Z736" s="98">
        <f t="shared" si="113"/>
        <v>2021</v>
      </c>
      <c r="AA736" s="98">
        <f t="shared" si="113"/>
        <v>2022</v>
      </c>
      <c r="AB736" s="98">
        <f t="shared" si="113"/>
        <v>2023</v>
      </c>
      <c r="AC736" s="98">
        <f t="shared" si="113"/>
        <v>2024</v>
      </c>
      <c r="AD736" s="98">
        <f t="shared" si="113"/>
        <v>2025</v>
      </c>
      <c r="AE736" s="98">
        <f t="shared" si="113"/>
        <v>2026</v>
      </c>
      <c r="AF736" s="98">
        <f t="shared" si="113"/>
        <v>2027</v>
      </c>
      <c r="AG736" s="98">
        <f t="shared" si="113"/>
        <v>2028</v>
      </c>
      <c r="AH736" s="98">
        <f t="shared" si="113"/>
        <v>2029</v>
      </c>
      <c r="AI736" s="98">
        <f t="shared" si="113"/>
        <v>2030</v>
      </c>
      <c r="AJ736" s="98">
        <f t="shared" si="113"/>
        <v>2031</v>
      </c>
      <c r="AK736" s="98">
        <f t="shared" si="113"/>
        <v>2032</v>
      </c>
      <c r="AL736" s="98">
        <f t="shared" si="113"/>
        <v>2033</v>
      </c>
      <c r="AM736" s="98">
        <f t="shared" si="113"/>
        <v>2034</v>
      </c>
      <c r="AN736" s="98">
        <f t="shared" si="113"/>
        <v>2035</v>
      </c>
      <c r="AO736" s="98">
        <f t="shared" si="113"/>
        <v>2036</v>
      </c>
      <c r="AP736" s="98">
        <f t="shared" si="113"/>
        <v>2037</v>
      </c>
      <c r="AQ736" s="98">
        <f t="shared" si="113"/>
        <v>2038</v>
      </c>
      <c r="AR736" s="98">
        <f t="shared" si="113"/>
        <v>2039</v>
      </c>
      <c r="AS736" s="98">
        <f t="shared" si="113"/>
        <v>2040</v>
      </c>
      <c r="AT736" s="98">
        <f t="shared" si="113"/>
        <v>2041</v>
      </c>
      <c r="AU736" s="98">
        <f t="shared" si="113"/>
        <v>2042</v>
      </c>
      <c r="AV736" s="98">
        <f t="shared" si="113"/>
        <v>2043</v>
      </c>
      <c r="AW736" s="98">
        <f t="shared" si="113"/>
        <v>2044</v>
      </c>
      <c r="AX736" s="98">
        <f t="shared" si="113"/>
        <v>2045</v>
      </c>
      <c r="AY736" s="98">
        <f t="shared" si="113"/>
        <v>2046</v>
      </c>
      <c r="AZ736" s="98">
        <f t="shared" si="113"/>
        <v>2047</v>
      </c>
      <c r="BA736" s="98">
        <f t="shared" si="113"/>
        <v>2048</v>
      </c>
      <c r="BB736" s="98">
        <f t="shared" si="113"/>
        <v>2049</v>
      </c>
      <c r="BC736" s="98">
        <f t="shared" si="113"/>
        <v>2050</v>
      </c>
      <c r="BD736" s="98">
        <f t="shared" si="113"/>
        <v>2051</v>
      </c>
      <c r="BE736" s="98">
        <f t="shared" si="113"/>
        <v>2052</v>
      </c>
      <c r="BF736" s="98">
        <f t="shared" si="113"/>
        <v>2053</v>
      </c>
      <c r="BG736" s="98">
        <f t="shared" si="113"/>
        <v>2054</v>
      </c>
      <c r="BH736" s="98">
        <f t="shared" si="113"/>
        <v>2055</v>
      </c>
      <c r="BI736" s="98">
        <f t="shared" si="113"/>
        <v>2056</v>
      </c>
      <c r="BJ736" s="98">
        <f t="shared" si="113"/>
        <v>2057</v>
      </c>
      <c r="BK736" s="98">
        <f t="shared" si="113"/>
        <v>2058</v>
      </c>
      <c r="BL736" s="99"/>
      <c r="BM736" s="99"/>
      <c r="BN736" s="99"/>
      <c r="BO736" s="99"/>
      <c r="BP736" s="99"/>
      <c r="BQ736" s="99"/>
      <c r="BR736" s="99"/>
      <c r="BS736" s="99"/>
      <c r="BT736" s="99"/>
      <c r="BU736" s="99"/>
    </row>
    <row r="737" spans="1:73" hidden="1">
      <c r="A737" s="6"/>
      <c r="B737" s="6"/>
      <c r="C737" s="1"/>
      <c r="D737" s="1"/>
      <c r="E737" s="12"/>
      <c r="F737" s="1"/>
      <c r="G737" s="3"/>
      <c r="H737" s="3"/>
      <c r="I737" s="3"/>
      <c r="J737" s="3"/>
      <c r="K737" s="3"/>
      <c r="L737" s="3"/>
      <c r="M737" s="3"/>
      <c r="N737" s="3"/>
      <c r="O737" s="1"/>
      <c r="P737" s="1"/>
      <c r="Q737" s="1"/>
      <c r="R737" s="162"/>
      <c r="S737" s="1"/>
      <c r="T737" s="6"/>
      <c r="U737" s="6"/>
      <c r="V737" s="6"/>
      <c r="W737" s="153">
        <f ca="1">IF(W$736 &lt;= '2.2 Input_General_Information'!$H$20+'2.2 Input_General_Information'!$H$40, $G$734*VLOOKUP(W$736,Growth!$B$128:$H$170,7,FALSE), $G$734)</f>
        <v>-0.49999999999979222</v>
      </c>
      <c r="X737" s="153">
        <f ca="1">IF(X$736 &lt;= '2.2 Input_General_Information'!$H$20+'2.2 Input_General_Information'!$H$40, $G$734*VLOOKUP(X$736,Growth!$B$128:$H$170,7,FALSE), $G$734)</f>
        <v>-221.79215509421206</v>
      </c>
      <c r="Y737" s="153">
        <f ca="1">IF(Y$736 &lt;= '2.2 Input_General_Information'!$H$20+'2.2 Input_General_Information'!$H$40, $G$734*VLOOKUP(Y$736,Growth!$B$128:$H$170,7,FALSE), $G$734)</f>
        <v>-4778.2078449057872</v>
      </c>
      <c r="Z737" s="153">
        <f ca="1">IF(Z$736 &lt;= '2.2 Input_General_Information'!$H$20+'2.2 Input_General_Information'!$H$40, $G$734*VLOOKUP(Z$736,Growth!$B$128:$H$170,7,FALSE), $G$734)</f>
        <v>-4999.5000000000009</v>
      </c>
      <c r="AA737" s="153">
        <f ca="1">IF(AA$736 &lt;= '2.2 Input_General_Information'!$H$20+'2.2 Input_General_Information'!$H$40, $G$734*VLOOKUP(AA$736,Growth!$B$128:$H$170,7,FALSE), $G$734)</f>
        <v>-5000</v>
      </c>
      <c r="AB737" s="153">
        <f ca="1">IF(AB$736 &lt;= '2.2 Input_General_Information'!$H$20+'2.2 Input_General_Information'!$H$40, $G$734*VLOOKUP(AB$736,Growth!$B$128:$H$170,7,FALSE), $G$734)</f>
        <v>-5000</v>
      </c>
      <c r="AC737" s="153">
        <f ca="1">IF(AC$736 &lt;= '2.2 Input_General_Information'!$H$20+'2.2 Input_General_Information'!$H$40, $G$734*VLOOKUP(AC$736,Growth!$B$128:$H$170,7,FALSE), $G$734)</f>
        <v>-5000</v>
      </c>
      <c r="AD737" s="153">
        <f ca="1">IF(AD$736 &lt;= '2.2 Input_General_Information'!$H$20+'2.2 Input_General_Information'!$H$40, $G$734*VLOOKUP(AD$736,Growth!$B$128:$H$170,7,FALSE), $G$734)</f>
        <v>-5000</v>
      </c>
      <c r="AE737" s="153">
        <f ca="1">IF(AE$736 &lt;= '2.2 Input_General_Information'!$H$20+'2.2 Input_General_Information'!$H$40, $G$734*VLOOKUP(AE$736,Growth!$B$128:$H$170,7,FALSE), $G$734)</f>
        <v>-5000</v>
      </c>
      <c r="AF737" s="153">
        <f ca="1">IF(AF$736 &lt;= '2.2 Input_General_Information'!$H$20+'2.2 Input_General_Information'!$H$40, $G$734*VLOOKUP(AF$736,Growth!$B$128:$H$170,7,FALSE), $G$734)</f>
        <v>-5000</v>
      </c>
      <c r="AG737" s="153">
        <f ca="1">IF(AG$736 &lt;= '2.2 Input_General_Information'!$H$20+'2.2 Input_General_Information'!$H$40, $G$734*VLOOKUP(AG$736,Growth!$B$128:$H$170,7,FALSE), $G$734)</f>
        <v>-5000</v>
      </c>
      <c r="AH737" s="153">
        <f ca="1">IF(AH$736 &lt;= '2.2 Input_General_Information'!$H$20+'2.2 Input_General_Information'!$H$40, $G$734*VLOOKUP(AH$736,Growth!$B$128:$H$170,7,FALSE), $G$734)</f>
        <v>-5000</v>
      </c>
      <c r="AI737" s="153">
        <f ca="1">IF(AI$736 &lt;= '2.2 Input_General_Information'!$H$20+'2.2 Input_General_Information'!$H$40, $G$734*VLOOKUP(AI$736,Growth!$B$128:$H$170,7,FALSE), $G$734)</f>
        <v>-5000</v>
      </c>
      <c r="AJ737" s="153">
        <f ca="1">IF(AJ$736 &lt;= '2.2 Input_General_Information'!$H$20+'2.2 Input_General_Information'!$H$40, $G$734*VLOOKUP(AJ$736,Growth!$B$128:$H$170,7,FALSE), $G$734)</f>
        <v>-5000</v>
      </c>
      <c r="AK737" s="153">
        <f ca="1">IF(AK$736 &lt;= '2.2 Input_General_Information'!$H$20+'2.2 Input_General_Information'!$H$40, $G$734*VLOOKUP(AK$736,Growth!$B$128:$H$170,7,FALSE), $G$734)</f>
        <v>-5000</v>
      </c>
      <c r="AL737" s="153">
        <f ca="1">IF(AL$736 &lt;= '2.2 Input_General_Information'!$H$20+'2.2 Input_General_Information'!$H$40, $G$734*VLOOKUP(AL$736,Growth!$B$128:$H$170,7,FALSE), $G$734)</f>
        <v>-5000</v>
      </c>
      <c r="AM737" s="153">
        <f ca="1">IF(AM$736 &lt;= '2.2 Input_General_Information'!$H$20+'2.2 Input_General_Information'!$H$40, $G$734*VLOOKUP(AM$736,Growth!$B$128:$H$170,7,FALSE), $G$734)</f>
        <v>-5000</v>
      </c>
      <c r="AN737" s="153">
        <f ca="1">IF(AN$736 &lt;= '2.2 Input_General_Information'!$H$20+'2.2 Input_General_Information'!$H$40, $G$734*VLOOKUP(AN$736,Growth!$B$128:$H$170,7,FALSE), $G$734)</f>
        <v>-5000</v>
      </c>
      <c r="AO737" s="153">
        <f ca="1">IF(AO$736 &lt;= '2.2 Input_General_Information'!$H$20+'2.2 Input_General_Information'!$H$40, $G$734*VLOOKUP(AO$736,Growth!$B$128:$H$170,7,FALSE), $G$734)</f>
        <v>-5000</v>
      </c>
      <c r="AP737" s="153">
        <f ca="1">IF(AP$736 &lt;= '2.2 Input_General_Information'!$H$20+'2.2 Input_General_Information'!$H$40, $G$734*VLOOKUP(AP$736,Growth!$B$128:$H$170,7,FALSE), $G$734)</f>
        <v>-5000</v>
      </c>
      <c r="AQ737" s="153">
        <f ca="1">IF(AQ$736 &lt;= '2.2 Input_General_Information'!$H$20+'2.2 Input_General_Information'!$H$40, $G$734*VLOOKUP(AQ$736,Growth!$B$128:$H$170,7,FALSE), $G$734)</f>
        <v>-5000</v>
      </c>
      <c r="AR737" s="153">
        <f ca="1">IF(AR$736 &lt;= '2.2 Input_General_Information'!$H$20+'2.2 Input_General_Information'!$H$40, $G$734*VLOOKUP(AR$736,Growth!$B$128:$H$170,7,FALSE), $G$734)</f>
        <v>-5000</v>
      </c>
      <c r="AS737" s="153">
        <f ca="1">IF(AS$736 &lt;= '2.2 Input_General_Information'!$H$20+'2.2 Input_General_Information'!$H$40, $G$734*VLOOKUP(AS$736,Growth!$B$128:$H$170,7,FALSE), $G$734)</f>
        <v>-5000</v>
      </c>
      <c r="AT737" s="153">
        <f ca="1">IF(AT$736 &lt;= '2.2 Input_General_Information'!$H$20+'2.2 Input_General_Information'!$H$40, $G$734*VLOOKUP(AT$736,Growth!$B$128:$H$170,7,FALSE), $G$734)</f>
        <v>-5000</v>
      </c>
      <c r="AU737" s="153">
        <f ca="1">IF(AU$736 &lt;= '2.2 Input_General_Information'!$H$20+'2.2 Input_General_Information'!$H$40, $G$734*VLOOKUP(AU$736,Growth!$B$128:$H$170,7,FALSE), $G$734)</f>
        <v>-5000</v>
      </c>
      <c r="AV737" s="153">
        <f ca="1">IF(AV$736 &lt;= '2.2 Input_General_Information'!$H$20+'2.2 Input_General_Information'!$H$40, $G$734*VLOOKUP(AV$736,Growth!$B$128:$H$170,7,FALSE), $G$734)</f>
        <v>-5000</v>
      </c>
      <c r="AW737" s="153">
        <f ca="1">IF(AW$736 &lt;= '2.2 Input_General_Information'!$H$20+'2.2 Input_General_Information'!$H$40, $G$734*VLOOKUP(AW$736,Growth!$B$128:$H$170,7,FALSE), $G$734)</f>
        <v>-5000</v>
      </c>
      <c r="AX737" s="153">
        <f ca="1">IF(AX$736 &lt;= '2.2 Input_General_Information'!$H$20+'2.2 Input_General_Information'!$H$40, $G$734*VLOOKUP(AX$736,Growth!$B$128:$H$170,7,FALSE), $G$734)</f>
        <v>-5000</v>
      </c>
      <c r="AY737" s="153">
        <f ca="1">IF(AY$736 &lt;= '2.2 Input_General_Information'!$H$20+'2.2 Input_General_Information'!$H$40, $G$734*VLOOKUP(AY$736,Growth!$B$128:$H$170,7,FALSE), $G$734)</f>
        <v>-5000</v>
      </c>
      <c r="AZ737" s="153">
        <f ca="1">IF(AZ$736 &lt;= '2.2 Input_General_Information'!$H$20+'2.2 Input_General_Information'!$H$40, $G$734*VLOOKUP(AZ$736,Growth!$B$128:$H$170,7,FALSE), $G$734)</f>
        <v>-5000</v>
      </c>
      <c r="BA737" s="153">
        <f ca="1">IF(BA$736 &lt;= '2.2 Input_General_Information'!$H$20+'2.2 Input_General_Information'!$H$40, $G$734*VLOOKUP(BA$736,Growth!$B$128:$H$170,7,FALSE), $G$734)</f>
        <v>-5000</v>
      </c>
      <c r="BB737" s="153">
        <f ca="1">IF(BB$736 &lt;= '2.2 Input_General_Information'!$H$20+'2.2 Input_General_Information'!$H$40, $G$734*VLOOKUP(BB$736,Growth!$B$128:$H$170,7,FALSE), $G$734)</f>
        <v>-5000</v>
      </c>
      <c r="BC737" s="153">
        <f ca="1">IF(BC$736 &lt;= '2.2 Input_General_Information'!$H$20+'2.2 Input_General_Information'!$H$40, $G$734*VLOOKUP(BC$736,Growth!$B$128:$H$170,7,FALSE), $G$734)</f>
        <v>-5000</v>
      </c>
      <c r="BD737" s="153">
        <f ca="1">IF(BD$736 &lt;= '2.2 Input_General_Information'!$H$20+'2.2 Input_General_Information'!$H$40, $G$734*VLOOKUP(BD$736,Growth!$B$128:$H$170,7,FALSE), $G$734)</f>
        <v>-5000</v>
      </c>
      <c r="BE737" s="153">
        <f ca="1">IF(BE$736 &lt;= '2.2 Input_General_Information'!$H$20+'2.2 Input_General_Information'!$H$40, $G$734*VLOOKUP(BE$736,Growth!$B$128:$H$170,7,FALSE), $G$734)</f>
        <v>-5000</v>
      </c>
      <c r="BF737" s="153">
        <f ca="1">IF(BF$736 &lt;= '2.2 Input_General_Information'!$H$20+'2.2 Input_General_Information'!$H$40, $G$734*VLOOKUP(BF$736,Growth!$B$128:$H$170,7,FALSE), $G$734)</f>
        <v>-5000</v>
      </c>
      <c r="BG737" s="153">
        <f ca="1">IF(BG$736 &lt;= '2.2 Input_General_Information'!$H$20+'2.2 Input_General_Information'!$H$40, $G$734*VLOOKUP(BG$736,Growth!$B$128:$H$170,7,FALSE), $G$734)</f>
        <v>-5000</v>
      </c>
      <c r="BH737" s="153">
        <f ca="1">IF(BH$736 &lt;= '2.2 Input_General_Information'!$H$20+'2.2 Input_General_Information'!$H$40, $G$734*VLOOKUP(BH$736,Growth!$B$128:$H$170,7,FALSE), $G$734)</f>
        <v>-5000</v>
      </c>
      <c r="BI737" s="153">
        <f ca="1">IF(BI$736 &lt;= '2.2 Input_General_Information'!$H$20+'2.2 Input_General_Information'!$H$40, $G$734*VLOOKUP(BI$736,Growth!$B$128:$H$170,7,FALSE), $G$734)</f>
        <v>-5000</v>
      </c>
      <c r="BJ737" s="153">
        <f ca="1">IF(BJ$736 &lt;= '2.2 Input_General_Information'!$H$20+'2.2 Input_General_Information'!$H$40, $G$734*VLOOKUP(BJ$736,Growth!$B$128:$H$170,7,FALSE), $G$734)</f>
        <v>-5000</v>
      </c>
      <c r="BK737" s="153">
        <f ca="1">IF(BK$736 &lt;= '2.2 Input_General_Information'!$H$20+'2.2 Input_General_Information'!$H$40, $G$734*VLOOKUP(BK$736,Growth!$B$128:$H$170,7,FALSE), $G$734)</f>
        <v>-5000</v>
      </c>
      <c r="BL737" s="99"/>
      <c r="BM737" s="99"/>
      <c r="BN737" s="99"/>
      <c r="BO737" s="99"/>
      <c r="BP737" s="99"/>
      <c r="BQ737" s="99"/>
      <c r="BR737" s="99"/>
      <c r="BS737" s="99"/>
      <c r="BT737" s="99"/>
      <c r="BU737" s="99"/>
    </row>
    <row r="738" spans="1:73" s="94" customFormat="1" hidden="1">
      <c r="A738" s="54"/>
      <c r="B738" s="54"/>
      <c r="C738" s="325"/>
      <c r="D738" s="325"/>
      <c r="E738" s="325"/>
      <c r="F738" s="325"/>
      <c r="G738" s="43"/>
      <c r="H738" s="43"/>
      <c r="I738" s="43"/>
      <c r="J738" s="43"/>
      <c r="K738" s="43"/>
      <c r="L738" s="43"/>
      <c r="M738" s="43"/>
      <c r="N738" s="43"/>
      <c r="O738" s="325"/>
      <c r="P738" s="325"/>
      <c r="Q738" s="325"/>
      <c r="R738" s="253"/>
      <c r="S738" s="325"/>
      <c r="T738" s="54"/>
      <c r="U738" s="9" t="s">
        <v>29</v>
      </c>
      <c r="V738" s="54"/>
      <c r="W738" s="313"/>
      <c r="X738" s="313"/>
      <c r="Y738" s="313"/>
      <c r="Z738" s="313"/>
      <c r="AA738" s="313"/>
      <c r="AB738" s="313"/>
      <c r="AC738" s="313"/>
      <c r="AD738" s="313"/>
      <c r="AE738" s="313"/>
      <c r="AF738" s="313"/>
      <c r="AG738" s="313"/>
      <c r="AH738" s="313"/>
      <c r="AI738" s="313"/>
      <c r="AJ738" s="313"/>
      <c r="AK738" s="313"/>
      <c r="AL738" s="313"/>
      <c r="AM738" s="313"/>
      <c r="AN738" s="313"/>
      <c r="AO738" s="313"/>
      <c r="AP738" s="313"/>
      <c r="AQ738" s="313"/>
      <c r="AR738" s="313"/>
      <c r="AS738" s="313"/>
      <c r="AT738" s="313"/>
      <c r="AU738" s="313"/>
      <c r="AV738" s="313"/>
      <c r="AW738" s="313"/>
      <c r="AX738" s="313"/>
      <c r="AY738" s="313"/>
      <c r="AZ738" s="313"/>
      <c r="BA738" s="313"/>
      <c r="BB738" s="313"/>
      <c r="BC738" s="313"/>
      <c r="BD738" s="313"/>
      <c r="BE738" s="313"/>
      <c r="BF738" s="313"/>
      <c r="BG738" s="313"/>
      <c r="BH738" s="313"/>
      <c r="BI738" s="313"/>
      <c r="BJ738" s="313"/>
      <c r="BK738" s="313"/>
      <c r="BL738" s="348"/>
      <c r="BM738" s="348"/>
      <c r="BN738" s="348"/>
      <c r="BO738" s="348"/>
      <c r="BP738" s="348"/>
      <c r="BQ738" s="348"/>
      <c r="BR738" s="348"/>
      <c r="BS738" s="348"/>
      <c r="BT738" s="348"/>
      <c r="BU738" s="348"/>
    </row>
    <row r="739" spans="1:73">
      <c r="A739" s="6"/>
      <c r="B739" s="6"/>
      <c r="C739" s="1"/>
      <c r="D739" s="1"/>
      <c r="E739" s="12"/>
      <c r="F739" s="1"/>
      <c r="G739" s="3"/>
      <c r="H739" s="3"/>
      <c r="I739" s="3"/>
      <c r="J739" s="3"/>
      <c r="K739" s="3"/>
      <c r="L739" s="3"/>
      <c r="M739" s="3"/>
      <c r="N739" s="3"/>
      <c r="O739" s="1"/>
      <c r="P739" s="1"/>
      <c r="Q739" s="1"/>
      <c r="R739" s="162"/>
      <c r="S739" s="1"/>
      <c r="T739" s="6"/>
      <c r="V739" s="134"/>
      <c r="W739" s="98"/>
      <c r="X739" s="98"/>
      <c r="Y739" s="98"/>
      <c r="Z739" s="98"/>
      <c r="AA739" s="98"/>
      <c r="AB739" s="98"/>
      <c r="AC739" s="98"/>
      <c r="AD739" s="98"/>
      <c r="AE739" s="98"/>
      <c r="AF739" s="98"/>
      <c r="AG739" s="98"/>
      <c r="AH739" s="98"/>
      <c r="AI739" s="98"/>
      <c r="AJ739" s="98"/>
      <c r="AK739" s="98"/>
      <c r="AL739" s="98"/>
      <c r="AM739" s="98"/>
      <c r="AN739" s="98"/>
      <c r="AO739" s="98"/>
      <c r="AP739" s="98"/>
      <c r="AQ739" s="98"/>
      <c r="AR739" s="98"/>
      <c r="AS739" s="98"/>
      <c r="AT739" s="98"/>
      <c r="AU739" s="98"/>
      <c r="AV739" s="98"/>
      <c r="AW739" s="98"/>
      <c r="AX739" s="98"/>
      <c r="AY739" s="98"/>
      <c r="AZ739" s="98"/>
      <c r="BA739" s="98"/>
      <c r="BB739" s="98"/>
      <c r="BC739" s="98"/>
      <c r="BD739" s="98"/>
      <c r="BE739" s="98"/>
      <c r="BF739" s="98"/>
      <c r="BG739" s="98"/>
      <c r="BH739" s="98"/>
      <c r="BI739" s="98"/>
      <c r="BJ739" s="98"/>
      <c r="BK739" s="98"/>
      <c r="BL739" s="99"/>
      <c r="BM739" s="99"/>
      <c r="BN739" s="99"/>
      <c r="BO739" s="99"/>
      <c r="BP739" s="99"/>
      <c r="BQ739" s="99"/>
      <c r="BR739" s="99"/>
      <c r="BS739" s="99"/>
      <c r="BT739" s="99"/>
      <c r="BU739" s="99"/>
    </row>
    <row r="740" spans="1:73" ht="17.25" customHeight="1" thickBot="1">
      <c r="A740" s="6"/>
      <c r="B740" s="577"/>
      <c r="C740" s="578"/>
      <c r="D740" s="41"/>
      <c r="E740" s="41"/>
      <c r="F740" s="46"/>
      <c r="G740" s="46" t="str">
        <f t="shared" ref="G740:N740" si="114">G675</f>
        <v>PhD researcher</v>
      </c>
      <c r="H740" s="46" t="str">
        <f t="shared" si="114"/>
        <v>Lecturer assistant/Research assistant (Academic)</v>
      </c>
      <c r="I740" s="46" t="str">
        <f t="shared" si="114"/>
        <v>Lecturer/Researcher (Academic)</v>
      </c>
      <c r="J740" s="46" t="str">
        <f t="shared" si="114"/>
        <v>Other</v>
      </c>
      <c r="K740" s="46" t="str">
        <f t="shared" si="114"/>
        <v>Profile 5</v>
      </c>
      <c r="L740" s="46" t="str">
        <f t="shared" si="114"/>
        <v>Profile 6</v>
      </c>
      <c r="M740" s="46" t="str">
        <f t="shared" si="114"/>
        <v>Profile 7</v>
      </c>
      <c r="N740" s="46" t="str">
        <f t="shared" si="114"/>
        <v>Profile 8</v>
      </c>
      <c r="O740" s="1"/>
      <c r="P740" s="1"/>
      <c r="Q740" s="1"/>
      <c r="R740" s="162"/>
      <c r="S740" s="1"/>
      <c r="T740" s="103"/>
      <c r="U740" s="103"/>
      <c r="V740" s="103"/>
      <c r="W740" s="81"/>
      <c r="X740" s="81"/>
      <c r="Y740" s="81"/>
      <c r="Z740" s="81"/>
      <c r="AA740" s="81"/>
      <c r="AB740" s="81"/>
      <c r="AC740" s="81"/>
      <c r="AD740" s="81"/>
      <c r="AE740" s="81"/>
      <c r="AF740" s="81"/>
      <c r="AG740" s="81"/>
      <c r="AH740" s="81"/>
      <c r="AI740" s="81"/>
      <c r="AJ740" s="81"/>
      <c r="AK740" s="81"/>
      <c r="AL740" s="81"/>
      <c r="AM740" s="81"/>
      <c r="AN740" s="81"/>
      <c r="AO740" s="81"/>
      <c r="AP740" s="81"/>
      <c r="AQ740" s="81"/>
      <c r="AR740" s="81"/>
      <c r="AS740" s="81"/>
      <c r="AT740" s="81"/>
      <c r="AU740" s="81"/>
      <c r="AV740" s="81"/>
      <c r="AW740" s="81"/>
      <c r="AX740" s="81"/>
      <c r="AY740" s="81"/>
      <c r="AZ740" s="81"/>
      <c r="BA740" s="81"/>
      <c r="BB740" s="81"/>
      <c r="BC740" s="81"/>
      <c r="BD740" s="81"/>
      <c r="BE740" s="81"/>
      <c r="BF740" s="81"/>
      <c r="BG740" s="81"/>
      <c r="BH740" s="81"/>
      <c r="BI740" s="81"/>
      <c r="BJ740" s="81"/>
      <c r="BK740" s="81"/>
      <c r="BL740" s="6"/>
      <c r="BM740" s="6"/>
      <c r="BN740" s="6"/>
      <c r="BO740" s="6"/>
      <c r="BP740" s="6"/>
      <c r="BQ740" s="6"/>
      <c r="BR740" s="6"/>
      <c r="BS740" s="6"/>
      <c r="BT740" s="6"/>
      <c r="BU740" s="6"/>
    </row>
    <row r="741" spans="1:73" ht="5.25" customHeight="1">
      <c r="A741" s="6"/>
      <c r="B741" s="108"/>
      <c r="C741" s="1"/>
      <c r="D741" s="12"/>
      <c r="E741" s="6"/>
      <c r="F741" s="12"/>
      <c r="G741" s="3"/>
      <c r="H741" s="3"/>
      <c r="I741" s="3"/>
      <c r="J741" s="3"/>
      <c r="K741" s="3"/>
      <c r="L741" s="3"/>
      <c r="M741" s="3"/>
      <c r="N741" s="3"/>
      <c r="O741" s="1"/>
      <c r="P741" s="1"/>
      <c r="Q741" s="1"/>
      <c r="R741" s="162"/>
      <c r="S741" s="1"/>
      <c r="T741" s="103"/>
      <c r="U741" s="103"/>
      <c r="V741" s="103"/>
      <c r="W741" s="98"/>
      <c r="X741" s="98"/>
      <c r="Y741" s="98"/>
      <c r="Z741" s="98"/>
      <c r="AA741" s="98"/>
      <c r="AB741" s="98"/>
      <c r="AC741" s="98"/>
      <c r="AD741" s="98"/>
      <c r="AE741" s="98"/>
      <c r="AF741" s="98"/>
      <c r="AG741" s="98"/>
      <c r="AH741" s="98"/>
      <c r="AI741" s="98"/>
      <c r="AJ741" s="98"/>
      <c r="AK741" s="98"/>
      <c r="AL741" s="98"/>
      <c r="AM741" s="98"/>
      <c r="AN741" s="98"/>
      <c r="AO741" s="98"/>
      <c r="AP741" s="98"/>
      <c r="AQ741" s="98"/>
      <c r="AR741" s="98"/>
      <c r="AS741" s="98"/>
      <c r="AT741" s="98"/>
      <c r="AU741" s="98"/>
      <c r="AV741" s="98"/>
      <c r="AW741" s="98"/>
      <c r="AX741" s="98"/>
      <c r="AY741" s="98"/>
      <c r="AZ741" s="98"/>
      <c r="BA741" s="98"/>
      <c r="BB741" s="98"/>
      <c r="BC741" s="98"/>
      <c r="BD741" s="98"/>
      <c r="BE741" s="98"/>
      <c r="BF741" s="98"/>
      <c r="BG741" s="98"/>
      <c r="BH741" s="98"/>
      <c r="BI741" s="98"/>
      <c r="BJ741" s="98"/>
      <c r="BK741" s="98"/>
      <c r="BL741" s="99"/>
      <c r="BM741" s="99"/>
      <c r="BN741" s="99"/>
      <c r="BO741" s="99"/>
      <c r="BP741" s="99"/>
      <c r="BQ741" s="99"/>
      <c r="BR741" s="99"/>
      <c r="BS741" s="99"/>
      <c r="BT741" s="99"/>
      <c r="BU741" s="99"/>
    </row>
    <row r="742" spans="1:73" ht="17.25" customHeight="1">
      <c r="A742" s="6"/>
      <c r="B742" s="554" t="s">
        <v>654</v>
      </c>
      <c r="C742" s="566"/>
      <c r="D742" s="654" t="s">
        <v>1090</v>
      </c>
      <c r="E742" s="200"/>
      <c r="F742" s="646"/>
      <c r="G742" s="149">
        <f ca="1">-IFERROR('2.3 Input_Main_Questionnaire'!H343/'2.2 Input_General_Information'!H100*'2.2 Input_General_Information'!H94,0)</f>
        <v>-230.92269586182644</v>
      </c>
      <c r="H742" s="149">
        <f ca="1">-IFERROR('2.3 Input_Main_Questionnaire'!I343/'2.2 Input_General_Information'!I100*'2.2 Input_General_Information'!I94,0)</f>
        <v>-197.93373931013699</v>
      </c>
      <c r="I742" s="149">
        <f ca="1">-IFERROR('2.3 Input_Main_Questionnaire'!J343/'2.2 Input_General_Information'!J100*'2.2 Input_General_Information'!J94,0)</f>
        <v>-769.7423195394216</v>
      </c>
      <c r="J742" s="149">
        <f ca="1">-IFERROR('2.3 Input_Main_Questionnaire'!K343/'2.2 Input_General_Information'!K100*'2.2 Input_General_Information'!K94,0)</f>
        <v>0</v>
      </c>
      <c r="K742" s="149">
        <f ca="1">-IFERROR('2.3 Input_Main_Questionnaire'!L343/'2.2 Input_General_Information'!L100*'2.2 Input_General_Information'!L94,0)</f>
        <v>0</v>
      </c>
      <c r="L742" s="149">
        <f ca="1">-IFERROR('2.3 Input_Main_Questionnaire'!M343/'2.2 Input_General_Information'!M100*'2.2 Input_General_Information'!M94,0)</f>
        <v>0</v>
      </c>
      <c r="M742" s="149">
        <f ca="1">-IFERROR('2.3 Input_Main_Questionnaire'!N343/'2.2 Input_General_Information'!N100*'2.2 Input_General_Information'!N94,0)</f>
        <v>0</v>
      </c>
      <c r="N742" s="149">
        <f ca="1">-IFERROR('2.3 Input_Main_Questionnaire'!O343/'2.2 Input_General_Information'!O100*'2.2 Input_General_Information'!O94,0)</f>
        <v>0</v>
      </c>
      <c r="O742" s="1"/>
      <c r="P742" s="1"/>
      <c r="Q742" s="1"/>
      <c r="R742" s="162"/>
      <c r="S742" s="1"/>
      <c r="T742" s="103"/>
      <c r="U742" s="103"/>
      <c r="V742" s="103"/>
      <c r="W742" s="98"/>
      <c r="X742" s="98"/>
      <c r="Y742" s="98"/>
      <c r="Z742" s="98"/>
      <c r="AA742" s="98"/>
      <c r="AB742" s="98"/>
      <c r="AC742" s="98"/>
      <c r="AD742" s="98"/>
      <c r="AE742" s="98"/>
      <c r="AF742" s="98"/>
      <c r="AG742" s="98"/>
      <c r="AH742" s="98"/>
      <c r="AI742" s="98"/>
      <c r="AJ742" s="98"/>
      <c r="AK742" s="98"/>
      <c r="AL742" s="98"/>
      <c r="AM742" s="98"/>
      <c r="AN742" s="98"/>
      <c r="AO742" s="98"/>
      <c r="AP742" s="98"/>
      <c r="AQ742" s="98"/>
      <c r="AR742" s="98"/>
      <c r="AS742" s="98"/>
      <c r="AT742" s="98"/>
      <c r="AU742" s="98"/>
      <c r="AV742" s="98"/>
      <c r="AW742" s="98"/>
      <c r="AX742" s="98"/>
      <c r="AY742" s="98"/>
      <c r="AZ742" s="98"/>
      <c r="BA742" s="98"/>
      <c r="BB742" s="98"/>
      <c r="BC742" s="98"/>
      <c r="BD742" s="98"/>
      <c r="BE742" s="98"/>
      <c r="BF742" s="98"/>
      <c r="BG742" s="98"/>
      <c r="BH742" s="98"/>
      <c r="BI742" s="98"/>
      <c r="BJ742" s="98"/>
      <c r="BK742" s="98"/>
      <c r="BL742" s="99"/>
      <c r="BM742" s="99"/>
      <c r="BN742" s="99"/>
      <c r="BO742" s="99"/>
      <c r="BP742" s="99"/>
      <c r="BQ742" s="99"/>
      <c r="BR742" s="99"/>
      <c r="BS742" s="99"/>
      <c r="BT742" s="99"/>
      <c r="BU742" s="99"/>
    </row>
    <row r="743" spans="1:73" ht="5.25" customHeight="1">
      <c r="A743" s="6"/>
      <c r="B743" s="97"/>
      <c r="C743" s="12"/>
      <c r="D743" s="660"/>
      <c r="E743" s="23"/>
      <c r="F743" s="660"/>
      <c r="G743" s="204"/>
      <c r="H743" s="204"/>
      <c r="I743" s="204"/>
      <c r="J743" s="204"/>
      <c r="K743" s="204"/>
      <c r="L743" s="204"/>
      <c r="M743" s="204"/>
      <c r="N743" s="204"/>
      <c r="O743" s="1"/>
      <c r="P743" s="1"/>
      <c r="Q743" s="1"/>
      <c r="R743" s="162"/>
      <c r="S743" s="1"/>
      <c r="T743" s="103"/>
      <c r="U743" s="103"/>
      <c r="V743" s="103"/>
      <c r="W743" s="98"/>
      <c r="X743" s="98"/>
      <c r="Y743" s="98"/>
      <c r="Z743" s="98"/>
      <c r="AA743" s="98"/>
      <c r="AB743" s="98"/>
      <c r="AC743" s="98"/>
      <c r="AD743" s="98"/>
      <c r="AE743" s="98"/>
      <c r="AF743" s="98"/>
      <c r="AG743" s="98"/>
      <c r="AH743" s="98"/>
      <c r="AI743" s="98"/>
      <c r="AJ743" s="98"/>
      <c r="AK743" s="98"/>
      <c r="AL743" s="98"/>
      <c r="AM743" s="98"/>
      <c r="AN743" s="98"/>
      <c r="AO743" s="98"/>
      <c r="AP743" s="98"/>
      <c r="AQ743" s="98"/>
      <c r="AR743" s="98"/>
      <c r="AS743" s="98"/>
      <c r="AT743" s="98"/>
      <c r="AU743" s="98"/>
      <c r="AV743" s="98"/>
      <c r="AW743" s="98"/>
      <c r="AX743" s="98"/>
      <c r="AY743" s="98"/>
      <c r="AZ743" s="98"/>
      <c r="BA743" s="98"/>
      <c r="BB743" s="98"/>
      <c r="BC743" s="98"/>
      <c r="BD743" s="98"/>
      <c r="BE743" s="98"/>
      <c r="BF743" s="98"/>
      <c r="BG743" s="98"/>
      <c r="BH743" s="98"/>
      <c r="BI743" s="98"/>
      <c r="BJ743" s="98"/>
      <c r="BK743" s="98"/>
      <c r="BL743" s="99"/>
      <c r="BM743" s="99"/>
      <c r="BN743" s="99"/>
      <c r="BO743" s="99"/>
      <c r="BP743" s="99"/>
      <c r="BQ743" s="99"/>
      <c r="BR743" s="99"/>
      <c r="BS743" s="99"/>
      <c r="BT743" s="99"/>
      <c r="BU743" s="99"/>
    </row>
    <row r="744" spans="1:73" ht="17.25" customHeight="1">
      <c r="A744" s="6"/>
      <c r="B744" s="554" t="s">
        <v>648</v>
      </c>
      <c r="C744" s="566"/>
      <c r="D744" s="654" t="s">
        <v>1091</v>
      </c>
      <c r="E744" s="200"/>
      <c r="F744" s="646"/>
      <c r="G744" s="365">
        <f>-'2.3 Input_Main_Questionnaire'!H344/'2.2 Input_General_Information'!H100</f>
        <v>-5.0000000000000001E-3</v>
      </c>
      <c r="H744" s="365">
        <f>-'2.3 Input_Main_Questionnaire'!I344/'2.2 Input_General_Information'!I100</f>
        <v>-5.0000000000000001E-3</v>
      </c>
      <c r="I744" s="365">
        <f>-'2.3 Input_Main_Questionnaire'!J344/'2.2 Input_General_Information'!J100</f>
        <v>-0.01</v>
      </c>
      <c r="J744" s="365">
        <f>-IFERROR('2.3 Input_Main_Questionnaire'!K344/'2.2 Input_General_Information'!K100,0)</f>
        <v>0</v>
      </c>
      <c r="K744" s="365">
        <f>-IFERROR('2.3 Input_Main_Questionnaire'!L344/'2.2 Input_General_Information'!L100,0)</f>
        <v>0</v>
      </c>
      <c r="L744" s="365">
        <f>-IFERROR('2.3 Input_Main_Questionnaire'!M344/'2.2 Input_General_Information'!M100,0)</f>
        <v>0</v>
      </c>
      <c r="M744" s="365">
        <f>-IFERROR('2.3 Input_Main_Questionnaire'!N344/'2.2 Input_General_Information'!N100,0)</f>
        <v>0</v>
      </c>
      <c r="N744" s="365">
        <f>-IFERROR('2.3 Input_Main_Questionnaire'!O344/'2.2 Input_General_Information'!O100,0)</f>
        <v>0</v>
      </c>
      <c r="O744" s="1173"/>
      <c r="P744" s="1174"/>
      <c r="Q744" s="1"/>
      <c r="R744" s="162"/>
      <c r="S744" s="1"/>
      <c r="T744" s="103"/>
      <c r="U744" s="103"/>
      <c r="V744" s="103"/>
      <c r="W744" s="98"/>
      <c r="X744" s="98"/>
      <c r="Y744" s="98"/>
      <c r="Z744" s="98"/>
      <c r="AA744" s="98"/>
      <c r="AB744" s="98"/>
      <c r="AC744" s="98"/>
      <c r="AD744" s="98"/>
      <c r="AE744" s="98"/>
      <c r="AF744" s="98"/>
      <c r="AG744" s="98"/>
      <c r="AH744" s="98"/>
      <c r="AI744" s="98"/>
      <c r="AJ744" s="98"/>
      <c r="AK744" s="98"/>
      <c r="AL744" s="98"/>
      <c r="AM744" s="98"/>
      <c r="AN744" s="98"/>
      <c r="AO744" s="98"/>
      <c r="AP744" s="98"/>
      <c r="AQ744" s="98"/>
      <c r="AR744" s="98"/>
      <c r="AS744" s="98"/>
      <c r="AT744" s="98"/>
      <c r="AU744" s="98"/>
      <c r="AV744" s="98"/>
      <c r="AW744" s="98"/>
      <c r="AX744" s="98"/>
      <c r="AY744" s="98"/>
      <c r="AZ744" s="98"/>
      <c r="BA744" s="98"/>
      <c r="BB744" s="98"/>
      <c r="BC744" s="98"/>
      <c r="BD744" s="98"/>
      <c r="BE744" s="98"/>
      <c r="BF744" s="98"/>
      <c r="BG744" s="98"/>
      <c r="BH744" s="98"/>
      <c r="BI744" s="98"/>
      <c r="BJ744" s="98"/>
      <c r="BK744" s="98"/>
      <c r="BL744" s="99"/>
      <c r="BM744" s="99"/>
      <c r="BN744" s="99"/>
      <c r="BO744" s="99"/>
      <c r="BP744" s="99"/>
      <c r="BQ744" s="99"/>
      <c r="BR744" s="99"/>
      <c r="BS744" s="99"/>
      <c r="BT744" s="99"/>
      <c r="BU744" s="99"/>
    </row>
    <row r="745" spans="1:73" s="94" customFormat="1" ht="17.25" hidden="1" customHeight="1">
      <c r="A745" s="54"/>
      <c r="B745" s="577"/>
      <c r="C745" s="578"/>
      <c r="D745" s="325"/>
      <c r="E745" s="325"/>
      <c r="F745" s="325"/>
      <c r="G745" s="43"/>
      <c r="H745" s="43"/>
      <c r="I745" s="43"/>
      <c r="J745" s="43"/>
      <c r="K745" s="43"/>
      <c r="L745" s="43"/>
      <c r="M745" s="43"/>
      <c r="N745" s="43"/>
      <c r="O745" s="411"/>
      <c r="Q745" s="325"/>
      <c r="R745" s="253"/>
      <c r="S745" s="325"/>
      <c r="T745" s="647"/>
      <c r="U745" s="9" t="s">
        <v>5</v>
      </c>
      <c r="V745" s="647"/>
      <c r="W745" s="346"/>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c r="AS745" s="346"/>
      <c r="AT745" s="346"/>
      <c r="AU745" s="346"/>
      <c r="AV745" s="346"/>
      <c r="AW745" s="346"/>
      <c r="AX745" s="346"/>
      <c r="AY745" s="346"/>
      <c r="AZ745" s="346"/>
      <c r="BA745" s="346"/>
      <c r="BB745" s="346"/>
      <c r="BC745" s="346"/>
      <c r="BD745" s="346"/>
      <c r="BE745" s="346"/>
      <c r="BF745" s="346"/>
      <c r="BG745" s="346"/>
      <c r="BH745" s="346"/>
      <c r="BI745" s="346"/>
      <c r="BJ745" s="346"/>
      <c r="BK745" s="346"/>
      <c r="BL745" s="348"/>
      <c r="BM745" s="348"/>
      <c r="BN745" s="348"/>
      <c r="BO745" s="348"/>
      <c r="BP745" s="348"/>
      <c r="BQ745" s="348"/>
      <c r="BR745" s="348"/>
      <c r="BS745" s="348"/>
      <c r="BT745" s="348"/>
      <c r="BU745" s="348"/>
    </row>
    <row r="746" spans="1:73" hidden="1">
      <c r="A746" s="6"/>
      <c r="B746" s="108"/>
      <c r="C746" s="1"/>
      <c r="D746" s="1"/>
      <c r="E746" s="1"/>
      <c r="F746" s="1"/>
      <c r="G746" s="3"/>
      <c r="H746" s="3"/>
      <c r="I746" s="3"/>
      <c r="J746" s="3"/>
      <c r="K746" s="3"/>
      <c r="L746" s="3"/>
      <c r="M746" s="3"/>
      <c r="N746" s="3"/>
      <c r="O746" s="1"/>
      <c r="P746" s="1"/>
      <c r="Q746" s="1"/>
      <c r="R746" s="162"/>
      <c r="S746" s="1"/>
      <c r="T746" s="103"/>
      <c r="U746" s="103"/>
      <c r="V746" s="103" t="str">
        <f>D744</f>
        <v>Recurring training costs</v>
      </c>
      <c r="W746" s="98"/>
      <c r="X746" s="98"/>
      <c r="Y746" s="98"/>
      <c r="Z746" s="98"/>
      <c r="AA746" s="98"/>
      <c r="AB746" s="98"/>
      <c r="AC746" s="98"/>
      <c r="AD746" s="98"/>
      <c r="AE746" s="98"/>
      <c r="AF746" s="98"/>
      <c r="AG746" s="98"/>
      <c r="AH746" s="98"/>
      <c r="AI746" s="98"/>
      <c r="AJ746" s="98"/>
      <c r="AK746" s="98"/>
      <c r="AL746" s="98"/>
      <c r="AM746" s="98"/>
      <c r="AN746" s="98"/>
      <c r="AO746" s="98"/>
      <c r="AP746" s="98"/>
      <c r="AQ746" s="98"/>
      <c r="AR746" s="98"/>
      <c r="AS746" s="98"/>
      <c r="AT746" s="98"/>
      <c r="AU746" s="98"/>
      <c r="AV746" s="98"/>
      <c r="AW746" s="98"/>
      <c r="AX746" s="98"/>
      <c r="AY746" s="98"/>
      <c r="AZ746" s="98"/>
      <c r="BA746" s="98"/>
      <c r="BB746" s="98"/>
      <c r="BC746" s="98"/>
      <c r="BD746" s="98"/>
      <c r="BE746" s="98"/>
      <c r="BF746" s="98"/>
      <c r="BG746" s="98"/>
      <c r="BH746" s="98"/>
      <c r="BI746" s="98"/>
      <c r="BJ746" s="98"/>
      <c r="BK746" s="98"/>
      <c r="BL746" s="99"/>
      <c r="BM746" s="99"/>
      <c r="BN746" s="99"/>
      <c r="BO746" s="99"/>
      <c r="BP746" s="99"/>
      <c r="BQ746" s="99"/>
      <c r="BR746" s="99"/>
      <c r="BS746" s="99"/>
      <c r="BT746" s="99"/>
      <c r="BU746" s="99"/>
    </row>
    <row r="747" spans="1:73" hidden="1">
      <c r="A747" s="6"/>
      <c r="B747" s="108"/>
      <c r="C747" s="1"/>
      <c r="D747" s="1"/>
      <c r="E747" s="1"/>
      <c r="F747" s="1"/>
      <c r="G747" s="3"/>
      <c r="H747" s="3"/>
      <c r="I747" s="3"/>
      <c r="J747" s="3"/>
      <c r="K747" s="3"/>
      <c r="L747" s="3"/>
      <c r="M747" s="3"/>
      <c r="N747" s="3"/>
      <c r="O747" s="1"/>
      <c r="P747" s="1"/>
      <c r="Q747" s="1"/>
      <c r="R747" s="162"/>
      <c r="S747" s="1"/>
      <c r="T747" s="101" t="s">
        <v>200</v>
      </c>
      <c r="U747" s="101" t="s">
        <v>289</v>
      </c>
      <c r="V747" s="6"/>
      <c r="W747" s="98">
        <f>Growth!B20</f>
        <v>2018</v>
      </c>
      <c r="X747" s="98">
        <f t="shared" ref="X747:BK747" si="115">W747+1</f>
        <v>2019</v>
      </c>
      <c r="Y747" s="98">
        <f t="shared" si="115"/>
        <v>2020</v>
      </c>
      <c r="Z747" s="98">
        <f t="shared" si="115"/>
        <v>2021</v>
      </c>
      <c r="AA747" s="98">
        <f t="shared" si="115"/>
        <v>2022</v>
      </c>
      <c r="AB747" s="98">
        <f t="shared" si="115"/>
        <v>2023</v>
      </c>
      <c r="AC747" s="98">
        <f t="shared" si="115"/>
        <v>2024</v>
      </c>
      <c r="AD747" s="98">
        <f t="shared" si="115"/>
        <v>2025</v>
      </c>
      <c r="AE747" s="98">
        <f t="shared" si="115"/>
        <v>2026</v>
      </c>
      <c r="AF747" s="98">
        <f t="shared" si="115"/>
        <v>2027</v>
      </c>
      <c r="AG747" s="98">
        <f t="shared" si="115"/>
        <v>2028</v>
      </c>
      <c r="AH747" s="98">
        <f t="shared" si="115"/>
        <v>2029</v>
      </c>
      <c r="AI747" s="98">
        <f t="shared" si="115"/>
        <v>2030</v>
      </c>
      <c r="AJ747" s="98">
        <f t="shared" si="115"/>
        <v>2031</v>
      </c>
      <c r="AK747" s="98">
        <f t="shared" si="115"/>
        <v>2032</v>
      </c>
      <c r="AL747" s="98">
        <f t="shared" si="115"/>
        <v>2033</v>
      </c>
      <c r="AM747" s="98">
        <f t="shared" si="115"/>
        <v>2034</v>
      </c>
      <c r="AN747" s="98">
        <f t="shared" si="115"/>
        <v>2035</v>
      </c>
      <c r="AO747" s="98">
        <f t="shared" si="115"/>
        <v>2036</v>
      </c>
      <c r="AP747" s="98">
        <f t="shared" si="115"/>
        <v>2037</v>
      </c>
      <c r="AQ747" s="98">
        <f t="shared" si="115"/>
        <v>2038</v>
      </c>
      <c r="AR747" s="98">
        <f t="shared" si="115"/>
        <v>2039</v>
      </c>
      <c r="AS747" s="98">
        <f t="shared" si="115"/>
        <v>2040</v>
      </c>
      <c r="AT747" s="98">
        <f t="shared" si="115"/>
        <v>2041</v>
      </c>
      <c r="AU747" s="98">
        <f t="shared" si="115"/>
        <v>2042</v>
      </c>
      <c r="AV747" s="98">
        <f t="shared" si="115"/>
        <v>2043</v>
      </c>
      <c r="AW747" s="98">
        <f t="shared" si="115"/>
        <v>2044</v>
      </c>
      <c r="AX747" s="98">
        <f t="shared" si="115"/>
        <v>2045</v>
      </c>
      <c r="AY747" s="98">
        <f t="shared" si="115"/>
        <v>2046</v>
      </c>
      <c r="AZ747" s="98">
        <f t="shared" si="115"/>
        <v>2047</v>
      </c>
      <c r="BA747" s="98">
        <f t="shared" si="115"/>
        <v>2048</v>
      </c>
      <c r="BB747" s="98">
        <f t="shared" si="115"/>
        <v>2049</v>
      </c>
      <c r="BC747" s="98">
        <f t="shared" si="115"/>
        <v>2050</v>
      </c>
      <c r="BD747" s="98">
        <f t="shared" si="115"/>
        <v>2051</v>
      </c>
      <c r="BE747" s="98">
        <f t="shared" si="115"/>
        <v>2052</v>
      </c>
      <c r="BF747" s="98">
        <f t="shared" si="115"/>
        <v>2053</v>
      </c>
      <c r="BG747" s="98">
        <f t="shared" si="115"/>
        <v>2054</v>
      </c>
      <c r="BH747" s="98">
        <f t="shared" si="115"/>
        <v>2055</v>
      </c>
      <c r="BI747" s="98">
        <f t="shared" si="115"/>
        <v>2056</v>
      </c>
      <c r="BJ747" s="98">
        <f t="shared" si="115"/>
        <v>2057</v>
      </c>
      <c r="BK747" s="98">
        <f t="shared" si="115"/>
        <v>2058</v>
      </c>
      <c r="BL747" s="98"/>
      <c r="BM747" s="98"/>
      <c r="BN747" s="98"/>
      <c r="BO747" s="98"/>
      <c r="BP747" s="98"/>
      <c r="BQ747" s="98"/>
      <c r="BR747" s="98"/>
      <c r="BS747" s="98"/>
      <c r="BT747" s="98"/>
      <c r="BU747" s="98"/>
    </row>
    <row r="748" spans="1:73" hidden="1">
      <c r="A748" s="6"/>
      <c r="B748" s="108"/>
      <c r="C748" s="1"/>
      <c r="D748" s="1"/>
      <c r="E748" s="1"/>
      <c r="F748" s="1"/>
      <c r="G748" s="3"/>
      <c r="H748" s="3"/>
      <c r="I748" s="3"/>
      <c r="J748" s="3"/>
      <c r="K748" s="3"/>
      <c r="L748" s="3"/>
      <c r="M748" s="3"/>
      <c r="N748" s="3"/>
      <c r="O748" s="1"/>
      <c r="P748" s="1"/>
      <c r="Q748" s="1"/>
      <c r="R748" s="162"/>
      <c r="S748" s="1"/>
      <c r="T748" s="103"/>
      <c r="U748" s="103"/>
      <c r="V748" s="647" t="str">
        <f>G$10</f>
        <v>PhD researcher</v>
      </c>
      <c r="W748" s="416">
        <f ca="1">IF(W$747 &gt;='2.2 Input_General_Information'!$H$20, $G$744 /(1 + VLOOKUP(W$747, Growth!$B$20:$D$60, 3, FALSE)),)</f>
        <v>-5.0000000000000001E-3</v>
      </c>
      <c r="X748" s="416">
        <f ca="1">IF(X$747 &gt;='2.2 Input_General_Information'!$H$20, $G$744 /(1 + VLOOKUP(X$747, Growth!$B$20:$D$60, 3, FALSE)),)</f>
        <v>-4.9800578189072653E-3</v>
      </c>
      <c r="Y748" s="416">
        <f ca="1">IF(Y$747 &gt;='2.2 Input_General_Information'!$H$20, $G$744 /(1 + VLOOKUP(Y$747, Growth!$B$20:$D$60, 3, FALSE)),)</f>
        <v>-4.9598679072381984E-3</v>
      </c>
      <c r="Z748" s="416">
        <f ca="1">IF(Z$747 &gt;='2.2 Input_General_Information'!$H$20, $G$744 /(1 + VLOOKUP(Z$747, Growth!$B$20:$D$60, 3, FALSE)),)</f>
        <v>-4.9394379674675424E-3</v>
      </c>
      <c r="AA748" s="416">
        <f ca="1">IF(AA$747 &gt;='2.2 Input_General_Information'!$H$20, $G$744 /(1 + VLOOKUP(AA$747, Growth!$B$20:$D$60, 3, FALSE)),)</f>
        <v>-4.9187761778578323E-3</v>
      </c>
      <c r="AB748" s="416">
        <f ca="1">IF(AB$747 &gt;='2.2 Input_General_Information'!$H$20, $G$744 /(1 + VLOOKUP(AB$747, Growth!$B$20:$D$60, 3, FALSE)),)</f>
        <v>-4.8978911848157032E-3</v>
      </c>
      <c r="AC748" s="416">
        <f ca="1">IF(AC$747 &gt;='2.2 Input_General_Information'!$H$20, $G$744 /(1 + VLOOKUP(AC$747, Growth!$B$20:$D$60, 3, FALSE)),)</f>
        <v>-4.8767920933870069E-3</v>
      </c>
      <c r="AD748" s="416">
        <f ca="1">IF(AD$747 &gt;='2.2 Input_General_Information'!$H$20, $G$744 /(1 + VLOOKUP(AD$747, Growth!$B$20:$D$60, 3, FALSE)),)</f>
        <v>-4.855488455879217E-3</v>
      </c>
      <c r="AE748" s="416">
        <f ca="1">IF(AE$747 &gt;='2.2 Input_General_Information'!$H$20, $G$744 /(1 + VLOOKUP(AE$747, Growth!$B$20:$D$60, 3, FALSE)),)</f>
        <v>-4.8339902586116354E-3</v>
      </c>
      <c r="AF748" s="416">
        <f ca="1">IF(AF$747 &gt;='2.2 Input_General_Information'!$H$20, $G$744 /(1 + VLOOKUP(AF$747, Growth!$B$20:$D$60, 3, FALSE)),)</f>
        <v>-4.8123079068064156E-3</v>
      </c>
      <c r="AG748" s="416">
        <f ca="1">IF(AG$747 &gt;='2.2 Input_General_Information'!$H$20, $G$744 /(1 + VLOOKUP(AG$747, Growth!$B$20:$D$60, 3, FALSE)),)</f>
        <v>-4.7904522076462602E-3</v>
      </c>
      <c r="AH748" s="416">
        <f ca="1">IF(AH$747 &gt;='2.2 Input_General_Information'!$H$20, $G$744 /(1 + VLOOKUP(AH$747, Growth!$B$20:$D$60, 3, FALSE)),)</f>
        <v>-4.7684343515377054E-3</v>
      </c>
      <c r="AI748" s="416">
        <f ca="1">IF(AI$747 &gt;='2.2 Input_General_Information'!$H$20, $G$744 /(1 + VLOOKUP(AI$747, Growth!$B$20:$D$60, 3, FALSE)),)</f>
        <v>-4.7462658916320663E-3</v>
      </c>
      <c r="AJ748" s="416">
        <f ca="1">IF(AJ$747 &gt;='2.2 Input_General_Information'!$H$20, $G$744 /(1 + VLOOKUP(AJ$747, Growth!$B$20:$D$60, 3, FALSE)),)</f>
        <v>-4.7239587216691909E-3</v>
      </c>
      <c r="AK748" s="416">
        <f ca="1">IF(AK$747 &gt;='2.2 Input_General_Information'!$H$20, $G$744 /(1 + VLOOKUP(AK$747, Growth!$B$20:$D$60, 3, FALSE)),)</f>
        <v>-4.7015250522220988E-3</v>
      </c>
      <c r="AL748" s="416">
        <f ca="1">IF(AL$747 &gt;='2.2 Input_General_Information'!$H$20, $G$744 /(1 + VLOOKUP(AL$747, Growth!$B$20:$D$60, 3, FALSE)),)</f>
        <v>-4.6789773854331307E-3</v>
      </c>
      <c r="AM748" s="416">
        <f ca="1">IF(AM$747 &gt;='2.2 Input_General_Information'!$H$20, $G$744 /(1 + VLOOKUP(AM$747, Growth!$B$20:$D$60, 3, FALSE)),)</f>
        <v>-4.6563284883442742E-3</v>
      </c>
      <c r="AN748" s="416">
        <f ca="1">IF(AN$747 &gt;='2.2 Input_General_Information'!$H$20, $G$744 /(1 + VLOOKUP(AN$747, Growth!$B$20:$D$60, 3, FALSE)),)</f>
        <v>-4.6335913649358275E-3</v>
      </c>
      <c r="AO748" s="416">
        <f ca="1">IF(AO$747 &gt;='2.2 Input_General_Information'!$H$20, $G$744 /(1 + VLOOKUP(AO$747, Growth!$B$20:$D$60, 3, FALSE)),)</f>
        <v>-4.6107792269981622E-3</v>
      </c>
      <c r="AP748" s="416">
        <f ca="1">IF(AP$747 &gt;='2.2 Input_General_Information'!$H$20, $G$744 /(1 + VLOOKUP(AP$747, Growth!$B$20:$D$60, 3, FALSE)),)</f>
        <v>-4.5879054639711677E-3</v>
      </c>
      <c r="AQ748" s="416">
        <f ca="1">IF(AQ$747 &gt;='2.2 Input_General_Information'!$H$20, $G$744 /(1 + VLOOKUP(AQ$747, Growth!$B$20:$D$60, 3, FALSE)),)</f>
        <v>-4.5649836118946286E-3</v>
      </c>
      <c r="AR748" s="416">
        <f ca="1">IF(AR$747 &gt;='2.2 Input_General_Information'!$H$20, $G$744 /(1 + VLOOKUP(AR$747, Growth!$B$20:$D$60, 3, FALSE)),)</f>
        <v>-4.5420273216204314E-3</v>
      </c>
      <c r="AS748" s="416">
        <f ca="1">IF(AS$747 &gt;='2.2 Input_General_Information'!$H$20, $G$744 /(1 + VLOOKUP(AS$747, Growth!$B$20:$D$60, 3, FALSE)),)</f>
        <v>-4.5190503264438174E-3</v>
      </c>
      <c r="AT748" s="416">
        <f ca="1">IF(AT$747 &gt;='2.2 Input_General_Information'!$H$20, $G$744 /(1 + VLOOKUP(AT$747, Growth!$B$20:$D$60, 3, FALSE)),)</f>
        <v>-4.4960664093159387E-3</v>
      </c>
      <c r="AU748" s="416">
        <f ca="1">IF(AU$747 &gt;='2.2 Input_General_Information'!$H$20, $G$744 /(1 + VLOOKUP(AU$747, Growth!$B$20:$D$60, 3, FALSE)),)</f>
        <v>-4.4730893698036161E-3</v>
      </c>
      <c r="AV748" s="416">
        <f ca="1">IF(AV$747 &gt;='2.2 Input_General_Information'!$H$20, $G$744 /(1 + VLOOKUP(AV$747, Growth!$B$20:$D$60, 3, FALSE)),)</f>
        <v>-4.4501329909644007E-3</v>
      </c>
      <c r="AW748" s="416">
        <f ca="1">IF(AW$747 &gt;='2.2 Input_General_Information'!$H$20, $G$744 /(1 + VLOOKUP(AW$747, Growth!$B$20:$D$60, 3, FALSE)),)</f>
        <v>-4.4272110063057939E-3</v>
      </c>
      <c r="AX748" s="416">
        <f ca="1">IF(AX$747 &gt;='2.2 Input_General_Information'!$H$20, $G$744 /(1 + VLOOKUP(AX$747, Growth!$B$20:$D$60, 3, FALSE)),)</f>
        <v>-4.4043370669967219E-3</v>
      </c>
      <c r="AY748" s="416">
        <f ca="1">IF(AY$747 &gt;='2.2 Input_General_Information'!$H$20, $G$744 /(1 + VLOOKUP(AY$747, Growth!$B$20:$D$60, 3, FALSE)),)</f>
        <v>-4.3815247094971792E-3</v>
      </c>
      <c r="AZ748" s="416">
        <f ca="1">IF(AZ$747 &gt;='2.2 Input_General_Information'!$H$20, $G$744 /(1 + VLOOKUP(AZ$747, Growth!$B$20:$D$60, 3, FALSE)),)</f>
        <v>-4.3587873237683145E-3</v>
      </c>
      <c r="BA748" s="416">
        <f ca="1">IF(BA$747 &gt;='2.2 Input_General_Information'!$H$20, $G$744 /(1 + VLOOKUP(BA$747, Growth!$B$20:$D$60, 3, FALSE)),)</f>
        <v>-4.3361381222201938E-3</v>
      </c>
      <c r="BB748" s="416">
        <f ca="1">IF(BB$747 &gt;='2.2 Input_General_Information'!$H$20, $G$744 /(1 + VLOOKUP(BB$747, Growth!$B$20:$D$60, 3, FALSE)),)</f>
        <v>-4.3135901095481466E-3</v>
      </c>
      <c r="BC748" s="416">
        <f ca="1">IF(BC$747 &gt;='2.2 Input_General_Information'!$H$20, $G$744 /(1 + VLOOKUP(BC$747, Growth!$B$20:$D$60, 3, FALSE)),)</f>
        <v>-4.2911560536010003E-3</v>
      </c>
      <c r="BD748" s="416">
        <f ca="1">IF(BD$747 &gt;='2.2 Input_General_Information'!$H$20, $G$744 /(1 + VLOOKUP(BD$747, Growth!$B$20:$D$60, 3, FALSE)),)</f>
        <v>-4.2688484574157784E-3</v>
      </c>
      <c r="BE748" s="416">
        <f ca="1">IF(BE$747 &gt;='2.2 Input_General_Information'!$H$20, $G$744 /(1 + VLOOKUP(BE$747, Growth!$B$20:$D$60, 3, FALSE)),)</f>
        <v>-4.2466795325436972E-3</v>
      </c>
      <c r="BF748" s="416">
        <f ca="1">IF(BF$747 &gt;='2.2 Input_General_Information'!$H$20, $G$744 /(1 + VLOOKUP(BF$747, Growth!$B$20:$D$60, 3, FALSE)),)</f>
        <v>-4.2246611737816204E-3</v>
      </c>
      <c r="BG748" s="416">
        <f ca="1">IF(BG$747 &gt;='2.2 Input_General_Information'!$H$20, $G$744 /(1 + VLOOKUP(BG$747, Growth!$B$20:$D$60, 3, FALSE)),)</f>
        <v>-4.2028049354116996E-3</v>
      </c>
      <c r="BH748" s="416">
        <f ca="1">IF(BH$747 &gt;='2.2 Input_General_Information'!$H$20, $G$744 /(1 + VLOOKUP(BH$747, Growth!$B$20:$D$60, 3, FALSE)),)</f>
        <v>-4.1811220090398581E-3</v>
      </c>
      <c r="BI748" s="416">
        <f ca="1">IF(BI$747 &gt;='2.2 Input_General_Information'!$H$20, $G$744 /(1 + VLOOKUP(BI$747, Growth!$B$20:$D$60, 3, FALSE)),)</f>
        <v>-4.1596232031112365E-3</v>
      </c>
      <c r="BJ748" s="416">
        <f ca="1">IF(BJ$747 &gt;='2.2 Input_General_Information'!$H$20, $G$744 /(1 + VLOOKUP(BJ$747, Growth!$B$20:$D$60, 3, FALSE)),)</f>
        <v>-4.1383189241677859E-3</v>
      </c>
      <c r="BK748" s="416">
        <f ca="1">IF(BK$747 &gt;='2.2 Input_General_Information'!$H$20, $G$744 /(1 + VLOOKUP(BK$747, Growth!$B$20:$D$60, 3, FALSE)),)</f>
        <v>-4.1172191599001314E-3</v>
      </c>
      <c r="BL748" s="416"/>
      <c r="BM748" s="416"/>
      <c r="BN748" s="416"/>
      <c r="BO748" s="416"/>
      <c r="BP748" s="416"/>
      <c r="BQ748" s="416"/>
      <c r="BR748" s="416"/>
      <c r="BS748" s="416"/>
      <c r="BT748" s="416"/>
      <c r="BU748" s="416"/>
    </row>
    <row r="749" spans="1:73" hidden="1">
      <c r="A749" s="6"/>
      <c r="B749" s="108"/>
      <c r="C749" s="1"/>
      <c r="D749" s="1"/>
      <c r="E749" s="1"/>
      <c r="F749" s="1"/>
      <c r="G749" s="3"/>
      <c r="H749" s="3"/>
      <c r="I749" s="3"/>
      <c r="J749" s="3"/>
      <c r="K749" s="3"/>
      <c r="L749" s="3"/>
      <c r="M749" s="3"/>
      <c r="N749" s="3"/>
      <c r="O749" s="1"/>
      <c r="P749" s="1"/>
      <c r="Q749" s="1"/>
      <c r="R749" s="162"/>
      <c r="S749" s="1"/>
      <c r="T749" s="103"/>
      <c r="U749" s="103"/>
      <c r="V749" s="103" t="str">
        <f>$H$10</f>
        <v>Lecturer assistant/Research assistant (Academic)</v>
      </c>
      <c r="W749" s="416">
        <f ca="1">IF(W$747 &gt;='2.2 Input_General_Information'!$H$20, $H$744 /(1 + VLOOKUP(W$747, Growth!$B$20:$D$60, 3, FALSE)),)</f>
        <v>-5.0000000000000001E-3</v>
      </c>
      <c r="X749" s="416">
        <f ca="1">IF(X$747 &gt;='2.2 Input_General_Information'!$H$20, $H$744 /(1 + VLOOKUP(X$747, Growth!$B$20:$D$60, 3, FALSE)),)</f>
        <v>-4.9800578189072653E-3</v>
      </c>
      <c r="Y749" s="416">
        <f ca="1">IF(Y$747 &gt;='2.2 Input_General_Information'!$H$20, $H$744 /(1 + VLOOKUP(Y$747, Growth!$B$20:$D$60, 3, FALSE)),)</f>
        <v>-4.9598679072381984E-3</v>
      </c>
      <c r="Z749" s="416">
        <f ca="1">IF(Z$747 &gt;='2.2 Input_General_Information'!$H$20, $H$744 /(1 + VLOOKUP(Z$747, Growth!$B$20:$D$60, 3, FALSE)),)</f>
        <v>-4.9394379674675424E-3</v>
      </c>
      <c r="AA749" s="416">
        <f ca="1">IF(AA$747 &gt;='2.2 Input_General_Information'!$H$20, $H$744 /(1 + VLOOKUP(AA$747, Growth!$B$20:$D$60, 3, FALSE)),)</f>
        <v>-4.9187761778578323E-3</v>
      </c>
      <c r="AB749" s="416">
        <f ca="1">IF(AB$747 &gt;='2.2 Input_General_Information'!$H$20, $H$744 /(1 + VLOOKUP(AB$747, Growth!$B$20:$D$60, 3, FALSE)),)</f>
        <v>-4.8978911848157032E-3</v>
      </c>
      <c r="AC749" s="416">
        <f ca="1">IF(AC$747 &gt;='2.2 Input_General_Information'!$H$20, $H$744 /(1 + VLOOKUP(AC$747, Growth!$B$20:$D$60, 3, FALSE)),)</f>
        <v>-4.8767920933870069E-3</v>
      </c>
      <c r="AD749" s="416">
        <f ca="1">IF(AD$747 &gt;='2.2 Input_General_Information'!$H$20, $H$744 /(1 + VLOOKUP(AD$747, Growth!$B$20:$D$60, 3, FALSE)),)</f>
        <v>-4.855488455879217E-3</v>
      </c>
      <c r="AE749" s="416">
        <f ca="1">IF(AE$747 &gt;='2.2 Input_General_Information'!$H$20, $H$744 /(1 + VLOOKUP(AE$747, Growth!$B$20:$D$60, 3, FALSE)),)</f>
        <v>-4.8339902586116354E-3</v>
      </c>
      <c r="AF749" s="416">
        <f ca="1">IF(AF$747 &gt;='2.2 Input_General_Information'!$H$20, $H$744 /(1 + VLOOKUP(AF$747, Growth!$B$20:$D$60, 3, FALSE)),)</f>
        <v>-4.8123079068064156E-3</v>
      </c>
      <c r="AG749" s="416">
        <f ca="1">IF(AG$747 &gt;='2.2 Input_General_Information'!$H$20, $H$744 /(1 + VLOOKUP(AG$747, Growth!$B$20:$D$60, 3, FALSE)),)</f>
        <v>-4.7904522076462602E-3</v>
      </c>
      <c r="AH749" s="416">
        <f ca="1">IF(AH$747 &gt;='2.2 Input_General_Information'!$H$20, $H$744 /(1 + VLOOKUP(AH$747, Growth!$B$20:$D$60, 3, FALSE)),)</f>
        <v>-4.7684343515377054E-3</v>
      </c>
      <c r="AI749" s="416">
        <f ca="1">IF(AI$747 &gt;='2.2 Input_General_Information'!$H$20, $H$744 /(1 + VLOOKUP(AI$747, Growth!$B$20:$D$60, 3, FALSE)),)</f>
        <v>-4.7462658916320663E-3</v>
      </c>
      <c r="AJ749" s="416">
        <f ca="1">IF(AJ$747 &gt;='2.2 Input_General_Information'!$H$20, $H$744 /(1 + VLOOKUP(AJ$747, Growth!$B$20:$D$60, 3, FALSE)),)</f>
        <v>-4.7239587216691909E-3</v>
      </c>
      <c r="AK749" s="416">
        <f ca="1">IF(AK$747 &gt;='2.2 Input_General_Information'!$H$20, $H$744 /(1 + VLOOKUP(AK$747, Growth!$B$20:$D$60, 3, FALSE)),)</f>
        <v>-4.7015250522220988E-3</v>
      </c>
      <c r="AL749" s="416">
        <f ca="1">IF(AL$747 &gt;='2.2 Input_General_Information'!$H$20, $H$744 /(1 + VLOOKUP(AL$747, Growth!$B$20:$D$60, 3, FALSE)),)</f>
        <v>-4.6789773854331307E-3</v>
      </c>
      <c r="AM749" s="416">
        <f ca="1">IF(AM$747 &gt;='2.2 Input_General_Information'!$H$20, $H$744 /(1 + VLOOKUP(AM$747, Growth!$B$20:$D$60, 3, FALSE)),)</f>
        <v>-4.6563284883442742E-3</v>
      </c>
      <c r="AN749" s="416">
        <f ca="1">IF(AN$747 &gt;='2.2 Input_General_Information'!$H$20, $H$744 /(1 + VLOOKUP(AN$747, Growth!$B$20:$D$60, 3, FALSE)),)</f>
        <v>-4.6335913649358275E-3</v>
      </c>
      <c r="AO749" s="416">
        <f ca="1">IF(AO$747 &gt;='2.2 Input_General_Information'!$H$20, $H$744 /(1 + VLOOKUP(AO$747, Growth!$B$20:$D$60, 3, FALSE)),)</f>
        <v>-4.6107792269981622E-3</v>
      </c>
      <c r="AP749" s="416">
        <f ca="1">IF(AP$747 &gt;='2.2 Input_General_Information'!$H$20, $H$744 /(1 + VLOOKUP(AP$747, Growth!$B$20:$D$60, 3, FALSE)),)</f>
        <v>-4.5879054639711677E-3</v>
      </c>
      <c r="AQ749" s="416">
        <f ca="1">IF(AQ$747 &gt;='2.2 Input_General_Information'!$H$20, $H$744 /(1 + VLOOKUP(AQ$747, Growth!$B$20:$D$60, 3, FALSE)),)</f>
        <v>-4.5649836118946286E-3</v>
      </c>
      <c r="AR749" s="416">
        <f ca="1">IF(AR$747 &gt;='2.2 Input_General_Information'!$H$20, $H$744 /(1 + VLOOKUP(AR$747, Growth!$B$20:$D$60, 3, FALSE)),)</f>
        <v>-4.5420273216204314E-3</v>
      </c>
      <c r="AS749" s="416">
        <f ca="1">IF(AS$747 &gt;='2.2 Input_General_Information'!$H$20, $H$744 /(1 + VLOOKUP(AS$747, Growth!$B$20:$D$60, 3, FALSE)),)</f>
        <v>-4.5190503264438174E-3</v>
      </c>
      <c r="AT749" s="416">
        <f ca="1">IF(AT$747 &gt;='2.2 Input_General_Information'!$H$20, $H$744 /(1 + VLOOKUP(AT$747, Growth!$B$20:$D$60, 3, FALSE)),)</f>
        <v>-4.4960664093159387E-3</v>
      </c>
      <c r="AU749" s="416">
        <f ca="1">IF(AU$747 &gt;='2.2 Input_General_Information'!$H$20, $H$744 /(1 + VLOOKUP(AU$747, Growth!$B$20:$D$60, 3, FALSE)),)</f>
        <v>-4.4730893698036161E-3</v>
      </c>
      <c r="AV749" s="416">
        <f ca="1">IF(AV$747 &gt;='2.2 Input_General_Information'!$H$20, $H$744 /(1 + VLOOKUP(AV$747, Growth!$B$20:$D$60, 3, FALSE)),)</f>
        <v>-4.4501329909644007E-3</v>
      </c>
      <c r="AW749" s="416">
        <f ca="1">IF(AW$747 &gt;='2.2 Input_General_Information'!$H$20, $H$744 /(1 + VLOOKUP(AW$747, Growth!$B$20:$D$60, 3, FALSE)),)</f>
        <v>-4.4272110063057939E-3</v>
      </c>
      <c r="AX749" s="416">
        <f ca="1">IF(AX$747 &gt;='2.2 Input_General_Information'!$H$20, $H$744 /(1 + VLOOKUP(AX$747, Growth!$B$20:$D$60, 3, FALSE)),)</f>
        <v>-4.4043370669967219E-3</v>
      </c>
      <c r="AY749" s="416">
        <f ca="1">IF(AY$747 &gt;='2.2 Input_General_Information'!$H$20, $H$744 /(1 + VLOOKUP(AY$747, Growth!$B$20:$D$60, 3, FALSE)),)</f>
        <v>-4.3815247094971792E-3</v>
      </c>
      <c r="AZ749" s="416">
        <f ca="1">IF(AZ$747 &gt;='2.2 Input_General_Information'!$H$20, $H$744 /(1 + VLOOKUP(AZ$747, Growth!$B$20:$D$60, 3, FALSE)),)</f>
        <v>-4.3587873237683145E-3</v>
      </c>
      <c r="BA749" s="416">
        <f ca="1">IF(BA$747 &gt;='2.2 Input_General_Information'!$H$20, $H$744 /(1 + VLOOKUP(BA$747, Growth!$B$20:$D$60, 3, FALSE)),)</f>
        <v>-4.3361381222201938E-3</v>
      </c>
      <c r="BB749" s="416">
        <f ca="1">IF(BB$747 &gt;='2.2 Input_General_Information'!$H$20, $H$744 /(1 + VLOOKUP(BB$747, Growth!$B$20:$D$60, 3, FALSE)),)</f>
        <v>-4.3135901095481466E-3</v>
      </c>
      <c r="BC749" s="416">
        <f ca="1">IF(BC$747 &gt;='2.2 Input_General_Information'!$H$20, $H$744 /(1 + VLOOKUP(BC$747, Growth!$B$20:$D$60, 3, FALSE)),)</f>
        <v>-4.2911560536010003E-3</v>
      </c>
      <c r="BD749" s="416">
        <f ca="1">IF(BD$747 &gt;='2.2 Input_General_Information'!$H$20, $H$744 /(1 + VLOOKUP(BD$747, Growth!$B$20:$D$60, 3, FALSE)),)</f>
        <v>-4.2688484574157784E-3</v>
      </c>
      <c r="BE749" s="416">
        <f ca="1">IF(BE$747 &gt;='2.2 Input_General_Information'!$H$20, $H$744 /(1 + VLOOKUP(BE$747, Growth!$B$20:$D$60, 3, FALSE)),)</f>
        <v>-4.2466795325436972E-3</v>
      </c>
      <c r="BF749" s="416">
        <f ca="1">IF(BF$747 &gt;='2.2 Input_General_Information'!$H$20, $H$744 /(1 + VLOOKUP(BF$747, Growth!$B$20:$D$60, 3, FALSE)),)</f>
        <v>-4.2246611737816204E-3</v>
      </c>
      <c r="BG749" s="416">
        <f ca="1">IF(BG$747 &gt;='2.2 Input_General_Information'!$H$20, $H$744 /(1 + VLOOKUP(BG$747, Growth!$B$20:$D$60, 3, FALSE)),)</f>
        <v>-4.2028049354116996E-3</v>
      </c>
      <c r="BH749" s="416">
        <f ca="1">IF(BH$747 &gt;='2.2 Input_General_Information'!$H$20, $H$744 /(1 + VLOOKUP(BH$747, Growth!$B$20:$D$60, 3, FALSE)),)</f>
        <v>-4.1811220090398581E-3</v>
      </c>
      <c r="BI749" s="416">
        <f ca="1">IF(BI$747 &gt;='2.2 Input_General_Information'!$H$20, $H$744 /(1 + VLOOKUP(BI$747, Growth!$B$20:$D$60, 3, FALSE)),)</f>
        <v>-4.1596232031112365E-3</v>
      </c>
      <c r="BJ749" s="416">
        <f ca="1">IF(BJ$747 &gt;='2.2 Input_General_Information'!$H$20, $H$744 /(1 + VLOOKUP(BJ$747, Growth!$B$20:$D$60, 3, FALSE)),)</f>
        <v>-4.1383189241677859E-3</v>
      </c>
      <c r="BK749" s="416">
        <f ca="1">IF(BK$747 &gt;='2.2 Input_General_Information'!$H$20, $H$744 /(1 + VLOOKUP(BK$747, Growth!$B$20:$D$60, 3, FALSE)),)</f>
        <v>-4.1172191599001314E-3</v>
      </c>
      <c r="BL749" s="416"/>
      <c r="BM749" s="416"/>
      <c r="BN749" s="416"/>
      <c r="BO749" s="416"/>
      <c r="BP749" s="416"/>
      <c r="BQ749" s="416"/>
      <c r="BR749" s="416"/>
      <c r="BS749" s="416"/>
      <c r="BT749" s="416"/>
      <c r="BU749" s="416"/>
    </row>
    <row r="750" spans="1:73" hidden="1">
      <c r="A750" s="6"/>
      <c r="B750" s="6"/>
      <c r="C750" s="1"/>
      <c r="D750" s="1"/>
      <c r="E750" s="1"/>
      <c r="F750" s="1"/>
      <c r="G750" s="3"/>
      <c r="H750" s="3"/>
      <c r="I750" s="3"/>
      <c r="J750" s="3"/>
      <c r="K750" s="3"/>
      <c r="L750" s="3"/>
      <c r="M750" s="3"/>
      <c r="N750" s="3"/>
      <c r="O750" s="1"/>
      <c r="P750" s="1"/>
      <c r="Q750" s="1"/>
      <c r="R750" s="162"/>
      <c r="S750" s="1"/>
      <c r="T750" s="6"/>
      <c r="U750" s="6"/>
      <c r="V750" s="103" t="str">
        <f>$I$10</f>
        <v>Lecturer/Researcher (Academic)</v>
      </c>
      <c r="W750" s="416">
        <f ca="1">IF(W$747 &gt;='2.2 Input_General_Information'!$H$20, $I$744 /(1 + VLOOKUP(W$747, Growth!$B$20:$D$60, 3, FALSE)),)</f>
        <v>-0.01</v>
      </c>
      <c r="X750" s="416">
        <f ca="1">IF(X$747 &gt;='2.2 Input_General_Information'!$H$20, $I$744 /(1 + VLOOKUP(X$747, Growth!$B$20:$D$60, 3, FALSE)),)</f>
        <v>-9.9601156378145306E-3</v>
      </c>
      <c r="Y750" s="416">
        <f ca="1">IF(Y$747 &gt;='2.2 Input_General_Information'!$H$20, $I$744 /(1 + VLOOKUP(Y$747, Growth!$B$20:$D$60, 3, FALSE)),)</f>
        <v>-9.9197358144763968E-3</v>
      </c>
      <c r="Z750" s="416">
        <f ca="1">IF(Z$747 &gt;='2.2 Input_General_Information'!$H$20, $I$744 /(1 + VLOOKUP(Z$747, Growth!$B$20:$D$60, 3, FALSE)),)</f>
        <v>-9.8788759349350847E-3</v>
      </c>
      <c r="AA750" s="416">
        <f ca="1">IF(AA$747 &gt;='2.2 Input_General_Information'!$H$20, $I$744 /(1 + VLOOKUP(AA$747, Growth!$B$20:$D$60, 3, FALSE)),)</f>
        <v>-9.8375523557156647E-3</v>
      </c>
      <c r="AB750" s="416">
        <f ca="1">IF(AB$747 &gt;='2.2 Input_General_Information'!$H$20, $I$744 /(1 + VLOOKUP(AB$747, Growth!$B$20:$D$60, 3, FALSE)),)</f>
        <v>-9.7957823696314065E-3</v>
      </c>
      <c r="AC750" s="416">
        <f ca="1">IF(AC$747 &gt;='2.2 Input_General_Information'!$H$20, $I$744 /(1 + VLOOKUP(AC$747, Growth!$B$20:$D$60, 3, FALSE)),)</f>
        <v>-9.7535841867740138E-3</v>
      </c>
      <c r="AD750" s="416">
        <f ca="1">IF(AD$747 &gt;='2.2 Input_General_Information'!$H$20, $I$744 /(1 + VLOOKUP(AD$747, Growth!$B$20:$D$60, 3, FALSE)),)</f>
        <v>-9.710976911758434E-3</v>
      </c>
      <c r="AE750" s="416">
        <f ca="1">IF(AE$747 &gt;='2.2 Input_General_Information'!$H$20, $I$744 /(1 + VLOOKUP(AE$747, Growth!$B$20:$D$60, 3, FALSE)),)</f>
        <v>-9.6679805172232708E-3</v>
      </c>
      <c r="AF750" s="416">
        <f ca="1">IF(AF$747 &gt;='2.2 Input_General_Information'!$H$20, $I$744 /(1 + VLOOKUP(AF$747, Growth!$B$20:$D$60, 3, FALSE)),)</f>
        <v>-9.6246158136128312E-3</v>
      </c>
      <c r="AG750" s="416">
        <f ca="1">IF(AG$747 &gt;='2.2 Input_General_Information'!$H$20, $I$744 /(1 + VLOOKUP(AG$747, Growth!$B$20:$D$60, 3, FALSE)),)</f>
        <v>-9.5809044152925203E-3</v>
      </c>
      <c r="AH750" s="416">
        <f ca="1">IF(AH$747 &gt;='2.2 Input_General_Information'!$H$20, $I$744 /(1 + VLOOKUP(AH$747, Growth!$B$20:$D$60, 3, FALSE)),)</f>
        <v>-9.5368687030754108E-3</v>
      </c>
      <c r="AI750" s="416">
        <f ca="1">IF(AI$747 &gt;='2.2 Input_General_Information'!$H$20, $I$744 /(1 + VLOOKUP(AI$747, Growth!$B$20:$D$60, 3, FALSE)),)</f>
        <v>-9.4925317832641326E-3</v>
      </c>
      <c r="AJ750" s="416">
        <f ca="1">IF(AJ$747 &gt;='2.2 Input_General_Information'!$H$20, $I$744 /(1 + VLOOKUP(AJ$747, Growth!$B$20:$D$60, 3, FALSE)),)</f>
        <v>-9.4479174433383818E-3</v>
      </c>
      <c r="AK750" s="416">
        <f ca="1">IF(AK$747 &gt;='2.2 Input_General_Information'!$H$20, $I$744 /(1 + VLOOKUP(AK$747, Growth!$B$20:$D$60, 3, FALSE)),)</f>
        <v>-9.4030501044441977E-3</v>
      </c>
      <c r="AL750" s="416">
        <f ca="1">IF(AL$747 &gt;='2.2 Input_General_Information'!$H$20, $I$744 /(1 + VLOOKUP(AL$747, Growth!$B$20:$D$60, 3, FALSE)),)</f>
        <v>-9.3579547708662614E-3</v>
      </c>
      <c r="AM750" s="416">
        <f ca="1">IF(AM$747 &gt;='2.2 Input_General_Information'!$H$20, $I$744 /(1 + VLOOKUP(AM$747, Growth!$B$20:$D$60, 3, FALSE)),)</f>
        <v>-9.3126569766885485E-3</v>
      </c>
      <c r="AN750" s="416">
        <f ca="1">IF(AN$747 &gt;='2.2 Input_General_Information'!$H$20, $I$744 /(1 + VLOOKUP(AN$747, Growth!$B$20:$D$60, 3, FALSE)),)</f>
        <v>-9.267182729871655E-3</v>
      </c>
      <c r="AO750" s="416">
        <f ca="1">IF(AO$747 &gt;='2.2 Input_General_Information'!$H$20, $I$744 /(1 + VLOOKUP(AO$747, Growth!$B$20:$D$60, 3, FALSE)),)</f>
        <v>-9.2215584539963244E-3</v>
      </c>
      <c r="AP750" s="416">
        <f ca="1">IF(AP$747 &gt;='2.2 Input_General_Information'!$H$20, $I$744 /(1 + VLOOKUP(AP$747, Growth!$B$20:$D$60, 3, FALSE)),)</f>
        <v>-9.1758109279423353E-3</v>
      </c>
      <c r="AQ750" s="416">
        <f ca="1">IF(AQ$747 &gt;='2.2 Input_General_Information'!$H$20, $I$744 /(1 + VLOOKUP(AQ$747, Growth!$B$20:$D$60, 3, FALSE)),)</f>
        <v>-9.1299672237892572E-3</v>
      </c>
      <c r="AR750" s="416">
        <f ca="1">IF(AR$747 &gt;='2.2 Input_General_Information'!$H$20, $I$744 /(1 + VLOOKUP(AR$747, Growth!$B$20:$D$60, 3, FALSE)),)</f>
        <v>-9.0840546432408627E-3</v>
      </c>
      <c r="AS750" s="416">
        <f ca="1">IF(AS$747 &gt;='2.2 Input_General_Information'!$H$20, $I$744 /(1 + VLOOKUP(AS$747, Growth!$B$20:$D$60, 3, FALSE)),)</f>
        <v>-9.0381006528876349E-3</v>
      </c>
      <c r="AT750" s="416">
        <f ca="1">IF(AT$747 &gt;='2.2 Input_General_Information'!$H$20, $I$744 /(1 + VLOOKUP(AT$747, Growth!$B$20:$D$60, 3, FALSE)),)</f>
        <v>-8.9921328186318775E-3</v>
      </c>
      <c r="AU750" s="416">
        <f ca="1">IF(AU$747 &gt;='2.2 Input_General_Information'!$H$20, $I$744 /(1 + VLOOKUP(AU$747, Growth!$B$20:$D$60, 3, FALSE)),)</f>
        <v>-8.9461787396072322E-3</v>
      </c>
      <c r="AV750" s="416">
        <f ca="1">IF(AV$747 &gt;='2.2 Input_General_Information'!$H$20, $I$744 /(1 + VLOOKUP(AV$747, Growth!$B$20:$D$60, 3, FALSE)),)</f>
        <v>-8.9002659819288014E-3</v>
      </c>
      <c r="AW750" s="416">
        <f ca="1">IF(AW$747 &gt;='2.2 Input_General_Information'!$H$20, $I$744 /(1 + VLOOKUP(AW$747, Growth!$B$20:$D$60, 3, FALSE)),)</f>
        <v>-8.8544220126115878E-3</v>
      </c>
      <c r="AX750" s="416">
        <f ca="1">IF(AX$747 &gt;='2.2 Input_General_Information'!$H$20, $I$744 /(1 + VLOOKUP(AX$747, Growth!$B$20:$D$60, 3, FALSE)),)</f>
        <v>-8.8086741339934438E-3</v>
      </c>
      <c r="AY750" s="416">
        <f ca="1">IF(AY$747 &gt;='2.2 Input_General_Information'!$H$20, $I$744 /(1 + VLOOKUP(AY$747, Growth!$B$20:$D$60, 3, FALSE)),)</f>
        <v>-8.7630494189943585E-3</v>
      </c>
      <c r="AZ750" s="416">
        <f ca="1">IF(AZ$747 &gt;='2.2 Input_General_Information'!$H$20, $I$744 /(1 + VLOOKUP(AZ$747, Growth!$B$20:$D$60, 3, FALSE)),)</f>
        <v>-8.717574647536629E-3</v>
      </c>
      <c r="BA750" s="416">
        <f ca="1">IF(BA$747 &gt;='2.2 Input_General_Information'!$H$20, $I$744 /(1 + VLOOKUP(BA$747, Growth!$B$20:$D$60, 3, FALSE)),)</f>
        <v>-8.6722762444403877E-3</v>
      </c>
      <c r="BB750" s="416">
        <f ca="1">IF(BB$747 &gt;='2.2 Input_General_Information'!$H$20, $I$744 /(1 + VLOOKUP(BB$747, Growth!$B$20:$D$60, 3, FALSE)),)</f>
        <v>-8.6271802190962931E-3</v>
      </c>
      <c r="BC750" s="416">
        <f ca="1">IF(BC$747 &gt;='2.2 Input_General_Information'!$H$20, $I$744 /(1 + VLOOKUP(BC$747, Growth!$B$20:$D$60, 3, FALSE)),)</f>
        <v>-8.5823121072020007E-3</v>
      </c>
      <c r="BD750" s="416">
        <f ca="1">IF(BD$747 &gt;='2.2 Input_General_Information'!$H$20, $I$744 /(1 + VLOOKUP(BD$747, Growth!$B$20:$D$60, 3, FALSE)),)</f>
        <v>-8.5376969148315569E-3</v>
      </c>
      <c r="BE750" s="416">
        <f ca="1">IF(BE$747 &gt;='2.2 Input_General_Information'!$H$20, $I$744 /(1 + VLOOKUP(BE$747, Growth!$B$20:$D$60, 3, FALSE)),)</f>
        <v>-8.4933590650873945E-3</v>
      </c>
      <c r="BF750" s="416">
        <f ca="1">IF(BF$747 &gt;='2.2 Input_General_Information'!$H$20, $I$744 /(1 + VLOOKUP(BF$747, Growth!$B$20:$D$60, 3, FALSE)),)</f>
        <v>-8.4493223475632408E-3</v>
      </c>
      <c r="BG750" s="416">
        <f ca="1">IF(BG$747 &gt;='2.2 Input_General_Information'!$H$20, $I$744 /(1 + VLOOKUP(BG$747, Growth!$B$20:$D$60, 3, FALSE)),)</f>
        <v>-8.4056098708233992E-3</v>
      </c>
      <c r="BH750" s="416">
        <f ca="1">IF(BH$747 &gt;='2.2 Input_General_Information'!$H$20, $I$744 /(1 + VLOOKUP(BH$747, Growth!$B$20:$D$60, 3, FALSE)),)</f>
        <v>-8.3622440180797161E-3</v>
      </c>
      <c r="BI750" s="416">
        <f ca="1">IF(BI$747 &gt;='2.2 Input_General_Information'!$H$20, $I$744 /(1 + VLOOKUP(BI$747, Growth!$B$20:$D$60, 3, FALSE)),)</f>
        <v>-8.319246406222473E-3</v>
      </c>
      <c r="BJ750" s="416">
        <f ca="1">IF(BJ$747 &gt;='2.2 Input_General_Information'!$H$20, $I$744 /(1 + VLOOKUP(BJ$747, Growth!$B$20:$D$60, 3, FALSE)),)</f>
        <v>-8.2766378483355718E-3</v>
      </c>
      <c r="BK750" s="416">
        <f ca="1">IF(BK$747 &gt;='2.2 Input_General_Information'!$H$20, $I$744 /(1 + VLOOKUP(BK$747, Growth!$B$20:$D$60, 3, FALSE)),)</f>
        <v>-8.2344383198002628E-3</v>
      </c>
      <c r="BL750" s="416"/>
      <c r="BM750" s="416"/>
      <c r="BN750" s="416"/>
      <c r="BO750" s="416"/>
      <c r="BP750" s="416"/>
      <c r="BQ750" s="416"/>
      <c r="BR750" s="416"/>
      <c r="BS750" s="416"/>
      <c r="BT750" s="416"/>
      <c r="BU750" s="416"/>
    </row>
    <row r="751" spans="1:73" hidden="1">
      <c r="A751" s="6"/>
      <c r="B751" s="6"/>
      <c r="C751" s="1"/>
      <c r="D751" s="1"/>
      <c r="E751" s="12"/>
      <c r="F751" s="1"/>
      <c r="G751" s="3"/>
      <c r="H751" s="3"/>
      <c r="I751" s="3"/>
      <c r="J751" s="3"/>
      <c r="K751" s="3"/>
      <c r="L751" s="3"/>
      <c r="M751" s="3"/>
      <c r="N751" s="3"/>
      <c r="O751" s="1"/>
      <c r="P751" s="1"/>
      <c r="Q751" s="1"/>
      <c r="R751" s="162"/>
      <c r="S751" s="1"/>
      <c r="T751" s="6"/>
      <c r="U751" s="6"/>
      <c r="V751" s="647" t="str">
        <f>$J$10</f>
        <v>Other</v>
      </c>
      <c r="W751" s="416">
        <f ca="1">IF(W$747 &gt;='2.2 Input_General_Information'!$H$20, $J$744 /(1 + VLOOKUP(W$747, Growth!$B$20:$D$60, 3, FALSE)),)</f>
        <v>0</v>
      </c>
      <c r="X751" s="416">
        <f ca="1">IF(X$747 &gt;='2.2 Input_General_Information'!$H$20, $J$744 /(1 + VLOOKUP(X$747, Growth!$B$20:$D$60, 3, FALSE)),)</f>
        <v>0</v>
      </c>
      <c r="Y751" s="416">
        <f ca="1">IF(Y$747 &gt;='2.2 Input_General_Information'!$H$20, $J$744 /(1 + VLOOKUP(Y$747, Growth!$B$20:$D$60, 3, FALSE)),)</f>
        <v>0</v>
      </c>
      <c r="Z751" s="416">
        <f ca="1">IF(Z$747 &gt;='2.2 Input_General_Information'!$H$20, $J$744 /(1 + VLOOKUP(Z$747, Growth!$B$20:$D$60, 3, FALSE)),)</f>
        <v>0</v>
      </c>
      <c r="AA751" s="416">
        <f ca="1">IF(AA$747 &gt;='2.2 Input_General_Information'!$H$20, $J$744 /(1 + VLOOKUP(AA$747, Growth!$B$20:$D$60, 3, FALSE)),)</f>
        <v>0</v>
      </c>
      <c r="AB751" s="416">
        <f ca="1">IF(AB$747 &gt;='2.2 Input_General_Information'!$H$20, $J$744 /(1 + VLOOKUP(AB$747, Growth!$B$20:$D$60, 3, FALSE)),)</f>
        <v>0</v>
      </c>
      <c r="AC751" s="416">
        <f ca="1">IF(AC$747 &gt;='2.2 Input_General_Information'!$H$20, $J$744 /(1 + VLOOKUP(AC$747, Growth!$B$20:$D$60, 3, FALSE)),)</f>
        <v>0</v>
      </c>
      <c r="AD751" s="416">
        <f ca="1">IF(AD$747 &gt;='2.2 Input_General_Information'!$H$20, $J$744 /(1 + VLOOKUP(AD$747, Growth!$B$20:$D$60, 3, FALSE)),)</f>
        <v>0</v>
      </c>
      <c r="AE751" s="416">
        <f ca="1">IF(AE$747 &gt;='2.2 Input_General_Information'!$H$20, $J$744 /(1 + VLOOKUP(AE$747, Growth!$B$20:$D$60, 3, FALSE)),)</f>
        <v>0</v>
      </c>
      <c r="AF751" s="416">
        <f ca="1">IF(AF$747 &gt;='2.2 Input_General_Information'!$H$20, $J$744 /(1 + VLOOKUP(AF$747, Growth!$B$20:$D$60, 3, FALSE)),)</f>
        <v>0</v>
      </c>
      <c r="AG751" s="416">
        <f ca="1">IF(AG$747 &gt;='2.2 Input_General_Information'!$H$20, $J$744 /(1 + VLOOKUP(AG$747, Growth!$B$20:$D$60, 3, FALSE)),)</f>
        <v>0</v>
      </c>
      <c r="AH751" s="416">
        <f ca="1">IF(AH$747 &gt;='2.2 Input_General_Information'!$H$20, $J$744 /(1 + VLOOKUP(AH$747, Growth!$B$20:$D$60, 3, FALSE)),)</f>
        <v>0</v>
      </c>
      <c r="AI751" s="416">
        <f ca="1">IF(AI$747 &gt;='2.2 Input_General_Information'!$H$20, $J$744 /(1 + VLOOKUP(AI$747, Growth!$B$20:$D$60, 3, FALSE)),)</f>
        <v>0</v>
      </c>
      <c r="AJ751" s="416">
        <f ca="1">IF(AJ$747 &gt;='2.2 Input_General_Information'!$H$20, $J$744 /(1 + VLOOKUP(AJ$747, Growth!$B$20:$D$60, 3, FALSE)),)</f>
        <v>0</v>
      </c>
      <c r="AK751" s="416">
        <f ca="1">IF(AK$747 &gt;='2.2 Input_General_Information'!$H$20, $J$744 /(1 + VLOOKUP(AK$747, Growth!$B$20:$D$60, 3, FALSE)),)</f>
        <v>0</v>
      </c>
      <c r="AL751" s="416">
        <f ca="1">IF(AL$747 &gt;='2.2 Input_General_Information'!$H$20, $J$744 /(1 + VLOOKUP(AL$747, Growth!$B$20:$D$60, 3, FALSE)),)</f>
        <v>0</v>
      </c>
      <c r="AM751" s="416">
        <f ca="1">IF(AM$747 &gt;='2.2 Input_General_Information'!$H$20, $J$744 /(1 + VLOOKUP(AM$747, Growth!$B$20:$D$60, 3, FALSE)),)</f>
        <v>0</v>
      </c>
      <c r="AN751" s="416">
        <f ca="1">IF(AN$747 &gt;='2.2 Input_General_Information'!$H$20, $J$744 /(1 + VLOOKUP(AN$747, Growth!$B$20:$D$60, 3, FALSE)),)</f>
        <v>0</v>
      </c>
      <c r="AO751" s="416">
        <f ca="1">IF(AO$747 &gt;='2.2 Input_General_Information'!$H$20, $J$744 /(1 + VLOOKUP(AO$747, Growth!$B$20:$D$60, 3, FALSE)),)</f>
        <v>0</v>
      </c>
      <c r="AP751" s="416">
        <f ca="1">IF(AP$747 &gt;='2.2 Input_General_Information'!$H$20, $J$744 /(1 + VLOOKUP(AP$747, Growth!$B$20:$D$60, 3, FALSE)),)</f>
        <v>0</v>
      </c>
      <c r="AQ751" s="416">
        <f ca="1">IF(AQ$747 &gt;='2.2 Input_General_Information'!$H$20, $J$744 /(1 + VLOOKUP(AQ$747, Growth!$B$20:$D$60, 3, FALSE)),)</f>
        <v>0</v>
      </c>
      <c r="AR751" s="416">
        <f ca="1">IF(AR$747 &gt;='2.2 Input_General_Information'!$H$20, $J$744 /(1 + VLOOKUP(AR$747, Growth!$B$20:$D$60, 3, FALSE)),)</f>
        <v>0</v>
      </c>
      <c r="AS751" s="416">
        <f ca="1">IF(AS$747 &gt;='2.2 Input_General_Information'!$H$20, $J$744 /(1 + VLOOKUP(AS$747, Growth!$B$20:$D$60, 3, FALSE)),)</f>
        <v>0</v>
      </c>
      <c r="AT751" s="416">
        <f ca="1">IF(AT$747 &gt;='2.2 Input_General_Information'!$H$20, $J$744 /(1 + VLOOKUP(AT$747, Growth!$B$20:$D$60, 3, FALSE)),)</f>
        <v>0</v>
      </c>
      <c r="AU751" s="416">
        <f ca="1">IF(AU$747 &gt;='2.2 Input_General_Information'!$H$20, $J$744 /(1 + VLOOKUP(AU$747, Growth!$B$20:$D$60, 3, FALSE)),)</f>
        <v>0</v>
      </c>
      <c r="AV751" s="416">
        <f ca="1">IF(AV$747 &gt;='2.2 Input_General_Information'!$H$20, $J$744 /(1 + VLOOKUP(AV$747, Growth!$B$20:$D$60, 3, FALSE)),)</f>
        <v>0</v>
      </c>
      <c r="AW751" s="416">
        <f ca="1">IF(AW$747 &gt;='2.2 Input_General_Information'!$H$20, $J$744 /(1 + VLOOKUP(AW$747, Growth!$B$20:$D$60, 3, FALSE)),)</f>
        <v>0</v>
      </c>
      <c r="AX751" s="416">
        <f ca="1">IF(AX$747 &gt;='2.2 Input_General_Information'!$H$20, $J$744 /(1 + VLOOKUP(AX$747, Growth!$B$20:$D$60, 3, FALSE)),)</f>
        <v>0</v>
      </c>
      <c r="AY751" s="416">
        <f ca="1">IF(AY$747 &gt;='2.2 Input_General_Information'!$H$20, $J$744 /(1 + VLOOKUP(AY$747, Growth!$B$20:$D$60, 3, FALSE)),)</f>
        <v>0</v>
      </c>
      <c r="AZ751" s="416">
        <f ca="1">IF(AZ$747 &gt;='2.2 Input_General_Information'!$H$20, $J$744 /(1 + VLOOKUP(AZ$747, Growth!$B$20:$D$60, 3, FALSE)),)</f>
        <v>0</v>
      </c>
      <c r="BA751" s="416">
        <f ca="1">IF(BA$747 &gt;='2.2 Input_General_Information'!$H$20, $J$744 /(1 + VLOOKUP(BA$747, Growth!$B$20:$D$60, 3, FALSE)),)</f>
        <v>0</v>
      </c>
      <c r="BB751" s="416">
        <f ca="1">IF(BB$747 &gt;='2.2 Input_General_Information'!$H$20, $J$744 /(1 + VLOOKUP(BB$747, Growth!$B$20:$D$60, 3, FALSE)),)</f>
        <v>0</v>
      </c>
      <c r="BC751" s="416">
        <f ca="1">IF(BC$747 &gt;='2.2 Input_General_Information'!$H$20, $J$744 /(1 + VLOOKUP(BC$747, Growth!$B$20:$D$60, 3, FALSE)),)</f>
        <v>0</v>
      </c>
      <c r="BD751" s="416">
        <f ca="1">IF(BD$747 &gt;='2.2 Input_General_Information'!$H$20, $J$744 /(1 + VLOOKUP(BD$747, Growth!$B$20:$D$60, 3, FALSE)),)</f>
        <v>0</v>
      </c>
      <c r="BE751" s="416">
        <f ca="1">IF(BE$747 &gt;='2.2 Input_General_Information'!$H$20, $J$744 /(1 + VLOOKUP(BE$747, Growth!$B$20:$D$60, 3, FALSE)),)</f>
        <v>0</v>
      </c>
      <c r="BF751" s="416">
        <f ca="1">IF(BF$747 &gt;='2.2 Input_General_Information'!$H$20, $J$744 /(1 + VLOOKUP(BF$747, Growth!$B$20:$D$60, 3, FALSE)),)</f>
        <v>0</v>
      </c>
      <c r="BG751" s="416">
        <f ca="1">IF(BG$747 &gt;='2.2 Input_General_Information'!$H$20, $J$744 /(1 + VLOOKUP(BG$747, Growth!$B$20:$D$60, 3, FALSE)),)</f>
        <v>0</v>
      </c>
      <c r="BH751" s="416">
        <f ca="1">IF(BH$747 &gt;='2.2 Input_General_Information'!$H$20, $J$744 /(1 + VLOOKUP(BH$747, Growth!$B$20:$D$60, 3, FALSE)),)</f>
        <v>0</v>
      </c>
      <c r="BI751" s="416">
        <f ca="1">IF(BI$747 &gt;='2.2 Input_General_Information'!$H$20, $J$744 /(1 + VLOOKUP(BI$747, Growth!$B$20:$D$60, 3, FALSE)),)</f>
        <v>0</v>
      </c>
      <c r="BJ751" s="416">
        <f ca="1">IF(BJ$747 &gt;='2.2 Input_General_Information'!$H$20, $J$744 /(1 + VLOOKUP(BJ$747, Growth!$B$20:$D$60, 3, FALSE)),)</f>
        <v>0</v>
      </c>
      <c r="BK751" s="416">
        <f ca="1">IF(BK$747 &gt;='2.2 Input_General_Information'!$H$20, $J$744 /(1 + VLOOKUP(BK$747, Growth!$B$20:$D$60, 3, FALSE)),)</f>
        <v>0</v>
      </c>
      <c r="BL751" s="416"/>
      <c r="BM751" s="416"/>
      <c r="BN751" s="416"/>
      <c r="BO751" s="416"/>
      <c r="BP751" s="416"/>
      <c r="BQ751" s="416"/>
      <c r="BR751" s="416"/>
      <c r="BS751" s="416"/>
      <c r="BT751" s="416"/>
      <c r="BU751" s="416"/>
    </row>
    <row r="752" spans="1:73" hidden="1">
      <c r="A752" s="6"/>
      <c r="B752" s="6"/>
      <c r="C752" s="1"/>
      <c r="D752" s="1"/>
      <c r="E752" s="12"/>
      <c r="F752" s="1"/>
      <c r="G752" s="3"/>
      <c r="H752" s="3"/>
      <c r="I752" s="3"/>
      <c r="J752" s="3"/>
      <c r="K752" s="3"/>
      <c r="L752" s="3"/>
      <c r="M752" s="3"/>
      <c r="N752" s="3"/>
      <c r="O752" s="1"/>
      <c r="P752" s="1"/>
      <c r="Q752" s="1"/>
      <c r="R752" s="162"/>
      <c r="S752" s="1"/>
      <c r="T752" s="6"/>
      <c r="U752" s="6"/>
      <c r="V752" s="103" t="str">
        <f>$K$10</f>
        <v>Profile 5</v>
      </c>
      <c r="W752" s="416">
        <f ca="1">IF(W$747 &gt;='2.2 Input_General_Information'!$H$20, $K$744 /(1 + VLOOKUP(W$747, Growth!$B$20:$D$60, 3, FALSE)),)</f>
        <v>0</v>
      </c>
      <c r="X752" s="416">
        <f ca="1">IF(X$747 &gt;='2.2 Input_General_Information'!$H$20, $K$744 /(1 + VLOOKUP(X$747, Growth!$B$20:$D$60, 3, FALSE)),)</f>
        <v>0</v>
      </c>
      <c r="Y752" s="416">
        <f ca="1">IF(Y$747 &gt;='2.2 Input_General_Information'!$H$20, $K$744 /(1 + VLOOKUP(Y$747, Growth!$B$20:$D$60, 3, FALSE)),)</f>
        <v>0</v>
      </c>
      <c r="Z752" s="416">
        <f ca="1">IF(Z$747 &gt;='2.2 Input_General_Information'!$H$20, $K$744 /(1 + VLOOKUP(Z$747, Growth!$B$20:$D$60, 3, FALSE)),)</f>
        <v>0</v>
      </c>
      <c r="AA752" s="416">
        <f ca="1">IF(AA$747 &gt;='2.2 Input_General_Information'!$H$20, $K$744 /(1 + VLOOKUP(AA$747, Growth!$B$20:$D$60, 3, FALSE)),)</f>
        <v>0</v>
      </c>
      <c r="AB752" s="416">
        <f ca="1">IF(AB$747 &gt;='2.2 Input_General_Information'!$H$20, $K$744 /(1 + VLOOKUP(AB$747, Growth!$B$20:$D$60, 3, FALSE)),)</f>
        <v>0</v>
      </c>
      <c r="AC752" s="416">
        <f ca="1">IF(AC$747 &gt;='2.2 Input_General_Information'!$H$20, $K$744 /(1 + VLOOKUP(AC$747, Growth!$B$20:$D$60, 3, FALSE)),)</f>
        <v>0</v>
      </c>
      <c r="AD752" s="416">
        <f ca="1">IF(AD$747 &gt;='2.2 Input_General_Information'!$H$20, $K$744 /(1 + VLOOKUP(AD$747, Growth!$B$20:$D$60, 3, FALSE)),)</f>
        <v>0</v>
      </c>
      <c r="AE752" s="416">
        <f ca="1">IF(AE$747 &gt;='2.2 Input_General_Information'!$H$20, $K$744 /(1 + VLOOKUP(AE$747, Growth!$B$20:$D$60, 3, FALSE)),)</f>
        <v>0</v>
      </c>
      <c r="AF752" s="416">
        <f ca="1">IF(AF$747 &gt;='2.2 Input_General_Information'!$H$20, $K$744 /(1 + VLOOKUP(AF$747, Growth!$B$20:$D$60, 3, FALSE)),)</f>
        <v>0</v>
      </c>
      <c r="AG752" s="416">
        <f ca="1">IF(AG$747 &gt;='2.2 Input_General_Information'!$H$20, $K$744 /(1 + VLOOKUP(AG$747, Growth!$B$20:$D$60, 3, FALSE)),)</f>
        <v>0</v>
      </c>
      <c r="AH752" s="416">
        <f ca="1">IF(AH$747 &gt;='2.2 Input_General_Information'!$H$20, $K$744 /(1 + VLOOKUP(AH$747, Growth!$B$20:$D$60, 3, FALSE)),)</f>
        <v>0</v>
      </c>
      <c r="AI752" s="416">
        <f ca="1">IF(AI$747 &gt;='2.2 Input_General_Information'!$H$20, $K$744 /(1 + VLOOKUP(AI$747, Growth!$B$20:$D$60, 3, FALSE)),)</f>
        <v>0</v>
      </c>
      <c r="AJ752" s="416">
        <f ca="1">IF(AJ$747 &gt;='2.2 Input_General_Information'!$H$20, $K$744 /(1 + VLOOKUP(AJ$747, Growth!$B$20:$D$60, 3, FALSE)),)</f>
        <v>0</v>
      </c>
      <c r="AK752" s="416">
        <f ca="1">IF(AK$747 &gt;='2.2 Input_General_Information'!$H$20, $K$744 /(1 + VLOOKUP(AK$747, Growth!$B$20:$D$60, 3, FALSE)),)</f>
        <v>0</v>
      </c>
      <c r="AL752" s="416">
        <f ca="1">IF(AL$747 &gt;='2.2 Input_General_Information'!$H$20, $K$744 /(1 + VLOOKUP(AL$747, Growth!$B$20:$D$60, 3, FALSE)),)</f>
        <v>0</v>
      </c>
      <c r="AM752" s="416">
        <f ca="1">IF(AM$747 &gt;='2.2 Input_General_Information'!$H$20, $K$744 /(1 + VLOOKUP(AM$747, Growth!$B$20:$D$60, 3, FALSE)),)</f>
        <v>0</v>
      </c>
      <c r="AN752" s="416">
        <f ca="1">IF(AN$747 &gt;='2.2 Input_General_Information'!$H$20, $K$744 /(1 + VLOOKUP(AN$747, Growth!$B$20:$D$60, 3, FALSE)),)</f>
        <v>0</v>
      </c>
      <c r="AO752" s="416">
        <f ca="1">IF(AO$747 &gt;='2.2 Input_General_Information'!$H$20, $K$744 /(1 + VLOOKUP(AO$747, Growth!$B$20:$D$60, 3, FALSE)),)</f>
        <v>0</v>
      </c>
      <c r="AP752" s="416">
        <f ca="1">IF(AP$747 &gt;='2.2 Input_General_Information'!$H$20, $K$744 /(1 + VLOOKUP(AP$747, Growth!$B$20:$D$60, 3, FALSE)),)</f>
        <v>0</v>
      </c>
      <c r="AQ752" s="416">
        <f ca="1">IF(AQ$747 &gt;='2.2 Input_General_Information'!$H$20, $K$744 /(1 + VLOOKUP(AQ$747, Growth!$B$20:$D$60, 3, FALSE)),)</f>
        <v>0</v>
      </c>
      <c r="AR752" s="416">
        <f ca="1">IF(AR$747 &gt;='2.2 Input_General_Information'!$H$20, $K$744 /(1 + VLOOKUP(AR$747, Growth!$B$20:$D$60, 3, FALSE)),)</f>
        <v>0</v>
      </c>
      <c r="AS752" s="416">
        <f ca="1">IF(AS$747 &gt;='2.2 Input_General_Information'!$H$20, $K$744 /(1 + VLOOKUP(AS$747, Growth!$B$20:$D$60, 3, FALSE)),)</f>
        <v>0</v>
      </c>
      <c r="AT752" s="416">
        <f ca="1">IF(AT$747 &gt;='2.2 Input_General_Information'!$H$20, $K$744 /(1 + VLOOKUP(AT$747, Growth!$B$20:$D$60, 3, FALSE)),)</f>
        <v>0</v>
      </c>
      <c r="AU752" s="416">
        <f ca="1">IF(AU$747 &gt;='2.2 Input_General_Information'!$H$20, $K$744 /(1 + VLOOKUP(AU$747, Growth!$B$20:$D$60, 3, FALSE)),)</f>
        <v>0</v>
      </c>
      <c r="AV752" s="416">
        <f ca="1">IF(AV$747 &gt;='2.2 Input_General_Information'!$H$20, $K$744 /(1 + VLOOKUP(AV$747, Growth!$B$20:$D$60, 3, FALSE)),)</f>
        <v>0</v>
      </c>
      <c r="AW752" s="416">
        <f ca="1">IF(AW$747 &gt;='2.2 Input_General_Information'!$H$20, $K$744 /(1 + VLOOKUP(AW$747, Growth!$B$20:$D$60, 3, FALSE)),)</f>
        <v>0</v>
      </c>
      <c r="AX752" s="416">
        <f ca="1">IF(AX$747 &gt;='2.2 Input_General_Information'!$H$20, $K$744 /(1 + VLOOKUP(AX$747, Growth!$B$20:$D$60, 3, FALSE)),)</f>
        <v>0</v>
      </c>
      <c r="AY752" s="416">
        <f ca="1">IF(AY$747 &gt;='2.2 Input_General_Information'!$H$20, $K$744 /(1 + VLOOKUP(AY$747, Growth!$B$20:$D$60, 3, FALSE)),)</f>
        <v>0</v>
      </c>
      <c r="AZ752" s="416">
        <f ca="1">IF(AZ$747 &gt;='2.2 Input_General_Information'!$H$20, $K$744 /(1 + VLOOKUP(AZ$747, Growth!$B$20:$D$60, 3, FALSE)),)</f>
        <v>0</v>
      </c>
      <c r="BA752" s="416">
        <f ca="1">IF(BA$747 &gt;='2.2 Input_General_Information'!$H$20, $K$744 /(1 + VLOOKUP(BA$747, Growth!$B$20:$D$60, 3, FALSE)),)</f>
        <v>0</v>
      </c>
      <c r="BB752" s="416">
        <f ca="1">IF(BB$747 &gt;='2.2 Input_General_Information'!$H$20, $K$744 /(1 + VLOOKUP(BB$747, Growth!$B$20:$D$60, 3, FALSE)),)</f>
        <v>0</v>
      </c>
      <c r="BC752" s="416">
        <f ca="1">IF(BC$747 &gt;='2.2 Input_General_Information'!$H$20, $K$744 /(1 + VLOOKUP(BC$747, Growth!$B$20:$D$60, 3, FALSE)),)</f>
        <v>0</v>
      </c>
      <c r="BD752" s="416">
        <f ca="1">IF(BD$747 &gt;='2.2 Input_General_Information'!$H$20, $K$744 /(1 + VLOOKUP(BD$747, Growth!$B$20:$D$60, 3, FALSE)),)</f>
        <v>0</v>
      </c>
      <c r="BE752" s="416">
        <f ca="1">IF(BE$747 &gt;='2.2 Input_General_Information'!$H$20, $K$744 /(1 + VLOOKUP(BE$747, Growth!$B$20:$D$60, 3, FALSE)),)</f>
        <v>0</v>
      </c>
      <c r="BF752" s="416">
        <f ca="1">IF(BF$747 &gt;='2.2 Input_General_Information'!$H$20, $K$744 /(1 + VLOOKUP(BF$747, Growth!$B$20:$D$60, 3, FALSE)),)</f>
        <v>0</v>
      </c>
      <c r="BG752" s="416">
        <f ca="1">IF(BG$747 &gt;='2.2 Input_General_Information'!$H$20, $K$744 /(1 + VLOOKUP(BG$747, Growth!$B$20:$D$60, 3, FALSE)),)</f>
        <v>0</v>
      </c>
      <c r="BH752" s="416">
        <f ca="1">IF(BH$747 &gt;='2.2 Input_General_Information'!$H$20, $K$744 /(1 + VLOOKUP(BH$747, Growth!$B$20:$D$60, 3, FALSE)),)</f>
        <v>0</v>
      </c>
      <c r="BI752" s="416">
        <f ca="1">IF(BI$747 &gt;='2.2 Input_General_Information'!$H$20, $K$744 /(1 + VLOOKUP(BI$747, Growth!$B$20:$D$60, 3, FALSE)),)</f>
        <v>0</v>
      </c>
      <c r="BJ752" s="416">
        <f ca="1">IF(BJ$747 &gt;='2.2 Input_General_Information'!$H$20, $K$744 /(1 + VLOOKUP(BJ$747, Growth!$B$20:$D$60, 3, FALSE)),)</f>
        <v>0</v>
      </c>
      <c r="BK752" s="416">
        <f ca="1">IF(BK$747 &gt;='2.2 Input_General_Information'!$H$20, $K$744 /(1 + VLOOKUP(BK$747, Growth!$B$20:$D$60, 3, FALSE)),)</f>
        <v>0</v>
      </c>
      <c r="BL752" s="416"/>
      <c r="BM752" s="416"/>
      <c r="BN752" s="416"/>
      <c r="BO752" s="416"/>
      <c r="BP752" s="416"/>
      <c r="BQ752" s="416"/>
      <c r="BR752" s="416"/>
      <c r="BS752" s="416"/>
      <c r="BT752" s="416"/>
      <c r="BU752" s="416"/>
    </row>
    <row r="753" spans="1:73" hidden="1">
      <c r="A753" s="6"/>
      <c r="B753" s="6"/>
      <c r="C753" s="1"/>
      <c r="D753" s="1"/>
      <c r="E753" s="12"/>
      <c r="F753" s="1"/>
      <c r="G753" s="3"/>
      <c r="H753" s="3"/>
      <c r="I753" s="3"/>
      <c r="J753" s="3"/>
      <c r="K753" s="3"/>
      <c r="L753" s="3"/>
      <c r="M753" s="3"/>
      <c r="N753" s="3"/>
      <c r="O753" s="1"/>
      <c r="P753" s="1"/>
      <c r="Q753" s="1"/>
      <c r="R753" s="162"/>
      <c r="S753" s="1"/>
      <c r="T753" s="6"/>
      <c r="U753" s="6"/>
      <c r="V753" s="103" t="str">
        <f>$L$10</f>
        <v>Profile 6</v>
      </c>
      <c r="W753" s="416">
        <f ca="1">IF(W$747 &gt;='2.2 Input_General_Information'!$H$20, $L$744 /(1 + VLOOKUP(W$747, Growth!$B$20:$D$60, 3, FALSE)),)</f>
        <v>0</v>
      </c>
      <c r="X753" s="416">
        <f ca="1">IF(X$747 &gt;='2.2 Input_General_Information'!$H$20, $L$744 /(1 + VLOOKUP(X$747, Growth!$B$20:$D$60, 3, FALSE)),)</f>
        <v>0</v>
      </c>
      <c r="Y753" s="416">
        <f ca="1">IF(Y$747 &gt;='2.2 Input_General_Information'!$H$20, $L$744 /(1 + VLOOKUP(Y$747, Growth!$B$20:$D$60, 3, FALSE)),)</f>
        <v>0</v>
      </c>
      <c r="Z753" s="416">
        <f ca="1">IF(Z$747 &gt;='2.2 Input_General_Information'!$H$20, $L$744 /(1 + VLOOKUP(Z$747, Growth!$B$20:$D$60, 3, FALSE)),)</f>
        <v>0</v>
      </c>
      <c r="AA753" s="416">
        <f ca="1">IF(AA$747 &gt;='2.2 Input_General_Information'!$H$20, $L$744 /(1 + VLOOKUP(AA$747, Growth!$B$20:$D$60, 3, FALSE)),)</f>
        <v>0</v>
      </c>
      <c r="AB753" s="416">
        <f ca="1">IF(AB$747 &gt;='2.2 Input_General_Information'!$H$20, $L$744 /(1 + VLOOKUP(AB$747, Growth!$B$20:$D$60, 3, FALSE)),)</f>
        <v>0</v>
      </c>
      <c r="AC753" s="416">
        <f ca="1">IF(AC$747 &gt;='2.2 Input_General_Information'!$H$20, $L$744 /(1 + VLOOKUP(AC$747, Growth!$B$20:$D$60, 3, FALSE)),)</f>
        <v>0</v>
      </c>
      <c r="AD753" s="416">
        <f ca="1">IF(AD$747 &gt;='2.2 Input_General_Information'!$H$20, $L$744 /(1 + VLOOKUP(AD$747, Growth!$B$20:$D$60, 3, FALSE)),)</f>
        <v>0</v>
      </c>
      <c r="AE753" s="416">
        <f ca="1">IF(AE$747 &gt;='2.2 Input_General_Information'!$H$20, $L$744 /(1 + VLOOKUP(AE$747, Growth!$B$20:$D$60, 3, FALSE)),)</f>
        <v>0</v>
      </c>
      <c r="AF753" s="416">
        <f ca="1">IF(AF$747 &gt;='2.2 Input_General_Information'!$H$20, $L$744 /(1 + VLOOKUP(AF$747, Growth!$B$20:$D$60, 3, FALSE)),)</f>
        <v>0</v>
      </c>
      <c r="AG753" s="416">
        <f ca="1">IF(AG$747 &gt;='2.2 Input_General_Information'!$H$20, $L$744 /(1 + VLOOKUP(AG$747, Growth!$B$20:$D$60, 3, FALSE)),)</f>
        <v>0</v>
      </c>
      <c r="AH753" s="416">
        <f ca="1">IF(AH$747 &gt;='2.2 Input_General_Information'!$H$20, $L$744 /(1 + VLOOKUP(AH$747, Growth!$B$20:$D$60, 3, FALSE)),)</f>
        <v>0</v>
      </c>
      <c r="AI753" s="416">
        <f ca="1">IF(AI$747 &gt;='2.2 Input_General_Information'!$H$20, $L$744 /(1 + VLOOKUP(AI$747, Growth!$B$20:$D$60, 3, FALSE)),)</f>
        <v>0</v>
      </c>
      <c r="AJ753" s="416">
        <f ca="1">IF(AJ$747 &gt;='2.2 Input_General_Information'!$H$20, $L$744 /(1 + VLOOKUP(AJ$747, Growth!$B$20:$D$60, 3, FALSE)),)</f>
        <v>0</v>
      </c>
      <c r="AK753" s="416">
        <f ca="1">IF(AK$747 &gt;='2.2 Input_General_Information'!$H$20, $L$744 /(1 + VLOOKUP(AK$747, Growth!$B$20:$D$60, 3, FALSE)),)</f>
        <v>0</v>
      </c>
      <c r="AL753" s="416">
        <f ca="1">IF(AL$747 &gt;='2.2 Input_General_Information'!$H$20, $L$744 /(1 + VLOOKUP(AL$747, Growth!$B$20:$D$60, 3, FALSE)),)</f>
        <v>0</v>
      </c>
      <c r="AM753" s="416">
        <f ca="1">IF(AM$747 &gt;='2.2 Input_General_Information'!$H$20, $L$744 /(1 + VLOOKUP(AM$747, Growth!$B$20:$D$60, 3, FALSE)),)</f>
        <v>0</v>
      </c>
      <c r="AN753" s="416">
        <f ca="1">IF(AN$747 &gt;='2.2 Input_General_Information'!$H$20, $L$744 /(1 + VLOOKUP(AN$747, Growth!$B$20:$D$60, 3, FALSE)),)</f>
        <v>0</v>
      </c>
      <c r="AO753" s="416">
        <f ca="1">IF(AO$747 &gt;='2.2 Input_General_Information'!$H$20, $L$744 /(1 + VLOOKUP(AO$747, Growth!$B$20:$D$60, 3, FALSE)),)</f>
        <v>0</v>
      </c>
      <c r="AP753" s="416">
        <f ca="1">IF(AP$747 &gt;='2.2 Input_General_Information'!$H$20, $L$744 /(1 + VLOOKUP(AP$747, Growth!$B$20:$D$60, 3, FALSE)),)</f>
        <v>0</v>
      </c>
      <c r="AQ753" s="416">
        <f ca="1">IF(AQ$747 &gt;='2.2 Input_General_Information'!$H$20, $L$744 /(1 + VLOOKUP(AQ$747, Growth!$B$20:$D$60, 3, FALSE)),)</f>
        <v>0</v>
      </c>
      <c r="AR753" s="416">
        <f ca="1">IF(AR$747 &gt;='2.2 Input_General_Information'!$H$20, $L$744 /(1 + VLOOKUP(AR$747, Growth!$B$20:$D$60, 3, FALSE)),)</f>
        <v>0</v>
      </c>
      <c r="AS753" s="416">
        <f ca="1">IF(AS$747 &gt;='2.2 Input_General_Information'!$H$20, $L$744 /(1 + VLOOKUP(AS$747, Growth!$B$20:$D$60, 3, FALSE)),)</f>
        <v>0</v>
      </c>
      <c r="AT753" s="416">
        <f ca="1">IF(AT$747 &gt;='2.2 Input_General_Information'!$H$20, $L$744 /(1 + VLOOKUP(AT$747, Growth!$B$20:$D$60, 3, FALSE)),)</f>
        <v>0</v>
      </c>
      <c r="AU753" s="416">
        <f ca="1">IF(AU$747 &gt;='2.2 Input_General_Information'!$H$20, $L$744 /(1 + VLOOKUP(AU$747, Growth!$B$20:$D$60, 3, FALSE)),)</f>
        <v>0</v>
      </c>
      <c r="AV753" s="416">
        <f ca="1">IF(AV$747 &gt;='2.2 Input_General_Information'!$H$20, $L$744 /(1 + VLOOKUP(AV$747, Growth!$B$20:$D$60, 3, FALSE)),)</f>
        <v>0</v>
      </c>
      <c r="AW753" s="416">
        <f ca="1">IF(AW$747 &gt;='2.2 Input_General_Information'!$H$20, $L$744 /(1 + VLOOKUP(AW$747, Growth!$B$20:$D$60, 3, FALSE)),)</f>
        <v>0</v>
      </c>
      <c r="AX753" s="416">
        <f ca="1">IF(AX$747 &gt;='2.2 Input_General_Information'!$H$20, $L$744 /(1 + VLOOKUP(AX$747, Growth!$B$20:$D$60, 3, FALSE)),)</f>
        <v>0</v>
      </c>
      <c r="AY753" s="416">
        <f ca="1">IF(AY$747 &gt;='2.2 Input_General_Information'!$H$20, $L$744 /(1 + VLOOKUP(AY$747, Growth!$B$20:$D$60, 3, FALSE)),)</f>
        <v>0</v>
      </c>
      <c r="AZ753" s="416">
        <f ca="1">IF(AZ$747 &gt;='2.2 Input_General_Information'!$H$20, $L$744 /(1 + VLOOKUP(AZ$747, Growth!$B$20:$D$60, 3, FALSE)),)</f>
        <v>0</v>
      </c>
      <c r="BA753" s="416">
        <f ca="1">IF(BA$747 &gt;='2.2 Input_General_Information'!$H$20, $L$744 /(1 + VLOOKUP(BA$747, Growth!$B$20:$D$60, 3, FALSE)),)</f>
        <v>0</v>
      </c>
      <c r="BB753" s="416">
        <f ca="1">IF(BB$747 &gt;='2.2 Input_General_Information'!$H$20, $L$744 /(1 + VLOOKUP(BB$747, Growth!$B$20:$D$60, 3, FALSE)),)</f>
        <v>0</v>
      </c>
      <c r="BC753" s="416">
        <f ca="1">IF(BC$747 &gt;='2.2 Input_General_Information'!$H$20, $L$744 /(1 + VLOOKUP(BC$747, Growth!$B$20:$D$60, 3, FALSE)),)</f>
        <v>0</v>
      </c>
      <c r="BD753" s="416">
        <f ca="1">IF(BD$747 &gt;='2.2 Input_General_Information'!$H$20, $L$744 /(1 + VLOOKUP(BD$747, Growth!$B$20:$D$60, 3, FALSE)),)</f>
        <v>0</v>
      </c>
      <c r="BE753" s="416">
        <f ca="1">IF(BE$747 &gt;='2.2 Input_General_Information'!$H$20, $L$744 /(1 + VLOOKUP(BE$747, Growth!$B$20:$D$60, 3, FALSE)),)</f>
        <v>0</v>
      </c>
      <c r="BF753" s="416">
        <f ca="1">IF(BF$747 &gt;='2.2 Input_General_Information'!$H$20, $L$744 /(1 + VLOOKUP(BF$747, Growth!$B$20:$D$60, 3, FALSE)),)</f>
        <v>0</v>
      </c>
      <c r="BG753" s="416">
        <f ca="1">IF(BG$747 &gt;='2.2 Input_General_Information'!$H$20, $L$744 /(1 + VLOOKUP(BG$747, Growth!$B$20:$D$60, 3, FALSE)),)</f>
        <v>0</v>
      </c>
      <c r="BH753" s="416">
        <f ca="1">IF(BH$747 &gt;='2.2 Input_General_Information'!$H$20, $L$744 /(1 + VLOOKUP(BH$747, Growth!$B$20:$D$60, 3, FALSE)),)</f>
        <v>0</v>
      </c>
      <c r="BI753" s="416">
        <f ca="1">IF(BI$747 &gt;='2.2 Input_General_Information'!$H$20, $L$744 /(1 + VLOOKUP(BI$747, Growth!$B$20:$D$60, 3, FALSE)),)</f>
        <v>0</v>
      </c>
      <c r="BJ753" s="416">
        <f ca="1">IF(BJ$747 &gt;='2.2 Input_General_Information'!$H$20, $L$744 /(1 + VLOOKUP(BJ$747, Growth!$B$20:$D$60, 3, FALSE)),)</f>
        <v>0</v>
      </c>
      <c r="BK753" s="416">
        <f ca="1">IF(BK$747 &gt;='2.2 Input_General_Information'!$H$20, $L$744 /(1 + VLOOKUP(BK$747, Growth!$B$20:$D$60, 3, FALSE)),)</f>
        <v>0</v>
      </c>
      <c r="BL753" s="416"/>
      <c r="BM753" s="416"/>
      <c r="BN753" s="416"/>
      <c r="BO753" s="416"/>
      <c r="BP753" s="416"/>
      <c r="BQ753" s="416"/>
      <c r="BR753" s="416"/>
      <c r="BS753" s="416"/>
      <c r="BT753" s="416"/>
      <c r="BU753" s="416"/>
    </row>
    <row r="754" spans="1:73" hidden="1">
      <c r="A754" s="6"/>
      <c r="B754" s="6"/>
      <c r="C754" s="1"/>
      <c r="D754" s="1"/>
      <c r="E754" s="12"/>
      <c r="F754" s="1"/>
      <c r="G754" s="3"/>
      <c r="H754" s="3"/>
      <c r="I754" s="3"/>
      <c r="J754" s="3"/>
      <c r="K754" s="3"/>
      <c r="L754" s="3"/>
      <c r="M754" s="3"/>
      <c r="N754" s="3"/>
      <c r="O754" s="1"/>
      <c r="P754" s="1"/>
      <c r="Q754" s="1"/>
      <c r="R754" s="162"/>
      <c r="S754" s="1"/>
      <c r="T754" s="6"/>
      <c r="U754" s="6"/>
      <c r="V754" s="103" t="str">
        <f>$M$10</f>
        <v>Profile 7</v>
      </c>
      <c r="W754" s="416">
        <f ca="1">IF(W$747 &gt;='2.2 Input_General_Information'!$H$20, $M$744 /(1 + VLOOKUP(W$747, Growth!$B$20:$D$60, 3, FALSE)),)</f>
        <v>0</v>
      </c>
      <c r="X754" s="416">
        <f ca="1">IF(X$747 &gt;='2.2 Input_General_Information'!$H$20, $M$744 /(1 + VLOOKUP(X$747, Growth!$B$20:$D$60, 3, FALSE)),)</f>
        <v>0</v>
      </c>
      <c r="Y754" s="416">
        <f ca="1">IF(Y$747 &gt;='2.2 Input_General_Information'!$H$20, $M$744 /(1 + VLOOKUP(Y$747, Growth!$B$20:$D$60, 3, FALSE)),)</f>
        <v>0</v>
      </c>
      <c r="Z754" s="416">
        <f ca="1">IF(Z$747 &gt;='2.2 Input_General_Information'!$H$20, $M$744 /(1 + VLOOKUP(Z$747, Growth!$B$20:$D$60, 3, FALSE)),)</f>
        <v>0</v>
      </c>
      <c r="AA754" s="416">
        <f ca="1">IF(AA$747 &gt;='2.2 Input_General_Information'!$H$20, $M$744 /(1 + VLOOKUP(AA$747, Growth!$B$20:$D$60, 3, FALSE)),)</f>
        <v>0</v>
      </c>
      <c r="AB754" s="416">
        <f ca="1">IF(AB$747 &gt;='2.2 Input_General_Information'!$H$20, $M$744 /(1 + VLOOKUP(AB$747, Growth!$B$20:$D$60, 3, FALSE)),)</f>
        <v>0</v>
      </c>
      <c r="AC754" s="416">
        <f ca="1">IF(AC$747 &gt;='2.2 Input_General_Information'!$H$20, $M$744 /(1 + VLOOKUP(AC$747, Growth!$B$20:$D$60, 3, FALSE)),)</f>
        <v>0</v>
      </c>
      <c r="AD754" s="416">
        <f ca="1">IF(AD$747 &gt;='2.2 Input_General_Information'!$H$20, $M$744 /(1 + VLOOKUP(AD$747, Growth!$B$20:$D$60, 3, FALSE)),)</f>
        <v>0</v>
      </c>
      <c r="AE754" s="416">
        <f ca="1">IF(AE$747 &gt;='2.2 Input_General_Information'!$H$20, $M$744 /(1 + VLOOKUP(AE$747, Growth!$B$20:$D$60, 3, FALSE)),)</f>
        <v>0</v>
      </c>
      <c r="AF754" s="416">
        <f ca="1">IF(AF$747 &gt;='2.2 Input_General_Information'!$H$20, $M$744 /(1 + VLOOKUP(AF$747, Growth!$B$20:$D$60, 3, FALSE)),)</f>
        <v>0</v>
      </c>
      <c r="AG754" s="416">
        <f ca="1">IF(AG$747 &gt;='2.2 Input_General_Information'!$H$20, $M$744 /(1 + VLOOKUP(AG$747, Growth!$B$20:$D$60, 3, FALSE)),)</f>
        <v>0</v>
      </c>
      <c r="AH754" s="416">
        <f ca="1">IF(AH$747 &gt;='2.2 Input_General_Information'!$H$20, $M$744 /(1 + VLOOKUP(AH$747, Growth!$B$20:$D$60, 3, FALSE)),)</f>
        <v>0</v>
      </c>
      <c r="AI754" s="416">
        <f ca="1">IF(AI$747 &gt;='2.2 Input_General_Information'!$H$20, $M$744 /(1 + VLOOKUP(AI$747, Growth!$B$20:$D$60, 3, FALSE)),)</f>
        <v>0</v>
      </c>
      <c r="AJ754" s="416">
        <f ca="1">IF(AJ$747 &gt;='2.2 Input_General_Information'!$H$20, $M$744 /(1 + VLOOKUP(AJ$747, Growth!$B$20:$D$60, 3, FALSE)),)</f>
        <v>0</v>
      </c>
      <c r="AK754" s="416">
        <f ca="1">IF(AK$747 &gt;='2.2 Input_General_Information'!$H$20, $M$744 /(1 + VLOOKUP(AK$747, Growth!$B$20:$D$60, 3, FALSE)),)</f>
        <v>0</v>
      </c>
      <c r="AL754" s="416">
        <f ca="1">IF(AL$747 &gt;='2.2 Input_General_Information'!$H$20, $M$744 /(1 + VLOOKUP(AL$747, Growth!$B$20:$D$60, 3, FALSE)),)</f>
        <v>0</v>
      </c>
      <c r="AM754" s="416">
        <f ca="1">IF(AM$747 &gt;='2.2 Input_General_Information'!$H$20, $M$744 /(1 + VLOOKUP(AM$747, Growth!$B$20:$D$60, 3, FALSE)),)</f>
        <v>0</v>
      </c>
      <c r="AN754" s="416">
        <f ca="1">IF(AN$747 &gt;='2.2 Input_General_Information'!$H$20, $M$744 /(1 + VLOOKUP(AN$747, Growth!$B$20:$D$60, 3, FALSE)),)</f>
        <v>0</v>
      </c>
      <c r="AO754" s="416">
        <f ca="1">IF(AO$747 &gt;='2.2 Input_General_Information'!$H$20, $M$744 /(1 + VLOOKUP(AO$747, Growth!$B$20:$D$60, 3, FALSE)),)</f>
        <v>0</v>
      </c>
      <c r="AP754" s="416">
        <f ca="1">IF(AP$747 &gt;='2.2 Input_General_Information'!$H$20, $M$744 /(1 + VLOOKUP(AP$747, Growth!$B$20:$D$60, 3, FALSE)),)</f>
        <v>0</v>
      </c>
      <c r="AQ754" s="416">
        <f ca="1">IF(AQ$747 &gt;='2.2 Input_General_Information'!$H$20, $M$744 /(1 + VLOOKUP(AQ$747, Growth!$B$20:$D$60, 3, FALSE)),)</f>
        <v>0</v>
      </c>
      <c r="AR754" s="416">
        <f ca="1">IF(AR$747 &gt;='2.2 Input_General_Information'!$H$20, $M$744 /(1 + VLOOKUP(AR$747, Growth!$B$20:$D$60, 3, FALSE)),)</f>
        <v>0</v>
      </c>
      <c r="AS754" s="416">
        <f ca="1">IF(AS$747 &gt;='2.2 Input_General_Information'!$H$20, $M$744 /(1 + VLOOKUP(AS$747, Growth!$B$20:$D$60, 3, FALSE)),)</f>
        <v>0</v>
      </c>
      <c r="AT754" s="416">
        <f ca="1">IF(AT$747 &gt;='2.2 Input_General_Information'!$H$20, $M$744 /(1 + VLOOKUP(AT$747, Growth!$B$20:$D$60, 3, FALSE)),)</f>
        <v>0</v>
      </c>
      <c r="AU754" s="416">
        <f ca="1">IF(AU$747 &gt;='2.2 Input_General_Information'!$H$20, $M$744 /(1 + VLOOKUP(AU$747, Growth!$B$20:$D$60, 3, FALSE)),)</f>
        <v>0</v>
      </c>
      <c r="AV754" s="416">
        <f ca="1">IF(AV$747 &gt;='2.2 Input_General_Information'!$H$20, $M$744 /(1 + VLOOKUP(AV$747, Growth!$B$20:$D$60, 3, FALSE)),)</f>
        <v>0</v>
      </c>
      <c r="AW754" s="416">
        <f ca="1">IF(AW$747 &gt;='2.2 Input_General_Information'!$H$20, $M$744 /(1 + VLOOKUP(AW$747, Growth!$B$20:$D$60, 3, FALSE)),)</f>
        <v>0</v>
      </c>
      <c r="AX754" s="416">
        <f ca="1">IF(AX$747 &gt;='2.2 Input_General_Information'!$H$20, $M$744 /(1 + VLOOKUP(AX$747, Growth!$B$20:$D$60, 3, FALSE)),)</f>
        <v>0</v>
      </c>
      <c r="AY754" s="416">
        <f ca="1">IF(AY$747 &gt;='2.2 Input_General_Information'!$H$20, $M$744 /(1 + VLOOKUP(AY$747, Growth!$B$20:$D$60, 3, FALSE)),)</f>
        <v>0</v>
      </c>
      <c r="AZ754" s="416">
        <f ca="1">IF(AZ$747 &gt;='2.2 Input_General_Information'!$H$20, $M$744 /(1 + VLOOKUP(AZ$747, Growth!$B$20:$D$60, 3, FALSE)),)</f>
        <v>0</v>
      </c>
      <c r="BA754" s="416">
        <f ca="1">IF(BA$747 &gt;='2.2 Input_General_Information'!$H$20, $M$744 /(1 + VLOOKUP(BA$747, Growth!$B$20:$D$60, 3, FALSE)),)</f>
        <v>0</v>
      </c>
      <c r="BB754" s="416">
        <f ca="1">IF(BB$747 &gt;='2.2 Input_General_Information'!$H$20, $M$744 /(1 + VLOOKUP(BB$747, Growth!$B$20:$D$60, 3, FALSE)),)</f>
        <v>0</v>
      </c>
      <c r="BC754" s="416">
        <f ca="1">IF(BC$747 &gt;='2.2 Input_General_Information'!$H$20, $M$744 /(1 + VLOOKUP(BC$747, Growth!$B$20:$D$60, 3, FALSE)),)</f>
        <v>0</v>
      </c>
      <c r="BD754" s="416">
        <f ca="1">IF(BD$747 &gt;='2.2 Input_General_Information'!$H$20, $M$744 /(1 + VLOOKUP(BD$747, Growth!$B$20:$D$60, 3, FALSE)),)</f>
        <v>0</v>
      </c>
      <c r="BE754" s="416">
        <f ca="1">IF(BE$747 &gt;='2.2 Input_General_Information'!$H$20, $M$744 /(1 + VLOOKUP(BE$747, Growth!$B$20:$D$60, 3, FALSE)),)</f>
        <v>0</v>
      </c>
      <c r="BF754" s="416">
        <f ca="1">IF(BF$747 &gt;='2.2 Input_General_Information'!$H$20, $M$744 /(1 + VLOOKUP(BF$747, Growth!$B$20:$D$60, 3, FALSE)),)</f>
        <v>0</v>
      </c>
      <c r="BG754" s="416">
        <f ca="1">IF(BG$747 &gt;='2.2 Input_General_Information'!$H$20, $M$744 /(1 + VLOOKUP(BG$747, Growth!$B$20:$D$60, 3, FALSE)),)</f>
        <v>0</v>
      </c>
      <c r="BH754" s="416">
        <f ca="1">IF(BH$747 &gt;='2.2 Input_General_Information'!$H$20, $M$744 /(1 + VLOOKUP(BH$747, Growth!$B$20:$D$60, 3, FALSE)),)</f>
        <v>0</v>
      </c>
      <c r="BI754" s="416">
        <f ca="1">IF(BI$747 &gt;='2.2 Input_General_Information'!$H$20, $M$744 /(1 + VLOOKUP(BI$747, Growth!$B$20:$D$60, 3, FALSE)),)</f>
        <v>0</v>
      </c>
      <c r="BJ754" s="416">
        <f ca="1">IF(BJ$747 &gt;='2.2 Input_General_Information'!$H$20, $M$744 /(1 + VLOOKUP(BJ$747, Growth!$B$20:$D$60, 3, FALSE)),)</f>
        <v>0</v>
      </c>
      <c r="BK754" s="416">
        <f ca="1">IF(BK$747 &gt;='2.2 Input_General_Information'!$H$20, $M$744 /(1 + VLOOKUP(BK$747, Growth!$B$20:$D$60, 3, FALSE)),)</f>
        <v>0</v>
      </c>
      <c r="BL754" s="416"/>
      <c r="BM754" s="416"/>
      <c r="BN754" s="416"/>
      <c r="BO754" s="416"/>
      <c r="BP754" s="416"/>
      <c r="BQ754" s="416"/>
      <c r="BR754" s="416"/>
      <c r="BS754" s="416"/>
      <c r="BT754" s="416"/>
      <c r="BU754" s="416"/>
    </row>
    <row r="755" spans="1:73" hidden="1">
      <c r="A755" s="6"/>
      <c r="B755" s="6"/>
      <c r="C755" s="1"/>
      <c r="D755" s="1"/>
      <c r="E755" s="12"/>
      <c r="F755" s="1"/>
      <c r="G755" s="3"/>
      <c r="H755" s="3"/>
      <c r="I755" s="3"/>
      <c r="J755" s="3"/>
      <c r="K755" s="3"/>
      <c r="L755" s="3"/>
      <c r="M755" s="3"/>
      <c r="N755" s="3"/>
      <c r="O755" s="1"/>
      <c r="P755" s="1"/>
      <c r="Q755" s="1"/>
      <c r="R755" s="162"/>
      <c r="S755" s="1"/>
      <c r="T755" s="6"/>
      <c r="U755" s="6"/>
      <c r="V755" s="103" t="str">
        <f>$N$10</f>
        <v>Profile 8</v>
      </c>
      <c r="W755" s="416">
        <f ca="1">IF(W$747 &gt;='2.2 Input_General_Information'!$H$20, $N$744 /(1 + VLOOKUP(W$747, Growth!$B$20:$D$60, 3, FALSE)),)</f>
        <v>0</v>
      </c>
      <c r="X755" s="416">
        <f ca="1">IF(X$747 &gt;='2.2 Input_General_Information'!$H$20, $N$744 /(1 + VLOOKUP(X$747, Growth!$B$20:$D$60, 3, FALSE)),)</f>
        <v>0</v>
      </c>
      <c r="Y755" s="416">
        <f ca="1">IF(Y$747 &gt;='2.2 Input_General_Information'!$H$20, $N$744 /(1 + VLOOKUP(Y$747, Growth!$B$20:$D$60, 3, FALSE)),)</f>
        <v>0</v>
      </c>
      <c r="Z755" s="416">
        <f ca="1">IF(Z$747 &gt;='2.2 Input_General_Information'!$H$20, $N$744 /(1 + VLOOKUP(Z$747, Growth!$B$20:$D$60, 3, FALSE)),)</f>
        <v>0</v>
      </c>
      <c r="AA755" s="416">
        <f ca="1">IF(AA$747 &gt;='2.2 Input_General_Information'!$H$20, $N$744 /(1 + VLOOKUP(AA$747, Growth!$B$20:$D$60, 3, FALSE)),)</f>
        <v>0</v>
      </c>
      <c r="AB755" s="416">
        <f ca="1">IF(AB$747 &gt;='2.2 Input_General_Information'!$H$20, $N$744 /(1 + VLOOKUP(AB$747, Growth!$B$20:$D$60, 3, FALSE)),)</f>
        <v>0</v>
      </c>
      <c r="AC755" s="416">
        <f ca="1">IF(AC$747 &gt;='2.2 Input_General_Information'!$H$20, $N$744 /(1 + VLOOKUP(AC$747, Growth!$B$20:$D$60, 3, FALSE)),)</f>
        <v>0</v>
      </c>
      <c r="AD755" s="416">
        <f ca="1">IF(AD$747 &gt;='2.2 Input_General_Information'!$H$20, $N$744 /(1 + VLOOKUP(AD$747, Growth!$B$20:$D$60, 3, FALSE)),)</f>
        <v>0</v>
      </c>
      <c r="AE755" s="416">
        <f ca="1">IF(AE$747 &gt;='2.2 Input_General_Information'!$H$20, $N$744 /(1 + VLOOKUP(AE$747, Growth!$B$20:$D$60, 3, FALSE)),)</f>
        <v>0</v>
      </c>
      <c r="AF755" s="416">
        <f ca="1">IF(AF$747 &gt;='2.2 Input_General_Information'!$H$20, $N$744 /(1 + VLOOKUP(AF$747, Growth!$B$20:$D$60, 3, FALSE)),)</f>
        <v>0</v>
      </c>
      <c r="AG755" s="416">
        <f ca="1">IF(AG$747 &gt;='2.2 Input_General_Information'!$H$20, $N$744 /(1 + VLOOKUP(AG$747, Growth!$B$20:$D$60, 3, FALSE)),)</f>
        <v>0</v>
      </c>
      <c r="AH755" s="416">
        <f ca="1">IF(AH$747 &gt;='2.2 Input_General_Information'!$H$20, $N$744 /(1 + VLOOKUP(AH$747, Growth!$B$20:$D$60, 3, FALSE)),)</f>
        <v>0</v>
      </c>
      <c r="AI755" s="416">
        <f ca="1">IF(AI$747 &gt;='2.2 Input_General_Information'!$H$20, $N$744 /(1 + VLOOKUP(AI$747, Growth!$B$20:$D$60, 3, FALSE)),)</f>
        <v>0</v>
      </c>
      <c r="AJ755" s="416">
        <f ca="1">IF(AJ$747 &gt;='2.2 Input_General_Information'!$H$20, $N$744 /(1 + VLOOKUP(AJ$747, Growth!$B$20:$D$60, 3, FALSE)),)</f>
        <v>0</v>
      </c>
      <c r="AK755" s="416">
        <f ca="1">IF(AK$747 &gt;='2.2 Input_General_Information'!$H$20, $N$744 /(1 + VLOOKUP(AK$747, Growth!$B$20:$D$60, 3, FALSE)),)</f>
        <v>0</v>
      </c>
      <c r="AL755" s="416">
        <f ca="1">IF(AL$747 &gt;='2.2 Input_General_Information'!$H$20, $N$744 /(1 + VLOOKUP(AL$747, Growth!$B$20:$D$60, 3, FALSE)),)</f>
        <v>0</v>
      </c>
      <c r="AM755" s="416">
        <f ca="1">IF(AM$747 &gt;='2.2 Input_General_Information'!$H$20, $N$744 /(1 + VLOOKUP(AM$747, Growth!$B$20:$D$60, 3, FALSE)),)</f>
        <v>0</v>
      </c>
      <c r="AN755" s="416">
        <f ca="1">IF(AN$747 &gt;='2.2 Input_General_Information'!$H$20, $N$744 /(1 + VLOOKUP(AN$747, Growth!$B$20:$D$60, 3, FALSE)),)</f>
        <v>0</v>
      </c>
      <c r="AO755" s="416">
        <f ca="1">IF(AO$747 &gt;='2.2 Input_General_Information'!$H$20, $N$744 /(1 + VLOOKUP(AO$747, Growth!$B$20:$D$60, 3, FALSE)),)</f>
        <v>0</v>
      </c>
      <c r="AP755" s="416">
        <f ca="1">IF(AP$747 &gt;='2.2 Input_General_Information'!$H$20, $N$744 /(1 + VLOOKUP(AP$747, Growth!$B$20:$D$60, 3, FALSE)),)</f>
        <v>0</v>
      </c>
      <c r="AQ755" s="416">
        <f ca="1">IF(AQ$747 &gt;='2.2 Input_General_Information'!$H$20, $N$744 /(1 + VLOOKUP(AQ$747, Growth!$B$20:$D$60, 3, FALSE)),)</f>
        <v>0</v>
      </c>
      <c r="AR755" s="416">
        <f ca="1">IF(AR$747 &gt;='2.2 Input_General_Information'!$H$20, $N$744 /(1 + VLOOKUP(AR$747, Growth!$B$20:$D$60, 3, FALSE)),)</f>
        <v>0</v>
      </c>
      <c r="AS755" s="416">
        <f ca="1">IF(AS$747 &gt;='2.2 Input_General_Information'!$H$20, $N$744 /(1 + VLOOKUP(AS$747, Growth!$B$20:$D$60, 3, FALSE)),)</f>
        <v>0</v>
      </c>
      <c r="AT755" s="416">
        <f ca="1">IF(AT$747 &gt;='2.2 Input_General_Information'!$H$20, $N$744 /(1 + VLOOKUP(AT$747, Growth!$B$20:$D$60, 3, FALSE)),)</f>
        <v>0</v>
      </c>
      <c r="AU755" s="416">
        <f ca="1">IF(AU$747 &gt;='2.2 Input_General_Information'!$H$20, $N$744 /(1 + VLOOKUP(AU$747, Growth!$B$20:$D$60, 3, FALSE)),)</f>
        <v>0</v>
      </c>
      <c r="AV755" s="416">
        <f ca="1">IF(AV$747 &gt;='2.2 Input_General_Information'!$H$20, $N$744 /(1 + VLOOKUP(AV$747, Growth!$B$20:$D$60, 3, FALSE)),)</f>
        <v>0</v>
      </c>
      <c r="AW755" s="416">
        <f ca="1">IF(AW$747 &gt;='2.2 Input_General_Information'!$H$20, $N$744 /(1 + VLOOKUP(AW$747, Growth!$B$20:$D$60, 3, FALSE)),)</f>
        <v>0</v>
      </c>
      <c r="AX755" s="416">
        <f ca="1">IF(AX$747 &gt;='2.2 Input_General_Information'!$H$20, $N$744 /(1 + VLOOKUP(AX$747, Growth!$B$20:$D$60, 3, FALSE)),)</f>
        <v>0</v>
      </c>
      <c r="AY755" s="416">
        <f ca="1">IF(AY$747 &gt;='2.2 Input_General_Information'!$H$20, $N$744 /(1 + VLOOKUP(AY$747, Growth!$B$20:$D$60, 3, FALSE)),)</f>
        <v>0</v>
      </c>
      <c r="AZ755" s="416">
        <f ca="1">IF(AZ$747 &gt;='2.2 Input_General_Information'!$H$20, $N$744 /(1 + VLOOKUP(AZ$747, Growth!$B$20:$D$60, 3, FALSE)),)</f>
        <v>0</v>
      </c>
      <c r="BA755" s="416">
        <f ca="1">IF(BA$747 &gt;='2.2 Input_General_Information'!$H$20, $N$744 /(1 + VLOOKUP(BA$747, Growth!$B$20:$D$60, 3, FALSE)),)</f>
        <v>0</v>
      </c>
      <c r="BB755" s="416">
        <f ca="1">IF(BB$747 &gt;='2.2 Input_General_Information'!$H$20, $N$744 /(1 + VLOOKUP(BB$747, Growth!$B$20:$D$60, 3, FALSE)),)</f>
        <v>0</v>
      </c>
      <c r="BC755" s="416">
        <f ca="1">IF(BC$747 &gt;='2.2 Input_General_Information'!$H$20, $N$744 /(1 + VLOOKUP(BC$747, Growth!$B$20:$D$60, 3, FALSE)),)</f>
        <v>0</v>
      </c>
      <c r="BD755" s="416">
        <f ca="1">IF(BD$747 &gt;='2.2 Input_General_Information'!$H$20, $N$744 /(1 + VLOOKUP(BD$747, Growth!$B$20:$D$60, 3, FALSE)),)</f>
        <v>0</v>
      </c>
      <c r="BE755" s="416">
        <f ca="1">IF(BE$747 &gt;='2.2 Input_General_Information'!$H$20, $N$744 /(1 + VLOOKUP(BE$747, Growth!$B$20:$D$60, 3, FALSE)),)</f>
        <v>0</v>
      </c>
      <c r="BF755" s="416">
        <f ca="1">IF(BF$747 &gt;='2.2 Input_General_Information'!$H$20, $N$744 /(1 + VLOOKUP(BF$747, Growth!$B$20:$D$60, 3, FALSE)),)</f>
        <v>0</v>
      </c>
      <c r="BG755" s="416">
        <f ca="1">IF(BG$747 &gt;='2.2 Input_General_Information'!$H$20, $N$744 /(1 + VLOOKUP(BG$747, Growth!$B$20:$D$60, 3, FALSE)),)</f>
        <v>0</v>
      </c>
      <c r="BH755" s="416">
        <f ca="1">IF(BH$747 &gt;='2.2 Input_General_Information'!$H$20, $N$744 /(1 + VLOOKUP(BH$747, Growth!$B$20:$D$60, 3, FALSE)),)</f>
        <v>0</v>
      </c>
      <c r="BI755" s="416">
        <f ca="1">IF(BI$747 &gt;='2.2 Input_General_Information'!$H$20, $N$744 /(1 + VLOOKUP(BI$747, Growth!$B$20:$D$60, 3, FALSE)),)</f>
        <v>0</v>
      </c>
      <c r="BJ755" s="416">
        <f ca="1">IF(BJ$747 &gt;='2.2 Input_General_Information'!$H$20, $N$744 /(1 + VLOOKUP(BJ$747, Growth!$B$20:$D$60, 3, FALSE)),)</f>
        <v>0</v>
      </c>
      <c r="BK755" s="416">
        <f ca="1">IF(BK$747 &gt;='2.2 Input_General_Information'!$H$20, $N$744 /(1 + VLOOKUP(BK$747, Growth!$B$20:$D$60, 3, FALSE)),)</f>
        <v>0</v>
      </c>
      <c r="BL755" s="416"/>
      <c r="BM755" s="416"/>
      <c r="BN755" s="416"/>
      <c r="BO755" s="416"/>
      <c r="BP755" s="416"/>
      <c r="BQ755" s="416"/>
      <c r="BR755" s="416"/>
      <c r="BS755" s="416"/>
      <c r="BT755" s="416"/>
      <c r="BU755" s="416"/>
    </row>
    <row r="756" spans="1:73" hidden="1">
      <c r="A756" s="6"/>
      <c r="B756" s="6"/>
      <c r="C756" s="1"/>
      <c r="D756" s="1"/>
      <c r="E756" s="12"/>
      <c r="F756" s="1"/>
      <c r="G756" s="3"/>
      <c r="H756" s="3"/>
      <c r="I756" s="3"/>
      <c r="J756" s="3"/>
      <c r="K756" s="3"/>
      <c r="L756" s="3"/>
      <c r="M756" s="3"/>
      <c r="N756" s="3"/>
      <c r="O756" s="1"/>
      <c r="P756" s="1"/>
      <c r="Q756" s="1"/>
      <c r="R756" s="162"/>
      <c r="S756" s="1"/>
      <c r="T756" s="6"/>
      <c r="U756" s="696" t="s">
        <v>29</v>
      </c>
      <c r="V756" s="103"/>
      <c r="W756" s="98"/>
      <c r="X756" s="98"/>
      <c r="Y756" s="98"/>
      <c r="Z756" s="98"/>
      <c r="AA756" s="98"/>
      <c r="AB756" s="98"/>
      <c r="AC756" s="98"/>
      <c r="AD756" s="98"/>
      <c r="AE756" s="98"/>
      <c r="AF756" s="98"/>
      <c r="AG756" s="98"/>
      <c r="AH756" s="98"/>
      <c r="AI756" s="98"/>
      <c r="AJ756" s="98"/>
      <c r="AK756" s="98"/>
      <c r="AL756" s="98"/>
      <c r="AM756" s="98"/>
      <c r="AN756" s="98"/>
      <c r="AO756" s="98"/>
      <c r="AP756" s="98"/>
      <c r="AQ756" s="98"/>
      <c r="AR756" s="98"/>
      <c r="AS756" s="98"/>
      <c r="AT756" s="98"/>
      <c r="AU756" s="98"/>
      <c r="AV756" s="98"/>
      <c r="AW756" s="98"/>
      <c r="AX756" s="98"/>
      <c r="AY756" s="98"/>
      <c r="AZ756" s="98"/>
      <c r="BA756" s="98"/>
      <c r="BB756" s="98"/>
      <c r="BC756" s="98"/>
      <c r="BD756" s="98"/>
      <c r="BE756" s="98"/>
      <c r="BF756" s="98"/>
      <c r="BG756" s="98"/>
      <c r="BH756" s="98"/>
      <c r="BI756" s="98"/>
      <c r="BJ756" s="98"/>
      <c r="BK756" s="98"/>
      <c r="BL756" s="99"/>
      <c r="BM756" s="99"/>
      <c r="BN756" s="99"/>
      <c r="BO756" s="99"/>
      <c r="BP756" s="99"/>
      <c r="BQ756" s="99"/>
      <c r="BR756" s="99"/>
      <c r="BS756" s="99"/>
      <c r="BT756" s="99"/>
      <c r="BU756" s="99"/>
    </row>
    <row r="757" spans="1:73">
      <c r="A757" s="6"/>
      <c r="B757" s="6"/>
      <c r="C757" s="1"/>
      <c r="D757" s="1"/>
      <c r="E757" s="12"/>
      <c r="F757" s="1"/>
      <c r="G757" s="3"/>
      <c r="H757" s="3"/>
      <c r="I757" s="3"/>
      <c r="J757" s="3"/>
      <c r="K757" s="3"/>
      <c r="L757" s="3"/>
      <c r="M757" s="3"/>
      <c r="N757" s="3"/>
      <c r="O757" s="1"/>
      <c r="P757" s="1"/>
      <c r="Q757" s="1"/>
      <c r="R757" s="162"/>
      <c r="S757" s="1"/>
      <c r="T757" s="6"/>
      <c r="U757" s="6"/>
      <c r="V757" s="103"/>
      <c r="W757" s="98"/>
      <c r="X757" s="98"/>
      <c r="Y757" s="98"/>
      <c r="Z757" s="98"/>
      <c r="AA757" s="98"/>
      <c r="AB757" s="98"/>
      <c r="AC757" s="98"/>
      <c r="AD757" s="98"/>
      <c r="AE757" s="98"/>
      <c r="AF757" s="98"/>
      <c r="AG757" s="98"/>
      <c r="AH757" s="98"/>
      <c r="AI757" s="98"/>
      <c r="AJ757" s="98"/>
      <c r="AK757" s="98"/>
      <c r="AL757" s="98"/>
      <c r="AM757" s="98"/>
      <c r="AN757" s="98"/>
      <c r="AO757" s="98"/>
      <c r="AP757" s="98"/>
      <c r="AQ757" s="98"/>
      <c r="AR757" s="98"/>
      <c r="AS757" s="98"/>
      <c r="AT757" s="98"/>
      <c r="AU757" s="98"/>
      <c r="AV757" s="98"/>
      <c r="AW757" s="98"/>
      <c r="AX757" s="98"/>
      <c r="AY757" s="98"/>
      <c r="AZ757" s="98"/>
      <c r="BA757" s="98"/>
      <c r="BB757" s="98"/>
      <c r="BC757" s="98"/>
      <c r="BD757" s="98"/>
      <c r="BE757" s="98"/>
      <c r="BF757" s="98"/>
      <c r="BG757" s="98"/>
      <c r="BH757" s="98"/>
      <c r="BI757" s="98"/>
      <c r="BJ757" s="98"/>
      <c r="BK757" s="98"/>
      <c r="BL757" s="99"/>
      <c r="BM757" s="99"/>
      <c r="BN757" s="99"/>
      <c r="BO757" s="99"/>
      <c r="BP757" s="99"/>
      <c r="BQ757" s="99"/>
      <c r="BR757" s="99"/>
      <c r="BS757" s="99"/>
      <c r="BT757" s="99"/>
      <c r="BU757" s="99"/>
    </row>
    <row r="758" spans="1:73">
      <c r="A758" s="6"/>
      <c r="B758" s="6"/>
      <c r="C758" s="1"/>
      <c r="D758" s="1"/>
      <c r="E758" s="12"/>
      <c r="F758" s="1"/>
      <c r="G758" s="3"/>
      <c r="H758" s="3"/>
      <c r="I758" s="3"/>
      <c r="J758" s="3"/>
      <c r="K758" s="3"/>
      <c r="L758" s="3"/>
      <c r="M758" s="3"/>
      <c r="N758" s="3"/>
      <c r="O758" s="1"/>
      <c r="P758" s="1"/>
      <c r="Q758" s="1"/>
      <c r="R758" s="162"/>
      <c r="S758" s="1"/>
      <c r="T758" s="6"/>
      <c r="U758" s="6"/>
      <c r="V758" s="103"/>
      <c r="W758" s="98"/>
      <c r="X758" s="98"/>
      <c r="Y758" s="98"/>
      <c r="Z758" s="98"/>
      <c r="AA758" s="98"/>
      <c r="AB758" s="98"/>
      <c r="AC758" s="98"/>
      <c r="AD758" s="98"/>
      <c r="AE758" s="98"/>
      <c r="AF758" s="98"/>
      <c r="AG758" s="98"/>
      <c r="AH758" s="98"/>
      <c r="AI758" s="98"/>
      <c r="AJ758" s="98"/>
      <c r="AK758" s="98"/>
      <c r="AL758" s="98"/>
      <c r="AM758" s="98"/>
      <c r="AN758" s="98"/>
      <c r="AO758" s="98"/>
      <c r="AP758" s="98"/>
      <c r="AQ758" s="98"/>
      <c r="AR758" s="98"/>
      <c r="AS758" s="98"/>
      <c r="AT758" s="98"/>
      <c r="AU758" s="98"/>
      <c r="AV758" s="98"/>
      <c r="AW758" s="98"/>
      <c r="AX758" s="98"/>
      <c r="AY758" s="98"/>
      <c r="AZ758" s="98"/>
      <c r="BA758" s="98"/>
      <c r="BB758" s="98"/>
      <c r="BC758" s="98"/>
      <c r="BD758" s="98"/>
      <c r="BE758" s="98"/>
      <c r="BF758" s="98"/>
      <c r="BG758" s="98"/>
      <c r="BH758" s="98"/>
      <c r="BI758" s="98"/>
      <c r="BJ758" s="98"/>
      <c r="BK758" s="98"/>
      <c r="BL758" s="99"/>
      <c r="BM758" s="99"/>
      <c r="BN758" s="99"/>
      <c r="BO758" s="99"/>
      <c r="BP758" s="99"/>
      <c r="BQ758" s="99"/>
      <c r="BR758" s="99"/>
      <c r="BS758" s="99"/>
      <c r="BT758" s="99"/>
      <c r="BU758" s="99"/>
    </row>
    <row r="759" spans="1:73">
      <c r="A759" s="6"/>
      <c r="B759" s="6"/>
      <c r="C759" s="1"/>
      <c r="D759" s="1"/>
      <c r="E759" s="12"/>
      <c r="F759" s="1"/>
      <c r="G759" s="3"/>
      <c r="H759" s="3"/>
      <c r="I759" s="3"/>
      <c r="J759" s="3"/>
      <c r="K759" s="3"/>
      <c r="L759" s="3"/>
      <c r="M759" s="3"/>
      <c r="N759" s="3"/>
      <c r="O759" s="1"/>
      <c r="P759" s="1"/>
      <c r="Q759" s="1"/>
      <c r="R759" s="162"/>
      <c r="S759" s="1"/>
      <c r="T759" s="6"/>
      <c r="U759" s="6"/>
      <c r="V759" s="103"/>
      <c r="W759" s="98"/>
      <c r="X759" s="98"/>
      <c r="Y759" s="98"/>
      <c r="Z759" s="98"/>
      <c r="AA759" s="98"/>
      <c r="AB759" s="98"/>
      <c r="AC759" s="98"/>
      <c r="AD759" s="98"/>
      <c r="AE759" s="98"/>
      <c r="AF759" s="98"/>
      <c r="AG759" s="98"/>
      <c r="AH759" s="98"/>
      <c r="AI759" s="98"/>
      <c r="AJ759" s="98"/>
      <c r="AK759" s="98"/>
      <c r="AL759" s="98"/>
      <c r="AM759" s="98"/>
      <c r="AN759" s="98"/>
      <c r="AO759" s="98"/>
      <c r="AP759" s="98"/>
      <c r="AQ759" s="98"/>
      <c r="AR759" s="98"/>
      <c r="AS759" s="98"/>
      <c r="AT759" s="98"/>
      <c r="AU759" s="98"/>
      <c r="AV759" s="98"/>
      <c r="AW759" s="98"/>
      <c r="AX759" s="98"/>
      <c r="AY759" s="98"/>
      <c r="AZ759" s="98"/>
      <c r="BA759" s="98"/>
      <c r="BB759" s="98"/>
      <c r="BC759" s="98"/>
      <c r="BD759" s="98"/>
      <c r="BE759" s="98"/>
      <c r="BF759" s="98"/>
      <c r="BG759" s="98"/>
      <c r="BH759" s="98"/>
      <c r="BI759" s="98"/>
      <c r="BJ759" s="98"/>
      <c r="BK759" s="98"/>
      <c r="BL759" s="99"/>
      <c r="BM759" s="99"/>
      <c r="BN759" s="99"/>
      <c r="BO759" s="99"/>
      <c r="BP759" s="99"/>
      <c r="BQ759" s="99"/>
      <c r="BR759" s="99"/>
      <c r="BS759" s="99"/>
      <c r="BT759" s="99"/>
      <c r="BU759" s="99"/>
    </row>
    <row r="760" spans="1:73">
      <c r="A760" s="6"/>
      <c r="B760" s="6"/>
      <c r="C760" s="1"/>
      <c r="D760" s="1"/>
      <c r="E760" s="12"/>
      <c r="F760" s="1"/>
      <c r="G760" s="3"/>
      <c r="H760" s="3"/>
      <c r="I760" s="3"/>
      <c r="J760" s="3"/>
      <c r="K760" s="3"/>
      <c r="L760" s="3"/>
      <c r="M760" s="3"/>
      <c r="N760" s="3"/>
      <c r="O760" s="1"/>
      <c r="P760" s="1"/>
      <c r="Q760" s="1"/>
      <c r="R760" s="162"/>
      <c r="S760" s="1"/>
      <c r="T760" s="6"/>
      <c r="U760" s="6"/>
      <c r="V760" s="103"/>
      <c r="W760" s="98"/>
      <c r="X760" s="98"/>
      <c r="Y760" s="98"/>
      <c r="Z760" s="98"/>
      <c r="AA760" s="98"/>
      <c r="AB760" s="98"/>
      <c r="AC760" s="98"/>
      <c r="AD760" s="98"/>
      <c r="AE760" s="98"/>
      <c r="AF760" s="98"/>
      <c r="AG760" s="98"/>
      <c r="AH760" s="98"/>
      <c r="AI760" s="98"/>
      <c r="AJ760" s="98"/>
      <c r="AK760" s="98"/>
      <c r="AL760" s="98"/>
      <c r="AM760" s="98"/>
      <c r="AN760" s="98"/>
      <c r="AO760" s="98"/>
      <c r="AP760" s="98"/>
      <c r="AQ760" s="98"/>
      <c r="AR760" s="98"/>
      <c r="AS760" s="98"/>
      <c r="AT760" s="98"/>
      <c r="AU760" s="98"/>
      <c r="AV760" s="98"/>
      <c r="AW760" s="98"/>
      <c r="AX760" s="98"/>
      <c r="AY760" s="98"/>
      <c r="AZ760" s="98"/>
      <c r="BA760" s="98"/>
      <c r="BB760" s="98"/>
      <c r="BC760" s="98"/>
      <c r="BD760" s="98"/>
      <c r="BE760" s="98"/>
      <c r="BF760" s="98"/>
      <c r="BG760" s="98"/>
      <c r="BH760" s="98"/>
      <c r="BI760" s="98"/>
      <c r="BJ760" s="98"/>
      <c r="BK760" s="98"/>
      <c r="BL760" s="99"/>
      <c r="BM760" s="99"/>
      <c r="BN760" s="99"/>
      <c r="BO760" s="99"/>
      <c r="BP760" s="99"/>
      <c r="BQ760" s="99"/>
      <c r="BR760" s="99"/>
      <c r="BS760" s="99"/>
      <c r="BT760" s="99"/>
      <c r="BU760" s="99"/>
    </row>
  </sheetData>
  <mergeCells count="48">
    <mergeCell ref="O58:P58"/>
    <mergeCell ref="O17:P17"/>
    <mergeCell ref="O161:P161"/>
    <mergeCell ref="O160:P160"/>
    <mergeCell ref="O196:P196"/>
    <mergeCell ref="O163:P163"/>
    <mergeCell ref="O195:P195"/>
    <mergeCell ref="O194:P194"/>
    <mergeCell ref="O270:P270"/>
    <mergeCell ref="O269:P269"/>
    <mergeCell ref="G267:H267"/>
    <mergeCell ref="I267:J267"/>
    <mergeCell ref="G221:H221"/>
    <mergeCell ref="I221:J221"/>
    <mergeCell ref="G192:H192"/>
    <mergeCell ref="I192:J192"/>
    <mergeCell ref="G158:H158"/>
    <mergeCell ref="I158:J158"/>
    <mergeCell ref="O265:P265"/>
    <mergeCell ref="O162:P162"/>
    <mergeCell ref="O216:P216"/>
    <mergeCell ref="O358:P358"/>
    <mergeCell ref="O357:P357"/>
    <mergeCell ref="I353:J353"/>
    <mergeCell ref="F353:H353"/>
    <mergeCell ref="I489:J489"/>
    <mergeCell ref="G489:H489"/>
    <mergeCell ref="E465:F465"/>
    <mergeCell ref="O356:P356"/>
    <mergeCell ref="O355:P355"/>
    <mergeCell ref="I384:J384"/>
    <mergeCell ref="G384:H384"/>
    <mergeCell ref="I621:J621"/>
    <mergeCell ref="O623:P623"/>
    <mergeCell ref="O386:P386"/>
    <mergeCell ref="O388:P388"/>
    <mergeCell ref="G621:H621"/>
    <mergeCell ref="G593:H593"/>
    <mergeCell ref="G598:H598"/>
    <mergeCell ref="G603:H603"/>
    <mergeCell ref="O387:P387"/>
    <mergeCell ref="O500:P500"/>
    <mergeCell ref="O502:P502"/>
    <mergeCell ref="O677:P677"/>
    <mergeCell ref="O744:P744"/>
    <mergeCell ref="O670:P670"/>
    <mergeCell ref="O625:P625"/>
    <mergeCell ref="O624:P624"/>
  </mergeCells>
  <conditionalFormatting sqref="Q707">
    <cfRule type="cellIs" dxfId="14" priority="1" operator="equal">
      <formula>"FALSE"</formula>
    </cfRule>
  </conditionalFormatting>
  <conditionalFormatting sqref="Q707">
    <cfRule type="cellIs" dxfId="13" priority="2" operator="equal">
      <formula>"TRUE"</formula>
    </cfRule>
  </conditionalFormatting>
  <conditionalFormatting sqref="B1:B720 B737:B760 B722:B735">
    <cfRule type="cellIs" dxfId="12" priority="3" operator="equal">
      <formula>"OC"</formula>
    </cfRule>
  </conditionalFormatting>
  <conditionalFormatting sqref="B1:B720 B737:B760 B722:B735">
    <cfRule type="cellIs" dxfId="11" priority="4" operator="equal">
      <formula>"IC"</formula>
    </cfRule>
  </conditionalFormatting>
  <conditionalFormatting sqref="B1:B720 B737:B760 B722:B735 T731:T760">
    <cfRule type="cellIs" dxfId="10" priority="5" operator="equal">
      <formula>"B"</formula>
    </cfRule>
  </conditionalFormatting>
  <conditionalFormatting sqref="T1:T137 T139:T155 V143 T157:T158 T164:T174 T179:T189 T192 T197:T215 T219:T246 T249:T255 T257 T259:T266 T272:T300 V300 T302:T322 V311 V322 T324:T391 V332 T393:T461 V424:V425 V436 T486:T511 S509 T515:T516 T522:T593 V556 R594:R596 T597:T598 R599:R601 T602:T603 R604:R606 T607:T613 T615:T618 T628:T654 V654 T656:T760">
    <cfRule type="cellIs" dxfId="9" priority="6" operator="equal">
      <formula>"G"</formula>
    </cfRule>
  </conditionalFormatting>
  <conditionalFormatting sqref="T1:T137 T139:T155 V143 T157:T158 T164:T174 T179:T189 T192 T197:T215 T219:T246 T249:T255 T257 T259:T266 T272:T300 V300 T302:T322 V311 V322 T324:T391 V332 T393:T461 V424:V425 V436 T486:T511 S509 T515:T516 T522:T593 V556 R594:R596 T597:T598 R599:R601 T602:T603 R604:R606 T607:T613 T615:T618 T628:T654 V654 T656:T760">
    <cfRule type="cellIs" dxfId="8" priority="7" operator="equal">
      <formula>"L"</formula>
    </cfRule>
  </conditionalFormatting>
  <conditionalFormatting sqref="U1:U75 U77:U124 U127 U131 U134 U137 U139:U155 U157:U158 U166:U187 U189 U192 U198:U212 U214:U215 U219 U221:U230 U233:U244 U249:U255 U259:U266 U273:U277 U289 U291:U298 U300:U322 U324:U340 U342:U358 U360:U368 U373:U379 U382:U389 U391 U393:U407 U409:U411 U413:U414 U416:U423 U425:U445 U447:U448 U450:U459 U461 U487:U511 U513:U550 U552:U554 U566:U577 U579:U588 U590:U593 S594:S596 U597:U598 S599:S601 U602:U603 S604:S606 U607:U612 U615:U618 U628 U630:U637 U639:U647 U649:U654 U656:U682 U685:U719 V737:V738 U721:U738 U740:U760">
    <cfRule type="cellIs" dxfId="7" priority="8" operator="equal">
      <formula>"+"</formula>
    </cfRule>
  </conditionalFormatting>
  <conditionalFormatting sqref="U1:U75 U77:U124 U127 U131 U134 U137 U139:U155 U157:U158 U166:U187 U189 U192 U198:U212 U214:U215 U219 U221:U230 U233:U244 U249:U255 U259:U266 U273:U277 U289 U291:U298 U300:U322 U324:U340 U342:U358 U360:U368 U373:U379 U382:U389 U391 U393:U407 U409:U411 U413:U414 U416:U423 U425:U445 U447:U448 U450:U459 U461 U487:U511 U513:U550 U552:U554 U566:U577 U579:U588 U590:U593 S594:S596 U597:U598 S599:S601 U602:U603 S604:S606 U607:U612 U615:U618 U628 U630:U637 U639:U647 U649:U654 U656:U682 U685:U719 V737:V738 U721:U738 U740:U760">
    <cfRule type="cellIs" dxfId="6" priority="9" operator="equal">
      <formula>"-"</formula>
    </cfRule>
  </conditionalFormatting>
  <conditionalFormatting sqref="T1:T137 T139:T155 T157:T158 T164:T174 T179:T189 T192 T197:T215 T219:T246 T249:T255 T257 T259:T266 T272:T322 T324:T391 T393:T461 T486:T511 S509 T515:T516 T522:T593 R594:R596 T597:T598 R599:R601 T602:T603 R604:R606 T607:T613 T615:T618 T628:T654 T656:T730">
    <cfRule type="cellIs" dxfId="5" priority="10" operator="equal">
      <formula>"B"</formula>
    </cfRule>
  </conditionalFormatting>
  <conditionalFormatting sqref="B737:B760 B1:B735">
    <cfRule type="cellIs" dxfId="4" priority="11" operator="equal">
      <formula>"O"</formula>
    </cfRule>
  </conditionalFormatting>
  <conditionalFormatting sqref="B1:B760">
    <cfRule type="cellIs" dxfId="3" priority="12" operator="equal">
      <formula>"SB"</formula>
    </cfRule>
  </conditionalFormatting>
  <hyperlinks>
    <hyperlink ref="K608" r:id="rId1"/>
  </hyperlinks>
  <pageMargins left="0.7" right="0.7" top="0.75" bottom="0.75" header="0" footer="0"/>
  <pageSetup paperSize="9" orientation="portrait"/>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66"/>
    <outlinePr summaryBelow="0" summaryRight="0"/>
  </sheetPr>
  <dimension ref="A1:BG107"/>
  <sheetViews>
    <sheetView showGridLines="0" workbookViewId="0">
      <selection activeCell="F15" sqref="F15"/>
    </sheetView>
  </sheetViews>
  <sheetFormatPr defaultColWidth="14.42578125" defaultRowHeight="15" customHeight="1"/>
  <cols>
    <col min="1" max="3" width="3.42578125" customWidth="1"/>
    <col min="4" max="4" width="60.140625" customWidth="1"/>
    <col min="5" max="5" width="15.42578125" customWidth="1"/>
    <col min="6" max="13" width="13.7109375" customWidth="1"/>
    <col min="14" max="14" width="17.5703125" customWidth="1"/>
    <col min="15" max="15" width="2.140625" customWidth="1"/>
    <col min="16" max="17" width="7.28515625" customWidth="1"/>
    <col min="19" max="19" width="11.28515625" customWidth="1"/>
    <col min="20" max="20" width="7.42578125" customWidth="1"/>
    <col min="21" max="28" width="4.42578125" customWidth="1"/>
    <col min="29" max="29" width="7.85546875" customWidth="1"/>
    <col min="30" max="30" width="7.5703125" customWidth="1"/>
    <col min="31" max="57" width="4.42578125" customWidth="1"/>
    <col min="58" max="58" width="6.85546875" bestFit="1" customWidth="1"/>
    <col min="59" max="59" width="6.42578125" bestFit="1" customWidth="1"/>
  </cols>
  <sheetData>
    <row r="1" spans="1:59">
      <c r="A1" s="128"/>
      <c r="B1" s="129"/>
      <c r="C1" s="128"/>
      <c r="D1" s="6"/>
      <c r="E1" s="81"/>
      <c r="F1" s="6"/>
      <c r="G1" s="6"/>
      <c r="H1" s="6"/>
      <c r="I1" s="6"/>
      <c r="J1" s="6"/>
      <c r="K1" s="6"/>
      <c r="L1" s="6"/>
      <c r="M1" s="6"/>
      <c r="N1" s="6"/>
      <c r="O1" s="7"/>
      <c r="P1" s="6"/>
      <c r="Q1" s="6"/>
      <c r="R1" s="6"/>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row>
    <row r="2" spans="1:59" ht="17.25" customHeight="1">
      <c r="A2" s="128"/>
      <c r="B2" s="129"/>
      <c r="C2" s="128"/>
      <c r="D2" s="70" t="s">
        <v>707</v>
      </c>
      <c r="E2" s="130"/>
      <c r="F2" s="73"/>
      <c r="G2" s="75"/>
      <c r="H2" s="75"/>
      <c r="I2" s="75"/>
      <c r="J2" s="75"/>
      <c r="K2" s="75"/>
      <c r="L2" s="75"/>
      <c r="M2" s="75"/>
      <c r="N2" s="19"/>
      <c r="O2" s="5"/>
      <c r="P2" s="1"/>
      <c r="Q2" s="1"/>
      <c r="R2" s="1"/>
      <c r="S2" s="131" t="s">
        <v>708</v>
      </c>
      <c r="T2" s="132"/>
      <c r="U2" s="133"/>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row>
    <row r="3" spans="1:59">
      <c r="A3" s="128"/>
      <c r="B3" s="129"/>
      <c r="C3" s="128"/>
      <c r="D3" s="82"/>
      <c r="E3" s="81"/>
      <c r="F3" s="6"/>
      <c r="G3" s="6"/>
      <c r="H3" s="6"/>
      <c r="I3" s="6"/>
      <c r="J3" s="6"/>
      <c r="K3" s="6"/>
      <c r="L3" s="6"/>
      <c r="M3" s="6"/>
      <c r="N3" s="6"/>
      <c r="O3" s="7"/>
      <c r="P3" s="6"/>
      <c r="Q3" s="6"/>
      <c r="R3" s="6"/>
      <c r="S3" s="134"/>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row>
    <row r="4" spans="1:59">
      <c r="A4" s="128"/>
      <c r="B4" s="129"/>
      <c r="C4" s="128"/>
      <c r="D4" s="135" t="s">
        <v>709</v>
      </c>
      <c r="E4" s="136" t="s">
        <v>654</v>
      </c>
      <c r="F4" s="6"/>
      <c r="G4" s="6"/>
      <c r="H4" s="6"/>
      <c r="I4" s="6"/>
      <c r="J4" s="6"/>
      <c r="K4" s="6"/>
      <c r="L4" s="6"/>
      <c r="M4" s="6"/>
      <c r="N4" s="6"/>
      <c r="O4" s="7"/>
      <c r="P4" s="6"/>
      <c r="Q4" s="6"/>
      <c r="R4" s="6"/>
      <c r="S4" s="134"/>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row>
    <row r="5" spans="1:59">
      <c r="A5" s="128"/>
      <c r="B5" s="129"/>
      <c r="C5" s="128"/>
      <c r="D5" s="137" t="s">
        <v>710</v>
      </c>
      <c r="E5" s="138" t="s">
        <v>648</v>
      </c>
      <c r="F5" s="6"/>
      <c r="G5" s="6"/>
      <c r="H5" s="6"/>
      <c r="I5" s="6"/>
      <c r="J5" s="6"/>
      <c r="K5" s="6"/>
      <c r="L5" s="6"/>
      <c r="M5" s="6"/>
      <c r="N5" s="6"/>
      <c r="O5" s="7"/>
      <c r="P5" s="6"/>
      <c r="Q5" s="6"/>
      <c r="R5" s="6"/>
      <c r="S5" s="134"/>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row>
    <row r="6" spans="1:59">
      <c r="A6" s="128"/>
      <c r="B6" s="129"/>
      <c r="C6" s="128"/>
      <c r="D6" s="139" t="s">
        <v>711</v>
      </c>
      <c r="E6" s="140" t="s">
        <v>606</v>
      </c>
      <c r="F6" s="6"/>
      <c r="G6" s="6"/>
      <c r="H6" s="6"/>
      <c r="I6" s="6"/>
      <c r="J6" s="6"/>
      <c r="K6" s="6"/>
      <c r="L6" s="6"/>
      <c r="M6" s="6"/>
      <c r="N6" s="6"/>
      <c r="O6" s="7"/>
      <c r="P6" s="6"/>
      <c r="Q6" s="6"/>
      <c r="R6" s="6"/>
      <c r="S6" s="134"/>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row>
    <row r="7" spans="1:59">
      <c r="A7" s="128"/>
      <c r="B7" s="129"/>
      <c r="C7" s="128"/>
      <c r="D7" s="82"/>
      <c r="E7" s="81"/>
      <c r="F7" s="6"/>
      <c r="G7" s="6"/>
      <c r="H7" s="6"/>
      <c r="I7" s="6"/>
      <c r="J7" s="6"/>
      <c r="K7" s="6"/>
      <c r="L7" s="6"/>
      <c r="M7" s="6"/>
      <c r="N7" s="6"/>
      <c r="O7" s="7"/>
      <c r="P7" s="6"/>
      <c r="Q7" s="6"/>
      <c r="R7" s="6"/>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row>
    <row r="8" spans="1:59">
      <c r="A8" s="128"/>
      <c r="B8" s="129"/>
      <c r="C8" s="128"/>
      <c r="D8" s="141" t="s">
        <v>712</v>
      </c>
      <c r="E8" s="142"/>
      <c r="F8" s="45"/>
      <c r="G8" s="1"/>
      <c r="H8" s="1"/>
      <c r="I8" s="1"/>
      <c r="J8" s="1"/>
      <c r="K8" s="1"/>
      <c r="L8" s="1"/>
      <c r="M8" s="1"/>
      <c r="N8" s="1"/>
      <c r="O8" s="7"/>
      <c r="P8" s="6"/>
      <c r="Q8" s="6"/>
      <c r="R8" s="6"/>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row>
    <row r="9" spans="1:59" ht="5.25" customHeight="1">
      <c r="A9" s="143"/>
      <c r="B9" s="144"/>
      <c r="C9" s="143"/>
      <c r="D9" s="12"/>
      <c r="E9" s="3"/>
      <c r="F9" s="145"/>
      <c r="G9" s="1"/>
      <c r="H9" s="1"/>
      <c r="I9" s="1"/>
      <c r="J9" s="1"/>
      <c r="K9" s="1"/>
      <c r="L9" s="1"/>
      <c r="M9" s="1"/>
      <c r="N9" s="1"/>
      <c r="O9" s="7"/>
      <c r="P9" s="6"/>
      <c r="Q9" s="6"/>
      <c r="R9" s="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row>
    <row r="10" spans="1:59">
      <c r="A10" s="143"/>
      <c r="B10" s="144" t="s">
        <v>648</v>
      </c>
      <c r="C10" s="143"/>
      <c r="D10" s="147" t="s">
        <v>527</v>
      </c>
      <c r="E10" s="148" t="s">
        <v>291</v>
      </c>
      <c r="F10" s="149">
        <f>-'2.3 Input_Main_Questionnaire'!H45*E80</f>
        <v>-4232.2879856558384</v>
      </c>
      <c r="G10" s="145"/>
      <c r="H10" s="1"/>
      <c r="I10" s="1"/>
      <c r="J10" s="6"/>
      <c r="K10" s="1"/>
      <c r="L10" s="1"/>
      <c r="M10" s="1"/>
      <c r="N10" s="1"/>
      <c r="O10" s="7"/>
      <c r="P10" s="6"/>
      <c r="Q10" s="6"/>
      <c r="R10" s="6"/>
      <c r="S10" s="150"/>
      <c r="T10" s="150"/>
      <c r="U10" s="150"/>
      <c r="V10" s="150"/>
      <c r="W10" s="150"/>
      <c r="X10" s="150"/>
      <c r="Y10" s="150"/>
      <c r="Z10" s="150"/>
      <c r="AA10" s="150"/>
      <c r="AB10" s="150"/>
      <c r="AC10" s="150"/>
      <c r="AD10" s="150"/>
      <c r="AE10" s="150"/>
      <c r="AF10" s="150"/>
      <c r="AG10" s="150"/>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c r="BF10" s="150"/>
      <c r="BG10" s="150"/>
    </row>
    <row r="11" spans="1:59" ht="5.25" customHeight="1">
      <c r="A11" s="143"/>
      <c r="B11" s="144"/>
      <c r="C11" s="143"/>
      <c r="D11" s="12"/>
      <c r="E11" s="3"/>
      <c r="F11" s="145"/>
      <c r="G11" s="145"/>
      <c r="H11" s="1"/>
      <c r="I11" s="1"/>
      <c r="J11" s="6"/>
      <c r="K11" s="1"/>
      <c r="L11" s="1"/>
      <c r="M11" s="1"/>
      <c r="N11" s="1"/>
      <c r="O11" s="7"/>
      <c r="P11" s="6"/>
      <c r="Q11" s="6"/>
      <c r="R11" s="6"/>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c r="AV11" s="150"/>
      <c r="AW11" s="150"/>
      <c r="AX11" s="150"/>
      <c r="AY11" s="150"/>
      <c r="AZ11" s="150"/>
      <c r="BA11" s="150"/>
      <c r="BB11" s="150"/>
      <c r="BC11" s="150"/>
      <c r="BD11" s="150"/>
      <c r="BE11" s="150"/>
      <c r="BF11" s="150"/>
      <c r="BG11" s="150"/>
    </row>
    <row r="12" spans="1:59">
      <c r="A12" s="143"/>
      <c r="B12" s="144"/>
      <c r="C12" s="143"/>
      <c r="D12" s="12" t="s">
        <v>713</v>
      </c>
      <c r="E12" s="3" t="s">
        <v>246</v>
      </c>
      <c r="F12" s="151">
        <v>0.5</v>
      </c>
      <c r="G12" s="152"/>
      <c r="H12" s="1"/>
      <c r="I12" s="1"/>
      <c r="J12" s="6"/>
      <c r="K12" s="1"/>
      <c r="L12" s="1"/>
      <c r="M12" s="1"/>
      <c r="N12" s="1"/>
      <c r="O12" s="7"/>
      <c r="P12" s="6"/>
      <c r="Q12" s="6"/>
      <c r="R12" s="6"/>
      <c r="S12" s="153"/>
      <c r="T12" s="153"/>
      <c r="U12" s="153"/>
      <c r="V12" s="153"/>
      <c r="W12" s="153"/>
      <c r="X12" s="153"/>
      <c r="Y12" s="153"/>
      <c r="Z12" s="153"/>
      <c r="AA12" s="153"/>
      <c r="AB12" s="153"/>
      <c r="AC12" s="153"/>
      <c r="AD12" s="153">
        <f ca="1">IF(AD$22&lt;='2.2 Input_General_Information'!$H$20+'2.2 Input_General_Information'!$H$40, $G$10*VLOOKUP(AD$22,Growth!$B$128:$H$170,7, FALSE), $G$10)</f>
        <v>0</v>
      </c>
      <c r="AE12" s="153">
        <f ca="1">IF(AE$22&lt;='2.2 Input_General_Information'!$H$20+'2.2 Input_General_Information'!$H$40, $G$10*VLOOKUP(AE$22,Growth!$B$128:$H$170,7, FALSE), $G$10)</f>
        <v>0</v>
      </c>
      <c r="AF12" s="153">
        <f ca="1">IF(AF$22&lt;='2.2 Input_General_Information'!$H$20+'2.2 Input_General_Information'!$H$40, $G$10*VLOOKUP(AF$22,Growth!$B$128:$H$170,7, FALSE), $G$10)</f>
        <v>0</v>
      </c>
      <c r="AG12" s="153">
        <f ca="1">IF(AG$22&lt;='2.2 Input_General_Information'!$H$20+'2.2 Input_General_Information'!$H$40, $G$10*VLOOKUP(AG$22,Growth!$B$128:$H$170,7, FALSE), $G$10)</f>
        <v>0</v>
      </c>
      <c r="AH12" s="153">
        <f ca="1">IF(AH$22&lt;='2.2 Input_General_Information'!$H$20+'2.2 Input_General_Information'!$H$40, $G$10*VLOOKUP(AH$22,Growth!$B$128:$H$170,7, FALSE), $G$10)</f>
        <v>0</v>
      </c>
      <c r="AI12" s="153">
        <f ca="1">IF(AI$22&lt;='2.2 Input_General_Information'!$H$20+'2.2 Input_General_Information'!$H$40, $G$10*VLOOKUP(AI$22,Growth!$B$128:$H$170,7, FALSE), $G$10)</f>
        <v>0</v>
      </c>
      <c r="AJ12" s="153">
        <f ca="1">IF(AJ$22&lt;='2.2 Input_General_Information'!$H$20+'2.2 Input_General_Information'!$H$40, $G$10*VLOOKUP(AJ$22,Growth!$B$128:$H$170,7, FALSE), $G$10)</f>
        <v>0</v>
      </c>
      <c r="AK12" s="153">
        <f ca="1">IF(AK$22&lt;='2.2 Input_General_Information'!$H$20+'2.2 Input_General_Information'!$H$40, $G$10*VLOOKUP(AK$22,Growth!$B$128:$H$170,7, FALSE), $G$10)</f>
        <v>0</v>
      </c>
      <c r="AL12" s="153">
        <f ca="1">IF(AL$22&lt;='2.2 Input_General_Information'!$H$20+'2.2 Input_General_Information'!$H$40, $G$10*VLOOKUP(AL$22,Growth!$B$128:$H$170,7, FALSE), $G$10)</f>
        <v>0</v>
      </c>
      <c r="AM12" s="153">
        <f ca="1">IF(AM$22&lt;='2.2 Input_General_Information'!$H$20+'2.2 Input_General_Information'!$H$40, $G$10*VLOOKUP(AM$22,Growth!$B$128:$H$170,7, FALSE), $G$10)</f>
        <v>0</v>
      </c>
      <c r="AN12" s="153">
        <f ca="1">IF(AN$22&lt;='2.2 Input_General_Information'!$H$20+'2.2 Input_General_Information'!$H$40, $G$10*VLOOKUP(AN$22,Growth!$B$128:$H$170,7, FALSE), $G$10)</f>
        <v>0</v>
      </c>
      <c r="AO12" s="153">
        <f ca="1">IF(AO$22&lt;='2.2 Input_General_Information'!$H$20+'2.2 Input_General_Information'!$H$40, $G$10*VLOOKUP(AO$22,Growth!$B$128:$H$170,7, FALSE), $G$10)</f>
        <v>0</v>
      </c>
      <c r="AP12" s="153">
        <f ca="1">IF(AP$22&lt;='2.2 Input_General_Information'!$H$20+'2.2 Input_General_Information'!$H$40, $G$10*VLOOKUP(AP$22,Growth!$B$128:$H$170,7, FALSE), $G$10)</f>
        <v>0</v>
      </c>
      <c r="AQ12" s="153">
        <f ca="1">IF(AQ$22&lt;='2.2 Input_General_Information'!$H$20+'2.2 Input_General_Information'!$H$40, $G$10*VLOOKUP(AQ$22,Growth!$B$128:$H$170,7, FALSE), $G$10)</f>
        <v>0</v>
      </c>
      <c r="AR12" s="153">
        <f ca="1">IF(AR$22&lt;='2.2 Input_General_Information'!$H$20+'2.2 Input_General_Information'!$H$40, $G$10*VLOOKUP(AR$22,Growth!$B$128:$H$170,7, FALSE), $G$10)</f>
        <v>0</v>
      </c>
      <c r="AS12" s="153">
        <f ca="1">IF(AS$22&lt;='2.2 Input_General_Information'!$H$20+'2.2 Input_General_Information'!$H$40, $G$10*VLOOKUP(AS$22,Growth!$B$128:$H$170,7, FALSE), $G$10)</f>
        <v>0</v>
      </c>
      <c r="AT12" s="153">
        <f ca="1">IF(AT$22&lt;='2.2 Input_General_Information'!$H$20+'2.2 Input_General_Information'!$H$40, $G$10*VLOOKUP(AT$22,Growth!$B$128:$H$170,7, FALSE), $G$10)</f>
        <v>0</v>
      </c>
      <c r="AU12" s="153">
        <f ca="1">IF(AU$22&lt;='2.2 Input_General_Information'!$H$20+'2.2 Input_General_Information'!$H$40, $G$10*VLOOKUP(AU$22,Growth!$B$128:$H$170,7, FALSE), $G$10)</f>
        <v>0</v>
      </c>
      <c r="AV12" s="153">
        <f ca="1">IF(AV$22&lt;='2.2 Input_General_Information'!$H$20+'2.2 Input_General_Information'!$H$40, $G$10*VLOOKUP(AV$22,Growth!$B$128:$H$170,7, FALSE), $G$10)</f>
        <v>0</v>
      </c>
      <c r="AW12" s="153">
        <f ca="1">IF(AW$22&lt;='2.2 Input_General_Information'!$H$20+'2.2 Input_General_Information'!$H$40, $G$10*VLOOKUP(AW$22,Growth!$B$128:$H$170,7, FALSE), $G$10)</f>
        <v>0</v>
      </c>
      <c r="AX12" s="153">
        <f ca="1">IF(AX$22&lt;='2.2 Input_General_Information'!$H$20+'2.2 Input_General_Information'!$H$40, $G$10*VLOOKUP(AX$22,Growth!$B$128:$H$170,7, FALSE), $G$10)</f>
        <v>0</v>
      </c>
      <c r="AY12" s="153">
        <f ca="1">IF(AY$22&lt;='2.2 Input_General_Information'!$H$20+'2.2 Input_General_Information'!$H$40, $G$10*VLOOKUP(AY$22,Growth!$B$128:$H$170,7, FALSE), $G$10)</f>
        <v>0</v>
      </c>
      <c r="AZ12" s="153">
        <f ca="1">IF(AZ$22&lt;='2.2 Input_General_Information'!$H$20+'2.2 Input_General_Information'!$H$40, $G$10*VLOOKUP(AZ$22,Growth!$B$128:$H$170,7, FALSE), $G$10)</f>
        <v>0</v>
      </c>
      <c r="BA12" s="153">
        <f ca="1">IF(BA$22&lt;='2.2 Input_General_Information'!$H$20+'2.2 Input_General_Information'!$H$40, $G$10*VLOOKUP(BA$22,Growth!$B$128:$H$170,7, FALSE), $G$10)</f>
        <v>0</v>
      </c>
      <c r="BB12" s="153">
        <f ca="1">IF(BB$22&lt;='2.2 Input_General_Information'!$H$20+'2.2 Input_General_Information'!$H$40, $G$10*VLOOKUP(BB$22,Growth!$B$128:$H$170,7, FALSE), $G$10)</f>
        <v>0</v>
      </c>
      <c r="BC12" s="153">
        <f ca="1">IF(BC$22&lt;='2.2 Input_General_Information'!$H$20+'2.2 Input_General_Information'!$H$40, $G$10*VLOOKUP(BC$22,Growth!$B$128:$H$170,7, FALSE), $G$10)</f>
        <v>0</v>
      </c>
      <c r="BD12" s="153">
        <f ca="1">IF(BD$22&lt;='2.2 Input_General_Information'!$H$20+'2.2 Input_General_Information'!$H$40, $G$10*VLOOKUP(BD$22,Growth!$B$128:$H$170,7, FALSE), $G$10)</f>
        <v>0</v>
      </c>
      <c r="BE12" s="153">
        <f ca="1">IF(BE$22&lt;='2.2 Input_General_Information'!$H$20+'2.2 Input_General_Information'!$H$40, $G$10*VLOOKUP(BE$22,Growth!$B$128:$H$170,7, FALSE), $G$10)</f>
        <v>0</v>
      </c>
      <c r="BF12" s="153">
        <f ca="1">IF(BF$22&lt;='2.2 Input_General_Information'!$H$20+'2.2 Input_General_Information'!$H$40, $G$10*VLOOKUP(BF$22,Growth!$B$128:$H$170,7, FALSE), $G$10)</f>
        <v>0</v>
      </c>
      <c r="BG12" s="153">
        <f ca="1">IF(BG$22&lt;='2.2 Input_General_Information'!$H$20+'2.2 Input_General_Information'!$H$40, $G$10*VLOOKUP(BG$22,Growth!$B$128:$H$170,7, FALSE), $G$10)</f>
        <v>0</v>
      </c>
    </row>
    <row r="13" spans="1:59">
      <c r="A13" s="143"/>
      <c r="B13" s="144"/>
      <c r="C13" s="143"/>
      <c r="D13" s="154" t="s">
        <v>714</v>
      </c>
      <c r="E13" s="3"/>
      <c r="F13" s="59"/>
      <c r="G13" s="152"/>
      <c r="H13" s="1"/>
      <c r="I13" s="1"/>
      <c r="J13" s="6"/>
      <c r="K13" s="1"/>
      <c r="L13" s="1"/>
      <c r="M13" s="1"/>
      <c r="N13" s="1"/>
      <c r="O13" s="7"/>
      <c r="P13" s="6"/>
      <c r="Q13" s="6"/>
      <c r="R13" s="6"/>
      <c r="S13" s="153"/>
      <c r="T13" s="153"/>
      <c r="U13" s="153"/>
      <c r="V13" s="153"/>
      <c r="W13" s="153"/>
      <c r="X13" s="153"/>
      <c r="Y13" s="153"/>
      <c r="Z13" s="153"/>
      <c r="AA13" s="153"/>
      <c r="AB13" s="153"/>
      <c r="AC13" s="153"/>
      <c r="AD13" s="153"/>
      <c r="AE13" s="153"/>
      <c r="AF13" s="153"/>
      <c r="AG13" s="153"/>
      <c r="AH13" s="153"/>
      <c r="AI13" s="153"/>
      <c r="AJ13" s="153"/>
      <c r="AK13" s="153"/>
      <c r="AL13" s="153"/>
      <c r="AM13" s="153"/>
      <c r="AN13" s="153"/>
      <c r="AO13" s="153"/>
      <c r="AP13" s="153"/>
      <c r="AQ13" s="153"/>
      <c r="AR13" s="153"/>
      <c r="AS13" s="153"/>
      <c r="AT13" s="153"/>
      <c r="AU13" s="153"/>
      <c r="AV13" s="153"/>
      <c r="AW13" s="153"/>
      <c r="AX13" s="153"/>
      <c r="AY13" s="153"/>
      <c r="AZ13" s="153"/>
      <c r="BA13" s="153"/>
      <c r="BB13" s="153"/>
      <c r="BC13" s="153"/>
      <c r="BD13" s="153"/>
      <c r="BE13" s="153"/>
      <c r="BF13" s="153"/>
      <c r="BG13" s="153"/>
    </row>
    <row r="14" spans="1:59" ht="5.25" customHeight="1">
      <c r="A14" s="143"/>
      <c r="B14" s="144"/>
      <c r="C14" s="143"/>
      <c r="D14" s="12"/>
      <c r="E14" s="3"/>
      <c r="G14" s="152"/>
      <c r="H14" s="1"/>
      <c r="I14" s="1"/>
      <c r="J14" s="6"/>
      <c r="K14" s="1"/>
      <c r="L14" s="1"/>
      <c r="M14" s="1"/>
      <c r="N14" s="1"/>
      <c r="O14" s="7"/>
      <c r="P14" s="6"/>
      <c r="Q14" s="6"/>
      <c r="R14" s="6"/>
      <c r="S14" s="153"/>
      <c r="T14" s="153"/>
      <c r="U14" s="153"/>
      <c r="V14" s="153"/>
      <c r="W14" s="153"/>
      <c r="X14" s="153"/>
      <c r="Y14" s="153"/>
      <c r="Z14" s="153"/>
      <c r="AA14" s="153"/>
      <c r="AB14" s="153"/>
      <c r="AC14" s="153"/>
      <c r="AD14" s="153"/>
      <c r="AE14" s="153"/>
      <c r="AF14" s="153"/>
      <c r="AG14" s="153"/>
      <c r="AH14" s="153"/>
      <c r="AI14" s="153"/>
      <c r="AJ14" s="153"/>
      <c r="AK14" s="153"/>
      <c r="AL14" s="153"/>
      <c r="AM14" s="153"/>
      <c r="AN14" s="153"/>
      <c r="AO14" s="153"/>
      <c r="AP14" s="153"/>
      <c r="AQ14" s="153"/>
      <c r="AR14" s="153"/>
      <c r="AS14" s="153"/>
      <c r="AT14" s="153"/>
      <c r="AU14" s="153"/>
      <c r="AV14" s="153"/>
      <c r="AW14" s="153"/>
      <c r="AX14" s="153"/>
      <c r="AY14" s="153"/>
      <c r="AZ14" s="153"/>
      <c r="BA14" s="153"/>
      <c r="BB14" s="153"/>
      <c r="BC14" s="153"/>
      <c r="BD14" s="153"/>
      <c r="BE14" s="153"/>
      <c r="BF14" s="153"/>
      <c r="BG14" s="153"/>
    </row>
    <row r="15" spans="1:59">
      <c r="A15" s="128"/>
      <c r="B15" s="144" t="s">
        <v>606</v>
      </c>
      <c r="C15" s="128"/>
      <c r="D15" s="147" t="s">
        <v>520</v>
      </c>
      <c r="E15" s="148" t="s">
        <v>291</v>
      </c>
      <c r="F15" s="149">
        <f>E80*E72*E73/E75</f>
        <v>527616.96635917039</v>
      </c>
      <c r="G15" s="1"/>
      <c r="H15" s="1"/>
      <c r="I15" s="1"/>
      <c r="J15" s="1"/>
      <c r="K15" s="1"/>
      <c r="L15" s="1"/>
      <c r="M15" s="1"/>
      <c r="N15" s="1"/>
      <c r="O15" s="7"/>
      <c r="P15" s="6"/>
      <c r="Q15" s="6"/>
      <c r="R15" s="6"/>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c r="AY15" s="98"/>
      <c r="AZ15" s="98"/>
      <c r="BA15" s="98"/>
      <c r="BB15" s="98"/>
      <c r="BC15" s="98"/>
      <c r="BD15" s="98"/>
      <c r="BE15" s="98"/>
      <c r="BF15" s="98"/>
      <c r="BG15" s="98"/>
    </row>
    <row r="16" spans="1:59" s="94" customFormat="1">
      <c r="A16" s="143"/>
      <c r="B16" s="144"/>
      <c r="C16" s="143"/>
      <c r="D16" s="325"/>
      <c r="E16" s="325"/>
      <c r="F16" s="325"/>
      <c r="G16" s="325"/>
      <c r="H16" s="325"/>
      <c r="I16" s="325"/>
      <c r="J16" s="325"/>
      <c r="K16" s="325"/>
      <c r="L16" s="325"/>
      <c r="M16" s="325"/>
      <c r="N16" s="325"/>
      <c r="O16" s="7"/>
      <c r="P16" s="54"/>
      <c r="Q16" s="54"/>
      <c r="R16" s="54"/>
      <c r="S16" s="346"/>
      <c r="T16" s="346"/>
      <c r="U16" s="346"/>
      <c r="V16" s="346"/>
      <c r="W16" s="346"/>
      <c r="X16" s="346"/>
      <c r="Y16" s="346"/>
      <c r="Z16" s="346"/>
      <c r="AA16" s="346"/>
      <c r="AB16" s="346"/>
      <c r="AC16" s="346"/>
      <c r="AD16" s="346"/>
      <c r="AE16" s="346"/>
      <c r="AF16" s="346"/>
      <c r="AG16" s="346"/>
      <c r="AH16" s="346"/>
      <c r="AI16" s="346"/>
      <c r="AJ16" s="346"/>
      <c r="AK16" s="346"/>
      <c r="AL16" s="346"/>
      <c r="AM16" s="346"/>
      <c r="AN16" s="346"/>
      <c r="AO16" s="346"/>
      <c r="AP16" s="346"/>
      <c r="AQ16" s="346"/>
      <c r="AR16" s="346"/>
      <c r="AS16" s="346"/>
      <c r="AT16" s="346"/>
      <c r="AU16" s="346"/>
      <c r="AV16" s="346"/>
      <c r="AW16" s="346"/>
      <c r="AX16" s="346"/>
      <c r="AY16" s="346"/>
      <c r="AZ16" s="346"/>
      <c r="BA16" s="346"/>
      <c r="BB16" s="346"/>
      <c r="BC16" s="346"/>
      <c r="BD16" s="346"/>
      <c r="BE16" s="346"/>
      <c r="BF16" s="346"/>
      <c r="BG16" s="346"/>
    </row>
    <row r="17" spans="1:59" hidden="1">
      <c r="A17" s="128"/>
      <c r="B17" s="129"/>
      <c r="C17" s="128"/>
      <c r="D17" s="41"/>
      <c r="E17" s="46"/>
      <c r="F17" s="46" t="str">
        <f t="shared" ref="F17:M17" si="0">F38</f>
        <v>PhD researcher</v>
      </c>
      <c r="G17" s="72" t="str">
        <f t="shared" si="0"/>
        <v>Lecturer assistant/Research assistant (Academic)</v>
      </c>
      <c r="H17" s="72" t="str">
        <f t="shared" si="0"/>
        <v>Lecturer/Researcher (Academic)</v>
      </c>
      <c r="I17" s="72" t="str">
        <f t="shared" si="0"/>
        <v>Other</v>
      </c>
      <c r="J17" s="72" t="str">
        <f t="shared" si="0"/>
        <v>Profile 5</v>
      </c>
      <c r="K17" s="72" t="str">
        <f t="shared" si="0"/>
        <v>Profile 6</v>
      </c>
      <c r="L17" s="72" t="str">
        <f t="shared" si="0"/>
        <v>Profile 7</v>
      </c>
      <c r="M17" s="72" t="str">
        <f t="shared" si="0"/>
        <v>Profile 8</v>
      </c>
      <c r="N17" s="1"/>
      <c r="O17" s="7"/>
      <c r="P17" s="6"/>
      <c r="Q17" s="6"/>
      <c r="R17" s="6"/>
      <c r="S17" s="98"/>
      <c r="T17" s="98"/>
      <c r="U17" s="98"/>
      <c r="V17" s="98"/>
      <c r="W17" s="98"/>
      <c r="X17" s="98"/>
      <c r="Y17" s="98"/>
      <c r="Z17" s="98"/>
      <c r="AA17" s="98"/>
      <c r="AB17" s="98"/>
      <c r="AC17" s="98"/>
      <c r="AD17" s="98"/>
      <c r="AE17" s="98"/>
      <c r="AF17" s="98"/>
      <c r="AG17" s="98"/>
      <c r="AH17" s="98"/>
      <c r="AI17" s="98"/>
      <c r="AJ17" s="98"/>
      <c r="AK17" s="98"/>
      <c r="AL17" s="98"/>
      <c r="AM17" s="98"/>
      <c r="AN17" s="98"/>
      <c r="AO17" s="98"/>
      <c r="AP17" s="98"/>
      <c r="AQ17" s="98"/>
      <c r="AR17" s="98"/>
      <c r="AS17" s="98"/>
      <c r="AT17" s="98"/>
      <c r="AU17" s="98"/>
      <c r="AV17" s="98"/>
      <c r="AW17" s="98"/>
      <c r="AX17" s="98"/>
      <c r="AY17" s="98"/>
      <c r="AZ17" s="98"/>
      <c r="BA17" s="98"/>
      <c r="BB17" s="98"/>
      <c r="BC17" s="98"/>
      <c r="BD17" s="98"/>
      <c r="BE17" s="98"/>
      <c r="BF17" s="98"/>
      <c r="BG17" s="98"/>
    </row>
    <row r="18" spans="1:59" ht="5.25" hidden="1" customHeight="1">
      <c r="A18" s="128"/>
      <c r="B18" s="129"/>
      <c r="C18" s="128"/>
      <c r="D18" s="1"/>
      <c r="E18" s="3"/>
      <c r="F18" s="155"/>
      <c r="G18" s="155"/>
      <c r="H18" s="155"/>
      <c r="I18" s="155"/>
      <c r="J18" s="155"/>
      <c r="K18" s="155"/>
      <c r="L18" s="155"/>
      <c r="M18" s="155"/>
      <c r="N18" s="1"/>
      <c r="O18" s="7"/>
      <c r="P18" s="6"/>
      <c r="Q18" s="6"/>
      <c r="R18" s="6"/>
      <c r="S18" s="98"/>
      <c r="T18" s="98"/>
      <c r="U18" s="98"/>
      <c r="V18" s="98"/>
      <c r="W18" s="98"/>
      <c r="X18" s="98"/>
      <c r="Y18" s="98"/>
      <c r="Z18" s="98"/>
      <c r="AA18" s="98"/>
      <c r="AB18" s="98"/>
      <c r="AC18" s="98"/>
      <c r="AD18" s="98"/>
      <c r="AE18" s="98"/>
      <c r="AF18" s="98"/>
      <c r="AG18" s="98"/>
      <c r="AH18" s="98"/>
      <c r="AI18" s="98"/>
      <c r="AJ18" s="98"/>
      <c r="AK18" s="98"/>
      <c r="AL18" s="98"/>
      <c r="AM18" s="98"/>
      <c r="AN18" s="98"/>
      <c r="AO18" s="98"/>
      <c r="AP18" s="98"/>
      <c r="AQ18" s="98"/>
      <c r="AR18" s="98"/>
      <c r="AS18" s="98"/>
      <c r="AT18" s="98"/>
      <c r="AU18" s="98"/>
      <c r="AV18" s="98"/>
      <c r="AW18" s="98"/>
      <c r="AX18" s="98"/>
      <c r="AY18" s="98"/>
      <c r="AZ18" s="98"/>
      <c r="BA18" s="98"/>
      <c r="BB18" s="98"/>
      <c r="BC18" s="98"/>
      <c r="BD18" s="98"/>
      <c r="BE18" s="98"/>
      <c r="BF18" s="98"/>
      <c r="BG18" s="98"/>
    </row>
    <row r="19" spans="1:59" hidden="1">
      <c r="A19" s="128"/>
      <c r="B19" s="129"/>
      <c r="C19" s="128"/>
      <c r="D19" s="39" t="s">
        <v>715</v>
      </c>
      <c r="E19" s="43" t="s">
        <v>291</v>
      </c>
      <c r="F19" s="156">
        <f ca="1">IFERROR('2.2 Input_General_Information'!H92*'2.2 Input_General_Information'!H94/'2.2 Input_General_Information'!H101,0)</f>
        <v>718426.16490346007</v>
      </c>
      <c r="G19" s="156">
        <f ca="1">IFERROR('2.2 Input_General_Information'!I92*'2.2 Input_General_Information'!I94/'2.2 Input_General_Information'!I101,0)</f>
        <v>131955.82620675801</v>
      </c>
      <c r="H19" s="156">
        <f ca="1">IFERROR('2.2 Input_General_Information'!J92*'2.2 Input_General_Information'!J94/'2.2 Input_General_Information'!J101,0)</f>
        <v>205264.61854384575</v>
      </c>
      <c r="I19" s="156">
        <f ca="1">IFERROR('2.2 Input_General_Information'!K92*'2.2 Input_General_Information'!K94/'2.2 Input_General_Information'!K101,0)</f>
        <v>175941.10160901066</v>
      </c>
      <c r="J19" s="156">
        <f ca="1">IFERROR('2.2 Input_General_Information'!L92*'2.2 Input_General_Information'!L94/'2.2 Input_General_Information'!L101,0)</f>
        <v>0</v>
      </c>
      <c r="K19" s="156">
        <f ca="1">IFERROR('2.2 Input_General_Information'!M92*'2.2 Input_General_Information'!M94/'2.2 Input_General_Information'!M101,0)</f>
        <v>0</v>
      </c>
      <c r="L19" s="156">
        <f ca="1">IFERROR('2.2 Input_General_Information'!N92*'2.2 Input_General_Information'!N94/'2.2 Input_General_Information'!N101,0)</f>
        <v>0</v>
      </c>
      <c r="M19" s="156">
        <f ca="1">IFERROR('2.2 Input_General_Information'!O92*'2.2 Input_General_Information'!O94/'2.2 Input_General_Information'!O101,0)</f>
        <v>0</v>
      </c>
      <c r="N19" s="1"/>
      <c r="O19" s="7"/>
      <c r="P19" s="6"/>
      <c r="Q19" s="6"/>
      <c r="R19" s="6"/>
      <c r="S19" s="98"/>
      <c r="T19" s="98"/>
      <c r="U19" s="98"/>
      <c r="V19" s="98"/>
      <c r="W19" s="98"/>
      <c r="X19" s="98"/>
      <c r="Y19" s="98"/>
      <c r="Z19" s="98"/>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row>
    <row r="20" spans="1:59">
      <c r="A20" s="128"/>
      <c r="B20" s="129"/>
      <c r="C20" s="128"/>
      <c r="D20" s="1"/>
      <c r="E20" s="3"/>
      <c r="F20" s="1"/>
      <c r="G20" s="1"/>
      <c r="H20" s="1"/>
      <c r="I20" s="1"/>
      <c r="J20" s="1"/>
      <c r="K20" s="1"/>
      <c r="L20" s="1"/>
      <c r="M20" s="1"/>
      <c r="N20" s="1"/>
      <c r="O20" s="7"/>
      <c r="P20" s="6"/>
      <c r="Q20" s="6"/>
      <c r="R20" s="6"/>
      <c r="S20" s="98"/>
      <c r="T20" s="98"/>
      <c r="U20" s="98"/>
      <c r="V20" s="98"/>
      <c r="W20" s="98"/>
      <c r="X20" s="98"/>
      <c r="Y20" s="98"/>
      <c r="Z20" s="98"/>
      <c r="AA20" s="98"/>
      <c r="AB20" s="98"/>
      <c r="AC20" s="98"/>
      <c r="AD20" s="98"/>
      <c r="AE20" s="98"/>
      <c r="AF20" s="98"/>
      <c r="AG20" s="98"/>
      <c r="AH20" s="98"/>
      <c r="AI20" s="98"/>
      <c r="AJ20" s="98"/>
      <c r="AK20" s="98"/>
      <c r="AL20" s="98"/>
      <c r="AM20" s="98"/>
      <c r="AN20" s="98"/>
      <c r="AO20" s="98"/>
      <c r="AP20" s="98"/>
      <c r="AQ20" s="98"/>
      <c r="AR20" s="98"/>
      <c r="AS20" s="98"/>
      <c r="AT20" s="98"/>
      <c r="AU20" s="98"/>
      <c r="AV20" s="98"/>
      <c r="AW20" s="98"/>
      <c r="AX20" s="98"/>
      <c r="AY20" s="98"/>
      <c r="AZ20" s="98"/>
      <c r="BA20" s="98"/>
      <c r="BB20" s="98"/>
      <c r="BC20" s="98"/>
      <c r="BD20" s="98"/>
      <c r="BE20" s="98"/>
      <c r="BF20" s="98"/>
      <c r="BG20" s="98"/>
    </row>
    <row r="21" spans="1:59">
      <c r="A21" s="128"/>
      <c r="B21" s="129"/>
      <c r="C21" s="128"/>
      <c r="D21" s="1"/>
      <c r="E21" s="3"/>
      <c r="F21" s="1"/>
      <c r="G21" s="1"/>
      <c r="H21" s="1"/>
      <c r="I21" s="1"/>
      <c r="J21" s="1"/>
      <c r="K21" s="1"/>
      <c r="L21" s="1"/>
      <c r="M21" s="1"/>
      <c r="N21" s="1"/>
      <c r="O21" s="7"/>
      <c r="P21" s="6"/>
      <c r="Q21" s="9"/>
      <c r="R21" s="9" t="s">
        <v>5</v>
      </c>
      <c r="S21" s="98"/>
      <c r="T21" s="98"/>
      <c r="U21" s="98"/>
      <c r="V21" s="98"/>
      <c r="W21" s="98"/>
      <c r="X21" s="98"/>
      <c r="Y21" s="98"/>
      <c r="Z21" s="98"/>
      <c r="AA21" s="98"/>
      <c r="AB21" s="98"/>
      <c r="AC21" s="98"/>
      <c r="AD21" s="98"/>
      <c r="AE21" s="98"/>
      <c r="AF21" s="98"/>
      <c r="AG21" s="98"/>
      <c r="AH21" s="98"/>
      <c r="AI21" s="98"/>
      <c r="AJ21" s="98"/>
      <c r="AK21" s="98"/>
      <c r="AL21" s="98"/>
      <c r="AM21" s="98"/>
      <c r="AN21" s="98"/>
      <c r="AO21" s="98"/>
      <c r="AP21" s="98"/>
      <c r="AQ21" s="98"/>
      <c r="AR21" s="98"/>
      <c r="AS21" s="98"/>
      <c r="AT21" s="98"/>
      <c r="AU21" s="98"/>
      <c r="AV21" s="98"/>
      <c r="AW21" s="98"/>
      <c r="AX21" s="98"/>
      <c r="AY21" s="98"/>
      <c r="AZ21" s="98"/>
      <c r="BA21" s="98"/>
      <c r="BB21" s="98"/>
      <c r="BC21" s="98"/>
      <c r="BD21" s="98"/>
      <c r="BE21" s="98"/>
      <c r="BF21" s="98"/>
      <c r="BG21" s="98"/>
    </row>
    <row r="22" spans="1:59">
      <c r="A22" s="128"/>
      <c r="B22" s="129"/>
      <c r="C22" s="128"/>
      <c r="D22" s="1"/>
      <c r="E22" s="3"/>
      <c r="F22" s="1"/>
      <c r="G22" s="1"/>
      <c r="H22" s="1"/>
      <c r="I22" s="1"/>
      <c r="J22" s="1"/>
      <c r="K22" s="1"/>
      <c r="L22" s="1"/>
      <c r="M22" s="1"/>
      <c r="N22" s="1"/>
      <c r="O22" s="7"/>
      <c r="P22" s="6"/>
      <c r="Q22" s="6"/>
      <c r="R22" s="103"/>
      <c r="S22" s="150">
        <f>Growth!B20</f>
        <v>2018</v>
      </c>
      <c r="T22" s="150">
        <f t="shared" ref="T22:BG22" si="1">S22+1</f>
        <v>2019</v>
      </c>
      <c r="U22" s="150">
        <f t="shared" si="1"/>
        <v>2020</v>
      </c>
      <c r="V22" s="150">
        <f t="shared" si="1"/>
        <v>2021</v>
      </c>
      <c r="W22" s="150">
        <f t="shared" si="1"/>
        <v>2022</v>
      </c>
      <c r="X22" s="150">
        <f t="shared" si="1"/>
        <v>2023</v>
      </c>
      <c r="Y22" s="150">
        <f t="shared" si="1"/>
        <v>2024</v>
      </c>
      <c r="Z22" s="150">
        <f t="shared" si="1"/>
        <v>2025</v>
      </c>
      <c r="AA22" s="150">
        <f t="shared" si="1"/>
        <v>2026</v>
      </c>
      <c r="AB22" s="150">
        <f t="shared" si="1"/>
        <v>2027</v>
      </c>
      <c r="AC22" s="150">
        <f t="shared" si="1"/>
        <v>2028</v>
      </c>
      <c r="AD22" s="150">
        <f t="shared" si="1"/>
        <v>2029</v>
      </c>
      <c r="AE22" s="150">
        <f t="shared" si="1"/>
        <v>2030</v>
      </c>
      <c r="AF22" s="150">
        <f t="shared" si="1"/>
        <v>2031</v>
      </c>
      <c r="AG22" s="150">
        <f t="shared" si="1"/>
        <v>2032</v>
      </c>
      <c r="AH22" s="150">
        <f t="shared" si="1"/>
        <v>2033</v>
      </c>
      <c r="AI22" s="150">
        <f t="shared" si="1"/>
        <v>2034</v>
      </c>
      <c r="AJ22" s="150">
        <f t="shared" si="1"/>
        <v>2035</v>
      </c>
      <c r="AK22" s="150">
        <f t="shared" si="1"/>
        <v>2036</v>
      </c>
      <c r="AL22" s="150">
        <f t="shared" si="1"/>
        <v>2037</v>
      </c>
      <c r="AM22" s="150">
        <f t="shared" si="1"/>
        <v>2038</v>
      </c>
      <c r="AN22" s="150">
        <f t="shared" si="1"/>
        <v>2039</v>
      </c>
      <c r="AO22" s="150">
        <f t="shared" si="1"/>
        <v>2040</v>
      </c>
      <c r="AP22" s="150">
        <f t="shared" si="1"/>
        <v>2041</v>
      </c>
      <c r="AQ22" s="150">
        <f t="shared" si="1"/>
        <v>2042</v>
      </c>
      <c r="AR22" s="150">
        <f t="shared" si="1"/>
        <v>2043</v>
      </c>
      <c r="AS22" s="150">
        <f t="shared" si="1"/>
        <v>2044</v>
      </c>
      <c r="AT22" s="150">
        <f t="shared" si="1"/>
        <v>2045</v>
      </c>
      <c r="AU22" s="150">
        <f t="shared" si="1"/>
        <v>2046</v>
      </c>
      <c r="AV22" s="150">
        <f t="shared" si="1"/>
        <v>2047</v>
      </c>
      <c r="AW22" s="150">
        <f t="shared" si="1"/>
        <v>2048</v>
      </c>
      <c r="AX22" s="150">
        <f t="shared" si="1"/>
        <v>2049</v>
      </c>
      <c r="AY22" s="150">
        <f t="shared" si="1"/>
        <v>2050</v>
      </c>
      <c r="AZ22" s="150">
        <f t="shared" si="1"/>
        <v>2051</v>
      </c>
      <c r="BA22" s="150">
        <f t="shared" si="1"/>
        <v>2052</v>
      </c>
      <c r="BB22" s="150">
        <f t="shared" si="1"/>
        <v>2053</v>
      </c>
      <c r="BC22" s="150">
        <f t="shared" si="1"/>
        <v>2054</v>
      </c>
      <c r="BD22" s="150">
        <f t="shared" si="1"/>
        <v>2055</v>
      </c>
      <c r="BE22" s="150">
        <f t="shared" si="1"/>
        <v>2056</v>
      </c>
      <c r="BF22" s="150">
        <f t="shared" si="1"/>
        <v>2057</v>
      </c>
      <c r="BG22" s="150">
        <f t="shared" si="1"/>
        <v>2058</v>
      </c>
    </row>
    <row r="23" spans="1:59">
      <c r="A23" s="128"/>
      <c r="B23" s="129"/>
      <c r="C23" s="128"/>
      <c r="D23" s="1"/>
      <c r="E23" s="3"/>
      <c r="F23" s="1"/>
      <c r="G23" s="1"/>
      <c r="H23" s="1"/>
      <c r="I23" s="1"/>
      <c r="J23" s="1"/>
      <c r="K23" s="1"/>
      <c r="L23" s="1"/>
      <c r="M23" s="1"/>
      <c r="N23" s="1"/>
      <c r="O23" s="7"/>
      <c r="P23" s="6"/>
      <c r="Q23" s="6"/>
      <c r="R23" s="103" t="str">
        <f>D10</f>
        <v>Cost faced due to the identification of grant duplication</v>
      </c>
      <c r="S23" s="157">
        <f ca="1">IF(S$22&gt;='2.2 Input_General_Information'!$H$20,$F$10*VLOOKUP(S$22,Growth!$B$130:$K$170, 10, FALSE), "*")</f>
        <v>-0.42322879856558532</v>
      </c>
      <c r="T23" s="157">
        <f ca="1">IF(T$22&gt;='2.2 Input_General_Information'!$H$20,$F$10*VLOOKUP(T$22,Growth!$B$130:$K$170, 10, FALSE), "*")</f>
        <v>-0.67072985767734694</v>
      </c>
      <c r="U23" s="157">
        <f ca="1">IF(U$22&gt;='2.2 Input_General_Information'!$H$20,$F$10*VLOOKUP(U$22,Growth!$B$130:$K$170, 10, FALSE), "*")</f>
        <v>-1.0629313445581827</v>
      </c>
      <c r="V23" s="157">
        <f ca="1">IF(V$22&gt;='2.2 Input_General_Information'!$H$20,$F$10*VLOOKUP(V$22,Growth!$B$130:$K$170, 10, FALSE), "*")</f>
        <v>-1.6843768055552137</v>
      </c>
      <c r="W23" s="157">
        <f ca="1">IF(W$22&gt;='2.2 Input_General_Information'!$H$20,$F$10*VLOOKUP(W$22,Growth!$B$130:$K$170, 10, FALSE), "*")</f>
        <v>-2.6689227280614123</v>
      </c>
      <c r="X23" s="157">
        <f ca="1">IF(X$22&gt;='2.2 Input_General_Information'!$H$20,$F$10*VLOOKUP(X$22,Growth!$B$130:$K$170, 10, FALSE), "*")</f>
        <v>-4.2283767411350066</v>
      </c>
      <c r="Y23" s="157">
        <f ca="1">IF(Y$22&gt;='2.2 Input_General_Information'!$H$20,$F$10*VLOOKUP(Y$22,Growth!$B$130:$K$170, 10, FALSE), "*")</f>
        <v>-6.6975783082493718</v>
      </c>
      <c r="Z23" s="157">
        <f ca="1">IF(Z$22&gt;='2.2 Input_General_Information'!$H$20,$F$10*VLOOKUP(Z$22,Growth!$B$130:$K$170, 10, FALSE), "*")</f>
        <v>-10.605077357583918</v>
      </c>
      <c r="AA23" s="157">
        <f ca="1">IF(AA$22&gt;='2.2 Input_General_Information'!$H$20,$F$10*VLOOKUP(AA$22,Growth!$B$130:$K$170, 10, FALSE), "*")</f>
        <v>-16.783233706699001</v>
      </c>
      <c r="AB23" s="157">
        <f ca="1">IF(AB$22&gt;='2.2 Input_General_Information'!$H$20,$F$10*VLOOKUP(AB$22,Growth!$B$130:$K$170, 10, FALSE), "*")</f>
        <v>-26.537948370736554</v>
      </c>
      <c r="AC23" s="157">
        <f ca="1">IF(AC$22&gt;='2.2 Input_General_Information'!$H$20,$F$10*VLOOKUP(AC$22,Growth!$B$130:$K$170, 10, FALSE), "*")</f>
        <v>-41.905916044311319</v>
      </c>
      <c r="AD23" s="157">
        <f ca="1">IF(AD$22&gt;='2.2 Input_General_Information'!$H$20,$F$10*VLOOKUP(AD$22,Growth!$B$130:$K$170, 10, FALSE), "*")</f>
        <v>-66.033652896633342</v>
      </c>
      <c r="AE23" s="157">
        <f ca="1">IF(AE$22&gt;='2.2 Input_General_Information'!$H$20,$F$10*VLOOKUP(AE$22,Growth!$B$130:$K$170, 10, FALSE), "*")</f>
        <v>-103.70935493788973</v>
      </c>
      <c r="AF23" s="157">
        <f ca="1">IF(AF$22&gt;='2.2 Input_General_Information'!$H$20,$F$10*VLOOKUP(AF$22,Growth!$B$130:$K$170, 10, FALSE), "*")</f>
        <v>-162.04496499999721</v>
      </c>
      <c r="AG23" s="157">
        <f ca="1">IF(AG$22&gt;='2.2 Input_General_Information'!$H$20,$F$10*VLOOKUP(AG$22,Growth!$B$130:$K$170, 10, FALSE), "*")</f>
        <v>-251.19737233651458</v>
      </c>
      <c r="AH23" s="157">
        <f ca="1">IF(AH$22&gt;='2.2 Input_General_Information'!$H$20,$F$10*VLOOKUP(AH$22,Growth!$B$130:$K$170, 10, FALSE), "*")</f>
        <v>-384.76219816490425</v>
      </c>
      <c r="AI23" s="157">
        <f ca="1">IF(AI$22&gt;='2.2 Input_General_Information'!$H$20,$F$10*VLOOKUP(AI$22,Growth!$B$130:$K$170, 10, FALSE), "*")</f>
        <v>-579.01614744535357</v>
      </c>
      <c r="AJ23" s="157">
        <f ca="1">IF(AJ$22&gt;='2.2 Input_General_Information'!$H$20,$F$10*VLOOKUP(AJ$22,Growth!$B$130:$K$170, 10, FALSE), "*")</f>
        <v>-849.68436068208848</v>
      </c>
      <c r="AK23" s="157">
        <f ca="1">IF(AK$22&gt;='2.2 Input_General_Information'!$H$20,$F$10*VLOOKUP(AK$22,Growth!$B$130:$K$170, 10, FALSE), "*")</f>
        <v>-1205.1409808752894</v>
      </c>
      <c r="AL23" s="157">
        <f ca="1">IF(AL$22&gt;='2.2 Input_General_Information'!$H$20,$F$10*VLOOKUP(AL$22,Growth!$B$130:$K$170, 10, FALSE), "*")</f>
        <v>-1637.3214079075162</v>
      </c>
      <c r="AM23" s="157">
        <f ca="1">IF(AM$22&gt;='2.2 Input_General_Information'!$H$20,$F$10*VLOOKUP(AM$22,Growth!$B$130:$K$170, 10, FALSE), "*")</f>
        <v>-2116.1439928283621</v>
      </c>
      <c r="AN23" s="157">
        <f ca="1">IF(AN$22&gt;='2.2 Input_General_Information'!$H$20,$F$10*VLOOKUP(AN$22,Growth!$B$130:$K$170, 10, FALSE), "*")</f>
        <v>-2594.9665777491628</v>
      </c>
      <c r="AO23" s="157">
        <f ca="1">IF(AO$22&gt;='2.2 Input_General_Information'!$H$20,$F$10*VLOOKUP(AO$22,Growth!$B$130:$K$170, 10, FALSE), "*")</f>
        <v>-3027.1470047812713</v>
      </c>
      <c r="AP23" s="157">
        <f ca="1">IF(AP$22&gt;='2.2 Input_General_Information'!$H$20,$F$10*VLOOKUP(AP$22,Growth!$B$130:$K$170, 10, FALSE), "*")</f>
        <v>-3382.6036249743188</v>
      </c>
      <c r="AQ23" s="157">
        <f ca="1">IF(AQ$22&gt;='2.2 Input_General_Information'!$H$20,$F$10*VLOOKUP(AQ$22,Growth!$B$130:$K$170, 10, FALSE), "*")</f>
        <v>-3653.2718382109038</v>
      </c>
      <c r="AR23" s="157">
        <f ca="1">IF(AR$22&gt;='2.2 Input_General_Information'!$H$20,$F$10*VLOOKUP(AR$22,Growth!$B$130:$K$170, 10, FALSE), "*")</f>
        <v>-3847.5257874912268</v>
      </c>
      <c r="AS23" s="157">
        <f ca="1">IF(AS$22&gt;='2.2 Input_General_Information'!$H$20,$F$10*VLOOKUP(AS$22,Growth!$B$130:$K$170, 10, FALSE), "*")</f>
        <v>-3981.0906133195222</v>
      </c>
      <c r="AT23" s="157">
        <f ca="1">IF(AT$22&gt;='2.2 Input_General_Information'!$H$20,$F$10*VLOOKUP(AT$22,Growth!$B$130:$K$170, 10, FALSE), "*")</f>
        <v>-4070.2430206559716</v>
      </c>
      <c r="AU23" s="157">
        <f ca="1">IF(AU$22&gt;='2.2 Input_General_Information'!$H$20,$F$10*VLOOKUP(AU$22,Growth!$B$130:$K$170, 10, FALSE), "*")</f>
        <v>-4128.5786307180333</v>
      </c>
      <c r="AV23" s="157">
        <f ca="1">IF(AV$22&gt;='2.2 Input_General_Information'!$H$20,$F$10*VLOOKUP(AV$22,Growth!$B$130:$K$170, 10, FALSE), "*")</f>
        <v>-4166.2543327592593</v>
      </c>
      <c r="AW23" s="157">
        <f ca="1">IF(AW$22&gt;='2.2 Input_General_Information'!$H$20,$F$10*VLOOKUP(AW$22,Growth!$B$130:$K$170, 10, FALSE), "*")</f>
        <v>-4190.3820696115617</v>
      </c>
      <c r="AX23" s="157">
        <f ca="1">IF(AX$22&gt;='2.2 Input_General_Information'!$H$20,$F$10*VLOOKUP(AX$22,Growth!$B$130:$K$170, 10, FALSE), "*")</f>
        <v>-4205.7500372851237</v>
      </c>
      <c r="AY23" s="157">
        <f ca="1">IF(AY$22&gt;='2.2 Input_General_Information'!$H$20,$F$10*VLOOKUP(AY$22,Growth!$B$130:$K$170, 10, FALSE), "*")</f>
        <v>-4215.5047519491527</v>
      </c>
      <c r="AZ23" s="157">
        <f ca="1">IF(AZ$22&gt;='2.2 Input_General_Information'!$H$20,$F$10*VLOOKUP(AZ$22,Growth!$B$130:$K$170, 10, FALSE), "*")</f>
        <v>-4221.682908298264</v>
      </c>
      <c r="BA23" s="157">
        <f ca="1">IF(BA$22&gt;='2.2 Input_General_Information'!$H$20,$F$10*VLOOKUP(BA$22,Growth!$B$130:$K$170, 10, FALSE), "*")</f>
        <v>-4225.5904073475949</v>
      </c>
      <c r="BB23" s="157">
        <f ca="1">IF(BB$22&gt;='2.2 Input_General_Information'!$H$20,$F$10*VLOOKUP(BB$22,Growth!$B$130:$K$170, 10, FALSE), "*")</f>
        <v>-4228.0596089147066</v>
      </c>
      <c r="BC23" s="157">
        <f ca="1">IF(BC$22&gt;='2.2 Input_General_Information'!$H$20,$F$10*VLOOKUP(BC$22,Growth!$B$130:$K$170, 10, FALSE), "*")</f>
        <v>-4229.6190629277789</v>
      </c>
      <c r="BD23" s="157">
        <f ca="1">IF(BD$22&gt;='2.2 Input_General_Information'!$H$20,$F$10*VLOOKUP(BD$22,Growth!$B$130:$K$170, 10, FALSE), "*")</f>
        <v>-4230.6036088502842</v>
      </c>
      <c r="BE23" s="157">
        <f ca="1">IF(BE$22&gt;='2.2 Input_General_Information'!$H$20,$F$10*VLOOKUP(BE$22,Growth!$B$130:$K$170, 10, FALSE), "*")</f>
        <v>-4231.2250543112805</v>
      </c>
      <c r="BF23" s="157">
        <f ca="1">IF(BF$22&gt;='2.2 Input_General_Information'!$H$20,$F$10*VLOOKUP(BF$22,Growth!$B$130:$K$170, 10, FALSE), "*")</f>
        <v>-4231.6172557981618</v>
      </c>
      <c r="BG23" s="157">
        <f ca="1">IF(BG$22&gt;='2.2 Input_General_Information'!$H$20,$F$10*VLOOKUP(BG$22,Growth!$B$130:$K$170, 10, FALSE), "*")</f>
        <v>-4231.8647568572733</v>
      </c>
    </row>
    <row r="24" spans="1:59">
      <c r="A24" s="128"/>
      <c r="B24" s="129"/>
      <c r="C24" s="128"/>
      <c r="D24" s="1"/>
      <c r="E24" s="3"/>
      <c r="F24" s="1"/>
      <c r="G24" s="1"/>
      <c r="H24" s="1"/>
      <c r="I24" s="1"/>
      <c r="J24" s="1"/>
      <c r="K24" s="1"/>
      <c r="L24" s="1"/>
      <c r="M24" s="1"/>
      <c r="N24" s="1"/>
      <c r="O24" s="7"/>
      <c r="P24" s="6"/>
      <c r="Q24" s="6"/>
      <c r="R24" s="103" t="str">
        <f>D15</f>
        <v>Benefit due to extra funds available on a yearly-basis (example of H2020 for 2014-2016)</v>
      </c>
      <c r="S24" s="157">
        <f ca="1">IF(S$22&gt;='2.2 Input_General_Information'!$H$20,$F$15*VLOOKUP(S$22,Growth!$B$130:$K$170, 10, FALSE), "*")</f>
        <v>52.761696635917218</v>
      </c>
      <c r="T24" s="157">
        <f ca="1">IF(T$22&gt;='2.2 Input_General_Information'!$H$20,$F$15*VLOOKUP(T$22,Growth!$B$130:$K$170, 10, FALSE), "*")</f>
        <v>83.616345095996849</v>
      </c>
      <c r="U24" s="157">
        <f ca="1">IF(U$22&gt;='2.2 Input_General_Information'!$H$20,$F$15*VLOOKUP(U$22,Growth!$B$130:$K$170, 10, FALSE), "*")</f>
        <v>132.51003083074869</v>
      </c>
      <c r="V24" s="157">
        <f ca="1">IF(V$22&gt;='2.2 Input_General_Information'!$H$20,$F$15*VLOOKUP(V$22,Growth!$B$130:$K$170, 10, FALSE), "*")</f>
        <v>209.98235076743663</v>
      </c>
      <c r="W24" s="157">
        <f ca="1">IF(W$22&gt;='2.2 Input_General_Information'!$H$20,$F$15*VLOOKUP(W$22,Growth!$B$130:$K$170, 10, FALSE), "*")</f>
        <v>332.72048546776585</v>
      </c>
      <c r="X24" s="157">
        <f ca="1">IF(X$22&gt;='2.2 Input_General_Information'!$H$20,$F$15*VLOOKUP(X$22,Growth!$B$130:$K$170, 10, FALSE), "*")</f>
        <v>527.1293721841605</v>
      </c>
      <c r="Y24" s="157">
        <f ca="1">IF(Y$22&gt;='2.2 Input_General_Information'!$H$20,$F$15*VLOOKUP(Y$22,Growth!$B$130:$K$170, 10, FALSE), "*")</f>
        <v>834.95167647575022</v>
      </c>
      <c r="Z24" s="157">
        <f ca="1">IF(Z$22&gt;='2.2 Input_General_Information'!$H$20,$F$15*VLOOKUP(Z$22,Growth!$B$130:$K$170, 10, FALSE), "*")</f>
        <v>1322.0789233570276</v>
      </c>
      <c r="AA24" s="157">
        <f ca="1">IF(AA$22&gt;='2.2 Input_General_Information'!$H$20,$F$15*VLOOKUP(AA$22,Growth!$B$130:$K$170, 10, FALSE), "*")</f>
        <v>2092.2770104580459</v>
      </c>
      <c r="AB24" s="157">
        <f ca="1">IF(AB$22&gt;='2.2 Input_General_Information'!$H$20,$F$15*VLOOKUP(AB$22,Growth!$B$130:$K$170, 10, FALSE), "*")</f>
        <v>3308.3457128200525</v>
      </c>
      <c r="AC24" s="157">
        <f ca="1">IF(AC$22&gt;='2.2 Input_General_Information'!$H$20,$F$15*VLOOKUP(AC$22,Growth!$B$130:$K$170, 10, FALSE), "*")</f>
        <v>5224.1889896760895</v>
      </c>
      <c r="AD24" s="157">
        <f ca="1">IF(AD$22&gt;='2.2 Input_General_Information'!$H$20,$F$15*VLOOKUP(AD$22,Growth!$B$130:$K$170, 10, FALSE), "*")</f>
        <v>8232.0663756857321</v>
      </c>
      <c r="AE24" s="157">
        <f ca="1">IF(AE$22&gt;='2.2 Input_General_Information'!$H$20,$F$15*VLOOKUP(AE$22,Growth!$B$130:$K$170, 10, FALSE), "*")</f>
        <v>12928.896951448014</v>
      </c>
      <c r="AF24" s="157">
        <f ca="1">IF(AF$22&gt;='2.2 Input_General_Information'!$H$20,$F$15*VLOOKUP(AF$22,Growth!$B$130:$K$170, 10, FALSE), "*")</f>
        <v>20201.289027789935</v>
      </c>
      <c r="AG24" s="157">
        <f ca="1">IF(AG$22&gt;='2.2 Input_General_Information'!$H$20,$F$15*VLOOKUP(AG$22,Growth!$B$130:$K$170, 10, FALSE), "*")</f>
        <v>31315.448286784987</v>
      </c>
      <c r="AH24" s="157">
        <f ca="1">IF(AH$22&gt;='2.2 Input_General_Information'!$H$20,$F$15*VLOOKUP(AH$22,Growth!$B$130:$K$170, 10, FALSE), "*")</f>
        <v>47966.268943297015</v>
      </c>
      <c r="AI24" s="157">
        <f ca="1">IF(AI$22&gt;='2.2 Input_General_Information'!$H$20,$F$15*VLOOKUP(AI$22,Growth!$B$130:$K$170, 10, FALSE), "*")</f>
        <v>72182.881747058433</v>
      </c>
      <c r="AJ24" s="157">
        <f ca="1">IF(AJ$22&gt;='2.2 Input_General_Information'!$H$20,$F$15*VLOOKUP(AJ$22,Growth!$B$130:$K$170, 10, FALSE), "*")</f>
        <v>105925.65682329025</v>
      </c>
      <c r="AK24" s="157">
        <f ca="1">IF(AK$22&gt;='2.2 Input_General_Information'!$H$20,$F$15*VLOOKUP(AK$22,Growth!$B$130:$K$170, 10, FALSE), "*")</f>
        <v>150238.55430433404</v>
      </c>
      <c r="AL24" s="157">
        <f ca="1">IF(AL$22&gt;='2.2 Input_General_Information'!$H$20,$F$15*VLOOKUP(AL$22,Growth!$B$130:$K$170, 10, FALSE), "*")</f>
        <v>204116.20313243457</v>
      </c>
      <c r="AM24" s="157">
        <f ca="1">IF(AM$22&gt;='2.2 Input_General_Information'!$H$20,$F$15*VLOOKUP(AM$22,Growth!$B$130:$K$170, 10, FALSE), "*")</f>
        <v>263808.48317964043</v>
      </c>
      <c r="AN24" s="157">
        <f ca="1">IF(AN$22&gt;='2.2 Input_General_Information'!$H$20,$F$15*VLOOKUP(AN$22,Growth!$B$130:$K$170, 10, FALSE), "*")</f>
        <v>323500.76322684065</v>
      </c>
      <c r="AO24" s="157">
        <f ca="1">IF(AO$22&gt;='2.2 Input_General_Information'!$H$20,$F$15*VLOOKUP(AO$22,Growth!$B$130:$K$170, 10, FALSE), "*")</f>
        <v>377378.41205492639</v>
      </c>
      <c r="AP24" s="157">
        <f ca="1">IF(AP$22&gt;='2.2 Input_General_Information'!$H$20,$F$15*VLOOKUP(AP$22,Growth!$B$130:$K$170, 10, FALSE), "*")</f>
        <v>421691.30953595106</v>
      </c>
      <c r="AQ24" s="157">
        <f ca="1">IF(AQ$22&gt;='2.2 Input_General_Information'!$H$20,$F$15*VLOOKUP(AQ$22,Growth!$B$130:$K$170, 10, FALSE), "*")</f>
        <v>455434.08461216418</v>
      </c>
      <c r="AR24" s="157">
        <f ca="1">IF(AR$22&gt;='2.2 Input_General_Information'!$H$20,$F$15*VLOOKUP(AR$22,Growth!$B$130:$K$170, 10, FALSE), "*")</f>
        <v>479650.69741590985</v>
      </c>
      <c r="AS24" s="157">
        <f ca="1">IF(AS$22&gt;='2.2 Input_General_Information'!$H$20,$F$15*VLOOKUP(AS$22,Growth!$B$130:$K$170, 10, FALSE), "*")</f>
        <v>496301.51807241008</v>
      </c>
      <c r="AT24" s="157">
        <f ca="1">IF(AT$22&gt;='2.2 Input_General_Information'!$H$20,$F$15*VLOOKUP(AT$22,Growth!$B$130:$K$170, 10, FALSE), "*")</f>
        <v>507415.67733139667</v>
      </c>
      <c r="AU24" s="157">
        <f ca="1">IF(AU$22&gt;='2.2 Input_General_Information'!$H$20,$F$15*VLOOKUP(AU$22,Growth!$B$130:$K$170, 10, FALSE), "*")</f>
        <v>514688.06940773298</v>
      </c>
      <c r="AV24" s="157">
        <f ca="1">IF(AV$22&gt;='2.2 Input_General_Information'!$H$20,$F$15*VLOOKUP(AV$22,Growth!$B$130:$K$170, 10, FALSE), "*")</f>
        <v>519384.89998349146</v>
      </c>
      <c r="AW24" s="157">
        <f ca="1">IF(AW$22&gt;='2.2 Input_General_Information'!$H$20,$F$15*VLOOKUP(AW$22,Growth!$B$130:$K$170, 10, FALSE), "*")</f>
        <v>522392.77736949868</v>
      </c>
      <c r="AX24" s="157">
        <f ca="1">IF(AX$22&gt;='2.2 Input_General_Information'!$H$20,$F$15*VLOOKUP(AX$22,Growth!$B$130:$K$170, 10, FALSE), "*")</f>
        <v>524308.62064635311</v>
      </c>
      <c r="AY24" s="157">
        <f ca="1">IF(AY$22&gt;='2.2 Input_General_Information'!$H$20,$F$15*VLOOKUP(AY$22,Growth!$B$130:$K$170, 10, FALSE), "*")</f>
        <v>525524.68934871408</v>
      </c>
      <c r="AZ24" s="157">
        <f ca="1">IF(AZ$22&gt;='2.2 Input_General_Information'!$H$20,$F$15*VLOOKUP(AZ$22,Growth!$B$130:$K$170, 10, FALSE), "*")</f>
        <v>526294.88743581448</v>
      </c>
      <c r="BA24" s="157">
        <f ca="1">IF(BA$22&gt;='2.2 Input_General_Information'!$H$20,$F$15*VLOOKUP(BA$22,Growth!$B$130:$K$170, 10, FALSE), "*")</f>
        <v>526782.01468269539</v>
      </c>
      <c r="BB24" s="157">
        <f ca="1">IF(BB$22&gt;='2.2 Input_General_Information'!$H$20,$F$15*VLOOKUP(BB$22,Growth!$B$130:$K$170, 10, FALSE), "*")</f>
        <v>527089.83698698669</v>
      </c>
      <c r="BC24" s="157">
        <f ca="1">IF(BC$22&gt;='2.2 Input_General_Information'!$H$20,$F$15*VLOOKUP(BC$22,Growth!$B$130:$K$170, 10, FALSE), "*")</f>
        <v>527284.24587370281</v>
      </c>
      <c r="BD24" s="157">
        <f ca="1">IF(BD$22&gt;='2.2 Input_General_Information'!$H$20,$F$15*VLOOKUP(BD$22,Growth!$B$130:$K$170, 10, FALSE), "*")</f>
        <v>527406.98400840315</v>
      </c>
      <c r="BE24" s="157">
        <f ca="1">IF(BE$22&gt;='2.2 Input_General_Information'!$H$20,$F$15*VLOOKUP(BE$22,Growth!$B$130:$K$170, 10, FALSE), "*")</f>
        <v>527484.45632833976</v>
      </c>
      <c r="BF24" s="157">
        <f ca="1">IF(BF$22&gt;='2.2 Input_General_Information'!$H$20,$F$15*VLOOKUP(BF$22,Growth!$B$130:$K$170, 10, FALSE), "*")</f>
        <v>527533.35001407447</v>
      </c>
      <c r="BG24" s="157">
        <f ca="1">IF(BG$22&gt;='2.2 Input_General_Information'!$H$20,$F$15*VLOOKUP(BG$22,Growth!$B$130:$K$170, 10, FALSE), "*")</f>
        <v>527564.20466253452</v>
      </c>
    </row>
    <row r="25" spans="1:59">
      <c r="A25" s="128"/>
      <c r="B25" s="129"/>
      <c r="C25" s="128"/>
      <c r="D25" s="1"/>
      <c r="E25" s="3"/>
      <c r="F25" s="1"/>
      <c r="G25" s="1"/>
      <c r="H25" s="1"/>
      <c r="I25" s="1"/>
      <c r="J25" s="1"/>
      <c r="K25" s="1"/>
      <c r="L25" s="1"/>
      <c r="M25" s="1"/>
      <c r="N25" s="1"/>
      <c r="O25" s="7"/>
      <c r="P25" s="6"/>
      <c r="Q25" s="6"/>
      <c r="R25" s="9" t="s">
        <v>29</v>
      </c>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row>
    <row r="26" spans="1:59">
      <c r="A26" s="128"/>
      <c r="B26" s="129"/>
      <c r="C26" s="128"/>
      <c r="D26" s="158" t="s">
        <v>718</v>
      </c>
      <c r="E26" s="159"/>
      <c r="F26" s="160"/>
      <c r="G26" s="19"/>
      <c r="H26" s="19"/>
      <c r="I26" s="19"/>
      <c r="J26" s="19"/>
      <c r="K26" s="19"/>
      <c r="L26" s="19"/>
      <c r="M26" s="19"/>
      <c r="N26" s="19"/>
      <c r="O26" s="20"/>
      <c r="P26" s="19"/>
      <c r="Q26" s="19"/>
      <c r="R26" s="19"/>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8"/>
      <c r="AY26" s="98"/>
      <c r="AZ26" s="98"/>
      <c r="BA26" s="98"/>
      <c r="BB26" s="98"/>
      <c r="BC26" s="98"/>
      <c r="BD26" s="98"/>
      <c r="BE26" s="98"/>
      <c r="BF26" s="98"/>
      <c r="BG26" s="98"/>
    </row>
    <row r="27" spans="1:59" ht="5.25" customHeight="1">
      <c r="A27" s="143"/>
      <c r="B27" s="144"/>
      <c r="C27" s="143"/>
      <c r="D27" s="12"/>
      <c r="E27" s="43"/>
      <c r="F27" s="145"/>
      <c r="G27" s="1"/>
      <c r="H27" s="1"/>
      <c r="I27" s="1"/>
      <c r="J27" s="1"/>
      <c r="K27" s="1"/>
      <c r="L27" s="1"/>
      <c r="M27" s="1"/>
      <c r="N27" s="1"/>
      <c r="O27" s="7"/>
      <c r="P27" s="6"/>
      <c r="Q27" s="6"/>
      <c r="R27" s="6"/>
      <c r="S27" s="146"/>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row>
    <row r="28" spans="1:59">
      <c r="A28" s="143"/>
      <c r="B28" s="144" t="s">
        <v>606</v>
      </c>
      <c r="C28" s="143"/>
      <c r="D28" s="147" t="s">
        <v>521</v>
      </c>
      <c r="E28" s="148" t="s">
        <v>291</v>
      </c>
      <c r="F28" s="149">
        <f>'2.3 Input_Main_Questionnaire'!H131</f>
        <v>45000</v>
      </c>
      <c r="G28" s="1"/>
      <c r="H28" s="6"/>
      <c r="I28" s="1"/>
      <c r="J28" s="1"/>
      <c r="K28" s="1"/>
      <c r="L28" s="1"/>
      <c r="M28" s="1"/>
      <c r="N28" s="1"/>
      <c r="O28" s="7"/>
      <c r="P28" s="6"/>
      <c r="Q28" s="6"/>
      <c r="R28" s="6"/>
      <c r="S28" s="150"/>
      <c r="T28" s="150"/>
      <c r="U28" s="150"/>
      <c r="V28" s="150"/>
      <c r="W28" s="150"/>
      <c r="X28" s="150"/>
      <c r="Y28" s="150"/>
      <c r="Z28" s="150"/>
      <c r="AA28" s="150"/>
      <c r="AB28" s="150"/>
      <c r="AC28" s="161"/>
      <c r="AD28" s="150"/>
      <c r="AE28" s="150"/>
      <c r="AF28" s="150"/>
      <c r="AG28" s="150"/>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c r="BF28" s="150"/>
      <c r="BG28" s="150"/>
    </row>
    <row r="29" spans="1:59" ht="5.25" customHeight="1">
      <c r="A29" s="128"/>
      <c r="B29" s="144"/>
      <c r="C29" s="128"/>
      <c r="D29" s="12"/>
      <c r="E29" s="43"/>
      <c r="F29" s="145"/>
      <c r="G29" s="1"/>
      <c r="H29" s="1"/>
      <c r="I29" s="1"/>
      <c r="J29" s="1"/>
      <c r="K29" s="1"/>
      <c r="L29" s="1"/>
      <c r="M29" s="1"/>
      <c r="N29" s="1"/>
      <c r="O29" s="7"/>
      <c r="P29" s="6"/>
      <c r="Q29" s="6"/>
      <c r="R29" s="6"/>
      <c r="S29" s="146"/>
      <c r="T29" s="146"/>
      <c r="U29" s="146"/>
      <c r="V29" s="146"/>
      <c r="W29" s="146"/>
      <c r="X29" s="146"/>
      <c r="Y29" s="146"/>
      <c r="Z29" s="146"/>
      <c r="AA29" s="146"/>
      <c r="AB29" s="146"/>
      <c r="AC29" s="146"/>
      <c r="AD29" s="146"/>
      <c r="AE29" s="146"/>
      <c r="AF29" s="146"/>
      <c r="AG29" s="146"/>
      <c r="AH29" s="146"/>
      <c r="AI29" s="146"/>
      <c r="AJ29" s="146"/>
      <c r="AK29" s="146"/>
      <c r="AL29" s="146"/>
      <c r="AM29" s="146"/>
      <c r="AN29" s="146"/>
      <c r="AO29" s="146"/>
      <c r="AP29" s="146"/>
      <c r="AQ29" s="146"/>
      <c r="AR29" s="146"/>
      <c r="AS29" s="146"/>
      <c r="AT29" s="146"/>
      <c r="AU29" s="146"/>
      <c r="AV29" s="146"/>
      <c r="AW29" s="146"/>
      <c r="AX29" s="146"/>
      <c r="AY29" s="146"/>
      <c r="AZ29" s="146"/>
      <c r="BA29" s="146"/>
      <c r="BB29" s="146"/>
      <c r="BC29" s="146"/>
      <c r="BD29" s="146"/>
      <c r="BE29" s="146"/>
      <c r="BF29" s="146"/>
      <c r="BG29" s="146"/>
    </row>
    <row r="30" spans="1:59">
      <c r="A30" s="128"/>
      <c r="B30" s="144" t="s">
        <v>648</v>
      </c>
      <c r="C30" s="128"/>
      <c r="D30" s="147" t="s">
        <v>528</v>
      </c>
      <c r="E30" s="148" t="s">
        <v>291</v>
      </c>
      <c r="F30" s="149">
        <f>-'2.3 Input_Main_Questionnaire'!H296</f>
        <v>-4000</v>
      </c>
      <c r="G30" s="1"/>
      <c r="H30" s="1"/>
      <c r="I30" s="1"/>
      <c r="J30" s="1"/>
      <c r="K30" s="1"/>
      <c r="L30" s="1"/>
      <c r="M30" s="1"/>
      <c r="N30" s="1"/>
      <c r="O30" s="7"/>
      <c r="P30" s="6"/>
      <c r="Q30" s="6"/>
      <c r="R30" s="6"/>
      <c r="S30" s="146"/>
      <c r="T30" s="146"/>
      <c r="U30" s="146"/>
      <c r="V30" s="146"/>
      <c r="W30" s="146"/>
      <c r="X30" s="146"/>
      <c r="Y30" s="146"/>
      <c r="Z30" s="146"/>
      <c r="AA30" s="146"/>
      <c r="AB30" s="146"/>
      <c r="AC30" s="146"/>
      <c r="AD30" s="146"/>
      <c r="AE30" s="146"/>
      <c r="AF30" s="146"/>
      <c r="AG30" s="146"/>
      <c r="AH30" s="146"/>
      <c r="AI30" s="146"/>
      <c r="AJ30" s="146"/>
      <c r="AK30" s="146"/>
      <c r="AL30" s="146"/>
      <c r="AM30" s="146"/>
      <c r="AN30" s="146"/>
      <c r="AO30" s="146"/>
      <c r="AP30" s="146"/>
      <c r="AQ30" s="146"/>
      <c r="AR30" s="146"/>
      <c r="AS30" s="146"/>
      <c r="AT30" s="146"/>
      <c r="AU30" s="146"/>
      <c r="AV30" s="146"/>
      <c r="AW30" s="146"/>
      <c r="AX30" s="146"/>
      <c r="AY30" s="146"/>
      <c r="AZ30" s="146"/>
      <c r="BA30" s="146"/>
      <c r="BB30" s="146"/>
      <c r="BC30" s="146"/>
      <c r="BD30" s="146"/>
      <c r="BE30" s="146"/>
      <c r="BF30" s="146"/>
      <c r="BG30" s="146"/>
    </row>
    <row r="31" spans="1:59" ht="17.45" customHeight="1">
      <c r="A31" s="128"/>
      <c r="B31" s="129"/>
      <c r="C31" s="128"/>
      <c r="D31" s="1"/>
      <c r="E31" s="3"/>
      <c r="F31" s="1"/>
      <c r="G31" s="1"/>
      <c r="H31" s="1"/>
      <c r="I31" s="1"/>
      <c r="J31" s="1"/>
      <c r="K31" s="1"/>
      <c r="L31" s="1"/>
      <c r="M31" s="1"/>
      <c r="N31" s="1"/>
      <c r="O31" s="7"/>
      <c r="P31" s="6"/>
      <c r="Q31" s="6"/>
      <c r="R31" s="9" t="s">
        <v>5</v>
      </c>
      <c r="S31" s="150">
        <f>Growth!B20</f>
        <v>2018</v>
      </c>
      <c r="T31" s="150">
        <f t="shared" ref="T31:BG31" si="2">S31+1</f>
        <v>2019</v>
      </c>
      <c r="U31" s="150">
        <f t="shared" si="2"/>
        <v>2020</v>
      </c>
      <c r="V31" s="150">
        <f t="shared" si="2"/>
        <v>2021</v>
      </c>
      <c r="W31" s="150">
        <f t="shared" si="2"/>
        <v>2022</v>
      </c>
      <c r="X31" s="150">
        <f t="shared" si="2"/>
        <v>2023</v>
      </c>
      <c r="Y31" s="150">
        <f t="shared" si="2"/>
        <v>2024</v>
      </c>
      <c r="Z31" s="150">
        <f t="shared" si="2"/>
        <v>2025</v>
      </c>
      <c r="AA31" s="150">
        <f t="shared" si="2"/>
        <v>2026</v>
      </c>
      <c r="AB31" s="150">
        <f t="shared" si="2"/>
        <v>2027</v>
      </c>
      <c r="AC31" s="150">
        <f t="shared" si="2"/>
        <v>2028</v>
      </c>
      <c r="AD31" s="150">
        <f t="shared" si="2"/>
        <v>2029</v>
      </c>
      <c r="AE31" s="150">
        <f t="shared" si="2"/>
        <v>2030</v>
      </c>
      <c r="AF31" s="150">
        <f t="shared" si="2"/>
        <v>2031</v>
      </c>
      <c r="AG31" s="150">
        <f t="shared" si="2"/>
        <v>2032</v>
      </c>
      <c r="AH31" s="150">
        <f t="shared" si="2"/>
        <v>2033</v>
      </c>
      <c r="AI31" s="150">
        <f t="shared" si="2"/>
        <v>2034</v>
      </c>
      <c r="AJ31" s="150">
        <f t="shared" si="2"/>
        <v>2035</v>
      </c>
      <c r="AK31" s="150">
        <f t="shared" si="2"/>
        <v>2036</v>
      </c>
      <c r="AL31" s="150">
        <f t="shared" si="2"/>
        <v>2037</v>
      </c>
      <c r="AM31" s="150">
        <f t="shared" si="2"/>
        <v>2038</v>
      </c>
      <c r="AN31" s="150">
        <f t="shared" si="2"/>
        <v>2039</v>
      </c>
      <c r="AO31" s="150">
        <f t="shared" si="2"/>
        <v>2040</v>
      </c>
      <c r="AP31" s="150">
        <f t="shared" si="2"/>
        <v>2041</v>
      </c>
      <c r="AQ31" s="150">
        <f t="shared" si="2"/>
        <v>2042</v>
      </c>
      <c r="AR31" s="150">
        <f t="shared" si="2"/>
        <v>2043</v>
      </c>
      <c r="AS31" s="150">
        <f t="shared" si="2"/>
        <v>2044</v>
      </c>
      <c r="AT31" s="150">
        <f t="shared" si="2"/>
        <v>2045</v>
      </c>
      <c r="AU31" s="150">
        <f t="shared" si="2"/>
        <v>2046</v>
      </c>
      <c r="AV31" s="150">
        <f t="shared" si="2"/>
        <v>2047</v>
      </c>
      <c r="AW31" s="150">
        <f t="shared" si="2"/>
        <v>2048</v>
      </c>
      <c r="AX31" s="150">
        <f t="shared" si="2"/>
        <v>2049</v>
      </c>
      <c r="AY31" s="150">
        <f t="shared" si="2"/>
        <v>2050</v>
      </c>
      <c r="AZ31" s="150">
        <f t="shared" si="2"/>
        <v>2051</v>
      </c>
      <c r="BA31" s="150">
        <f t="shared" si="2"/>
        <v>2052</v>
      </c>
      <c r="BB31" s="150">
        <f t="shared" si="2"/>
        <v>2053</v>
      </c>
      <c r="BC31" s="150">
        <f t="shared" si="2"/>
        <v>2054</v>
      </c>
      <c r="BD31" s="150">
        <f t="shared" si="2"/>
        <v>2055</v>
      </c>
      <c r="BE31" s="150">
        <f t="shared" si="2"/>
        <v>2056</v>
      </c>
      <c r="BF31" s="150">
        <f t="shared" si="2"/>
        <v>2057</v>
      </c>
      <c r="BG31" s="150">
        <f t="shared" si="2"/>
        <v>2058</v>
      </c>
    </row>
    <row r="32" spans="1:59">
      <c r="A32" s="128"/>
      <c r="B32" s="129"/>
      <c r="C32" s="128"/>
      <c r="D32" s="1"/>
      <c r="E32" s="3"/>
      <c r="F32" s="1"/>
      <c r="G32" s="1"/>
      <c r="H32" s="1"/>
      <c r="I32" s="1"/>
      <c r="J32" s="1"/>
      <c r="K32" s="1"/>
      <c r="L32" s="1"/>
      <c r="M32" s="1"/>
      <c r="N32" s="1"/>
      <c r="O32" s="7"/>
      <c r="P32" s="6"/>
      <c r="Q32" s="6"/>
      <c r="R32" s="103" t="str">
        <f>D28</f>
        <v>Licensing saving to access studies</v>
      </c>
      <c r="S32" s="157">
        <f ca="1">IF(S$22&gt;='2.2 Input_General_Information'!$H$20,IF($F$28=0,0,$F$28*VLOOKUP(S$22,Growth!$B$197:$R$237, 17, FALSE)),)</f>
        <v>0</v>
      </c>
      <c r="T32" s="157">
        <f ca="1">IF(T$22&gt;='2.2 Input_General_Information'!$H$20,IF($F$28=0,0,$F$28*VLOOKUP(T$22,Growth!$B$197:$R$237, 17, FALSE)),)</f>
        <v>422.01422461234108</v>
      </c>
      <c r="U32" s="157">
        <f ca="1">IF(U$22&gt;='2.2 Input_General_Information'!$H$20,IF($F$28=0,0,$F$28*VLOOKUP(U$22,Growth!$B$197:$R$237, 17, FALSE)),)</f>
        <v>858.39793969228617</v>
      </c>
      <c r="V32" s="157">
        <f ca="1">IF(V$22&gt;='2.2 Input_General_Information'!$H$20,IF($F$28=0,0,$F$28*VLOOKUP(V$22,Growth!$B$197:$R$237, 17, FALSE)),)</f>
        <v>1309.1364639394485</v>
      </c>
      <c r="W32" s="157">
        <f ca="1">IF(W$22&gt;='2.2 Input_General_Information'!$H$20,IF($F$28=0,0,$F$28*VLOOKUP(W$22,Growth!$B$197:$R$237, 17, FALSE)),)</f>
        <v>1774.1649579342734</v>
      </c>
      <c r="X32" s="157">
        <f ca="1">IF(X$22&gt;='2.2 Input_General_Information'!$H$20,IF($F$28=0,0,$F$28*VLOOKUP(X$22,Growth!$B$197:$R$237, 17, FALSE)),)</f>
        <v>2253.3655118014808</v>
      </c>
      <c r="Y32" s="157">
        <f ca="1">IF(Y$22&gt;='2.2 Input_General_Information'!$H$20,IF($F$28=0,0,$F$28*VLOOKUP(Y$22,Growth!$B$197:$R$237, 17, FALSE)),)</f>
        <v>2746.5644903094785</v>
      </c>
      <c r="Z32" s="157">
        <f ca="1">IF(Z$22&gt;='2.2 Input_General_Information'!$H$20,IF($F$28=0,0,$F$28*VLOOKUP(Z$22,Growth!$B$197:$R$237, 17, FALSE)),)</f>
        <v>3253.5301923304182</v>
      </c>
      <c r="AA32" s="157">
        <f ca="1">IF(AA$22&gt;='2.2 Input_General_Information'!$H$20,IF($F$28=0,0,$F$28*VLOOKUP(AA$22,Growth!$B$197:$R$237, 17, FALSE)),)</f>
        <v>3773.9708817966516</v>
      </c>
      <c r="AB32" s="157">
        <f ca="1">IF(AB$22&gt;='2.2 Input_General_Information'!$H$20,IF($F$28=0,0,$F$28*VLOOKUP(AB$22,Growth!$B$197:$R$237, 17, FALSE)),)</f>
        <v>4307.5332462381384</v>
      </c>
      <c r="AC32" s="157">
        <f ca="1">IF(AC$22&gt;='2.2 Input_General_Information'!$H$20,IF($F$28=0,0,$F$28*VLOOKUP(AC$22,Growth!$B$197:$R$237, 17, FALSE)),)</f>
        <v>4853.8013365496081</v>
      </c>
      <c r="AD32" s="157">
        <f ca="1">IF(AD$22&gt;='2.2 Input_General_Information'!$H$20,IF($F$28=0,0,$F$28*VLOOKUP(AD$22,Growth!$B$197:$R$237, 17, FALSE)),)</f>
        <v>5412.2960377268673</v>
      </c>
      <c r="AE32" s="157">
        <f ca="1">IF(AE$22&gt;='2.2 Input_General_Information'!$H$20,IF($F$28=0,0,$F$28*VLOOKUP(AE$22,Growth!$B$197:$R$237, 17, FALSE)),)</f>
        <v>5982.4751148799132</v>
      </c>
      <c r="AF32" s="157">
        <f ca="1">IF(AF$22&gt;='2.2 Input_General_Information'!$H$20,IF($F$28=0,0,$F$28*VLOOKUP(AF$22,Growth!$B$197:$R$237, 17, FALSE)),)</f>
        <v>6563.7338718765523</v>
      </c>
      <c r="AG32" s="157">
        <f ca="1">IF(AG$22&gt;='2.2 Input_General_Information'!$H$20,IF($F$28=0,0,$F$28*VLOOKUP(AG$22,Growth!$B$197:$R$237, 17, FALSE)),)</f>
        <v>7155.4064515484979</v>
      </c>
      <c r="AH32" s="157">
        <f ca="1">IF(AH$22&gt;='2.2 Input_General_Information'!$H$20,IF($F$28=0,0,$F$28*VLOOKUP(AH$22,Growth!$B$197:$R$237, 17, FALSE)),)</f>
        <v>7756.7677966151496</v>
      </c>
      <c r="AI32" s="157">
        <f ca="1">IF(AI$22&gt;='2.2 Input_General_Information'!$H$20,IF($F$28=0,0,$F$28*VLOOKUP(AI$22,Growth!$B$197:$R$237, 17, FALSE)),)</f>
        <v>8367.0362795217225</v>
      </c>
      <c r="AJ32" s="157">
        <f ca="1">IF(AJ$22&gt;='2.2 Input_General_Information'!$H$20,IF($F$28=0,0,$F$28*VLOOKUP(AJ$22,Growth!$B$197:$R$237, 17, FALSE)),)</f>
        <v>8985.3769974802872</v>
      </c>
      <c r="AK32" s="157">
        <f ca="1">IF(AK$22&gt;='2.2 Input_General_Information'!$H$20,IF($F$28=0,0,$F$28*VLOOKUP(AK$22,Growth!$B$197:$R$237, 17, FALSE)),)</f>
        <v>9610.9057164300939</v>
      </c>
      <c r="AL32" s="157">
        <f ca="1">IF(AL$22&gt;='2.2 Input_General_Information'!$H$20,IF($F$28=0,0,$F$28*VLOOKUP(AL$22,Growth!$B$197:$R$237, 17, FALSE)),)</f>
        <v>10242.693434731151</v>
      </c>
      <c r="AM32" s="157">
        <f ca="1">IF(AM$22&gt;='2.2 Input_General_Information'!$H$20,IF($F$28=0,0,$F$28*VLOOKUP(AM$22,Growth!$B$197:$R$237, 17, FALSE)),)</f>
        <v>10879.771524539638</v>
      </c>
      <c r="AN32" s="157">
        <f ca="1">IF(AN$22&gt;='2.2 Input_General_Information'!$H$20,IF($F$28=0,0,$F$28*VLOOKUP(AN$22,Growth!$B$197:$R$237, 17, FALSE)),)</f>
        <v>11521.137396376664</v>
      </c>
      <c r="AO32" s="157">
        <f ca="1">IF(AO$22&gt;='2.2 Input_General_Information'!$H$20,IF($F$28=0,0,$F$28*VLOOKUP(AO$22,Growth!$B$197:$R$237, 17, FALSE)),)</f>
        <v>12165.760620788313</v>
      </c>
      <c r="AP32" s="157">
        <f ca="1">IF(AP$22&gt;='2.2 Input_General_Information'!$H$20,IF($F$28=0,0,$F$28*VLOOKUP(AP$22,Growth!$B$197:$R$237, 17, FALSE)),)</f>
        <v>12812.589430590997</v>
      </c>
      <c r="AQ32" s="157">
        <f ca="1">IF(AQ$22&gt;='2.2 Input_General_Information'!$H$20,IF($F$28=0,0,$F$28*VLOOKUP(AQ$22,Growth!$B$197:$R$237, 17, FALSE)),)</f>
        <v>13460.55751835674</v>
      </c>
      <c r="AR32" s="157">
        <f ca="1">IF(AR$22&gt;='2.2 Input_General_Information'!$H$20,IF($F$28=0,0,$F$28*VLOOKUP(AR$22,Growth!$B$197:$R$237, 17, FALSE)),)</f>
        <v>14108.591036829521</v>
      </c>
      <c r="AS32" s="157">
        <f ca="1">IF(AS$22&gt;='2.2 Input_General_Information'!$H$20,IF($F$28=0,0,$F$28*VLOOKUP(AS$22,Growth!$B$197:$R$237, 17, FALSE)),)</f>
        <v>14755.615705124384</v>
      </c>
      <c r="AT32" s="157">
        <f ca="1">IF(AT$22&gt;='2.2 Input_General_Information'!$H$20,IF($F$28=0,0,$F$28*VLOOKUP(AT$22,Growth!$B$197:$R$237, 17, FALSE)),)</f>
        <v>15400.563921021783</v>
      </c>
      <c r="AU32" s="157">
        <f ca="1">IF(AU$22&gt;='2.2 Input_General_Information'!$H$20,IF($F$28=0,0,$F$28*VLOOKUP(AU$22,Growth!$B$197:$R$237, 17, FALSE)),)</f>
        <v>16042.381779522844</v>
      </c>
      <c r="AV32" s="157">
        <f ca="1">IF(AV$22&gt;='2.2 Input_General_Information'!$H$20,IF($F$28=0,0,$F$28*VLOOKUP(AV$22,Growth!$B$197:$R$237, 17, FALSE)),)</f>
        <v>16680.035900082759</v>
      </c>
      <c r="AW32" s="157">
        <f ca="1">IF(AW$22&gt;='2.2 Input_General_Information'!$H$20,IF($F$28=0,0,$F$28*VLOOKUP(AW$22,Growth!$B$197:$R$237, 17, FALSE)),)</f>
        <v>17312.519969506582</v>
      </c>
      <c r="AX32" s="157">
        <f ca="1">IF(AX$22&gt;='2.2 Input_General_Information'!$H$20,IF($F$28=0,0,$F$28*VLOOKUP(AX$22,Growth!$B$197:$R$237, 17, FALSE)),)</f>
        <v>17938.860914208835</v>
      </c>
      <c r="AY32" s="157">
        <f ca="1">IF(AY$22&gt;='2.2 Input_General_Information'!$H$20,IF($F$28=0,0,$F$28*VLOOKUP(AY$22,Growth!$B$197:$R$237, 17, FALSE)),)</f>
        <v>18558.124624164757</v>
      </c>
      <c r="AZ32" s="157">
        <f ca="1">IF(AZ$22&gt;='2.2 Input_General_Information'!$H$20,IF($F$28=0,0,$F$28*VLOOKUP(AZ$22,Growth!$B$197:$R$237, 17, FALSE)),)</f>
        <v>19169.421161112914</v>
      </c>
      <c r="BA32" s="157">
        <f ca="1">IF(BA$22&gt;='2.2 Input_General_Information'!$H$20,IF($F$28=0,0,$F$28*VLOOKUP(BA$22,Growth!$B$197:$R$237, 17, FALSE)),)</f>
        <v>19771.909395055398</v>
      </c>
      <c r="BB32" s="157">
        <f ca="1">IF(BB$22&gt;='2.2 Input_General_Information'!$H$20,IF($F$28=0,0,$F$28*VLOOKUP(BB$22,Growth!$B$197:$R$237, 17, FALSE)),)</f>
        <v>20364.801025459739</v>
      </c>
      <c r="BC32" s="157">
        <f ca="1">IF(BC$22&gt;='2.2 Input_General_Information'!$H$20,IF($F$28=0,0,$F$28*VLOOKUP(BC$22,Growth!$B$197:$R$237, 17, FALSE)),)</f>
        <v>20947.363956401125</v>
      </c>
      <c r="BD32" s="157">
        <f ca="1">IF(BD$22&gt;='2.2 Input_General_Information'!$H$20,IF($F$28=0,0,$F$28*VLOOKUP(BD$22,Growth!$B$197:$R$237, 17, FALSE)),)</f>
        <v>21518.925007801688</v>
      </c>
      <c r="BE32" s="157">
        <f ca="1">IF(BE$22&gt;='2.2 Input_General_Information'!$H$20,IF($F$28=0,0,$F$28*VLOOKUP(BE$22,Growth!$B$197:$R$237, 17, FALSE)),)</f>
        <v>22078.871957554475</v>
      </c>
      <c r="BF32" s="157">
        <f ca="1">IF(BF$22&gt;='2.2 Input_General_Information'!$H$20,IF($F$28=0,0,$F$28*VLOOKUP(BF$22,Growth!$B$197:$R$237, 17, FALSE)),)</f>
        <v>22626.654921325164</v>
      </c>
      <c r="BG32" s="157">
        <f ca="1">IF(BG$22&gt;='2.2 Input_General_Information'!$H$20,IF($F$28=0,0,$F$28*VLOOKUP(BG$22,Growth!$B$197:$R$237, 17, FALSE)),)</f>
        <v>23161.787087912096</v>
      </c>
    </row>
    <row r="33" spans="1:59">
      <c r="A33" s="128"/>
      <c r="B33" s="129"/>
      <c r="C33" s="128"/>
      <c r="D33" s="1"/>
      <c r="E33" s="3"/>
      <c r="F33" s="1"/>
      <c r="G33" s="1"/>
      <c r="H33" s="1"/>
      <c r="I33" s="1"/>
      <c r="J33" s="1"/>
      <c r="K33" s="1"/>
      <c r="L33" s="1"/>
      <c r="M33" s="1"/>
      <c r="N33" s="1"/>
      <c r="O33" s="7"/>
      <c r="P33" s="6"/>
      <c r="Q33" s="6"/>
      <c r="R33" s="103" t="str">
        <f>D30</f>
        <v>Decreasing revenue from licensing fees and royalties</v>
      </c>
      <c r="S33" s="157">
        <f ca="1">IF(S$22&gt;='2.2 Input_General_Information'!$H$20,IF($F$30=0,0,$F$30*VLOOKUP(S$22,Growth!$B$197:$T$237, 18, FALSE)),)</f>
        <v>-799.99999999996783</v>
      </c>
      <c r="T33" s="157">
        <f ca="1">IF(T$22&gt;='2.2 Input_General_Information'!$H$20,IF($F$30=0,0,$F$30*VLOOKUP(T$22,Growth!$B$197:$T$237, 18, FALSE)),)</f>
        <v>-3581.134057101272</v>
      </c>
      <c r="U33" s="157">
        <f ca="1">IF(U$22&gt;='2.2 Input_General_Information'!$H$20,IF($F$30=0,0,$F$30*VLOOKUP(U$22,Growth!$B$197:$T$237, 18, FALSE)),)</f>
        <v>-3986.3659113993276</v>
      </c>
      <c r="V33" s="157">
        <f ca="1">IF(V$22&gt;='2.2 Input_General_Information'!$H$20,IF($F$30=0,0,$F$30*VLOOKUP(V$22,Growth!$B$197:$T$237, 18, FALSE)),)</f>
        <v>-3999.6000000000004</v>
      </c>
      <c r="W33" s="157">
        <f ca="1">IF(W$22&gt;='2.2 Input_General_Information'!$H$20,IF($F$30=0,0,$F$30*VLOOKUP(W$22,Growth!$B$197:$T$237, 18, FALSE)),)</f>
        <v>-4000</v>
      </c>
      <c r="X33" s="157">
        <f ca="1">IF(X$22&gt;='2.2 Input_General_Information'!$H$20,IF($F$30=0,0,$F$30*VLOOKUP(X$22,Growth!$B$197:$T$237, 18, FALSE)),)</f>
        <v>-4000</v>
      </c>
      <c r="Y33" s="157">
        <f ca="1">IF(Y$22&gt;='2.2 Input_General_Information'!$H$20,IF($F$30=0,0,$F$30*VLOOKUP(Y$22,Growth!$B$197:$T$237, 18, FALSE)),)</f>
        <v>-4000</v>
      </c>
      <c r="Z33" s="157">
        <f ca="1">IF(Z$22&gt;='2.2 Input_General_Information'!$H$20,IF($F$30=0,0,$F$30*VLOOKUP(Z$22,Growth!$B$197:$T$237, 18, FALSE)),)</f>
        <v>-4000</v>
      </c>
      <c r="AA33" s="157">
        <f ca="1">IF(AA$22&gt;='2.2 Input_General_Information'!$H$20,IF($F$30=0,0,$F$30*VLOOKUP(AA$22,Growth!$B$197:$T$237, 18, FALSE)),)</f>
        <v>-4000</v>
      </c>
      <c r="AB33" s="157">
        <f ca="1">IF(AB$22&gt;='2.2 Input_General_Information'!$H$20,IF($F$30=0,0,$F$30*VLOOKUP(AB$22,Growth!$B$197:$T$237, 18, FALSE)),)</f>
        <v>-4000</v>
      </c>
      <c r="AC33" s="157">
        <f ca="1">IF(AC$22&gt;='2.2 Input_General_Information'!$H$20,IF($F$30=0,0,$F$30*VLOOKUP(AC$22,Growth!$B$197:$T$237, 18, FALSE)),)</f>
        <v>-4000</v>
      </c>
      <c r="AD33" s="157">
        <f ca="1">IF(AD$22&gt;='2.2 Input_General_Information'!$H$20,IF($F$30=0,0,$F$30*VLOOKUP(AD$22,Growth!$B$197:$T$237, 18, FALSE)),)</f>
        <v>-4000</v>
      </c>
      <c r="AE33" s="157">
        <f ca="1">IF(AE$22&gt;='2.2 Input_General_Information'!$H$20,IF($F$30=0,0,$F$30*VLOOKUP(AE$22,Growth!$B$197:$T$237, 18, FALSE)),)</f>
        <v>-4000</v>
      </c>
      <c r="AF33" s="157">
        <f ca="1">IF(AF$22&gt;='2.2 Input_General_Information'!$H$20,IF($F$30=0,0,$F$30*VLOOKUP(AF$22,Growth!$B$197:$T$237, 18, FALSE)),)</f>
        <v>-4000</v>
      </c>
      <c r="AG33" s="157">
        <f ca="1">IF(AG$22&gt;='2.2 Input_General_Information'!$H$20,IF($F$30=0,0,$F$30*VLOOKUP(AG$22,Growth!$B$197:$T$237, 18, FALSE)),)</f>
        <v>-4000</v>
      </c>
      <c r="AH33" s="157">
        <f ca="1">IF(AH$22&gt;='2.2 Input_General_Information'!$H$20,IF($F$30=0,0,$F$30*VLOOKUP(AH$22,Growth!$B$197:$T$237, 18, FALSE)),)</f>
        <v>-4000</v>
      </c>
      <c r="AI33" s="157">
        <f ca="1">IF(AI$22&gt;='2.2 Input_General_Information'!$H$20,IF($F$30=0,0,$F$30*VLOOKUP(AI$22,Growth!$B$197:$T$237, 18, FALSE)),)</f>
        <v>-4000</v>
      </c>
      <c r="AJ33" s="157">
        <f ca="1">IF(AJ$22&gt;='2.2 Input_General_Information'!$H$20,IF($F$30=0,0,$F$30*VLOOKUP(AJ$22,Growth!$B$197:$T$237, 18, FALSE)),)</f>
        <v>-4000</v>
      </c>
      <c r="AK33" s="157">
        <f ca="1">IF(AK$22&gt;='2.2 Input_General_Information'!$H$20,IF($F$30=0,0,$F$30*VLOOKUP(AK$22,Growth!$B$197:$T$237, 18, FALSE)),)</f>
        <v>-4000</v>
      </c>
      <c r="AL33" s="157">
        <f ca="1">IF(AL$22&gt;='2.2 Input_General_Information'!$H$20,IF($F$30=0,0,$F$30*VLOOKUP(AL$22,Growth!$B$197:$T$237, 18, FALSE)),)</f>
        <v>-4000</v>
      </c>
      <c r="AM33" s="157">
        <f ca="1">IF(AM$22&gt;='2.2 Input_General_Information'!$H$20,IF($F$30=0,0,$F$30*VLOOKUP(AM$22,Growth!$B$197:$T$237, 18, FALSE)),)</f>
        <v>-4000</v>
      </c>
      <c r="AN33" s="157">
        <f ca="1">IF(AN$22&gt;='2.2 Input_General_Information'!$H$20,IF($F$30=0,0,$F$30*VLOOKUP(AN$22,Growth!$B$197:$T$237, 18, FALSE)),)</f>
        <v>-4000</v>
      </c>
      <c r="AO33" s="157">
        <f ca="1">IF(AO$22&gt;='2.2 Input_General_Information'!$H$20,IF($F$30=0,0,$F$30*VLOOKUP(AO$22,Growth!$B$197:$T$237, 18, FALSE)),)</f>
        <v>-4000</v>
      </c>
      <c r="AP33" s="157">
        <f ca="1">IF(AP$22&gt;='2.2 Input_General_Information'!$H$20,IF($F$30=0,0,$F$30*VLOOKUP(AP$22,Growth!$B$197:$T$237, 18, FALSE)),)</f>
        <v>-4000</v>
      </c>
      <c r="AQ33" s="157">
        <f ca="1">IF(AQ$22&gt;='2.2 Input_General_Information'!$H$20,IF($F$30=0,0,$F$30*VLOOKUP(AQ$22,Growth!$B$197:$T$237, 18, FALSE)),)</f>
        <v>-4000</v>
      </c>
      <c r="AR33" s="157">
        <f ca="1">IF(AR$22&gt;='2.2 Input_General_Information'!$H$20,IF($F$30=0,0,$F$30*VLOOKUP(AR$22,Growth!$B$197:$T$237, 18, FALSE)),)</f>
        <v>-4000</v>
      </c>
      <c r="AS33" s="157">
        <f ca="1">IF(AS$22&gt;='2.2 Input_General_Information'!$H$20,IF($F$30=0,0,$F$30*VLOOKUP(AS$22,Growth!$B$197:$T$237, 18, FALSE)),)</f>
        <v>-4000</v>
      </c>
      <c r="AT33" s="157">
        <f ca="1">IF(AT$22&gt;='2.2 Input_General_Information'!$H$20,IF($F$30=0,0,$F$30*VLOOKUP(AT$22,Growth!$B$197:$T$237, 18, FALSE)),)</f>
        <v>-4000</v>
      </c>
      <c r="AU33" s="157">
        <f ca="1">IF(AU$22&gt;='2.2 Input_General_Information'!$H$20,IF($F$30=0,0,$F$30*VLOOKUP(AU$22,Growth!$B$197:$T$237, 18, FALSE)),)</f>
        <v>-4000</v>
      </c>
      <c r="AV33" s="157">
        <f ca="1">IF(AV$22&gt;='2.2 Input_General_Information'!$H$20,IF($F$30=0,0,$F$30*VLOOKUP(AV$22,Growth!$B$197:$T$237, 18, FALSE)),)</f>
        <v>-4000</v>
      </c>
      <c r="AW33" s="157">
        <f ca="1">IF(AW$22&gt;='2.2 Input_General_Information'!$H$20,IF($F$30=0,0,$F$30*VLOOKUP(AW$22,Growth!$B$197:$T$237, 18, FALSE)),)</f>
        <v>-4000</v>
      </c>
      <c r="AX33" s="157">
        <f ca="1">IF(AX$22&gt;='2.2 Input_General_Information'!$H$20,IF($F$30=0,0,$F$30*VLOOKUP(AX$22,Growth!$B$197:$T$237, 18, FALSE)),)</f>
        <v>-4000</v>
      </c>
      <c r="AY33" s="157">
        <f ca="1">IF(AY$22&gt;='2.2 Input_General_Information'!$H$20,IF($F$30=0,0,$F$30*VLOOKUP(AY$22,Growth!$B$197:$T$237, 18, FALSE)),)</f>
        <v>-4000</v>
      </c>
      <c r="AZ33" s="157">
        <f ca="1">IF(AZ$22&gt;='2.2 Input_General_Information'!$H$20,IF($F$30=0,0,$F$30*VLOOKUP(AZ$22,Growth!$B$197:$T$237, 18, FALSE)),)</f>
        <v>-4000</v>
      </c>
      <c r="BA33" s="157">
        <f ca="1">IF(BA$22&gt;='2.2 Input_General_Information'!$H$20,IF($F$30=0,0,$F$30*VLOOKUP(BA$22,Growth!$B$197:$T$237, 18, FALSE)),)</f>
        <v>-4000</v>
      </c>
      <c r="BB33" s="157">
        <f ca="1">IF(BB$22&gt;='2.2 Input_General_Information'!$H$20,IF($F$30=0,0,$F$30*VLOOKUP(BB$22,Growth!$B$197:$T$237, 18, FALSE)),)</f>
        <v>-4000</v>
      </c>
      <c r="BC33" s="157">
        <f ca="1">IF(BC$22&gt;='2.2 Input_General_Information'!$H$20,IF($F$30=0,0,$F$30*VLOOKUP(BC$22,Growth!$B$197:$T$237, 18, FALSE)),)</f>
        <v>-4000</v>
      </c>
      <c r="BD33" s="157">
        <f ca="1">IF(BD$22&gt;='2.2 Input_General_Information'!$H$20,IF($F$30=0,0,$F$30*VLOOKUP(BD$22,Growth!$B$197:$T$237, 18, FALSE)),)</f>
        <v>-4000</v>
      </c>
      <c r="BE33" s="157">
        <f ca="1">IF(BE$22&gt;='2.2 Input_General_Information'!$H$20,IF($F$30=0,0,$F$30*VLOOKUP(BE$22,Growth!$B$197:$T$237, 18, FALSE)),)</f>
        <v>-4000</v>
      </c>
      <c r="BF33" s="157">
        <f ca="1">IF(BF$22&gt;='2.2 Input_General_Information'!$H$20,IF($F$30=0,0,$F$30*VLOOKUP(BF$22,Growth!$B$197:$T$237, 18, FALSE)),)</f>
        <v>-4000</v>
      </c>
      <c r="BG33" s="157">
        <f ca="1">IF(BG$22&gt;='2.2 Input_General_Information'!$H$20,IF($F$30=0,0,$F$30*VLOOKUP(BG$22,Growth!$B$197:$T$237, 18, FALSE)),)</f>
        <v>-4000</v>
      </c>
    </row>
    <row r="34" spans="1:59">
      <c r="A34" s="128"/>
      <c r="B34" s="129"/>
      <c r="C34" s="128"/>
      <c r="D34" s="1"/>
      <c r="E34" s="3"/>
      <c r="F34" s="1"/>
      <c r="G34" s="1"/>
      <c r="H34" s="1"/>
      <c r="I34" s="1"/>
      <c r="J34" s="1"/>
      <c r="K34" s="1"/>
      <c r="L34" s="1"/>
      <c r="M34" s="1"/>
      <c r="N34" s="1"/>
      <c r="O34" s="7"/>
      <c r="P34" s="6"/>
      <c r="Q34" s="6"/>
      <c r="R34" s="9" t="s">
        <v>29</v>
      </c>
      <c r="S34" s="146"/>
      <c r="T34" s="146"/>
      <c r="U34" s="146"/>
      <c r="V34" s="146"/>
      <c r="W34" s="146"/>
      <c r="X34" s="146"/>
      <c r="Y34" s="146"/>
      <c r="Z34" s="146"/>
      <c r="AA34" s="146"/>
      <c r="AB34" s="146"/>
      <c r="AC34" s="146"/>
      <c r="AD34" s="146"/>
      <c r="AE34" s="146"/>
      <c r="AF34" s="146"/>
      <c r="AG34" s="146"/>
      <c r="AH34" s="146"/>
      <c r="AI34" s="146"/>
      <c r="AJ34" s="146"/>
      <c r="AK34" s="146"/>
      <c r="AL34" s="146"/>
      <c r="AM34" s="146"/>
      <c r="AN34" s="146"/>
      <c r="AO34" s="146"/>
      <c r="AP34" s="146"/>
      <c r="AQ34" s="146"/>
      <c r="AR34" s="146"/>
      <c r="AS34" s="146"/>
      <c r="AT34" s="146"/>
      <c r="AU34" s="146"/>
      <c r="AV34" s="146"/>
      <c r="AW34" s="146"/>
      <c r="AX34" s="146"/>
      <c r="AY34" s="146"/>
      <c r="AZ34" s="146"/>
      <c r="BA34" s="146"/>
      <c r="BB34" s="146"/>
      <c r="BC34" s="146"/>
      <c r="BD34" s="146"/>
      <c r="BE34" s="146"/>
      <c r="BF34" s="146"/>
      <c r="BG34" s="146"/>
    </row>
    <row r="35" spans="1:59">
      <c r="A35" s="128"/>
      <c r="B35" s="129"/>
      <c r="C35" s="128"/>
      <c r="D35" s="1"/>
      <c r="E35" s="3"/>
      <c r="F35" s="1"/>
      <c r="G35" s="1"/>
      <c r="H35" s="1"/>
      <c r="I35" s="1"/>
      <c r="J35" s="1"/>
      <c r="K35" s="1"/>
      <c r="L35" s="1"/>
      <c r="M35" s="1"/>
      <c r="N35" s="1"/>
      <c r="O35" s="7"/>
      <c r="P35" s="6"/>
      <c r="Q35" s="6"/>
      <c r="R35" s="9"/>
      <c r="S35" s="146"/>
      <c r="T35" s="146"/>
      <c r="U35" s="146"/>
      <c r="V35" s="146"/>
      <c r="W35" s="146"/>
      <c r="X35" s="146"/>
      <c r="Y35" s="146"/>
      <c r="Z35" s="146"/>
      <c r="AA35" s="146"/>
      <c r="AB35" s="146"/>
      <c r="AC35" s="146"/>
      <c r="AD35" s="146"/>
      <c r="AE35" s="146"/>
      <c r="AF35" s="146"/>
      <c r="AG35" s="146"/>
      <c r="AH35" s="146"/>
      <c r="AI35" s="146"/>
      <c r="AJ35" s="146"/>
      <c r="AK35" s="146"/>
      <c r="AL35" s="146"/>
      <c r="AM35" s="146"/>
      <c r="AN35" s="146"/>
      <c r="AO35" s="146"/>
      <c r="AP35" s="146"/>
      <c r="AQ35" s="146"/>
      <c r="AR35" s="146"/>
      <c r="AS35" s="146"/>
      <c r="AT35" s="146"/>
      <c r="AU35" s="146"/>
      <c r="AV35" s="146"/>
      <c r="AW35" s="146"/>
      <c r="AX35" s="146"/>
      <c r="AY35" s="146"/>
      <c r="AZ35" s="146"/>
      <c r="BA35" s="146"/>
      <c r="BB35" s="146"/>
      <c r="BC35" s="146"/>
      <c r="BD35" s="146"/>
      <c r="BE35" s="146"/>
      <c r="BF35" s="146"/>
      <c r="BG35" s="146"/>
    </row>
    <row r="36" spans="1:59">
      <c r="A36" s="128"/>
      <c r="B36" s="129"/>
      <c r="C36" s="128"/>
      <c r="D36" s="141" t="s">
        <v>454</v>
      </c>
      <c r="E36" s="142"/>
      <c r="F36" s="142"/>
      <c r="G36" s="142"/>
      <c r="H36" s="142"/>
      <c r="I36" s="142"/>
      <c r="J36" s="142"/>
      <c r="K36" s="142"/>
      <c r="L36" s="142"/>
      <c r="M36" s="142"/>
      <c r="N36" s="1"/>
      <c r="O36" s="7"/>
      <c r="P36" s="6"/>
      <c r="Q36" s="6"/>
      <c r="R36" s="6"/>
      <c r="S36" s="98"/>
      <c r="T36" s="98"/>
      <c r="U36" s="98"/>
      <c r="V36" s="98"/>
      <c r="W36" s="98"/>
      <c r="X36" s="98"/>
      <c r="Y36" s="98"/>
      <c r="Z36" s="98"/>
      <c r="AA36" s="98"/>
      <c r="AB36" s="98"/>
      <c r="AC36" s="98"/>
      <c r="AD36" s="98"/>
      <c r="AE36" s="98"/>
      <c r="AF36" s="98"/>
      <c r="AG36" s="98"/>
      <c r="AH36" s="98"/>
      <c r="AI36" s="98"/>
      <c r="AJ36" s="98"/>
      <c r="AK36" s="98"/>
      <c r="AL36" s="98"/>
      <c r="AM36" s="98"/>
      <c r="AN36" s="98"/>
      <c r="AO36" s="98"/>
      <c r="AP36" s="98"/>
      <c r="AQ36" s="98"/>
      <c r="AR36" s="98"/>
      <c r="AS36" s="98"/>
      <c r="AT36" s="98"/>
      <c r="AU36" s="98"/>
      <c r="AV36" s="98"/>
      <c r="AW36" s="98"/>
      <c r="AX36" s="98"/>
      <c r="AY36" s="98"/>
      <c r="AZ36" s="98"/>
      <c r="BA36" s="98"/>
      <c r="BB36" s="98"/>
      <c r="BC36" s="98"/>
      <c r="BD36" s="98"/>
      <c r="BE36" s="98"/>
      <c r="BF36" s="98"/>
      <c r="BG36" s="98"/>
    </row>
    <row r="37" spans="1:59" ht="5.25" customHeight="1">
      <c r="A37" s="128"/>
      <c r="B37" s="129"/>
      <c r="C37" s="128"/>
      <c r="D37" s="25"/>
      <c r="E37" s="4"/>
      <c r="F37" s="4"/>
      <c r="G37" s="79"/>
      <c r="H37" s="79"/>
      <c r="I37" s="79"/>
      <c r="J37" s="79"/>
      <c r="K37" s="79"/>
      <c r="L37" s="79"/>
      <c r="M37" s="79"/>
      <c r="N37" s="79"/>
      <c r="O37" s="5"/>
      <c r="P37" s="1"/>
      <c r="Q37" s="1"/>
      <c r="R37" s="1"/>
      <c r="S37" s="98"/>
      <c r="T37" s="98"/>
      <c r="U37" s="98"/>
      <c r="V37" s="98"/>
      <c r="W37" s="98"/>
      <c r="X37" s="98"/>
      <c r="Y37" s="98"/>
      <c r="Z37" s="98"/>
      <c r="AA37" s="98"/>
      <c r="AB37" s="98"/>
      <c r="AC37" s="98"/>
      <c r="AD37" s="98"/>
      <c r="AE37" s="98"/>
      <c r="AF37" s="98"/>
      <c r="AG37" s="98"/>
      <c r="AH37" s="98"/>
      <c r="AI37" s="98"/>
      <c r="AJ37" s="98"/>
      <c r="AK37" s="98"/>
      <c r="AL37" s="98"/>
      <c r="AM37" s="98"/>
      <c r="AN37" s="98"/>
      <c r="AO37" s="98"/>
      <c r="AP37" s="98"/>
      <c r="AQ37" s="98"/>
      <c r="AR37" s="98"/>
      <c r="AS37" s="98"/>
      <c r="AT37" s="98"/>
      <c r="AU37" s="98"/>
      <c r="AV37" s="98"/>
      <c r="AW37" s="98"/>
      <c r="AX37" s="98"/>
      <c r="AY37" s="98"/>
      <c r="AZ37" s="98"/>
      <c r="BA37" s="98"/>
      <c r="BB37" s="98"/>
      <c r="BC37" s="98"/>
      <c r="BD37" s="98"/>
      <c r="BE37" s="98"/>
      <c r="BF37" s="98"/>
      <c r="BG37" s="98"/>
    </row>
    <row r="38" spans="1:59">
      <c r="A38" s="128"/>
      <c r="B38" s="129"/>
      <c r="C38" s="128"/>
      <c r="D38" s="41"/>
      <c r="E38" s="46"/>
      <c r="F38" s="46" t="str">
        <f>'2.2 Input_General_Information'!H91</f>
        <v>PhD researcher</v>
      </c>
      <c r="G38" s="72" t="str">
        <f>'2.2 Input_General_Information'!I91</f>
        <v>Lecturer assistant/Research assistant (Academic)</v>
      </c>
      <c r="H38" s="72" t="str">
        <f>'2.2 Input_General_Information'!J91</f>
        <v>Lecturer/Researcher (Academic)</v>
      </c>
      <c r="I38" s="72" t="str">
        <f>'2.2 Input_General_Information'!K91</f>
        <v>Other</v>
      </c>
      <c r="J38" s="72" t="str">
        <f>'2.2 Input_General_Information'!L91</f>
        <v>Profile 5</v>
      </c>
      <c r="K38" s="72" t="str">
        <f>'2.2 Input_General_Information'!M91</f>
        <v>Profile 6</v>
      </c>
      <c r="L38" s="72" t="str">
        <f>'2.2 Input_General_Information'!N91</f>
        <v>Profile 7</v>
      </c>
      <c r="M38" s="72" t="str">
        <f>'2.2 Input_General_Information'!O91</f>
        <v>Profile 8</v>
      </c>
      <c r="N38" s="79"/>
      <c r="O38" s="5"/>
      <c r="P38" s="1"/>
      <c r="Q38" s="1"/>
      <c r="R38" s="1"/>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98"/>
      <c r="AW38" s="98"/>
      <c r="AX38" s="98"/>
      <c r="AY38" s="98"/>
      <c r="AZ38" s="98"/>
      <c r="BA38" s="98"/>
      <c r="BB38" s="98"/>
      <c r="BC38" s="98"/>
      <c r="BD38" s="98"/>
      <c r="BE38" s="98"/>
      <c r="BF38" s="98"/>
      <c r="BG38" s="98"/>
    </row>
    <row r="39" spans="1:59" ht="5.25" customHeight="1">
      <c r="A39" s="128"/>
      <c r="B39" s="129"/>
      <c r="C39" s="128"/>
      <c r="D39" s="12"/>
      <c r="E39" s="3"/>
      <c r="F39" s="185"/>
      <c r="G39" s="185"/>
      <c r="H39" s="185"/>
      <c r="I39" s="185"/>
      <c r="J39" s="185"/>
      <c r="K39" s="185"/>
      <c r="L39" s="185"/>
      <c r="M39" s="185"/>
      <c r="N39" s="1"/>
      <c r="O39" s="7"/>
      <c r="P39" s="6"/>
      <c r="Q39" s="6"/>
      <c r="R39" s="6"/>
      <c r="S39" s="98"/>
      <c r="T39" s="98"/>
      <c r="U39" s="98"/>
      <c r="V39" s="98"/>
      <c r="W39" s="98"/>
      <c r="X39" s="98"/>
      <c r="Y39" s="98"/>
      <c r="Z39" s="98"/>
      <c r="AA39" s="98"/>
      <c r="AB39" s="98"/>
      <c r="AC39" s="98"/>
      <c r="AD39" s="98"/>
      <c r="AE39" s="98"/>
      <c r="AF39" s="98"/>
      <c r="AG39" s="98"/>
      <c r="AH39" s="98"/>
      <c r="AI39" s="98"/>
      <c r="AJ39" s="98"/>
      <c r="AK39" s="98"/>
      <c r="AL39" s="98"/>
      <c r="AM39" s="98"/>
      <c r="AN39" s="98"/>
      <c r="AO39" s="98"/>
      <c r="AP39" s="98"/>
      <c r="AQ39" s="98"/>
      <c r="AR39" s="98"/>
      <c r="AS39" s="98"/>
      <c r="AT39" s="98"/>
      <c r="AU39" s="98"/>
      <c r="AV39" s="98"/>
      <c r="AW39" s="98"/>
      <c r="AX39" s="98"/>
      <c r="AY39" s="98"/>
      <c r="AZ39" s="98"/>
      <c r="BA39" s="98"/>
      <c r="BB39" s="98"/>
      <c r="BC39" s="98"/>
      <c r="BD39" s="98"/>
      <c r="BE39" s="98"/>
      <c r="BF39" s="98"/>
      <c r="BG39" s="98"/>
    </row>
    <row r="40" spans="1:59">
      <c r="A40" s="128"/>
      <c r="B40" s="129"/>
      <c r="C40" s="128"/>
      <c r="D40" s="12" t="s">
        <v>726</v>
      </c>
      <c r="E40" s="43" t="s">
        <v>727</v>
      </c>
      <c r="F40" s="188">
        <f>IFERROR('2.2 Input_General_Information'!H100*'2.2 Input_General_Information'!H93/'2.2 Input_General_Information'!H101,0)</f>
        <v>42.826666666666661</v>
      </c>
      <c r="G40" s="188">
        <f>IFERROR('2.2 Input_General_Information'!I100*'2.2 Input_General_Information'!I93/'2.2 Input_General_Information'!I101,0)</f>
        <v>38.799999999999997</v>
      </c>
      <c r="H40" s="188">
        <f>IFERROR('2.2 Input_General_Information'!J100*'2.2 Input_General_Information'!J93/'2.2 Input_General_Information'!J101,0)</f>
        <v>52.253333333333337</v>
      </c>
      <c r="I40" s="188">
        <f>IFERROR('2.2 Input_General_Information'!K100*'2.2 Input_General_Information'!K93/'2.2 Input_General_Information'!K101,0)</f>
        <v>0</v>
      </c>
      <c r="J40" s="188">
        <f>IFERROR('2.2 Input_General_Information'!L100*'2.2 Input_General_Information'!L93/'2.2 Input_General_Information'!L101,0)</f>
        <v>0</v>
      </c>
      <c r="K40" s="188">
        <f>IFERROR('2.2 Input_General_Information'!M100*'2.2 Input_General_Information'!M93/'2.2 Input_General_Information'!M101,0)</f>
        <v>0</v>
      </c>
      <c r="L40" s="188">
        <f>IFERROR('2.2 Input_General_Information'!N100*'2.2 Input_General_Information'!N93/'2.2 Input_General_Information'!N101,0)</f>
        <v>0</v>
      </c>
      <c r="M40" s="188">
        <f>IFERROR('2.2 Input_General_Information'!O100*'2.2 Input_General_Information'!O93/'2.2 Input_General_Information'!O101,0)</f>
        <v>0</v>
      </c>
      <c r="N40" s="1"/>
      <c r="O40" s="7"/>
      <c r="P40" s="6"/>
      <c r="Q40" s="6"/>
      <c r="R40" s="6"/>
      <c r="S40" s="98"/>
      <c r="T40" s="98"/>
      <c r="U40" s="98"/>
      <c r="V40" s="98"/>
      <c r="W40" s="98"/>
      <c r="X40" s="98"/>
      <c r="Y40" s="98"/>
      <c r="Z40" s="98"/>
      <c r="AA40" s="98"/>
      <c r="AB40" s="98"/>
      <c r="AC40" s="98"/>
      <c r="AD40" s="98"/>
      <c r="AE40" s="98"/>
      <c r="AF40" s="98"/>
      <c r="AG40" s="98"/>
      <c r="AH40" s="98"/>
      <c r="AI40" s="98"/>
      <c r="AJ40" s="98"/>
      <c r="AK40" s="98"/>
      <c r="AL40" s="98"/>
      <c r="AM40" s="98"/>
      <c r="AN40" s="98"/>
      <c r="AO40" s="98"/>
      <c r="AP40" s="98"/>
      <c r="AQ40" s="98"/>
      <c r="AR40" s="98"/>
      <c r="AS40" s="98"/>
      <c r="AT40" s="98"/>
      <c r="AU40" s="98"/>
      <c r="AV40" s="98"/>
      <c r="AW40" s="98"/>
      <c r="AX40" s="98"/>
      <c r="AY40" s="98"/>
      <c r="AZ40" s="98"/>
      <c r="BA40" s="98"/>
      <c r="BB40" s="98"/>
      <c r="BC40" s="98"/>
      <c r="BD40" s="98"/>
      <c r="BE40" s="98"/>
      <c r="BF40" s="98"/>
      <c r="BG40" s="98"/>
    </row>
    <row r="41" spans="1:59">
      <c r="A41" s="128"/>
      <c r="B41" s="129"/>
      <c r="C41" s="128"/>
      <c r="D41" s="12" t="s">
        <v>730</v>
      </c>
      <c r="E41" s="43" t="s">
        <v>727</v>
      </c>
      <c r="F41" s="56">
        <f>F40*(1-'2.3 Input_Main_Questionnaire'!$H$301)*'2.3 Input_Main_Questionnaire'!$H$300</f>
        <v>0.32119999999999999</v>
      </c>
      <c r="G41" s="56">
        <f>G40*(1-'2.3 Input_Main_Questionnaire'!$H$301)*'2.3 Input_Main_Questionnaire'!$H$300</f>
        <v>0.29099999999999998</v>
      </c>
      <c r="H41" s="56">
        <f>H40*(1-'2.3 Input_Main_Questionnaire'!$H$301)*'2.3 Input_Main_Questionnaire'!$H$300</f>
        <v>0.39190000000000008</v>
      </c>
      <c r="I41" s="56">
        <f>I40*(1-'2.3 Input_Main_Questionnaire'!$H$301)*'2.3 Input_Main_Questionnaire'!$H$300</f>
        <v>0</v>
      </c>
      <c r="J41" s="56">
        <f>J40*(1-'2.3 Input_Main_Questionnaire'!$H$301)*'2.3 Input_Main_Questionnaire'!$H$300</f>
        <v>0</v>
      </c>
      <c r="K41" s="56">
        <f>K40*(1-'2.3 Input_Main_Questionnaire'!$H$301)*'2.3 Input_Main_Questionnaire'!$H$300</f>
        <v>0</v>
      </c>
      <c r="L41" s="56">
        <f>L40*(1-'2.3 Input_Main_Questionnaire'!$H$301)*'2.3 Input_Main_Questionnaire'!$H$300</f>
        <v>0</v>
      </c>
      <c r="M41" s="56">
        <f>M40*(1-'2.3 Input_Main_Questionnaire'!$H$301)*'2.3 Input_Main_Questionnaire'!$H$300</f>
        <v>0</v>
      </c>
      <c r="N41" s="1"/>
      <c r="O41" s="7"/>
      <c r="P41" s="6"/>
      <c r="Q41" s="6"/>
      <c r="R41" s="6"/>
      <c r="S41" s="98"/>
      <c r="T41" s="98"/>
      <c r="U41" s="98"/>
      <c r="V41" s="98"/>
      <c r="W41" s="98"/>
      <c r="X41" s="98"/>
      <c r="Y41" s="98"/>
      <c r="Z41" s="98"/>
      <c r="AA41" s="98"/>
      <c r="AB41" s="98"/>
      <c r="AC41" s="98"/>
      <c r="AD41" s="98"/>
      <c r="AE41" s="98"/>
      <c r="AF41" s="98"/>
      <c r="AG41" s="98"/>
      <c r="AH41" s="98"/>
      <c r="AI41" s="98"/>
      <c r="AJ41" s="98"/>
      <c r="AK41" s="98"/>
      <c r="AL41" s="98"/>
      <c r="AM41" s="98"/>
      <c r="AN41" s="98"/>
      <c r="AO41" s="98"/>
      <c r="AP41" s="98"/>
      <c r="AQ41" s="98"/>
      <c r="AR41" s="98"/>
      <c r="AS41" s="98"/>
      <c r="AT41" s="98"/>
      <c r="AU41" s="98"/>
      <c r="AV41" s="98"/>
      <c r="AW41" s="98"/>
      <c r="AX41" s="98"/>
      <c r="AY41" s="98"/>
      <c r="AZ41" s="98"/>
      <c r="BA41" s="98"/>
      <c r="BB41" s="98"/>
      <c r="BC41" s="98"/>
      <c r="BD41" s="98"/>
      <c r="BE41" s="98"/>
      <c r="BF41" s="98"/>
      <c r="BG41" s="98"/>
    </row>
    <row r="42" spans="1:59" ht="5.25" customHeight="1">
      <c r="A42" s="128"/>
      <c r="B42" s="129"/>
      <c r="C42" s="128"/>
      <c r="D42" s="12"/>
      <c r="E42" s="43"/>
      <c r="F42" s="127"/>
      <c r="G42" s="127"/>
      <c r="H42" s="127"/>
      <c r="I42" s="127"/>
      <c r="J42" s="127"/>
      <c r="K42" s="127"/>
      <c r="L42" s="127"/>
      <c r="M42" s="127"/>
      <c r="N42" s="1"/>
      <c r="O42" s="7"/>
      <c r="P42" s="6"/>
      <c r="Q42" s="6"/>
      <c r="R42" s="6"/>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c r="BG42" s="98"/>
    </row>
    <row r="43" spans="1:59">
      <c r="A43" s="128"/>
      <c r="B43" s="129"/>
      <c r="C43" s="128"/>
      <c r="D43" s="12" t="s">
        <v>732</v>
      </c>
      <c r="E43" s="43" t="s">
        <v>291</v>
      </c>
      <c r="F43" s="89">
        <f>IFERROR(F41*#REF!*'2.2 Input_General_Information'!H92/'2.2 Input_General_Information'!H100,0)</f>
        <v>0</v>
      </c>
      <c r="G43" s="89">
        <f>IFERROR(G41*#REF!*'2.2 Input_General_Information'!I92/'2.2 Input_General_Information'!I100,0)</f>
        <v>0</v>
      </c>
      <c r="H43" s="89">
        <f>IFERROR(H41*#REF!*'2.2 Input_General_Information'!J92/'2.2 Input_General_Information'!J100,0)</f>
        <v>0</v>
      </c>
      <c r="I43" s="89">
        <f>IFERROR(I41*#REF!*'2.2 Input_General_Information'!K92/'2.2 Input_General_Information'!K100,0)</f>
        <v>0</v>
      </c>
      <c r="J43" s="89">
        <f>IFERROR(J41*#REF!*'2.2 Input_General_Information'!L92/'2.2 Input_General_Information'!L100,0)</f>
        <v>0</v>
      </c>
      <c r="K43" s="89">
        <f>IFERROR(K41*#REF!*'2.2 Input_General_Information'!M92/'2.2 Input_General_Information'!M100,0)</f>
        <v>0</v>
      </c>
      <c r="L43" s="89">
        <f>IFERROR(L41*#REF!*'2.2 Input_General_Information'!N92/'2.2 Input_General_Information'!N100,0)</f>
        <v>0</v>
      </c>
      <c r="M43" s="89">
        <f>IFERROR(M41*#REF!*'2.2 Input_General_Information'!O92/'2.2 Input_General_Information'!O100,0)</f>
        <v>0</v>
      </c>
      <c r="N43" s="1"/>
      <c r="O43" s="7"/>
      <c r="P43" s="6"/>
      <c r="Q43" s="6"/>
      <c r="R43" s="6"/>
      <c r="S43" s="98"/>
      <c r="T43" s="98"/>
      <c r="U43" s="98"/>
      <c r="V43" s="98"/>
      <c r="W43" s="98"/>
      <c r="X43" s="98"/>
      <c r="Y43" s="98"/>
      <c r="Z43" s="98"/>
      <c r="AA43" s="98"/>
      <c r="AB43" s="98"/>
      <c r="AC43" s="98"/>
      <c r="AD43" s="98"/>
      <c r="AE43" s="98"/>
      <c r="AF43" s="98"/>
      <c r="AG43" s="98"/>
      <c r="AH43" s="98"/>
      <c r="AI43" s="98"/>
      <c r="AJ43" s="98"/>
      <c r="AK43" s="98"/>
      <c r="AL43" s="98"/>
      <c r="AM43" s="98"/>
      <c r="AN43" s="98"/>
      <c r="AO43" s="98"/>
      <c r="AP43" s="98"/>
      <c r="AQ43" s="98"/>
      <c r="AR43" s="98"/>
      <c r="AS43" s="98"/>
      <c r="AT43" s="98"/>
      <c r="AU43" s="98"/>
      <c r="AV43" s="98"/>
      <c r="AW43" s="98"/>
      <c r="AX43" s="98"/>
      <c r="AY43" s="98"/>
      <c r="AZ43" s="98"/>
      <c r="BA43" s="98"/>
      <c r="BB43" s="98"/>
      <c r="BC43" s="98"/>
      <c r="BD43" s="98"/>
      <c r="BE43" s="98"/>
      <c r="BF43" s="98"/>
      <c r="BG43" s="98"/>
    </row>
    <row r="44" spans="1:59" ht="5.25" customHeight="1">
      <c r="A44" s="128"/>
      <c r="B44" s="129"/>
      <c r="C44" s="128"/>
      <c r="D44" s="12"/>
      <c r="E44" s="43"/>
      <c r="F44" s="59"/>
      <c r="G44" s="3"/>
      <c r="H44" s="3"/>
      <c r="I44" s="3"/>
      <c r="J44" s="3"/>
      <c r="K44" s="3"/>
      <c r="L44" s="3"/>
      <c r="M44" s="3"/>
      <c r="N44" s="1"/>
      <c r="O44" s="7"/>
      <c r="P44" s="6"/>
      <c r="Q44" s="6"/>
      <c r="R44" s="6"/>
      <c r="S44" s="98"/>
      <c r="T44" s="98"/>
      <c r="U44" s="98"/>
      <c r="V44" s="98"/>
      <c r="W44" s="98"/>
      <c r="X44" s="98"/>
      <c r="Y44" s="98"/>
      <c r="Z44" s="98"/>
      <c r="AA44" s="98"/>
      <c r="AB44" s="98"/>
      <c r="AC44" s="98"/>
      <c r="AD44" s="98"/>
      <c r="AE44" s="98"/>
      <c r="AF44" s="98"/>
      <c r="AG44" s="98"/>
      <c r="AH44" s="98"/>
      <c r="AI44" s="98"/>
      <c r="AJ44" s="98"/>
      <c r="AK44" s="98"/>
      <c r="AL44" s="98"/>
      <c r="AM44" s="98"/>
      <c r="AN44" s="98"/>
      <c r="AO44" s="98"/>
      <c r="AP44" s="98"/>
      <c r="AQ44" s="98"/>
      <c r="AR44" s="98"/>
      <c r="AS44" s="98"/>
      <c r="AT44" s="98"/>
      <c r="AU44" s="98"/>
      <c r="AV44" s="98"/>
      <c r="AW44" s="98"/>
      <c r="AX44" s="98"/>
      <c r="AY44" s="98"/>
      <c r="AZ44" s="98"/>
      <c r="BA44" s="98"/>
      <c r="BB44" s="98"/>
      <c r="BC44" s="98"/>
      <c r="BD44" s="98"/>
      <c r="BE44" s="98"/>
      <c r="BF44" s="98"/>
      <c r="BG44" s="98"/>
    </row>
    <row r="45" spans="1:59">
      <c r="A45" s="128"/>
      <c r="B45" s="129"/>
      <c r="C45" s="128"/>
      <c r="D45" s="12" t="s">
        <v>734</v>
      </c>
      <c r="E45" s="43" t="s">
        <v>246</v>
      </c>
      <c r="F45" s="202">
        <f>E94</f>
        <v>0.4855681818</v>
      </c>
      <c r="G45" s="3"/>
      <c r="H45" s="3"/>
      <c r="I45" s="3"/>
      <c r="J45" s="3"/>
      <c r="K45" s="3"/>
      <c r="L45" s="3"/>
      <c r="M45" s="3"/>
      <c r="N45" s="1"/>
      <c r="O45" s="7"/>
      <c r="P45" s="6"/>
      <c r="Q45" s="6"/>
      <c r="R45" s="6"/>
      <c r="S45" s="98"/>
      <c r="T45" s="98"/>
      <c r="U45" s="98"/>
      <c r="V45" s="98"/>
      <c r="W45" s="98"/>
      <c r="X45" s="98"/>
      <c r="Y45" s="98"/>
      <c r="Z45" s="98"/>
      <c r="AA45" s="98"/>
      <c r="AB45" s="98"/>
      <c r="AC45" s="98"/>
      <c r="AD45" s="98"/>
      <c r="AE45" s="98"/>
      <c r="AF45" s="98"/>
      <c r="AG45" s="98"/>
      <c r="AH45" s="98"/>
      <c r="AI45" s="98"/>
      <c r="AJ45" s="98"/>
      <c r="AK45" s="98"/>
      <c r="AL45" s="98"/>
      <c r="AM45" s="98"/>
      <c r="AN45" s="98"/>
      <c r="AO45" s="98"/>
      <c r="AP45" s="98"/>
      <c r="AQ45" s="98"/>
      <c r="AR45" s="98"/>
      <c r="AS45" s="98"/>
      <c r="AT45" s="98"/>
      <c r="AU45" s="98"/>
      <c r="AV45" s="98"/>
      <c r="AW45" s="98"/>
      <c r="AX45" s="98"/>
      <c r="AY45" s="98"/>
      <c r="AZ45" s="98"/>
      <c r="BA45" s="98"/>
      <c r="BB45" s="98"/>
      <c r="BC45" s="98"/>
      <c r="BD45" s="98"/>
      <c r="BE45" s="98"/>
      <c r="BF45" s="98"/>
      <c r="BG45" s="98"/>
    </row>
    <row r="46" spans="1:59" ht="5.25" customHeight="1">
      <c r="A46" s="143"/>
      <c r="B46" s="144"/>
      <c r="C46" s="143"/>
      <c r="D46" s="12"/>
      <c r="E46" s="43"/>
      <c r="F46" s="203"/>
      <c r="G46" s="203"/>
      <c r="H46" s="203"/>
      <c r="I46" s="203"/>
      <c r="J46" s="203"/>
      <c r="K46" s="203"/>
      <c r="L46" s="203"/>
      <c r="M46" s="203"/>
      <c r="N46" s="1"/>
      <c r="O46" s="7"/>
      <c r="P46" s="6"/>
      <c r="Q46" s="6"/>
      <c r="R46" s="103"/>
      <c r="S46" s="146"/>
      <c r="T46" s="146"/>
      <c r="U46" s="146"/>
      <c r="V46" s="146"/>
      <c r="W46" s="146"/>
      <c r="X46" s="146"/>
      <c r="Y46" s="146"/>
      <c r="Z46" s="146"/>
      <c r="AA46" s="146"/>
      <c r="AB46" s="146"/>
      <c r="AC46" s="146"/>
      <c r="AD46" s="146"/>
      <c r="AE46" s="146"/>
      <c r="AF46" s="146"/>
      <c r="AG46" s="146"/>
      <c r="AH46" s="146"/>
      <c r="AI46" s="146"/>
      <c r="AJ46" s="146"/>
      <c r="AK46" s="146"/>
      <c r="AL46" s="146"/>
      <c r="AM46" s="146"/>
      <c r="AN46" s="146"/>
      <c r="AO46" s="146"/>
      <c r="AP46" s="146"/>
      <c r="AQ46" s="146"/>
      <c r="AR46" s="146"/>
      <c r="AS46" s="146"/>
      <c r="AT46" s="146"/>
      <c r="AU46" s="146"/>
      <c r="AV46" s="146"/>
      <c r="AW46" s="146"/>
      <c r="AX46" s="146"/>
      <c r="AY46" s="146"/>
      <c r="AZ46" s="146"/>
      <c r="BA46" s="146"/>
      <c r="BB46" s="146"/>
      <c r="BC46" s="146"/>
      <c r="BD46" s="146"/>
      <c r="BE46" s="146"/>
      <c r="BF46" s="146"/>
      <c r="BG46" s="146"/>
    </row>
    <row r="47" spans="1:59">
      <c r="A47" s="143"/>
      <c r="B47" s="144" t="s">
        <v>606</v>
      </c>
      <c r="C47" s="143"/>
      <c r="D47" s="147" t="s">
        <v>519</v>
      </c>
      <c r="E47" s="148" t="s">
        <v>291</v>
      </c>
      <c r="F47" s="149">
        <f t="shared" ref="F47:M47" si="3">F43*$F$45</f>
        <v>0</v>
      </c>
      <c r="G47" s="149">
        <f t="shared" si="3"/>
        <v>0</v>
      </c>
      <c r="H47" s="149">
        <f t="shared" si="3"/>
        <v>0</v>
      </c>
      <c r="I47" s="149">
        <f t="shared" si="3"/>
        <v>0</v>
      </c>
      <c r="J47" s="149">
        <f t="shared" si="3"/>
        <v>0</v>
      </c>
      <c r="K47" s="149">
        <f t="shared" si="3"/>
        <v>0</v>
      </c>
      <c r="L47" s="149">
        <f t="shared" si="3"/>
        <v>0</v>
      </c>
      <c r="M47" s="149">
        <f t="shared" si="3"/>
        <v>0</v>
      </c>
      <c r="N47" s="204"/>
      <c r="O47" s="7"/>
      <c r="P47" s="6"/>
      <c r="Q47" s="6"/>
      <c r="R47" s="103"/>
      <c r="S47" s="146"/>
      <c r="T47" s="146"/>
      <c r="U47" s="146"/>
      <c r="V47" s="146"/>
      <c r="W47" s="146"/>
      <c r="X47" s="146"/>
      <c r="Y47" s="146"/>
      <c r="Z47" s="146"/>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row>
    <row r="48" spans="1:59" hidden="1">
      <c r="A48" s="128"/>
      <c r="B48" s="129"/>
      <c r="C48" s="128"/>
      <c r="D48" s="12"/>
      <c r="E48" s="43"/>
      <c r="F48" s="1"/>
      <c r="G48" s="1"/>
      <c r="H48" s="1"/>
      <c r="I48" s="1"/>
      <c r="J48" s="1"/>
      <c r="K48" s="1"/>
      <c r="L48" s="1"/>
      <c r="M48" s="1"/>
      <c r="N48" s="1"/>
      <c r="O48" s="7"/>
      <c r="P48" s="6"/>
      <c r="Q48" s="6"/>
      <c r="R48" s="9" t="s">
        <v>5</v>
      </c>
      <c r="S48" s="98"/>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row>
    <row r="49" spans="1:59" hidden="1">
      <c r="A49" s="128"/>
      <c r="B49" s="129"/>
      <c r="C49" s="128"/>
      <c r="D49" s="12"/>
      <c r="E49" s="43"/>
      <c r="F49" s="1"/>
      <c r="G49" s="1"/>
      <c r="H49" s="1"/>
      <c r="I49" s="1"/>
      <c r="J49" s="1"/>
      <c r="K49" s="1"/>
      <c r="L49" s="1"/>
      <c r="M49" s="1"/>
      <c r="N49" s="1"/>
      <c r="O49" s="7"/>
      <c r="P49" s="6"/>
      <c r="Q49" s="6"/>
      <c r="R49" s="103" t="str">
        <f>D47</f>
        <v>Time saved thanks to less retractions of published works</v>
      </c>
      <c r="S49" s="98">
        <f>Growth!B20</f>
        <v>2018</v>
      </c>
      <c r="T49" s="98">
        <f t="shared" ref="T49:BG49" si="4">S49+1</f>
        <v>2019</v>
      </c>
      <c r="U49" s="98">
        <f t="shared" si="4"/>
        <v>2020</v>
      </c>
      <c r="V49" s="98">
        <f t="shared" si="4"/>
        <v>2021</v>
      </c>
      <c r="W49" s="98">
        <f t="shared" si="4"/>
        <v>2022</v>
      </c>
      <c r="X49" s="98">
        <f t="shared" si="4"/>
        <v>2023</v>
      </c>
      <c r="Y49" s="98">
        <f t="shared" si="4"/>
        <v>2024</v>
      </c>
      <c r="Z49" s="98">
        <f t="shared" si="4"/>
        <v>2025</v>
      </c>
      <c r="AA49" s="98">
        <f t="shared" si="4"/>
        <v>2026</v>
      </c>
      <c r="AB49" s="98">
        <f t="shared" si="4"/>
        <v>2027</v>
      </c>
      <c r="AC49" s="98">
        <f t="shared" si="4"/>
        <v>2028</v>
      </c>
      <c r="AD49" s="98">
        <f t="shared" si="4"/>
        <v>2029</v>
      </c>
      <c r="AE49" s="98">
        <f t="shared" si="4"/>
        <v>2030</v>
      </c>
      <c r="AF49" s="98">
        <f t="shared" si="4"/>
        <v>2031</v>
      </c>
      <c r="AG49" s="98">
        <f t="shared" si="4"/>
        <v>2032</v>
      </c>
      <c r="AH49" s="98">
        <f t="shared" si="4"/>
        <v>2033</v>
      </c>
      <c r="AI49" s="98">
        <f t="shared" si="4"/>
        <v>2034</v>
      </c>
      <c r="AJ49" s="98">
        <f t="shared" si="4"/>
        <v>2035</v>
      </c>
      <c r="AK49" s="98">
        <f t="shared" si="4"/>
        <v>2036</v>
      </c>
      <c r="AL49" s="98">
        <f t="shared" si="4"/>
        <v>2037</v>
      </c>
      <c r="AM49" s="98">
        <f t="shared" si="4"/>
        <v>2038</v>
      </c>
      <c r="AN49" s="98">
        <f t="shared" si="4"/>
        <v>2039</v>
      </c>
      <c r="AO49" s="98">
        <f t="shared" si="4"/>
        <v>2040</v>
      </c>
      <c r="AP49" s="98">
        <f t="shared" si="4"/>
        <v>2041</v>
      </c>
      <c r="AQ49" s="98">
        <f t="shared" si="4"/>
        <v>2042</v>
      </c>
      <c r="AR49" s="98">
        <f t="shared" si="4"/>
        <v>2043</v>
      </c>
      <c r="AS49" s="98">
        <f t="shared" si="4"/>
        <v>2044</v>
      </c>
      <c r="AT49" s="98">
        <f t="shared" si="4"/>
        <v>2045</v>
      </c>
      <c r="AU49" s="98">
        <f t="shared" si="4"/>
        <v>2046</v>
      </c>
      <c r="AV49" s="98">
        <f t="shared" si="4"/>
        <v>2047</v>
      </c>
      <c r="AW49" s="98">
        <f t="shared" si="4"/>
        <v>2048</v>
      </c>
      <c r="AX49" s="98">
        <f t="shared" si="4"/>
        <v>2049</v>
      </c>
      <c r="AY49" s="98">
        <f t="shared" si="4"/>
        <v>2050</v>
      </c>
      <c r="AZ49" s="98">
        <f t="shared" si="4"/>
        <v>2051</v>
      </c>
      <c r="BA49" s="98">
        <f t="shared" si="4"/>
        <v>2052</v>
      </c>
      <c r="BB49" s="98">
        <f t="shared" si="4"/>
        <v>2053</v>
      </c>
      <c r="BC49" s="98">
        <f t="shared" si="4"/>
        <v>2054</v>
      </c>
      <c r="BD49" s="98">
        <f t="shared" si="4"/>
        <v>2055</v>
      </c>
      <c r="BE49" s="98">
        <f t="shared" si="4"/>
        <v>2056</v>
      </c>
      <c r="BF49" s="98">
        <f t="shared" si="4"/>
        <v>2057</v>
      </c>
      <c r="BG49" s="98">
        <f t="shared" si="4"/>
        <v>2058</v>
      </c>
    </row>
    <row r="50" spans="1:59" hidden="1">
      <c r="A50" s="128"/>
      <c r="B50" s="129"/>
      <c r="C50" s="128"/>
      <c r="D50" s="12"/>
      <c r="E50" s="43"/>
      <c r="F50" s="1"/>
      <c r="G50" s="1"/>
      <c r="H50" s="1"/>
      <c r="I50" s="1"/>
      <c r="J50" s="1"/>
      <c r="K50" s="1"/>
      <c r="L50" s="1"/>
      <c r="M50" s="1"/>
      <c r="N50" s="1"/>
      <c r="O50" s="7"/>
      <c r="P50" s="6"/>
      <c r="Q50" s="6"/>
      <c r="R50" s="103" t="str">
        <f>F38</f>
        <v>PhD researcher</v>
      </c>
      <c r="S50" s="153">
        <f ca="1">IF(S$49&gt;='2.2 Input_General_Information'!$H$20, $F$47*(1+VLOOKUP(S$49,Growth!$B$20:$D$60,3,FALSE)),)</f>
        <v>0</v>
      </c>
      <c r="T50" s="153">
        <f ca="1">IF(T$49&gt;='2.2 Input_General_Information'!$H$20, $F$47*(1+VLOOKUP(T$49,Growth!$B$20:$D$60,3,FALSE)),)</f>
        <v>0</v>
      </c>
      <c r="U50" s="153">
        <f ca="1">IF(U$49&gt;='2.2 Input_General_Information'!$H$20, $F$47*(1+VLOOKUP(U$49,Growth!$B$20:$D$60,3,FALSE)),)</f>
        <v>0</v>
      </c>
      <c r="V50" s="153">
        <f ca="1">IF(V$49&gt;='2.2 Input_General_Information'!$H$20, $F$47*(1+VLOOKUP(V$49,Growth!$B$20:$D$60,3,FALSE)),)</f>
        <v>0</v>
      </c>
      <c r="W50" s="153">
        <f ca="1">IF(W$49&gt;='2.2 Input_General_Information'!$H$20, $F$47*(1+VLOOKUP(W$49,Growth!$B$20:$D$60,3,FALSE)),)</f>
        <v>0</v>
      </c>
      <c r="X50" s="153">
        <f ca="1">IF(X$49&gt;='2.2 Input_General_Information'!$H$20, $F$47*(1+VLOOKUP(X$49,Growth!$B$20:$D$60,3,FALSE)),)</f>
        <v>0</v>
      </c>
      <c r="Y50" s="153">
        <f ca="1">IF(Y$49&gt;='2.2 Input_General_Information'!$H$20, $F$47*(1+VLOOKUP(Y$49,Growth!$B$20:$D$60,3,FALSE)),)</f>
        <v>0</v>
      </c>
      <c r="Z50" s="153">
        <f ca="1">IF(Z$49&gt;='2.2 Input_General_Information'!$H$20, $F$47*(1+VLOOKUP(Z$49,Growth!$B$20:$D$60,3,FALSE)),)</f>
        <v>0</v>
      </c>
      <c r="AA50" s="153">
        <f ca="1">IF(AA$49&gt;='2.2 Input_General_Information'!$H$20, $F$47*(1+VLOOKUP(AA$49,Growth!$B$20:$D$60,3,FALSE)),)</f>
        <v>0</v>
      </c>
      <c r="AB50" s="153">
        <f ca="1">IF(AB$49&gt;='2.2 Input_General_Information'!$H$20, $F$47*(1+VLOOKUP(AB$49,Growth!$B$20:$D$60,3,FALSE)),)</f>
        <v>0</v>
      </c>
      <c r="AC50" s="153">
        <f ca="1">IF(AC$49&gt;='2.2 Input_General_Information'!$H$20, $F$47*(1+VLOOKUP(AC$49,Growth!$B$20:$D$60,3,FALSE)),)</f>
        <v>0</v>
      </c>
      <c r="AD50" s="153">
        <f ca="1">IF(AD$49&gt;='2.2 Input_General_Information'!$H$20, $F$47*(1+VLOOKUP(AD$49,Growth!$B$20:$D$60,3,FALSE)),)</f>
        <v>0</v>
      </c>
      <c r="AE50" s="153">
        <f ca="1">IF(AE$49&gt;='2.2 Input_General_Information'!$H$20, $F$47*(1+VLOOKUP(AE$49,Growth!$B$20:$D$60,3,FALSE)),)</f>
        <v>0</v>
      </c>
      <c r="AF50" s="153">
        <f ca="1">IF(AF$49&gt;='2.2 Input_General_Information'!$H$20, $F$47*(1+VLOOKUP(AF$49,Growth!$B$20:$D$60,3,FALSE)),)</f>
        <v>0</v>
      </c>
      <c r="AG50" s="153">
        <f ca="1">IF(AG$49&gt;='2.2 Input_General_Information'!$H$20, $F$47*(1+VLOOKUP(AG$49,Growth!$B$20:$D$60,3,FALSE)),)</f>
        <v>0</v>
      </c>
      <c r="AH50" s="153">
        <f ca="1">IF(AH$49&gt;='2.2 Input_General_Information'!$H$20, $F$47*(1+VLOOKUP(AH$49,Growth!$B$20:$D$60,3,FALSE)),)</f>
        <v>0</v>
      </c>
      <c r="AI50" s="153">
        <f ca="1">IF(AI$49&gt;='2.2 Input_General_Information'!$H$20, $F$47*(1+VLOOKUP(AI$49,Growth!$B$20:$D$60,3,FALSE)),)</f>
        <v>0</v>
      </c>
      <c r="AJ50" s="153">
        <f ca="1">IF(AJ$49&gt;='2.2 Input_General_Information'!$H$20, $F$47*(1+VLOOKUP(AJ$49,Growth!$B$20:$D$60,3,FALSE)),)</f>
        <v>0</v>
      </c>
      <c r="AK50" s="153">
        <f ca="1">IF(AK$49&gt;='2.2 Input_General_Information'!$H$20, $F$47*(1+VLOOKUP(AK$49,Growth!$B$20:$D$60,3,FALSE)),)</f>
        <v>0</v>
      </c>
      <c r="AL50" s="153">
        <f ca="1">IF(AL$49&gt;='2.2 Input_General_Information'!$H$20, $F$47*(1+VLOOKUP(AL$49,Growth!$B$20:$D$60,3,FALSE)),)</f>
        <v>0</v>
      </c>
      <c r="AM50" s="153">
        <f ca="1">IF(AM$49&gt;='2.2 Input_General_Information'!$H$20, $F$47*(1+VLOOKUP(AM$49,Growth!$B$20:$D$60,3,FALSE)),)</f>
        <v>0</v>
      </c>
      <c r="AN50" s="153">
        <f ca="1">IF(AN$49&gt;='2.2 Input_General_Information'!$H$20, $F$47*(1+VLOOKUP(AN$49,Growth!$B$20:$D$60,3,FALSE)),)</f>
        <v>0</v>
      </c>
      <c r="AO50" s="153">
        <f ca="1">IF(AO$49&gt;='2.2 Input_General_Information'!$H$20, $F$47*(1+VLOOKUP(AO$49,Growth!$B$20:$D$60,3,FALSE)),)</f>
        <v>0</v>
      </c>
      <c r="AP50" s="153">
        <f ca="1">IF(AP$49&gt;='2.2 Input_General_Information'!$H$20, $F$47*(1+VLOOKUP(AP$49,Growth!$B$20:$D$60,3,FALSE)),)</f>
        <v>0</v>
      </c>
      <c r="AQ50" s="153">
        <f ca="1">IF(AQ$49&gt;='2.2 Input_General_Information'!$H$20, $F$47*(1+VLOOKUP(AQ$49,Growth!$B$20:$D$60,3,FALSE)),)</f>
        <v>0</v>
      </c>
      <c r="AR50" s="153">
        <f ca="1">IF(AR$49&gt;='2.2 Input_General_Information'!$H$20, $F$47*(1+VLOOKUP(AR$49,Growth!$B$20:$D$60,3,FALSE)),)</f>
        <v>0</v>
      </c>
      <c r="AS50" s="153">
        <f ca="1">IF(AS$49&gt;='2.2 Input_General_Information'!$H$20, $F$47*(1+VLOOKUP(AS$49,Growth!$B$20:$D$60,3,FALSE)),)</f>
        <v>0</v>
      </c>
      <c r="AT50" s="153">
        <f ca="1">IF(AT$49&gt;='2.2 Input_General_Information'!$H$20, $F$47*(1+VLOOKUP(AT$49,Growth!$B$20:$D$60,3,FALSE)),)</f>
        <v>0</v>
      </c>
      <c r="AU50" s="153">
        <f ca="1">IF(AU$49&gt;='2.2 Input_General_Information'!$H$20, $F$47*(1+VLOOKUP(AU$49,Growth!$B$20:$D$60,3,FALSE)),)</f>
        <v>0</v>
      </c>
      <c r="AV50" s="153">
        <f ca="1">IF(AV$49&gt;='2.2 Input_General_Information'!$H$20, $F$47*(1+VLOOKUP(AV$49,Growth!$B$20:$D$60,3,FALSE)),)</f>
        <v>0</v>
      </c>
      <c r="AW50" s="153">
        <f ca="1">IF(AW$49&gt;='2.2 Input_General_Information'!$H$20, $F$47*(1+VLOOKUP(AW$49,Growth!$B$20:$D$60,3,FALSE)),)</f>
        <v>0</v>
      </c>
      <c r="AX50" s="153">
        <f ca="1">IF(AX$49&gt;='2.2 Input_General_Information'!$H$20, $F$47*(1+VLOOKUP(AX$49,Growth!$B$20:$D$60,3,FALSE)),)</f>
        <v>0</v>
      </c>
      <c r="AY50" s="153">
        <f ca="1">IF(AY$49&gt;='2.2 Input_General_Information'!$H$20, $F$47*(1+VLOOKUP(AY$49,Growth!$B$20:$D$60,3,FALSE)),)</f>
        <v>0</v>
      </c>
      <c r="AZ50" s="153">
        <f ca="1">IF(AZ$49&gt;='2.2 Input_General_Information'!$H$20, $F$47*(1+VLOOKUP(AZ$49,Growth!$B$20:$D$60,3,FALSE)),)</f>
        <v>0</v>
      </c>
      <c r="BA50" s="153">
        <f ca="1">IF(BA$49&gt;='2.2 Input_General_Information'!$H$20, $F$47*(1+VLOOKUP(BA$49,Growth!$B$20:$D$60,3,FALSE)),)</f>
        <v>0</v>
      </c>
      <c r="BB50" s="153">
        <f ca="1">IF(BB$49&gt;='2.2 Input_General_Information'!$H$20, $F$47*(1+VLOOKUP(BB$49,Growth!$B$20:$D$60,3,FALSE)),)</f>
        <v>0</v>
      </c>
      <c r="BC50" s="153">
        <f ca="1">IF(BC$49&gt;='2.2 Input_General_Information'!$H$20, $F$47*(1+VLOOKUP(BC$49,Growth!$B$20:$D$60,3,FALSE)),)</f>
        <v>0</v>
      </c>
      <c r="BD50" s="153">
        <f ca="1">IF(BD$49&gt;='2.2 Input_General_Information'!$H$20, $F$47*(1+VLOOKUP(BD$49,Growth!$B$20:$D$60,3,FALSE)),)</f>
        <v>0</v>
      </c>
      <c r="BE50" s="153">
        <f ca="1">IF(BE$49&gt;='2.2 Input_General_Information'!$H$20, $F$47*(1+VLOOKUP(BE$49,Growth!$B$20:$D$60,3,FALSE)),)</f>
        <v>0</v>
      </c>
      <c r="BF50" s="153">
        <f ca="1">IF(BF$49&gt;='2.2 Input_General_Information'!$H$20, $F$47*(1+VLOOKUP(BF$49,Growth!$B$20:$D$60,3,FALSE)),)</f>
        <v>0</v>
      </c>
      <c r="BG50" s="153">
        <f ca="1">IF(BG$49&gt;='2.2 Input_General_Information'!$H$20, $F$47*(1+VLOOKUP(BG$49,Growth!$B$20:$D$60,3,FALSE)),)</f>
        <v>0</v>
      </c>
    </row>
    <row r="51" spans="1:59" hidden="1">
      <c r="A51" s="128"/>
      <c r="B51" s="129"/>
      <c r="C51" s="128"/>
      <c r="D51" s="12"/>
      <c r="E51" s="43"/>
      <c r="F51" s="1"/>
      <c r="G51" s="1"/>
      <c r="H51" s="1"/>
      <c r="I51" s="1"/>
      <c r="J51" s="1"/>
      <c r="K51" s="1"/>
      <c r="L51" s="1"/>
      <c r="M51" s="1"/>
      <c r="N51" s="1"/>
      <c r="O51" s="7"/>
      <c r="P51" s="6"/>
      <c r="Q51" s="6"/>
      <c r="R51" s="103" t="str">
        <f>G38</f>
        <v>Lecturer assistant/Research assistant (Academic)</v>
      </c>
      <c r="S51" s="153">
        <f ca="1">IF(S$49&gt;='2.2 Input_General_Information'!$H$20, $G$47*(1+VLOOKUP(S$49,Growth!$B$20:$D$60,3,FALSE)),)</f>
        <v>0</v>
      </c>
      <c r="T51" s="153">
        <f ca="1">IF(T$49&gt;='2.2 Input_General_Information'!$H$20, $G$47*(1+VLOOKUP(T$49,Growth!$B$20:$D$60,3,FALSE)),)</f>
        <v>0</v>
      </c>
      <c r="U51" s="153">
        <f ca="1">IF(U$49&gt;='2.2 Input_General_Information'!$H$20, $G$47*(1+VLOOKUP(U$49,Growth!$B$20:$D$60,3,FALSE)),)</f>
        <v>0</v>
      </c>
      <c r="V51" s="153">
        <f ca="1">IF(V$49&gt;='2.2 Input_General_Information'!$H$20, $G$47*(1+VLOOKUP(V$49,Growth!$B$20:$D$60,3,FALSE)),)</f>
        <v>0</v>
      </c>
      <c r="W51" s="153">
        <f ca="1">IF(W$49&gt;='2.2 Input_General_Information'!$H$20, $G$47*(1+VLOOKUP(W$49,Growth!$B$20:$D$60,3,FALSE)),)</f>
        <v>0</v>
      </c>
      <c r="X51" s="153">
        <f ca="1">IF(X$49&gt;='2.2 Input_General_Information'!$H$20, $G$47*(1+VLOOKUP(X$49,Growth!$B$20:$D$60,3,FALSE)),)</f>
        <v>0</v>
      </c>
      <c r="Y51" s="153">
        <f ca="1">IF(Y$49&gt;='2.2 Input_General_Information'!$H$20, $G$47*(1+VLOOKUP(Y$49,Growth!$B$20:$D$60,3,FALSE)),)</f>
        <v>0</v>
      </c>
      <c r="Z51" s="153">
        <f ca="1">IF(Z$49&gt;='2.2 Input_General_Information'!$H$20, $G$47*(1+VLOOKUP(Z$49,Growth!$B$20:$D$60,3,FALSE)),)</f>
        <v>0</v>
      </c>
      <c r="AA51" s="153">
        <f ca="1">IF(AA$49&gt;='2.2 Input_General_Information'!$H$20, $G$47*(1+VLOOKUP(AA$49,Growth!$B$20:$D$60,3,FALSE)),)</f>
        <v>0</v>
      </c>
      <c r="AB51" s="153">
        <f ca="1">IF(AB$49&gt;='2.2 Input_General_Information'!$H$20, $G$47*(1+VLOOKUP(AB$49,Growth!$B$20:$D$60,3,FALSE)),)</f>
        <v>0</v>
      </c>
      <c r="AC51" s="153">
        <f ca="1">IF(AC$49&gt;='2.2 Input_General_Information'!$H$20, $G$47*(1+VLOOKUP(AC$49,Growth!$B$20:$D$60,3,FALSE)),)</f>
        <v>0</v>
      </c>
      <c r="AD51" s="153">
        <f ca="1">IF(AD$49&gt;='2.2 Input_General_Information'!$H$20, $G$47*(1+VLOOKUP(AD$49,Growth!$B$20:$D$60,3,FALSE)),)</f>
        <v>0</v>
      </c>
      <c r="AE51" s="153">
        <f ca="1">IF(AE$49&gt;='2.2 Input_General_Information'!$H$20, $G$47*(1+VLOOKUP(AE$49,Growth!$B$20:$D$60,3,FALSE)),)</f>
        <v>0</v>
      </c>
      <c r="AF51" s="153">
        <f ca="1">IF(AF$49&gt;='2.2 Input_General_Information'!$H$20, $G$47*(1+VLOOKUP(AF$49,Growth!$B$20:$D$60,3,FALSE)),)</f>
        <v>0</v>
      </c>
      <c r="AG51" s="153">
        <f ca="1">IF(AG$49&gt;='2.2 Input_General_Information'!$H$20, $G$47*(1+VLOOKUP(AG$49,Growth!$B$20:$D$60,3,FALSE)),)</f>
        <v>0</v>
      </c>
      <c r="AH51" s="153">
        <f ca="1">IF(AH$49&gt;='2.2 Input_General_Information'!$H$20, $G$47*(1+VLOOKUP(AH$49,Growth!$B$20:$D$60,3,FALSE)),)</f>
        <v>0</v>
      </c>
      <c r="AI51" s="153">
        <f ca="1">IF(AI$49&gt;='2.2 Input_General_Information'!$H$20, $G$47*(1+VLOOKUP(AI$49,Growth!$B$20:$D$60,3,FALSE)),)</f>
        <v>0</v>
      </c>
      <c r="AJ51" s="153">
        <f ca="1">IF(AJ$49&gt;='2.2 Input_General_Information'!$H$20, $G$47*(1+VLOOKUP(AJ$49,Growth!$B$20:$D$60,3,FALSE)),)</f>
        <v>0</v>
      </c>
      <c r="AK51" s="153">
        <f ca="1">IF(AK$49&gt;='2.2 Input_General_Information'!$H$20, $G$47*(1+VLOOKUP(AK$49,Growth!$B$20:$D$60,3,FALSE)),)</f>
        <v>0</v>
      </c>
      <c r="AL51" s="153">
        <f ca="1">IF(AL$49&gt;='2.2 Input_General_Information'!$H$20, $G$47*(1+VLOOKUP(AL$49,Growth!$B$20:$D$60,3,FALSE)),)</f>
        <v>0</v>
      </c>
      <c r="AM51" s="153">
        <f ca="1">IF(AM$49&gt;='2.2 Input_General_Information'!$H$20, $G$47*(1+VLOOKUP(AM$49,Growth!$B$20:$D$60,3,FALSE)),)</f>
        <v>0</v>
      </c>
      <c r="AN51" s="153">
        <f ca="1">IF(AN$49&gt;='2.2 Input_General_Information'!$H$20, $G$47*(1+VLOOKUP(AN$49,Growth!$B$20:$D$60,3,FALSE)),)</f>
        <v>0</v>
      </c>
      <c r="AO51" s="153">
        <f ca="1">IF(AO$49&gt;='2.2 Input_General_Information'!$H$20, $G$47*(1+VLOOKUP(AO$49,Growth!$B$20:$D$60,3,FALSE)),)</f>
        <v>0</v>
      </c>
      <c r="AP51" s="153">
        <f ca="1">IF(AP$49&gt;='2.2 Input_General_Information'!$H$20, $G$47*(1+VLOOKUP(AP$49,Growth!$B$20:$D$60,3,FALSE)),)</f>
        <v>0</v>
      </c>
      <c r="AQ51" s="153">
        <f ca="1">IF(AQ$49&gt;='2.2 Input_General_Information'!$H$20, $G$47*(1+VLOOKUP(AQ$49,Growth!$B$20:$D$60,3,FALSE)),)</f>
        <v>0</v>
      </c>
      <c r="AR51" s="153">
        <f ca="1">IF(AR$49&gt;='2.2 Input_General_Information'!$H$20, $G$47*(1+VLOOKUP(AR$49,Growth!$B$20:$D$60,3,FALSE)),)</f>
        <v>0</v>
      </c>
      <c r="AS51" s="153">
        <f ca="1">IF(AS$49&gt;='2.2 Input_General_Information'!$H$20, $G$47*(1+VLOOKUP(AS$49,Growth!$B$20:$D$60,3,FALSE)),)</f>
        <v>0</v>
      </c>
      <c r="AT51" s="153">
        <f ca="1">IF(AT$49&gt;='2.2 Input_General_Information'!$H$20, $G$47*(1+VLOOKUP(AT$49,Growth!$B$20:$D$60,3,FALSE)),)</f>
        <v>0</v>
      </c>
      <c r="AU51" s="153">
        <f ca="1">IF(AU$49&gt;='2.2 Input_General_Information'!$H$20, $G$47*(1+VLOOKUP(AU$49,Growth!$B$20:$D$60,3,FALSE)),)</f>
        <v>0</v>
      </c>
      <c r="AV51" s="153">
        <f ca="1">IF(AV$49&gt;='2.2 Input_General_Information'!$H$20, $G$47*(1+VLOOKUP(AV$49,Growth!$B$20:$D$60,3,FALSE)),)</f>
        <v>0</v>
      </c>
      <c r="AW51" s="153">
        <f ca="1">IF(AW$49&gt;='2.2 Input_General_Information'!$H$20, $G$47*(1+VLOOKUP(AW$49,Growth!$B$20:$D$60,3,FALSE)),)</f>
        <v>0</v>
      </c>
      <c r="AX51" s="153">
        <f ca="1">IF(AX$49&gt;='2.2 Input_General_Information'!$H$20, $G$47*(1+VLOOKUP(AX$49,Growth!$B$20:$D$60,3,FALSE)),)</f>
        <v>0</v>
      </c>
      <c r="AY51" s="153">
        <f ca="1">IF(AY$49&gt;='2.2 Input_General_Information'!$H$20, $G$47*(1+VLOOKUP(AY$49,Growth!$B$20:$D$60,3,FALSE)),)</f>
        <v>0</v>
      </c>
      <c r="AZ51" s="153">
        <f ca="1">IF(AZ$49&gt;='2.2 Input_General_Information'!$H$20, $G$47*(1+VLOOKUP(AZ$49,Growth!$B$20:$D$60,3,FALSE)),)</f>
        <v>0</v>
      </c>
      <c r="BA51" s="153">
        <f ca="1">IF(BA$49&gt;='2.2 Input_General_Information'!$H$20, $G$47*(1+VLOOKUP(BA$49,Growth!$B$20:$D$60,3,FALSE)),)</f>
        <v>0</v>
      </c>
      <c r="BB51" s="153">
        <f ca="1">IF(BB$49&gt;='2.2 Input_General_Information'!$H$20, $G$47*(1+VLOOKUP(BB$49,Growth!$B$20:$D$60,3,FALSE)),)</f>
        <v>0</v>
      </c>
      <c r="BC51" s="153">
        <f ca="1">IF(BC$49&gt;='2.2 Input_General_Information'!$H$20, $G$47*(1+VLOOKUP(BC$49,Growth!$B$20:$D$60,3,FALSE)),)</f>
        <v>0</v>
      </c>
      <c r="BD51" s="153">
        <f ca="1">IF(BD$49&gt;='2.2 Input_General_Information'!$H$20, $G$47*(1+VLOOKUP(BD$49,Growth!$B$20:$D$60,3,FALSE)),)</f>
        <v>0</v>
      </c>
      <c r="BE51" s="153">
        <f ca="1">IF(BE$49&gt;='2.2 Input_General_Information'!$H$20, $G$47*(1+VLOOKUP(BE$49,Growth!$B$20:$D$60,3,FALSE)),)</f>
        <v>0</v>
      </c>
      <c r="BF51" s="153">
        <f ca="1">IF(BF$49&gt;='2.2 Input_General_Information'!$H$20, $G$47*(1+VLOOKUP(BF$49,Growth!$B$20:$D$60,3,FALSE)),)</f>
        <v>0</v>
      </c>
      <c r="BG51" s="153">
        <f ca="1">IF(BG$49&gt;='2.2 Input_General_Information'!$H$20, $G$47*(1+VLOOKUP(BG$49,Growth!$B$20:$D$60,3,FALSE)),)</f>
        <v>0</v>
      </c>
    </row>
    <row r="52" spans="1:59" hidden="1">
      <c r="A52" s="128"/>
      <c r="B52" s="129"/>
      <c r="C52" s="128"/>
      <c r="D52" s="1"/>
      <c r="E52" s="3"/>
      <c r="F52" s="1"/>
      <c r="G52" s="1"/>
      <c r="H52" s="1"/>
      <c r="I52" s="1"/>
      <c r="J52" s="1"/>
      <c r="K52" s="1"/>
      <c r="L52" s="1"/>
      <c r="M52" s="1"/>
      <c r="N52" s="1"/>
      <c r="O52" s="7"/>
      <c r="P52" s="6"/>
      <c r="Q52" s="6"/>
      <c r="R52" s="103" t="str">
        <f>H38</f>
        <v>Lecturer/Researcher (Academic)</v>
      </c>
      <c r="S52" s="153">
        <f ca="1">IF(S$49&gt;='2.2 Input_General_Information'!$H$20, $H$47*(1+VLOOKUP(S$49,Growth!$B$20:$D$60,3,FALSE)),)</f>
        <v>0</v>
      </c>
      <c r="T52" s="153">
        <f ca="1">IF(T$49&gt;='2.2 Input_General_Information'!$H$20, $H$47*(1+VLOOKUP(T$49,Growth!$B$20:$D$60,3,FALSE)),)</f>
        <v>0</v>
      </c>
      <c r="U52" s="153">
        <f ca="1">IF(U$49&gt;='2.2 Input_General_Information'!$H$20, $H$47*(1+VLOOKUP(U$49,Growth!$B$20:$D$60,3,FALSE)),)</f>
        <v>0</v>
      </c>
      <c r="V52" s="153">
        <f ca="1">IF(V$49&gt;='2.2 Input_General_Information'!$H$20, $H$47*(1+VLOOKUP(V$49,Growth!$B$20:$D$60,3,FALSE)),)</f>
        <v>0</v>
      </c>
      <c r="W52" s="153">
        <f ca="1">IF(W$49&gt;='2.2 Input_General_Information'!$H$20, $H$47*(1+VLOOKUP(W$49,Growth!$B$20:$D$60,3,FALSE)),)</f>
        <v>0</v>
      </c>
      <c r="X52" s="153">
        <f ca="1">IF(X$49&gt;='2.2 Input_General_Information'!$H$20, $H$47*(1+VLOOKUP(X$49,Growth!$B$20:$D$60,3,FALSE)),)</f>
        <v>0</v>
      </c>
      <c r="Y52" s="153">
        <f ca="1">IF(Y$49&gt;='2.2 Input_General_Information'!$H$20, $H$47*(1+VLOOKUP(Y$49,Growth!$B$20:$D$60,3,FALSE)),)</f>
        <v>0</v>
      </c>
      <c r="Z52" s="153">
        <f ca="1">IF(Z$49&gt;='2.2 Input_General_Information'!$H$20, $H$47*(1+VLOOKUP(Z$49,Growth!$B$20:$D$60,3,FALSE)),)</f>
        <v>0</v>
      </c>
      <c r="AA52" s="153">
        <f ca="1">IF(AA$49&gt;='2.2 Input_General_Information'!$H$20, $H$47*(1+VLOOKUP(AA$49,Growth!$B$20:$D$60,3,FALSE)),)</f>
        <v>0</v>
      </c>
      <c r="AB52" s="153">
        <f ca="1">IF(AB$49&gt;='2.2 Input_General_Information'!$H$20, $H$47*(1+VLOOKUP(AB$49,Growth!$B$20:$D$60,3,FALSE)),)</f>
        <v>0</v>
      </c>
      <c r="AC52" s="153">
        <f ca="1">IF(AC$49&gt;='2.2 Input_General_Information'!$H$20, $H$47*(1+VLOOKUP(AC$49,Growth!$B$20:$D$60,3,FALSE)),)</f>
        <v>0</v>
      </c>
      <c r="AD52" s="153">
        <f ca="1">IF(AD$49&gt;='2.2 Input_General_Information'!$H$20, $H$47*(1+VLOOKUP(AD$49,Growth!$B$20:$D$60,3,FALSE)),)</f>
        <v>0</v>
      </c>
      <c r="AE52" s="153">
        <f ca="1">IF(AE$49&gt;='2.2 Input_General_Information'!$H$20, $H$47*(1+VLOOKUP(AE$49,Growth!$B$20:$D$60,3,FALSE)),)</f>
        <v>0</v>
      </c>
      <c r="AF52" s="153">
        <f ca="1">IF(AF$49&gt;='2.2 Input_General_Information'!$H$20, $H$47*(1+VLOOKUP(AF$49,Growth!$B$20:$D$60,3,FALSE)),)</f>
        <v>0</v>
      </c>
      <c r="AG52" s="153">
        <f ca="1">IF(AG$49&gt;='2.2 Input_General_Information'!$H$20, $H$47*(1+VLOOKUP(AG$49,Growth!$B$20:$D$60,3,FALSE)),)</f>
        <v>0</v>
      </c>
      <c r="AH52" s="153">
        <f ca="1">IF(AH$49&gt;='2.2 Input_General_Information'!$H$20, $H$47*(1+VLOOKUP(AH$49,Growth!$B$20:$D$60,3,FALSE)),)</f>
        <v>0</v>
      </c>
      <c r="AI52" s="153">
        <f ca="1">IF(AI$49&gt;='2.2 Input_General_Information'!$H$20, $H$47*(1+VLOOKUP(AI$49,Growth!$B$20:$D$60,3,FALSE)),)</f>
        <v>0</v>
      </c>
      <c r="AJ52" s="153">
        <f ca="1">IF(AJ$49&gt;='2.2 Input_General_Information'!$H$20, $H$47*(1+VLOOKUP(AJ$49,Growth!$B$20:$D$60,3,FALSE)),)</f>
        <v>0</v>
      </c>
      <c r="AK52" s="153">
        <f ca="1">IF(AK$49&gt;='2.2 Input_General_Information'!$H$20, $H$47*(1+VLOOKUP(AK$49,Growth!$B$20:$D$60,3,FALSE)),)</f>
        <v>0</v>
      </c>
      <c r="AL52" s="153">
        <f ca="1">IF(AL$49&gt;='2.2 Input_General_Information'!$H$20, $H$47*(1+VLOOKUP(AL$49,Growth!$B$20:$D$60,3,FALSE)),)</f>
        <v>0</v>
      </c>
      <c r="AM52" s="153">
        <f ca="1">IF(AM$49&gt;='2.2 Input_General_Information'!$H$20, $H$47*(1+VLOOKUP(AM$49,Growth!$B$20:$D$60,3,FALSE)),)</f>
        <v>0</v>
      </c>
      <c r="AN52" s="153">
        <f ca="1">IF(AN$49&gt;='2.2 Input_General_Information'!$H$20, $H$47*(1+VLOOKUP(AN$49,Growth!$B$20:$D$60,3,FALSE)),)</f>
        <v>0</v>
      </c>
      <c r="AO52" s="153">
        <f ca="1">IF(AO$49&gt;='2.2 Input_General_Information'!$H$20, $H$47*(1+VLOOKUP(AO$49,Growth!$B$20:$D$60,3,FALSE)),)</f>
        <v>0</v>
      </c>
      <c r="AP52" s="153">
        <f ca="1">IF(AP$49&gt;='2.2 Input_General_Information'!$H$20, $H$47*(1+VLOOKUP(AP$49,Growth!$B$20:$D$60,3,FALSE)),)</f>
        <v>0</v>
      </c>
      <c r="AQ52" s="153">
        <f ca="1">IF(AQ$49&gt;='2.2 Input_General_Information'!$H$20, $H$47*(1+VLOOKUP(AQ$49,Growth!$B$20:$D$60,3,FALSE)),)</f>
        <v>0</v>
      </c>
      <c r="AR52" s="153">
        <f ca="1">IF(AR$49&gt;='2.2 Input_General_Information'!$H$20, $H$47*(1+VLOOKUP(AR$49,Growth!$B$20:$D$60,3,FALSE)),)</f>
        <v>0</v>
      </c>
      <c r="AS52" s="153">
        <f ca="1">IF(AS$49&gt;='2.2 Input_General_Information'!$H$20, $H$47*(1+VLOOKUP(AS$49,Growth!$B$20:$D$60,3,FALSE)),)</f>
        <v>0</v>
      </c>
      <c r="AT52" s="153">
        <f ca="1">IF(AT$49&gt;='2.2 Input_General_Information'!$H$20, $H$47*(1+VLOOKUP(AT$49,Growth!$B$20:$D$60,3,FALSE)),)</f>
        <v>0</v>
      </c>
      <c r="AU52" s="153">
        <f ca="1">IF(AU$49&gt;='2.2 Input_General_Information'!$H$20, $H$47*(1+VLOOKUP(AU$49,Growth!$B$20:$D$60,3,FALSE)),)</f>
        <v>0</v>
      </c>
      <c r="AV52" s="153">
        <f ca="1">IF(AV$49&gt;='2.2 Input_General_Information'!$H$20, $H$47*(1+VLOOKUP(AV$49,Growth!$B$20:$D$60,3,FALSE)),)</f>
        <v>0</v>
      </c>
      <c r="AW52" s="153">
        <f ca="1">IF(AW$49&gt;='2.2 Input_General_Information'!$H$20, $H$47*(1+VLOOKUP(AW$49,Growth!$B$20:$D$60,3,FALSE)),)</f>
        <v>0</v>
      </c>
      <c r="AX52" s="153">
        <f ca="1">IF(AX$49&gt;='2.2 Input_General_Information'!$H$20, $H$47*(1+VLOOKUP(AX$49,Growth!$B$20:$D$60,3,FALSE)),)</f>
        <v>0</v>
      </c>
      <c r="AY52" s="153">
        <f ca="1">IF(AY$49&gt;='2.2 Input_General_Information'!$H$20, $H$47*(1+VLOOKUP(AY$49,Growth!$B$20:$D$60,3,FALSE)),)</f>
        <v>0</v>
      </c>
      <c r="AZ52" s="153">
        <f ca="1">IF(AZ$49&gt;='2.2 Input_General_Information'!$H$20, $H$47*(1+VLOOKUP(AZ$49,Growth!$B$20:$D$60,3,FALSE)),)</f>
        <v>0</v>
      </c>
      <c r="BA52" s="153">
        <f ca="1">IF(BA$49&gt;='2.2 Input_General_Information'!$H$20, $H$47*(1+VLOOKUP(BA$49,Growth!$B$20:$D$60,3,FALSE)),)</f>
        <v>0</v>
      </c>
      <c r="BB52" s="153">
        <f ca="1">IF(BB$49&gt;='2.2 Input_General_Information'!$H$20, $H$47*(1+VLOOKUP(BB$49,Growth!$B$20:$D$60,3,FALSE)),)</f>
        <v>0</v>
      </c>
      <c r="BC52" s="153">
        <f ca="1">IF(BC$49&gt;='2.2 Input_General_Information'!$H$20, $H$47*(1+VLOOKUP(BC$49,Growth!$B$20:$D$60,3,FALSE)),)</f>
        <v>0</v>
      </c>
      <c r="BD52" s="153">
        <f ca="1">IF(BD$49&gt;='2.2 Input_General_Information'!$H$20, $H$47*(1+VLOOKUP(BD$49,Growth!$B$20:$D$60,3,FALSE)),)</f>
        <v>0</v>
      </c>
      <c r="BE52" s="153">
        <f ca="1">IF(BE$49&gt;='2.2 Input_General_Information'!$H$20, $H$47*(1+VLOOKUP(BE$49,Growth!$B$20:$D$60,3,FALSE)),)</f>
        <v>0</v>
      </c>
      <c r="BF52" s="153">
        <f ca="1">IF(BF$49&gt;='2.2 Input_General_Information'!$H$20, $H$47*(1+VLOOKUP(BF$49,Growth!$B$20:$D$60,3,FALSE)),)</f>
        <v>0</v>
      </c>
      <c r="BG52" s="153">
        <f ca="1">IF(BG$49&gt;='2.2 Input_General_Information'!$H$20, $H$47*(1+VLOOKUP(BG$49,Growth!$B$20:$D$60,3,FALSE)),)</f>
        <v>0</v>
      </c>
    </row>
    <row r="53" spans="1:59" hidden="1">
      <c r="A53" s="128"/>
      <c r="B53" s="129"/>
      <c r="C53" s="128"/>
      <c r="D53" s="1"/>
      <c r="E53" s="3"/>
      <c r="F53" s="1"/>
      <c r="G53" s="1"/>
      <c r="H53" s="1"/>
      <c r="I53" s="1"/>
      <c r="J53" s="1"/>
      <c r="K53" s="1"/>
      <c r="L53" s="1"/>
      <c r="M53" s="1"/>
      <c r="N53" s="1"/>
      <c r="O53" s="7"/>
      <c r="P53" s="6"/>
      <c r="Q53" s="6"/>
      <c r="R53" s="103" t="str">
        <f>I38</f>
        <v>Other</v>
      </c>
      <c r="S53" s="153">
        <f ca="1">IF(S$49&gt;='2.2 Input_General_Information'!$H$20, $I$47*(1+VLOOKUP(S$49,Growth!$B$20:$D$60,3,FALSE)),)</f>
        <v>0</v>
      </c>
      <c r="T53" s="153">
        <f ca="1">IF(T$49&gt;='2.2 Input_General_Information'!$H$20, $I$47*(1+VLOOKUP(T$49,Growth!$B$20:$D$60,3,FALSE)),)</f>
        <v>0</v>
      </c>
      <c r="U53" s="153">
        <f ca="1">IF(U$49&gt;='2.2 Input_General_Information'!$H$20, $I$47*(1+VLOOKUP(U$49,Growth!$B$20:$D$60,3,FALSE)),)</f>
        <v>0</v>
      </c>
      <c r="V53" s="153">
        <f ca="1">IF(V$49&gt;='2.2 Input_General_Information'!$H$20, $I$47*(1+VLOOKUP(V$49,Growth!$B$20:$D$60,3,FALSE)),)</f>
        <v>0</v>
      </c>
      <c r="W53" s="153">
        <f ca="1">IF(W$49&gt;='2.2 Input_General_Information'!$H$20, $I$47*(1+VLOOKUP(W$49,Growth!$B$20:$D$60,3,FALSE)),)</f>
        <v>0</v>
      </c>
      <c r="X53" s="153">
        <f ca="1">IF(X$49&gt;='2.2 Input_General_Information'!$H$20, $I$47*(1+VLOOKUP(X$49,Growth!$B$20:$D$60,3,FALSE)),)</f>
        <v>0</v>
      </c>
      <c r="Y53" s="153">
        <f ca="1">IF(Y$49&gt;='2.2 Input_General_Information'!$H$20, $I$47*(1+VLOOKUP(Y$49,Growth!$B$20:$D$60,3,FALSE)),)</f>
        <v>0</v>
      </c>
      <c r="Z53" s="153">
        <f ca="1">IF(Z$49&gt;='2.2 Input_General_Information'!$H$20, $I$47*(1+VLOOKUP(Z$49,Growth!$B$20:$D$60,3,FALSE)),)</f>
        <v>0</v>
      </c>
      <c r="AA53" s="153">
        <f ca="1">IF(AA$49&gt;='2.2 Input_General_Information'!$H$20, $I$47*(1+VLOOKUP(AA$49,Growth!$B$20:$D$60,3,FALSE)),)</f>
        <v>0</v>
      </c>
      <c r="AB53" s="153">
        <f ca="1">IF(AB$49&gt;='2.2 Input_General_Information'!$H$20, $I$47*(1+VLOOKUP(AB$49,Growth!$B$20:$D$60,3,FALSE)),)</f>
        <v>0</v>
      </c>
      <c r="AC53" s="153">
        <f ca="1">IF(AC$49&gt;='2.2 Input_General_Information'!$H$20, $I$47*(1+VLOOKUP(AC$49,Growth!$B$20:$D$60,3,FALSE)),)</f>
        <v>0</v>
      </c>
      <c r="AD53" s="153">
        <f ca="1">IF(AD$49&gt;='2.2 Input_General_Information'!$H$20, $I$47*(1+VLOOKUP(AD$49,Growth!$B$20:$D$60,3,FALSE)),)</f>
        <v>0</v>
      </c>
      <c r="AE53" s="153">
        <f ca="1">IF(AE$49&gt;='2.2 Input_General_Information'!$H$20, $I$47*(1+VLOOKUP(AE$49,Growth!$B$20:$D$60,3,FALSE)),)</f>
        <v>0</v>
      </c>
      <c r="AF53" s="153">
        <f ca="1">IF(AF$49&gt;='2.2 Input_General_Information'!$H$20, $I$47*(1+VLOOKUP(AF$49,Growth!$B$20:$D$60,3,FALSE)),)</f>
        <v>0</v>
      </c>
      <c r="AG53" s="153">
        <f ca="1">IF(AG$49&gt;='2.2 Input_General_Information'!$H$20, $I$47*(1+VLOOKUP(AG$49,Growth!$B$20:$D$60,3,FALSE)),)</f>
        <v>0</v>
      </c>
      <c r="AH53" s="153">
        <f ca="1">IF(AH$49&gt;='2.2 Input_General_Information'!$H$20, $I$47*(1+VLOOKUP(AH$49,Growth!$B$20:$D$60,3,FALSE)),)</f>
        <v>0</v>
      </c>
      <c r="AI53" s="153">
        <f ca="1">IF(AI$49&gt;='2.2 Input_General_Information'!$H$20, $I$47*(1+VLOOKUP(AI$49,Growth!$B$20:$D$60,3,FALSE)),)</f>
        <v>0</v>
      </c>
      <c r="AJ53" s="153">
        <f ca="1">IF(AJ$49&gt;='2.2 Input_General_Information'!$H$20, $I$47*(1+VLOOKUP(AJ$49,Growth!$B$20:$D$60,3,FALSE)),)</f>
        <v>0</v>
      </c>
      <c r="AK53" s="153">
        <f ca="1">IF(AK$49&gt;='2.2 Input_General_Information'!$H$20, $I$47*(1+VLOOKUP(AK$49,Growth!$B$20:$D$60,3,FALSE)),)</f>
        <v>0</v>
      </c>
      <c r="AL53" s="153">
        <f ca="1">IF(AL$49&gt;='2.2 Input_General_Information'!$H$20, $I$47*(1+VLOOKUP(AL$49,Growth!$B$20:$D$60,3,FALSE)),)</f>
        <v>0</v>
      </c>
      <c r="AM53" s="153">
        <f ca="1">IF(AM$49&gt;='2.2 Input_General_Information'!$H$20, $I$47*(1+VLOOKUP(AM$49,Growth!$B$20:$D$60,3,FALSE)),)</f>
        <v>0</v>
      </c>
      <c r="AN53" s="153">
        <f ca="1">IF(AN$49&gt;='2.2 Input_General_Information'!$H$20, $I$47*(1+VLOOKUP(AN$49,Growth!$B$20:$D$60,3,FALSE)),)</f>
        <v>0</v>
      </c>
      <c r="AO53" s="153">
        <f ca="1">IF(AO$49&gt;='2.2 Input_General_Information'!$H$20, $I$47*(1+VLOOKUP(AO$49,Growth!$B$20:$D$60,3,FALSE)),)</f>
        <v>0</v>
      </c>
      <c r="AP53" s="153">
        <f ca="1">IF(AP$49&gt;='2.2 Input_General_Information'!$H$20, $I$47*(1+VLOOKUP(AP$49,Growth!$B$20:$D$60,3,FALSE)),)</f>
        <v>0</v>
      </c>
      <c r="AQ53" s="153">
        <f ca="1">IF(AQ$49&gt;='2.2 Input_General_Information'!$H$20, $I$47*(1+VLOOKUP(AQ$49,Growth!$B$20:$D$60,3,FALSE)),)</f>
        <v>0</v>
      </c>
      <c r="AR53" s="153">
        <f ca="1">IF(AR$49&gt;='2.2 Input_General_Information'!$H$20, $I$47*(1+VLOOKUP(AR$49,Growth!$B$20:$D$60,3,FALSE)),)</f>
        <v>0</v>
      </c>
      <c r="AS53" s="153">
        <f ca="1">IF(AS$49&gt;='2.2 Input_General_Information'!$H$20, $I$47*(1+VLOOKUP(AS$49,Growth!$B$20:$D$60,3,FALSE)),)</f>
        <v>0</v>
      </c>
      <c r="AT53" s="153">
        <f ca="1">IF(AT$49&gt;='2.2 Input_General_Information'!$H$20, $I$47*(1+VLOOKUP(AT$49,Growth!$B$20:$D$60,3,FALSE)),)</f>
        <v>0</v>
      </c>
      <c r="AU53" s="153">
        <f ca="1">IF(AU$49&gt;='2.2 Input_General_Information'!$H$20, $I$47*(1+VLOOKUP(AU$49,Growth!$B$20:$D$60,3,FALSE)),)</f>
        <v>0</v>
      </c>
      <c r="AV53" s="153">
        <f ca="1">IF(AV$49&gt;='2.2 Input_General_Information'!$H$20, $I$47*(1+VLOOKUP(AV$49,Growth!$B$20:$D$60,3,FALSE)),)</f>
        <v>0</v>
      </c>
      <c r="AW53" s="153">
        <f ca="1">IF(AW$49&gt;='2.2 Input_General_Information'!$H$20, $I$47*(1+VLOOKUP(AW$49,Growth!$B$20:$D$60,3,FALSE)),)</f>
        <v>0</v>
      </c>
      <c r="AX53" s="153">
        <f ca="1">IF(AX$49&gt;='2.2 Input_General_Information'!$H$20, $I$47*(1+VLOOKUP(AX$49,Growth!$B$20:$D$60,3,FALSE)),)</f>
        <v>0</v>
      </c>
      <c r="AY53" s="153">
        <f ca="1">IF(AY$49&gt;='2.2 Input_General_Information'!$H$20, $I$47*(1+VLOOKUP(AY$49,Growth!$B$20:$D$60,3,FALSE)),)</f>
        <v>0</v>
      </c>
      <c r="AZ53" s="153">
        <f ca="1">IF(AZ$49&gt;='2.2 Input_General_Information'!$H$20, $I$47*(1+VLOOKUP(AZ$49,Growth!$B$20:$D$60,3,FALSE)),)</f>
        <v>0</v>
      </c>
      <c r="BA53" s="153">
        <f ca="1">IF(BA$49&gt;='2.2 Input_General_Information'!$H$20, $I$47*(1+VLOOKUP(BA$49,Growth!$B$20:$D$60,3,FALSE)),)</f>
        <v>0</v>
      </c>
      <c r="BB53" s="153">
        <f ca="1">IF(BB$49&gt;='2.2 Input_General_Information'!$H$20, $I$47*(1+VLOOKUP(BB$49,Growth!$B$20:$D$60,3,FALSE)),)</f>
        <v>0</v>
      </c>
      <c r="BC53" s="153">
        <f ca="1">IF(BC$49&gt;='2.2 Input_General_Information'!$H$20, $I$47*(1+VLOOKUP(BC$49,Growth!$B$20:$D$60,3,FALSE)),)</f>
        <v>0</v>
      </c>
      <c r="BD53" s="153">
        <f ca="1">IF(BD$49&gt;='2.2 Input_General_Information'!$H$20, $I$47*(1+VLOOKUP(BD$49,Growth!$B$20:$D$60,3,FALSE)),)</f>
        <v>0</v>
      </c>
      <c r="BE53" s="153">
        <f ca="1">IF(BE$49&gt;='2.2 Input_General_Information'!$H$20, $I$47*(1+VLOOKUP(BE$49,Growth!$B$20:$D$60,3,FALSE)),)</f>
        <v>0</v>
      </c>
      <c r="BF53" s="153">
        <f ca="1">IF(BF$49&gt;='2.2 Input_General_Information'!$H$20, $I$47*(1+VLOOKUP(BF$49,Growth!$B$20:$D$60,3,FALSE)),)</f>
        <v>0</v>
      </c>
      <c r="BG53" s="153">
        <f ca="1">IF(BG$49&gt;='2.2 Input_General_Information'!$H$20, $I$47*(1+VLOOKUP(BG$49,Growth!$B$20:$D$60,3,FALSE)),)</f>
        <v>0</v>
      </c>
    </row>
    <row r="54" spans="1:59" hidden="1">
      <c r="A54" s="128"/>
      <c r="B54" s="129"/>
      <c r="C54" s="128"/>
      <c r="D54" s="1"/>
      <c r="E54" s="3"/>
      <c r="F54" s="1"/>
      <c r="G54" s="1"/>
      <c r="H54" s="1"/>
      <c r="I54" s="1"/>
      <c r="J54" s="1"/>
      <c r="K54" s="1"/>
      <c r="L54" s="1"/>
      <c r="M54" s="1"/>
      <c r="N54" s="1"/>
      <c r="O54" s="7"/>
      <c r="P54" s="6"/>
      <c r="Q54" s="6"/>
      <c r="R54" s="103" t="str">
        <f>J38</f>
        <v>Profile 5</v>
      </c>
      <c r="S54" s="153">
        <f ca="1">IF(S$49&gt;='2.2 Input_General_Information'!$H$20, $J$47*(1+VLOOKUP(S$49,Growth!$B$20:$D$60,3,FALSE)),)</f>
        <v>0</v>
      </c>
      <c r="T54" s="153">
        <f ca="1">IF(T$49&gt;='2.2 Input_General_Information'!$H$20, $J$47*(1+VLOOKUP(T$49,Growth!$B$20:$D$60,3,FALSE)),)</f>
        <v>0</v>
      </c>
      <c r="U54" s="153">
        <f ca="1">IF(U$49&gt;='2.2 Input_General_Information'!$H$20, $J$47*(1+VLOOKUP(U$49,Growth!$B$20:$D$60,3,FALSE)),)</f>
        <v>0</v>
      </c>
      <c r="V54" s="153">
        <f ca="1">IF(V$49&gt;='2.2 Input_General_Information'!$H$20, $J$47*(1+VLOOKUP(V$49,Growth!$B$20:$D$60,3,FALSE)),)</f>
        <v>0</v>
      </c>
      <c r="W54" s="153">
        <f ca="1">IF(W$49&gt;='2.2 Input_General_Information'!$H$20, $J$47*(1+VLOOKUP(W$49,Growth!$B$20:$D$60,3,FALSE)),)</f>
        <v>0</v>
      </c>
      <c r="X54" s="153">
        <f ca="1">IF(X$49&gt;='2.2 Input_General_Information'!$H$20, $J$47*(1+VLOOKUP(X$49,Growth!$B$20:$D$60,3,FALSE)),)</f>
        <v>0</v>
      </c>
      <c r="Y54" s="153">
        <f ca="1">IF(Y$49&gt;='2.2 Input_General_Information'!$H$20, $J$47*(1+VLOOKUP(Y$49,Growth!$B$20:$D$60,3,FALSE)),)</f>
        <v>0</v>
      </c>
      <c r="Z54" s="153">
        <f ca="1">IF(Z$49&gt;='2.2 Input_General_Information'!$H$20, $J$47*(1+VLOOKUP(Z$49,Growth!$B$20:$D$60,3,FALSE)),)</f>
        <v>0</v>
      </c>
      <c r="AA54" s="153">
        <f ca="1">IF(AA$49&gt;='2.2 Input_General_Information'!$H$20, $J$47*(1+VLOOKUP(AA$49,Growth!$B$20:$D$60,3,FALSE)),)</f>
        <v>0</v>
      </c>
      <c r="AB54" s="153">
        <f ca="1">IF(AB$49&gt;='2.2 Input_General_Information'!$H$20, $J$47*(1+VLOOKUP(AB$49,Growth!$B$20:$D$60,3,FALSE)),)</f>
        <v>0</v>
      </c>
      <c r="AC54" s="153">
        <f ca="1">IF(AC$49&gt;='2.2 Input_General_Information'!$H$20, $J$47*(1+VLOOKUP(AC$49,Growth!$B$20:$D$60,3,FALSE)),)</f>
        <v>0</v>
      </c>
      <c r="AD54" s="153">
        <f ca="1">IF(AD$49&gt;='2.2 Input_General_Information'!$H$20, $J$47*(1+VLOOKUP(AD$49,Growth!$B$20:$D$60,3,FALSE)),)</f>
        <v>0</v>
      </c>
      <c r="AE54" s="153">
        <f ca="1">IF(AE$49&gt;='2.2 Input_General_Information'!$H$20, $J$47*(1+VLOOKUP(AE$49,Growth!$B$20:$D$60,3,FALSE)),)</f>
        <v>0</v>
      </c>
      <c r="AF54" s="153">
        <f ca="1">IF(AF$49&gt;='2.2 Input_General_Information'!$H$20, $J$47*(1+VLOOKUP(AF$49,Growth!$B$20:$D$60,3,FALSE)),)</f>
        <v>0</v>
      </c>
      <c r="AG54" s="153">
        <f ca="1">IF(AG$49&gt;='2.2 Input_General_Information'!$H$20, $J$47*(1+VLOOKUP(AG$49,Growth!$B$20:$D$60,3,FALSE)),)</f>
        <v>0</v>
      </c>
      <c r="AH54" s="153">
        <f ca="1">IF(AH$49&gt;='2.2 Input_General_Information'!$H$20, $J$47*(1+VLOOKUP(AH$49,Growth!$B$20:$D$60,3,FALSE)),)</f>
        <v>0</v>
      </c>
      <c r="AI54" s="153">
        <f ca="1">IF(AI$49&gt;='2.2 Input_General_Information'!$H$20, $J$47*(1+VLOOKUP(AI$49,Growth!$B$20:$D$60,3,FALSE)),)</f>
        <v>0</v>
      </c>
      <c r="AJ54" s="153">
        <f ca="1">IF(AJ$49&gt;='2.2 Input_General_Information'!$H$20, $J$47*(1+VLOOKUP(AJ$49,Growth!$B$20:$D$60,3,FALSE)),)</f>
        <v>0</v>
      </c>
      <c r="AK54" s="153">
        <f ca="1">IF(AK$49&gt;='2.2 Input_General_Information'!$H$20, $J$47*(1+VLOOKUP(AK$49,Growth!$B$20:$D$60,3,FALSE)),)</f>
        <v>0</v>
      </c>
      <c r="AL54" s="153">
        <f ca="1">IF(AL$49&gt;='2.2 Input_General_Information'!$H$20, $J$47*(1+VLOOKUP(AL$49,Growth!$B$20:$D$60,3,FALSE)),)</f>
        <v>0</v>
      </c>
      <c r="AM54" s="153">
        <f ca="1">IF(AM$49&gt;='2.2 Input_General_Information'!$H$20, $J$47*(1+VLOOKUP(AM$49,Growth!$B$20:$D$60,3,FALSE)),)</f>
        <v>0</v>
      </c>
      <c r="AN54" s="153">
        <f ca="1">IF(AN$49&gt;='2.2 Input_General_Information'!$H$20, $J$47*(1+VLOOKUP(AN$49,Growth!$B$20:$D$60,3,FALSE)),)</f>
        <v>0</v>
      </c>
      <c r="AO54" s="153">
        <f ca="1">IF(AO$49&gt;='2.2 Input_General_Information'!$H$20, $J$47*(1+VLOOKUP(AO$49,Growth!$B$20:$D$60,3,FALSE)),)</f>
        <v>0</v>
      </c>
      <c r="AP54" s="153">
        <f ca="1">IF(AP$49&gt;='2.2 Input_General_Information'!$H$20, $J$47*(1+VLOOKUP(AP$49,Growth!$B$20:$D$60,3,FALSE)),)</f>
        <v>0</v>
      </c>
      <c r="AQ54" s="153">
        <f ca="1">IF(AQ$49&gt;='2.2 Input_General_Information'!$H$20, $J$47*(1+VLOOKUP(AQ$49,Growth!$B$20:$D$60,3,FALSE)),)</f>
        <v>0</v>
      </c>
      <c r="AR54" s="153">
        <f ca="1">IF(AR$49&gt;='2.2 Input_General_Information'!$H$20, $J$47*(1+VLOOKUP(AR$49,Growth!$B$20:$D$60,3,FALSE)),)</f>
        <v>0</v>
      </c>
      <c r="AS54" s="153">
        <f ca="1">IF(AS$49&gt;='2.2 Input_General_Information'!$H$20, $J$47*(1+VLOOKUP(AS$49,Growth!$B$20:$D$60,3,FALSE)),)</f>
        <v>0</v>
      </c>
      <c r="AT54" s="153">
        <f ca="1">IF(AT$49&gt;='2.2 Input_General_Information'!$H$20, $J$47*(1+VLOOKUP(AT$49,Growth!$B$20:$D$60,3,FALSE)),)</f>
        <v>0</v>
      </c>
      <c r="AU54" s="153">
        <f ca="1">IF(AU$49&gt;='2.2 Input_General_Information'!$H$20, $J$47*(1+VLOOKUP(AU$49,Growth!$B$20:$D$60,3,FALSE)),)</f>
        <v>0</v>
      </c>
      <c r="AV54" s="153">
        <f ca="1">IF(AV$49&gt;='2.2 Input_General_Information'!$H$20, $J$47*(1+VLOOKUP(AV$49,Growth!$B$20:$D$60,3,FALSE)),)</f>
        <v>0</v>
      </c>
      <c r="AW54" s="153">
        <f ca="1">IF(AW$49&gt;='2.2 Input_General_Information'!$H$20, $J$47*(1+VLOOKUP(AW$49,Growth!$B$20:$D$60,3,FALSE)),)</f>
        <v>0</v>
      </c>
      <c r="AX54" s="153">
        <f ca="1">IF(AX$49&gt;='2.2 Input_General_Information'!$H$20, $J$47*(1+VLOOKUP(AX$49,Growth!$B$20:$D$60,3,FALSE)),)</f>
        <v>0</v>
      </c>
      <c r="AY54" s="153">
        <f ca="1">IF(AY$49&gt;='2.2 Input_General_Information'!$H$20, $J$47*(1+VLOOKUP(AY$49,Growth!$B$20:$D$60,3,FALSE)),)</f>
        <v>0</v>
      </c>
      <c r="AZ54" s="153">
        <f ca="1">IF(AZ$49&gt;='2.2 Input_General_Information'!$H$20, $J$47*(1+VLOOKUP(AZ$49,Growth!$B$20:$D$60,3,FALSE)),)</f>
        <v>0</v>
      </c>
      <c r="BA54" s="153">
        <f ca="1">IF(BA$49&gt;='2.2 Input_General_Information'!$H$20, $J$47*(1+VLOOKUP(BA$49,Growth!$B$20:$D$60,3,FALSE)),)</f>
        <v>0</v>
      </c>
      <c r="BB54" s="153">
        <f ca="1">IF(BB$49&gt;='2.2 Input_General_Information'!$H$20, $J$47*(1+VLOOKUP(BB$49,Growth!$B$20:$D$60,3,FALSE)),)</f>
        <v>0</v>
      </c>
      <c r="BC54" s="153">
        <f ca="1">IF(BC$49&gt;='2.2 Input_General_Information'!$H$20, $J$47*(1+VLOOKUP(BC$49,Growth!$B$20:$D$60,3,FALSE)),)</f>
        <v>0</v>
      </c>
      <c r="BD54" s="153">
        <f ca="1">IF(BD$49&gt;='2.2 Input_General_Information'!$H$20, $J$47*(1+VLOOKUP(BD$49,Growth!$B$20:$D$60,3,FALSE)),)</f>
        <v>0</v>
      </c>
      <c r="BE54" s="153">
        <f ca="1">IF(BE$49&gt;='2.2 Input_General_Information'!$H$20, $J$47*(1+VLOOKUP(BE$49,Growth!$B$20:$D$60,3,FALSE)),)</f>
        <v>0</v>
      </c>
      <c r="BF54" s="153">
        <f ca="1">IF(BF$49&gt;='2.2 Input_General_Information'!$H$20, $J$47*(1+VLOOKUP(BF$49,Growth!$B$20:$D$60,3,FALSE)),)</f>
        <v>0</v>
      </c>
      <c r="BG54" s="153">
        <f ca="1">IF(BG$49&gt;='2.2 Input_General_Information'!$H$20, $J$47*(1+VLOOKUP(BG$49,Growth!$B$20:$D$60,3,FALSE)),)</f>
        <v>0</v>
      </c>
    </row>
    <row r="55" spans="1:59" hidden="1">
      <c r="A55" s="128"/>
      <c r="B55" s="129"/>
      <c r="C55" s="128"/>
      <c r="D55" s="1"/>
      <c r="E55" s="3"/>
      <c r="F55" s="1"/>
      <c r="G55" s="1"/>
      <c r="H55" s="1"/>
      <c r="I55" s="1"/>
      <c r="J55" s="1"/>
      <c r="K55" s="1"/>
      <c r="L55" s="1"/>
      <c r="M55" s="1"/>
      <c r="N55" s="1"/>
      <c r="O55" s="7"/>
      <c r="P55" s="6"/>
      <c r="Q55" s="6"/>
      <c r="R55" s="103" t="str">
        <f>K38</f>
        <v>Profile 6</v>
      </c>
      <c r="S55" s="153">
        <f ca="1">IF(S$49&gt;='2.2 Input_General_Information'!$H$20, $K$47*(1+VLOOKUP(S$49,Growth!$B$20:$D$60,3,FALSE)),)</f>
        <v>0</v>
      </c>
      <c r="T55" s="153">
        <f ca="1">IF(T$49&gt;='2.2 Input_General_Information'!$H$20, $K$47*(1+VLOOKUP(T$49,Growth!$B$20:$D$60,3,FALSE)),)</f>
        <v>0</v>
      </c>
      <c r="U55" s="153">
        <f ca="1">IF(U$49&gt;='2.2 Input_General_Information'!$H$20, $K$47*(1+VLOOKUP(U$49,Growth!$B$20:$D$60,3,FALSE)),)</f>
        <v>0</v>
      </c>
      <c r="V55" s="153">
        <f ca="1">IF(V$49&gt;='2.2 Input_General_Information'!$H$20, $K$47*(1+VLOOKUP(V$49,Growth!$B$20:$D$60,3,FALSE)),)</f>
        <v>0</v>
      </c>
      <c r="W55" s="153">
        <f ca="1">IF(W$49&gt;='2.2 Input_General_Information'!$H$20, $K$47*(1+VLOOKUP(W$49,Growth!$B$20:$D$60,3,FALSE)),)</f>
        <v>0</v>
      </c>
      <c r="X55" s="153">
        <f ca="1">IF(X$49&gt;='2.2 Input_General_Information'!$H$20, $K$47*(1+VLOOKUP(X$49,Growth!$B$20:$D$60,3,FALSE)),)</f>
        <v>0</v>
      </c>
      <c r="Y55" s="153">
        <f ca="1">IF(Y$49&gt;='2.2 Input_General_Information'!$H$20, $K$47*(1+VLOOKUP(Y$49,Growth!$B$20:$D$60,3,FALSE)),)</f>
        <v>0</v>
      </c>
      <c r="Z55" s="153">
        <f ca="1">IF(Z$49&gt;='2.2 Input_General_Information'!$H$20, $K$47*(1+VLOOKUP(Z$49,Growth!$B$20:$D$60,3,FALSE)),)</f>
        <v>0</v>
      </c>
      <c r="AA55" s="153">
        <f ca="1">IF(AA$49&gt;='2.2 Input_General_Information'!$H$20, $K$47*(1+VLOOKUP(AA$49,Growth!$B$20:$D$60,3,FALSE)),)</f>
        <v>0</v>
      </c>
      <c r="AB55" s="153">
        <f ca="1">IF(AB$49&gt;='2.2 Input_General_Information'!$H$20, $K$47*(1+VLOOKUP(AB$49,Growth!$B$20:$D$60,3,FALSE)),)</f>
        <v>0</v>
      </c>
      <c r="AC55" s="153">
        <f ca="1">IF(AC$49&gt;='2.2 Input_General_Information'!$H$20, $K$47*(1+VLOOKUP(AC$49,Growth!$B$20:$D$60,3,FALSE)),)</f>
        <v>0</v>
      </c>
      <c r="AD55" s="153">
        <f ca="1">IF(AD$49&gt;='2.2 Input_General_Information'!$H$20, $K$47*(1+VLOOKUP(AD$49,Growth!$B$20:$D$60,3,FALSE)),)</f>
        <v>0</v>
      </c>
      <c r="AE55" s="153">
        <f ca="1">IF(AE$49&gt;='2.2 Input_General_Information'!$H$20, $K$47*(1+VLOOKUP(AE$49,Growth!$B$20:$D$60,3,FALSE)),)</f>
        <v>0</v>
      </c>
      <c r="AF55" s="153">
        <f ca="1">IF(AF$49&gt;='2.2 Input_General_Information'!$H$20, $K$47*(1+VLOOKUP(AF$49,Growth!$B$20:$D$60,3,FALSE)),)</f>
        <v>0</v>
      </c>
      <c r="AG55" s="153">
        <f ca="1">IF(AG$49&gt;='2.2 Input_General_Information'!$H$20, $K$47*(1+VLOOKUP(AG$49,Growth!$B$20:$D$60,3,FALSE)),)</f>
        <v>0</v>
      </c>
      <c r="AH55" s="153">
        <f ca="1">IF(AH$49&gt;='2.2 Input_General_Information'!$H$20, $K$47*(1+VLOOKUP(AH$49,Growth!$B$20:$D$60,3,FALSE)),)</f>
        <v>0</v>
      </c>
      <c r="AI55" s="153">
        <f ca="1">IF(AI$49&gt;='2.2 Input_General_Information'!$H$20, $K$47*(1+VLOOKUP(AI$49,Growth!$B$20:$D$60,3,FALSE)),)</f>
        <v>0</v>
      </c>
      <c r="AJ55" s="153">
        <f ca="1">IF(AJ$49&gt;='2.2 Input_General_Information'!$H$20, $K$47*(1+VLOOKUP(AJ$49,Growth!$B$20:$D$60,3,FALSE)),)</f>
        <v>0</v>
      </c>
      <c r="AK55" s="153">
        <f ca="1">IF(AK$49&gt;='2.2 Input_General_Information'!$H$20, $K$47*(1+VLOOKUP(AK$49,Growth!$B$20:$D$60,3,FALSE)),)</f>
        <v>0</v>
      </c>
      <c r="AL55" s="153">
        <f ca="1">IF(AL$49&gt;='2.2 Input_General_Information'!$H$20, $K$47*(1+VLOOKUP(AL$49,Growth!$B$20:$D$60,3,FALSE)),)</f>
        <v>0</v>
      </c>
      <c r="AM55" s="153">
        <f ca="1">IF(AM$49&gt;='2.2 Input_General_Information'!$H$20, $K$47*(1+VLOOKUP(AM$49,Growth!$B$20:$D$60,3,FALSE)),)</f>
        <v>0</v>
      </c>
      <c r="AN55" s="153">
        <f ca="1">IF(AN$49&gt;='2.2 Input_General_Information'!$H$20, $K$47*(1+VLOOKUP(AN$49,Growth!$B$20:$D$60,3,FALSE)),)</f>
        <v>0</v>
      </c>
      <c r="AO55" s="153">
        <f ca="1">IF(AO$49&gt;='2.2 Input_General_Information'!$H$20, $K$47*(1+VLOOKUP(AO$49,Growth!$B$20:$D$60,3,FALSE)),)</f>
        <v>0</v>
      </c>
      <c r="AP55" s="153">
        <f ca="1">IF(AP$49&gt;='2.2 Input_General_Information'!$H$20, $K$47*(1+VLOOKUP(AP$49,Growth!$B$20:$D$60,3,FALSE)),)</f>
        <v>0</v>
      </c>
      <c r="AQ55" s="153">
        <f ca="1">IF(AQ$49&gt;='2.2 Input_General_Information'!$H$20, $K$47*(1+VLOOKUP(AQ$49,Growth!$B$20:$D$60,3,FALSE)),)</f>
        <v>0</v>
      </c>
      <c r="AR55" s="153">
        <f ca="1">IF(AR$49&gt;='2.2 Input_General_Information'!$H$20, $K$47*(1+VLOOKUP(AR$49,Growth!$B$20:$D$60,3,FALSE)),)</f>
        <v>0</v>
      </c>
      <c r="AS55" s="153">
        <f ca="1">IF(AS$49&gt;='2.2 Input_General_Information'!$H$20, $K$47*(1+VLOOKUP(AS$49,Growth!$B$20:$D$60,3,FALSE)),)</f>
        <v>0</v>
      </c>
      <c r="AT55" s="153">
        <f ca="1">IF(AT$49&gt;='2.2 Input_General_Information'!$H$20, $K$47*(1+VLOOKUP(AT$49,Growth!$B$20:$D$60,3,FALSE)),)</f>
        <v>0</v>
      </c>
      <c r="AU55" s="153">
        <f ca="1">IF(AU$49&gt;='2.2 Input_General_Information'!$H$20, $K$47*(1+VLOOKUP(AU$49,Growth!$B$20:$D$60,3,FALSE)),)</f>
        <v>0</v>
      </c>
      <c r="AV55" s="153">
        <f ca="1">IF(AV$49&gt;='2.2 Input_General_Information'!$H$20, $K$47*(1+VLOOKUP(AV$49,Growth!$B$20:$D$60,3,FALSE)),)</f>
        <v>0</v>
      </c>
      <c r="AW55" s="153">
        <f ca="1">IF(AW$49&gt;='2.2 Input_General_Information'!$H$20, $K$47*(1+VLOOKUP(AW$49,Growth!$B$20:$D$60,3,FALSE)),)</f>
        <v>0</v>
      </c>
      <c r="AX55" s="153">
        <f ca="1">IF(AX$49&gt;='2.2 Input_General_Information'!$H$20, $K$47*(1+VLOOKUP(AX$49,Growth!$B$20:$D$60,3,FALSE)),)</f>
        <v>0</v>
      </c>
      <c r="AY55" s="153">
        <f ca="1">IF(AY$49&gt;='2.2 Input_General_Information'!$H$20, $K$47*(1+VLOOKUP(AY$49,Growth!$B$20:$D$60,3,FALSE)),)</f>
        <v>0</v>
      </c>
      <c r="AZ55" s="153">
        <f ca="1">IF(AZ$49&gt;='2.2 Input_General_Information'!$H$20, $K$47*(1+VLOOKUP(AZ$49,Growth!$B$20:$D$60,3,FALSE)),)</f>
        <v>0</v>
      </c>
      <c r="BA55" s="153">
        <f ca="1">IF(BA$49&gt;='2.2 Input_General_Information'!$H$20, $K$47*(1+VLOOKUP(BA$49,Growth!$B$20:$D$60,3,FALSE)),)</f>
        <v>0</v>
      </c>
      <c r="BB55" s="153">
        <f ca="1">IF(BB$49&gt;='2.2 Input_General_Information'!$H$20, $K$47*(1+VLOOKUP(BB$49,Growth!$B$20:$D$60,3,FALSE)),)</f>
        <v>0</v>
      </c>
      <c r="BC55" s="153">
        <f ca="1">IF(BC$49&gt;='2.2 Input_General_Information'!$H$20, $K$47*(1+VLOOKUP(BC$49,Growth!$B$20:$D$60,3,FALSE)),)</f>
        <v>0</v>
      </c>
      <c r="BD55" s="153">
        <f ca="1">IF(BD$49&gt;='2.2 Input_General_Information'!$H$20, $K$47*(1+VLOOKUP(BD$49,Growth!$B$20:$D$60,3,FALSE)),)</f>
        <v>0</v>
      </c>
      <c r="BE55" s="153">
        <f ca="1">IF(BE$49&gt;='2.2 Input_General_Information'!$H$20, $K$47*(1+VLOOKUP(BE$49,Growth!$B$20:$D$60,3,FALSE)),)</f>
        <v>0</v>
      </c>
      <c r="BF55" s="153">
        <f ca="1">IF(BF$49&gt;='2.2 Input_General_Information'!$H$20, $K$47*(1+VLOOKUP(BF$49,Growth!$B$20:$D$60,3,FALSE)),)</f>
        <v>0</v>
      </c>
      <c r="BG55" s="153">
        <f ca="1">IF(BG$49&gt;='2.2 Input_General_Information'!$H$20, $K$47*(1+VLOOKUP(BG$49,Growth!$B$20:$D$60,3,FALSE)),)</f>
        <v>0</v>
      </c>
    </row>
    <row r="56" spans="1:59" hidden="1">
      <c r="A56" s="128"/>
      <c r="B56" s="129"/>
      <c r="C56" s="128"/>
      <c r="D56" s="1"/>
      <c r="E56" s="3"/>
      <c r="F56" s="1"/>
      <c r="G56" s="1"/>
      <c r="H56" s="1"/>
      <c r="I56" s="1"/>
      <c r="J56" s="1"/>
      <c r="K56" s="1"/>
      <c r="L56" s="1"/>
      <c r="M56" s="1"/>
      <c r="N56" s="1"/>
      <c r="O56" s="7"/>
      <c r="P56" s="6"/>
      <c r="Q56" s="6"/>
      <c r="R56" s="103" t="str">
        <f>L38</f>
        <v>Profile 7</v>
      </c>
      <c r="S56" s="153">
        <f ca="1">IF(S$49&gt;='2.2 Input_General_Information'!$H$20, $L$47*(1+VLOOKUP(S$49,Growth!$B$20:$D$60,3,FALSE)),)</f>
        <v>0</v>
      </c>
      <c r="T56" s="153">
        <f ca="1">IF(T$49&gt;='2.2 Input_General_Information'!$H$20, $L$47*(1+VLOOKUP(T$49,Growth!$B$20:$D$60,3,FALSE)),)</f>
        <v>0</v>
      </c>
      <c r="U56" s="153">
        <f ca="1">IF(U$49&gt;='2.2 Input_General_Information'!$H$20, $L$47*(1+VLOOKUP(U$49,Growth!$B$20:$D$60,3,FALSE)),)</f>
        <v>0</v>
      </c>
      <c r="V56" s="153">
        <f ca="1">IF(V$49&gt;='2.2 Input_General_Information'!$H$20, $L$47*(1+VLOOKUP(V$49,Growth!$B$20:$D$60,3,FALSE)),)</f>
        <v>0</v>
      </c>
      <c r="W56" s="153">
        <f ca="1">IF(W$49&gt;='2.2 Input_General_Information'!$H$20, $L$47*(1+VLOOKUP(W$49,Growth!$B$20:$D$60,3,FALSE)),)</f>
        <v>0</v>
      </c>
      <c r="X56" s="153">
        <f ca="1">IF(X$49&gt;='2.2 Input_General_Information'!$H$20, $L$47*(1+VLOOKUP(X$49,Growth!$B$20:$D$60,3,FALSE)),)</f>
        <v>0</v>
      </c>
      <c r="Y56" s="153">
        <f ca="1">IF(Y$49&gt;='2.2 Input_General_Information'!$H$20, $L$47*(1+VLOOKUP(Y$49,Growth!$B$20:$D$60,3,FALSE)),)</f>
        <v>0</v>
      </c>
      <c r="Z56" s="153">
        <f ca="1">IF(Z$49&gt;='2.2 Input_General_Information'!$H$20, $L$47*(1+VLOOKUP(Z$49,Growth!$B$20:$D$60,3,FALSE)),)</f>
        <v>0</v>
      </c>
      <c r="AA56" s="153">
        <f ca="1">IF(AA$49&gt;='2.2 Input_General_Information'!$H$20, $L$47*(1+VLOOKUP(AA$49,Growth!$B$20:$D$60,3,FALSE)),)</f>
        <v>0</v>
      </c>
      <c r="AB56" s="153">
        <f ca="1">IF(AB$49&gt;='2.2 Input_General_Information'!$H$20, $L$47*(1+VLOOKUP(AB$49,Growth!$B$20:$D$60,3,FALSE)),)</f>
        <v>0</v>
      </c>
      <c r="AC56" s="153">
        <f ca="1">IF(AC$49&gt;='2.2 Input_General_Information'!$H$20, $L$47*(1+VLOOKUP(AC$49,Growth!$B$20:$D$60,3,FALSE)),)</f>
        <v>0</v>
      </c>
      <c r="AD56" s="153">
        <f ca="1">IF(AD$49&gt;='2.2 Input_General_Information'!$H$20, $L$47*(1+VLOOKUP(AD$49,Growth!$B$20:$D$60,3,FALSE)),)</f>
        <v>0</v>
      </c>
      <c r="AE56" s="153">
        <f ca="1">IF(AE$49&gt;='2.2 Input_General_Information'!$H$20, $L$47*(1+VLOOKUP(AE$49,Growth!$B$20:$D$60,3,FALSE)),)</f>
        <v>0</v>
      </c>
      <c r="AF56" s="153">
        <f ca="1">IF(AF$49&gt;='2.2 Input_General_Information'!$H$20, $L$47*(1+VLOOKUP(AF$49,Growth!$B$20:$D$60,3,FALSE)),)</f>
        <v>0</v>
      </c>
      <c r="AG56" s="153">
        <f ca="1">IF(AG$49&gt;='2.2 Input_General_Information'!$H$20, $L$47*(1+VLOOKUP(AG$49,Growth!$B$20:$D$60,3,FALSE)),)</f>
        <v>0</v>
      </c>
      <c r="AH56" s="153">
        <f ca="1">IF(AH$49&gt;='2.2 Input_General_Information'!$H$20, $L$47*(1+VLOOKUP(AH$49,Growth!$B$20:$D$60,3,FALSE)),)</f>
        <v>0</v>
      </c>
      <c r="AI56" s="153">
        <f ca="1">IF(AI$49&gt;='2.2 Input_General_Information'!$H$20, $L$47*(1+VLOOKUP(AI$49,Growth!$B$20:$D$60,3,FALSE)),)</f>
        <v>0</v>
      </c>
      <c r="AJ56" s="153">
        <f ca="1">IF(AJ$49&gt;='2.2 Input_General_Information'!$H$20, $L$47*(1+VLOOKUP(AJ$49,Growth!$B$20:$D$60,3,FALSE)),)</f>
        <v>0</v>
      </c>
      <c r="AK56" s="153">
        <f ca="1">IF(AK$49&gt;='2.2 Input_General_Information'!$H$20, $L$47*(1+VLOOKUP(AK$49,Growth!$B$20:$D$60,3,FALSE)),)</f>
        <v>0</v>
      </c>
      <c r="AL56" s="153">
        <f ca="1">IF(AL$49&gt;='2.2 Input_General_Information'!$H$20, $L$47*(1+VLOOKUP(AL$49,Growth!$B$20:$D$60,3,FALSE)),)</f>
        <v>0</v>
      </c>
      <c r="AM56" s="153">
        <f ca="1">IF(AM$49&gt;='2.2 Input_General_Information'!$H$20, $L$47*(1+VLOOKUP(AM$49,Growth!$B$20:$D$60,3,FALSE)),)</f>
        <v>0</v>
      </c>
      <c r="AN56" s="153">
        <f ca="1">IF(AN$49&gt;='2.2 Input_General_Information'!$H$20, $L$47*(1+VLOOKUP(AN$49,Growth!$B$20:$D$60,3,FALSE)),)</f>
        <v>0</v>
      </c>
      <c r="AO56" s="153">
        <f ca="1">IF(AO$49&gt;='2.2 Input_General_Information'!$H$20, $L$47*(1+VLOOKUP(AO$49,Growth!$B$20:$D$60,3,FALSE)),)</f>
        <v>0</v>
      </c>
      <c r="AP56" s="153">
        <f ca="1">IF(AP$49&gt;='2.2 Input_General_Information'!$H$20, $L$47*(1+VLOOKUP(AP$49,Growth!$B$20:$D$60,3,FALSE)),)</f>
        <v>0</v>
      </c>
      <c r="AQ56" s="153">
        <f ca="1">IF(AQ$49&gt;='2.2 Input_General_Information'!$H$20, $L$47*(1+VLOOKUP(AQ$49,Growth!$B$20:$D$60,3,FALSE)),)</f>
        <v>0</v>
      </c>
      <c r="AR56" s="153">
        <f ca="1">IF(AR$49&gt;='2.2 Input_General_Information'!$H$20, $L$47*(1+VLOOKUP(AR$49,Growth!$B$20:$D$60,3,FALSE)),)</f>
        <v>0</v>
      </c>
      <c r="AS56" s="153">
        <f ca="1">IF(AS$49&gt;='2.2 Input_General_Information'!$H$20, $L$47*(1+VLOOKUP(AS$49,Growth!$B$20:$D$60,3,FALSE)),)</f>
        <v>0</v>
      </c>
      <c r="AT56" s="153">
        <f ca="1">IF(AT$49&gt;='2.2 Input_General_Information'!$H$20, $L$47*(1+VLOOKUP(AT$49,Growth!$B$20:$D$60,3,FALSE)),)</f>
        <v>0</v>
      </c>
      <c r="AU56" s="153">
        <f ca="1">IF(AU$49&gt;='2.2 Input_General_Information'!$H$20, $L$47*(1+VLOOKUP(AU$49,Growth!$B$20:$D$60,3,FALSE)),)</f>
        <v>0</v>
      </c>
      <c r="AV56" s="153">
        <f ca="1">IF(AV$49&gt;='2.2 Input_General_Information'!$H$20, $L$47*(1+VLOOKUP(AV$49,Growth!$B$20:$D$60,3,FALSE)),)</f>
        <v>0</v>
      </c>
      <c r="AW56" s="153">
        <f ca="1">IF(AW$49&gt;='2.2 Input_General_Information'!$H$20, $L$47*(1+VLOOKUP(AW$49,Growth!$B$20:$D$60,3,FALSE)),)</f>
        <v>0</v>
      </c>
      <c r="AX56" s="153">
        <f ca="1">IF(AX$49&gt;='2.2 Input_General_Information'!$H$20, $L$47*(1+VLOOKUP(AX$49,Growth!$B$20:$D$60,3,FALSE)),)</f>
        <v>0</v>
      </c>
      <c r="AY56" s="153">
        <f ca="1">IF(AY$49&gt;='2.2 Input_General_Information'!$H$20, $L$47*(1+VLOOKUP(AY$49,Growth!$B$20:$D$60,3,FALSE)),)</f>
        <v>0</v>
      </c>
      <c r="AZ56" s="153">
        <f ca="1">IF(AZ$49&gt;='2.2 Input_General_Information'!$H$20, $L$47*(1+VLOOKUP(AZ$49,Growth!$B$20:$D$60,3,FALSE)),)</f>
        <v>0</v>
      </c>
      <c r="BA56" s="153">
        <f ca="1">IF(BA$49&gt;='2.2 Input_General_Information'!$H$20, $L$47*(1+VLOOKUP(BA$49,Growth!$B$20:$D$60,3,FALSE)),)</f>
        <v>0</v>
      </c>
      <c r="BB56" s="153">
        <f ca="1">IF(BB$49&gt;='2.2 Input_General_Information'!$H$20, $L$47*(1+VLOOKUP(BB$49,Growth!$B$20:$D$60,3,FALSE)),)</f>
        <v>0</v>
      </c>
      <c r="BC56" s="153">
        <f ca="1">IF(BC$49&gt;='2.2 Input_General_Information'!$H$20, $L$47*(1+VLOOKUP(BC$49,Growth!$B$20:$D$60,3,FALSE)),)</f>
        <v>0</v>
      </c>
      <c r="BD56" s="153">
        <f ca="1">IF(BD$49&gt;='2.2 Input_General_Information'!$H$20, $L$47*(1+VLOOKUP(BD$49,Growth!$B$20:$D$60,3,FALSE)),)</f>
        <v>0</v>
      </c>
      <c r="BE56" s="153">
        <f ca="1">IF(BE$49&gt;='2.2 Input_General_Information'!$H$20, $L$47*(1+VLOOKUP(BE$49,Growth!$B$20:$D$60,3,FALSE)),)</f>
        <v>0</v>
      </c>
      <c r="BF56" s="153">
        <f ca="1">IF(BF$49&gt;='2.2 Input_General_Information'!$H$20, $L$47*(1+VLOOKUP(BF$49,Growth!$B$20:$D$60,3,FALSE)),)</f>
        <v>0</v>
      </c>
      <c r="BG56" s="153">
        <f ca="1">IF(BG$49&gt;='2.2 Input_General_Information'!$H$20, $L$47*(1+VLOOKUP(BG$49,Growth!$B$20:$D$60,3,FALSE)),)</f>
        <v>0</v>
      </c>
    </row>
    <row r="57" spans="1:59" hidden="1">
      <c r="A57" s="128"/>
      <c r="B57" s="129"/>
      <c r="C57" s="128"/>
      <c r="D57" s="1"/>
      <c r="E57" s="3"/>
      <c r="F57" s="1"/>
      <c r="G57" s="1"/>
      <c r="H57" s="1"/>
      <c r="I57" s="1"/>
      <c r="J57" s="1"/>
      <c r="K57" s="1"/>
      <c r="L57" s="1"/>
      <c r="M57" s="1"/>
      <c r="N57" s="1"/>
      <c r="O57" s="7"/>
      <c r="P57" s="6"/>
      <c r="Q57" s="6"/>
      <c r="R57" s="103" t="str">
        <f>M38</f>
        <v>Profile 8</v>
      </c>
      <c r="S57" s="153">
        <f ca="1">IF(S$49&gt;='2.2 Input_General_Information'!$H$20, $M$47*(1+VLOOKUP(S$49,Growth!$B$20:$D$60,3,FALSE)),)</f>
        <v>0</v>
      </c>
      <c r="T57" s="153">
        <f ca="1">IF(T$49&gt;='2.2 Input_General_Information'!$H$20, $M$47*(1+VLOOKUP(T$49,Growth!$B$20:$D$60,3,FALSE)),)</f>
        <v>0</v>
      </c>
      <c r="U57" s="153">
        <f ca="1">IF(U$49&gt;='2.2 Input_General_Information'!$H$20, $M$47*(1+VLOOKUP(U$49,Growth!$B$20:$D$60,3,FALSE)),)</f>
        <v>0</v>
      </c>
      <c r="V57" s="153">
        <f ca="1">IF(V$49&gt;='2.2 Input_General_Information'!$H$20, $M$47*(1+VLOOKUP(V$49,Growth!$B$20:$D$60,3,FALSE)),)</f>
        <v>0</v>
      </c>
      <c r="W57" s="153">
        <f ca="1">IF(W$49&gt;='2.2 Input_General_Information'!$H$20, $M$47*(1+VLOOKUP(W$49,Growth!$B$20:$D$60,3,FALSE)),)</f>
        <v>0</v>
      </c>
      <c r="X57" s="153">
        <f ca="1">IF(X$49&gt;='2.2 Input_General_Information'!$H$20, $M$47*(1+VLOOKUP(X$49,Growth!$B$20:$D$60,3,FALSE)),)</f>
        <v>0</v>
      </c>
      <c r="Y57" s="153">
        <f ca="1">IF(Y$49&gt;='2.2 Input_General_Information'!$H$20, $M$47*(1+VLOOKUP(Y$49,Growth!$B$20:$D$60,3,FALSE)),)</f>
        <v>0</v>
      </c>
      <c r="Z57" s="153">
        <f ca="1">IF(Z$49&gt;='2.2 Input_General_Information'!$H$20, $M$47*(1+VLOOKUP(Z$49,Growth!$B$20:$D$60,3,FALSE)),)</f>
        <v>0</v>
      </c>
      <c r="AA57" s="153">
        <f ca="1">IF(AA$49&gt;='2.2 Input_General_Information'!$H$20, $M$47*(1+VLOOKUP(AA$49,Growth!$B$20:$D$60,3,FALSE)),)</f>
        <v>0</v>
      </c>
      <c r="AB57" s="153">
        <f ca="1">IF(AB$49&gt;='2.2 Input_General_Information'!$H$20, $M$47*(1+VLOOKUP(AB$49,Growth!$B$20:$D$60,3,FALSE)),)</f>
        <v>0</v>
      </c>
      <c r="AC57" s="153">
        <f ca="1">IF(AC$49&gt;='2.2 Input_General_Information'!$H$20, $M$47*(1+VLOOKUP(AC$49,Growth!$B$20:$D$60,3,FALSE)),)</f>
        <v>0</v>
      </c>
      <c r="AD57" s="153">
        <f ca="1">IF(AD$49&gt;='2.2 Input_General_Information'!$H$20, $M$47*(1+VLOOKUP(AD$49,Growth!$B$20:$D$60,3,FALSE)),)</f>
        <v>0</v>
      </c>
      <c r="AE57" s="153">
        <f ca="1">IF(AE$49&gt;='2.2 Input_General_Information'!$H$20, $M$47*(1+VLOOKUP(AE$49,Growth!$B$20:$D$60,3,FALSE)),)</f>
        <v>0</v>
      </c>
      <c r="AF57" s="153">
        <f ca="1">IF(AF$49&gt;='2.2 Input_General_Information'!$H$20, $M$47*(1+VLOOKUP(AF$49,Growth!$B$20:$D$60,3,FALSE)),)</f>
        <v>0</v>
      </c>
      <c r="AG57" s="153">
        <f ca="1">IF(AG$49&gt;='2.2 Input_General_Information'!$H$20, $M$47*(1+VLOOKUP(AG$49,Growth!$B$20:$D$60,3,FALSE)),)</f>
        <v>0</v>
      </c>
      <c r="AH57" s="153">
        <f ca="1">IF(AH$49&gt;='2.2 Input_General_Information'!$H$20, $M$47*(1+VLOOKUP(AH$49,Growth!$B$20:$D$60,3,FALSE)),)</f>
        <v>0</v>
      </c>
      <c r="AI57" s="153">
        <f ca="1">IF(AI$49&gt;='2.2 Input_General_Information'!$H$20, $M$47*(1+VLOOKUP(AI$49,Growth!$B$20:$D$60,3,FALSE)),)</f>
        <v>0</v>
      </c>
      <c r="AJ57" s="153">
        <f ca="1">IF(AJ$49&gt;='2.2 Input_General_Information'!$H$20, $M$47*(1+VLOOKUP(AJ$49,Growth!$B$20:$D$60,3,FALSE)),)</f>
        <v>0</v>
      </c>
      <c r="AK57" s="153">
        <f ca="1">IF(AK$49&gt;='2.2 Input_General_Information'!$H$20, $M$47*(1+VLOOKUP(AK$49,Growth!$B$20:$D$60,3,FALSE)),)</f>
        <v>0</v>
      </c>
      <c r="AL57" s="153">
        <f ca="1">IF(AL$49&gt;='2.2 Input_General_Information'!$H$20, $M$47*(1+VLOOKUP(AL$49,Growth!$B$20:$D$60,3,FALSE)),)</f>
        <v>0</v>
      </c>
      <c r="AM57" s="153">
        <f ca="1">IF(AM$49&gt;='2.2 Input_General_Information'!$H$20, $M$47*(1+VLOOKUP(AM$49,Growth!$B$20:$D$60,3,FALSE)),)</f>
        <v>0</v>
      </c>
      <c r="AN57" s="153">
        <f ca="1">IF(AN$49&gt;='2.2 Input_General_Information'!$H$20, $M$47*(1+VLOOKUP(AN$49,Growth!$B$20:$D$60,3,FALSE)),)</f>
        <v>0</v>
      </c>
      <c r="AO57" s="153">
        <f ca="1">IF(AO$49&gt;='2.2 Input_General_Information'!$H$20, $M$47*(1+VLOOKUP(AO$49,Growth!$B$20:$D$60,3,FALSE)),)</f>
        <v>0</v>
      </c>
      <c r="AP57" s="153">
        <f ca="1">IF(AP$49&gt;='2.2 Input_General_Information'!$H$20, $M$47*(1+VLOOKUP(AP$49,Growth!$B$20:$D$60,3,FALSE)),)</f>
        <v>0</v>
      </c>
      <c r="AQ57" s="153">
        <f ca="1">IF(AQ$49&gt;='2.2 Input_General_Information'!$H$20, $M$47*(1+VLOOKUP(AQ$49,Growth!$B$20:$D$60,3,FALSE)),)</f>
        <v>0</v>
      </c>
      <c r="AR57" s="153">
        <f ca="1">IF(AR$49&gt;='2.2 Input_General_Information'!$H$20, $M$47*(1+VLOOKUP(AR$49,Growth!$B$20:$D$60,3,FALSE)),)</f>
        <v>0</v>
      </c>
      <c r="AS57" s="153">
        <f ca="1">IF(AS$49&gt;='2.2 Input_General_Information'!$H$20, $M$47*(1+VLOOKUP(AS$49,Growth!$B$20:$D$60,3,FALSE)),)</f>
        <v>0</v>
      </c>
      <c r="AT57" s="153">
        <f ca="1">IF(AT$49&gt;='2.2 Input_General_Information'!$H$20, $M$47*(1+VLOOKUP(AT$49,Growth!$B$20:$D$60,3,FALSE)),)</f>
        <v>0</v>
      </c>
      <c r="AU57" s="153">
        <f ca="1">IF(AU$49&gt;='2.2 Input_General_Information'!$H$20, $M$47*(1+VLOOKUP(AU$49,Growth!$B$20:$D$60,3,FALSE)),)</f>
        <v>0</v>
      </c>
      <c r="AV57" s="153">
        <f ca="1">IF(AV$49&gt;='2.2 Input_General_Information'!$H$20, $M$47*(1+VLOOKUP(AV$49,Growth!$B$20:$D$60,3,FALSE)),)</f>
        <v>0</v>
      </c>
      <c r="AW57" s="153">
        <f ca="1">IF(AW$49&gt;='2.2 Input_General_Information'!$H$20, $M$47*(1+VLOOKUP(AW$49,Growth!$B$20:$D$60,3,FALSE)),)</f>
        <v>0</v>
      </c>
      <c r="AX57" s="153">
        <f ca="1">IF(AX$49&gt;='2.2 Input_General_Information'!$H$20, $M$47*(1+VLOOKUP(AX$49,Growth!$B$20:$D$60,3,FALSE)),)</f>
        <v>0</v>
      </c>
      <c r="AY57" s="153">
        <f ca="1">IF(AY$49&gt;='2.2 Input_General_Information'!$H$20, $M$47*(1+VLOOKUP(AY$49,Growth!$B$20:$D$60,3,FALSE)),)</f>
        <v>0</v>
      </c>
      <c r="AZ57" s="153">
        <f ca="1">IF(AZ$49&gt;='2.2 Input_General_Information'!$H$20, $M$47*(1+VLOOKUP(AZ$49,Growth!$B$20:$D$60,3,FALSE)),)</f>
        <v>0</v>
      </c>
      <c r="BA57" s="153">
        <f ca="1">IF(BA$49&gt;='2.2 Input_General_Information'!$H$20, $M$47*(1+VLOOKUP(BA$49,Growth!$B$20:$D$60,3,FALSE)),)</f>
        <v>0</v>
      </c>
      <c r="BB57" s="153">
        <f ca="1">IF(BB$49&gt;='2.2 Input_General_Information'!$H$20, $M$47*(1+VLOOKUP(BB$49,Growth!$B$20:$D$60,3,FALSE)),)</f>
        <v>0</v>
      </c>
      <c r="BC57" s="153">
        <f ca="1">IF(BC$49&gt;='2.2 Input_General_Information'!$H$20, $M$47*(1+VLOOKUP(BC$49,Growth!$B$20:$D$60,3,FALSE)),)</f>
        <v>0</v>
      </c>
      <c r="BD57" s="153">
        <f ca="1">IF(BD$49&gt;='2.2 Input_General_Information'!$H$20, $M$47*(1+VLOOKUP(BD$49,Growth!$B$20:$D$60,3,FALSE)),)</f>
        <v>0</v>
      </c>
      <c r="BE57" s="153">
        <f ca="1">IF(BE$49&gt;='2.2 Input_General_Information'!$H$20, $M$47*(1+VLOOKUP(BE$49,Growth!$B$20:$D$60,3,FALSE)),)</f>
        <v>0</v>
      </c>
      <c r="BF57" s="153">
        <f ca="1">IF(BF$49&gt;='2.2 Input_General_Information'!$H$20, $M$47*(1+VLOOKUP(BF$49,Growth!$B$20:$D$60,3,FALSE)),)</f>
        <v>0</v>
      </c>
      <c r="BG57" s="153">
        <f ca="1">IF(BG$49&gt;='2.2 Input_General_Information'!$H$20, $M$47*(1+VLOOKUP(BG$49,Growth!$B$20:$D$60,3,FALSE)),)</f>
        <v>0</v>
      </c>
    </row>
    <row r="58" spans="1:59" hidden="1">
      <c r="A58" s="128"/>
      <c r="B58" s="129"/>
      <c r="C58" s="128"/>
      <c r="D58" s="1"/>
      <c r="E58" s="3"/>
      <c r="F58" s="1"/>
      <c r="G58" s="1"/>
      <c r="H58" s="1"/>
      <c r="I58" s="1"/>
      <c r="J58" s="1"/>
      <c r="K58" s="1"/>
      <c r="L58" s="1"/>
      <c r="M58" s="1"/>
      <c r="N58" s="1"/>
      <c r="O58" s="7"/>
      <c r="P58" s="6"/>
      <c r="Q58" s="6"/>
      <c r="R58" s="103" t="s">
        <v>772</v>
      </c>
      <c r="S58" s="153">
        <f ca="1">IF(S$49&gt;='2.2 Input_General_Information'!$H$20,SUM(S50:S57),)</f>
        <v>0</v>
      </c>
      <c r="T58" s="153">
        <f ca="1">IF(T$49&gt;='2.2 Input_General_Information'!$H$20,SUM(T50:T57),)</f>
        <v>0</v>
      </c>
      <c r="U58" s="153">
        <f ca="1">IF(U$49&gt;='2.2 Input_General_Information'!$H$20,SUM(U50:U57),)</f>
        <v>0</v>
      </c>
      <c r="V58" s="153">
        <f ca="1">IF(V$49&gt;='2.2 Input_General_Information'!$H$20,SUM(V50:V57),)</f>
        <v>0</v>
      </c>
      <c r="W58" s="153">
        <f ca="1">IF(W$49&gt;='2.2 Input_General_Information'!$H$20,SUM(W50:W57),)</f>
        <v>0</v>
      </c>
      <c r="X58" s="153">
        <f ca="1">IF(X$49&gt;='2.2 Input_General_Information'!$H$20,SUM(X50:X57),)</f>
        <v>0</v>
      </c>
      <c r="Y58" s="153">
        <f ca="1">IF(Y$49&gt;='2.2 Input_General_Information'!$H$20,SUM(Y50:Y57),)</f>
        <v>0</v>
      </c>
      <c r="Z58" s="153">
        <f ca="1">IF(Z$49&gt;='2.2 Input_General_Information'!$H$20,SUM(Z50:Z57),)</f>
        <v>0</v>
      </c>
      <c r="AA58" s="153">
        <f ca="1">IF(AA$49&gt;='2.2 Input_General_Information'!$H$20,SUM(AA50:AA57),)</f>
        <v>0</v>
      </c>
      <c r="AB58" s="153">
        <f ca="1">IF(AB$49&gt;='2.2 Input_General_Information'!$H$20,SUM(AB50:AB57),)</f>
        <v>0</v>
      </c>
      <c r="AC58" s="153">
        <f ca="1">IF(AC$49&gt;='2.2 Input_General_Information'!$H$20,SUM(AC50:AC57),)</f>
        <v>0</v>
      </c>
      <c r="AD58" s="153">
        <f ca="1">IF(AD$49&gt;='2.2 Input_General_Information'!$H$20,SUM(AD50:AD57),)</f>
        <v>0</v>
      </c>
      <c r="AE58" s="153">
        <f ca="1">IF(AE$49&gt;='2.2 Input_General_Information'!$H$20,SUM(AE50:AE57),)</f>
        <v>0</v>
      </c>
      <c r="AF58" s="153">
        <f ca="1">IF(AF$49&gt;='2.2 Input_General_Information'!$H$20,SUM(AF50:AF57),)</f>
        <v>0</v>
      </c>
      <c r="AG58" s="153">
        <f ca="1">IF(AG$49&gt;='2.2 Input_General_Information'!$H$20,SUM(AG50:AG57),)</f>
        <v>0</v>
      </c>
      <c r="AH58" s="153">
        <f ca="1">IF(AH$49&gt;='2.2 Input_General_Information'!$H$20,SUM(AH50:AH57),)</f>
        <v>0</v>
      </c>
      <c r="AI58" s="153">
        <f ca="1">IF(AI$49&gt;='2.2 Input_General_Information'!$H$20,SUM(AI50:AI57),)</f>
        <v>0</v>
      </c>
      <c r="AJ58" s="153">
        <f ca="1">IF(AJ$49&gt;='2.2 Input_General_Information'!$H$20,SUM(AJ50:AJ57),)</f>
        <v>0</v>
      </c>
      <c r="AK58" s="153">
        <f ca="1">IF(AK$49&gt;='2.2 Input_General_Information'!$H$20,SUM(AK50:AK57),)</f>
        <v>0</v>
      </c>
      <c r="AL58" s="153">
        <f ca="1">IF(AL$49&gt;='2.2 Input_General_Information'!$H$20,SUM(AL50:AL57),)</f>
        <v>0</v>
      </c>
      <c r="AM58" s="153">
        <f ca="1">IF(AM$49&gt;='2.2 Input_General_Information'!$H$20,SUM(AM50:AM57),)</f>
        <v>0</v>
      </c>
      <c r="AN58" s="153">
        <f ca="1">IF(AN$49&gt;='2.2 Input_General_Information'!$H$20,SUM(AN50:AN57),)</f>
        <v>0</v>
      </c>
      <c r="AO58" s="153">
        <f ca="1">IF(AO$49&gt;='2.2 Input_General_Information'!$H$20,SUM(AO50:AO57),)</f>
        <v>0</v>
      </c>
      <c r="AP58" s="153">
        <f ca="1">IF(AP$49&gt;='2.2 Input_General_Information'!$H$20,SUM(AP50:AP57),)</f>
        <v>0</v>
      </c>
      <c r="AQ58" s="153">
        <f ca="1">IF(AQ$49&gt;='2.2 Input_General_Information'!$H$20,SUM(AQ50:AQ57),)</f>
        <v>0</v>
      </c>
      <c r="AR58" s="153">
        <f ca="1">IF(AR$49&gt;='2.2 Input_General_Information'!$H$20,SUM(AR50:AR57),)</f>
        <v>0</v>
      </c>
      <c r="AS58" s="153">
        <f ca="1">IF(AS$49&gt;='2.2 Input_General_Information'!$H$20,SUM(AS50:AS57),)</f>
        <v>0</v>
      </c>
      <c r="AT58" s="153">
        <f ca="1">IF(AT$49&gt;='2.2 Input_General_Information'!$H$20,SUM(AT50:AT57),)</f>
        <v>0</v>
      </c>
      <c r="AU58" s="153">
        <f ca="1">IF(AU$49&gt;='2.2 Input_General_Information'!$H$20,SUM(AU50:AU57),)</f>
        <v>0</v>
      </c>
      <c r="AV58" s="153">
        <f ca="1">IF(AV$49&gt;='2.2 Input_General_Information'!$H$20,SUM(AV50:AV57),)</f>
        <v>0</v>
      </c>
      <c r="AW58" s="153">
        <f ca="1">IF(AW$49&gt;='2.2 Input_General_Information'!$H$20,SUM(AW50:AW57),)</f>
        <v>0</v>
      </c>
      <c r="AX58" s="153">
        <f ca="1">IF(AX$49&gt;='2.2 Input_General_Information'!$H$20,SUM(AX50:AX57),)</f>
        <v>0</v>
      </c>
      <c r="AY58" s="153">
        <f ca="1">IF(AY$49&gt;='2.2 Input_General_Information'!$H$20,SUM(AY50:AY57),)</f>
        <v>0</v>
      </c>
      <c r="AZ58" s="153">
        <f ca="1">IF(AZ$49&gt;='2.2 Input_General_Information'!$H$20,SUM(AZ50:AZ57),)</f>
        <v>0</v>
      </c>
      <c r="BA58" s="153">
        <f ca="1">IF(BA$49&gt;='2.2 Input_General_Information'!$H$20,SUM(BA50:BA57),)</f>
        <v>0</v>
      </c>
      <c r="BB58" s="153">
        <f ca="1">IF(BB$49&gt;='2.2 Input_General_Information'!$H$20,SUM(BB50:BB57),)</f>
        <v>0</v>
      </c>
      <c r="BC58" s="153">
        <f ca="1">IF(BC$49&gt;='2.2 Input_General_Information'!$H$20,SUM(BC50:BC57),)</f>
        <v>0</v>
      </c>
      <c r="BD58" s="153">
        <f ca="1">IF(BD$49&gt;='2.2 Input_General_Information'!$H$20,SUM(BD50:BD57),)</f>
        <v>0</v>
      </c>
      <c r="BE58" s="153">
        <f ca="1">IF(BE$49&gt;='2.2 Input_General_Information'!$H$20,SUM(BE50:BE57),)</f>
        <v>0</v>
      </c>
      <c r="BF58" s="153">
        <f ca="1">IF(BF$49&gt;='2.2 Input_General_Information'!$H$20,SUM(BF50:BF57),)</f>
        <v>0</v>
      </c>
      <c r="BG58" s="153">
        <f ca="1">IF(BG$49&gt;='2.2 Input_General_Information'!$H$20,SUM(BG50:BG57),)</f>
        <v>0</v>
      </c>
    </row>
    <row r="59" spans="1:59" hidden="1">
      <c r="A59" s="128"/>
      <c r="B59" s="129"/>
      <c r="C59" s="128"/>
      <c r="D59" s="1"/>
      <c r="E59" s="3"/>
      <c r="F59" s="1"/>
      <c r="G59" s="1"/>
      <c r="H59" s="1"/>
      <c r="I59" s="1"/>
      <c r="J59" s="1"/>
      <c r="K59" s="1"/>
      <c r="L59" s="1"/>
      <c r="M59" s="1"/>
      <c r="N59" s="1"/>
      <c r="O59" s="7"/>
      <c r="P59" s="6"/>
      <c r="Q59" s="6"/>
      <c r="R59" s="9" t="s">
        <v>29</v>
      </c>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c r="AS59" s="98"/>
      <c r="AT59" s="98"/>
      <c r="AU59" s="98"/>
      <c r="AV59" s="98"/>
      <c r="AW59" s="98"/>
      <c r="AX59" s="98"/>
      <c r="AY59" s="98"/>
      <c r="AZ59" s="98"/>
      <c r="BA59" s="98"/>
      <c r="BB59" s="98"/>
      <c r="BC59" s="98"/>
      <c r="BD59" s="98"/>
      <c r="BE59" s="98"/>
      <c r="BF59" s="98"/>
      <c r="BG59" s="98"/>
    </row>
    <row r="60" spans="1:59">
      <c r="A60" s="143"/>
      <c r="B60" s="144"/>
      <c r="C60" s="143"/>
      <c r="D60" s="12"/>
      <c r="E60" s="43"/>
      <c r="F60" s="43"/>
      <c r="G60" s="43"/>
      <c r="H60" s="43"/>
      <c r="I60" s="43"/>
      <c r="J60" s="43"/>
      <c r="K60" s="43"/>
      <c r="L60" s="43"/>
      <c r="M60" s="43"/>
      <c r="N60" s="43"/>
      <c r="O60" s="7"/>
      <c r="P60" s="6"/>
      <c r="Q60" s="6"/>
      <c r="R60" s="6"/>
      <c r="S60" s="134"/>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c r="AS60" s="98"/>
      <c r="AT60" s="98"/>
      <c r="AU60" s="98"/>
      <c r="AV60" s="98"/>
      <c r="AW60" s="98"/>
      <c r="AX60" s="98"/>
      <c r="AY60" s="98"/>
      <c r="AZ60" s="98"/>
      <c r="BA60" s="98"/>
      <c r="BB60" s="98"/>
      <c r="BC60" s="98"/>
      <c r="BD60" s="98"/>
      <c r="BE60" s="98"/>
      <c r="BF60" s="98"/>
      <c r="BG60" s="98"/>
    </row>
    <row r="61" spans="1:59">
      <c r="A61" s="128"/>
      <c r="B61" s="144" t="s">
        <v>648</v>
      </c>
      <c r="C61" s="128"/>
      <c r="D61" s="147" t="s">
        <v>530</v>
      </c>
      <c r="E61" s="148" t="s">
        <v>291</v>
      </c>
      <c r="F61" s="149">
        <f>-('2.3 Input_Main_Questionnaire'!H401+'2.3 Input_Main_Questionnaire'!H401*'2.3 Input_Main_Questionnaire'!H399/'2.3 Input_Main_Questionnaire'!H394-'2.3 Input_Main_Questionnaire'!H401)</f>
        <v>-6666.6666666666715</v>
      </c>
      <c r="G61" s="1"/>
      <c r="H61" s="1"/>
      <c r="I61" s="1"/>
      <c r="J61" s="1"/>
      <c r="K61" s="1"/>
      <c r="L61" s="1"/>
      <c r="M61" s="1"/>
      <c r="N61" s="1"/>
      <c r="O61" s="7"/>
      <c r="P61" s="6"/>
      <c r="Q61" s="6"/>
      <c r="R61" s="172"/>
      <c r="S61" s="134"/>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c r="AS61" s="98"/>
      <c r="AT61" s="98"/>
      <c r="AU61" s="98"/>
      <c r="AV61" s="98"/>
      <c r="AW61" s="98"/>
      <c r="AX61" s="98"/>
      <c r="AY61" s="98"/>
      <c r="AZ61" s="98"/>
      <c r="BA61" s="98"/>
      <c r="BB61" s="98"/>
      <c r="BC61" s="98"/>
      <c r="BD61" s="98"/>
      <c r="BE61" s="98"/>
      <c r="BF61" s="98"/>
      <c r="BG61" s="98"/>
    </row>
    <row r="62" spans="1:59">
      <c r="A62" s="128"/>
      <c r="B62" s="129"/>
      <c r="C62" s="128"/>
      <c r="D62" s="12"/>
      <c r="E62" s="43"/>
      <c r="F62" s="312"/>
      <c r="G62" s="1"/>
      <c r="H62" s="1"/>
      <c r="I62" s="1"/>
      <c r="J62" s="1"/>
      <c r="K62" s="1"/>
      <c r="L62" s="1"/>
      <c r="M62" s="1"/>
      <c r="N62" s="1"/>
      <c r="O62" s="7"/>
      <c r="P62" s="6"/>
      <c r="Q62" s="6"/>
      <c r="R62" s="9" t="s">
        <v>5</v>
      </c>
      <c r="S62" s="134"/>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c r="AS62" s="98"/>
      <c r="AT62" s="98"/>
      <c r="AU62" s="98"/>
      <c r="AV62" s="98"/>
      <c r="AW62" s="98"/>
      <c r="AX62" s="98"/>
      <c r="AY62" s="98"/>
      <c r="AZ62" s="98"/>
      <c r="BA62" s="98"/>
      <c r="BB62" s="98"/>
      <c r="BC62" s="98"/>
      <c r="BD62" s="98"/>
      <c r="BE62" s="98"/>
      <c r="BF62" s="98"/>
      <c r="BG62" s="98"/>
    </row>
    <row r="63" spans="1:59">
      <c r="A63" s="128"/>
      <c r="B63" s="129"/>
      <c r="C63" s="128"/>
      <c r="D63" s="12"/>
      <c r="E63" s="43"/>
      <c r="F63" s="312"/>
      <c r="G63" s="1"/>
      <c r="H63" s="1"/>
      <c r="I63" s="1"/>
      <c r="J63" s="1"/>
      <c r="K63" s="1"/>
      <c r="L63" s="1"/>
      <c r="M63" s="1"/>
      <c r="N63" s="1"/>
      <c r="O63" s="7"/>
      <c r="P63" s="6"/>
      <c r="Q63" s="6"/>
      <c r="R63" s="172"/>
      <c r="S63" s="134">
        <f>Growth!B20</f>
        <v>2018</v>
      </c>
      <c r="T63" s="98">
        <f t="shared" ref="T63:BG63" si="5">S63+1</f>
        <v>2019</v>
      </c>
      <c r="U63" s="98">
        <f t="shared" si="5"/>
        <v>2020</v>
      </c>
      <c r="V63" s="98">
        <f t="shared" si="5"/>
        <v>2021</v>
      </c>
      <c r="W63" s="98">
        <f t="shared" si="5"/>
        <v>2022</v>
      </c>
      <c r="X63" s="98">
        <f t="shared" si="5"/>
        <v>2023</v>
      </c>
      <c r="Y63" s="98">
        <f t="shared" si="5"/>
        <v>2024</v>
      </c>
      <c r="Z63" s="98">
        <f t="shared" si="5"/>
        <v>2025</v>
      </c>
      <c r="AA63" s="98">
        <f t="shared" si="5"/>
        <v>2026</v>
      </c>
      <c r="AB63" s="98">
        <f t="shared" si="5"/>
        <v>2027</v>
      </c>
      <c r="AC63" s="98">
        <f t="shared" si="5"/>
        <v>2028</v>
      </c>
      <c r="AD63" s="98">
        <f t="shared" si="5"/>
        <v>2029</v>
      </c>
      <c r="AE63" s="98">
        <f t="shared" si="5"/>
        <v>2030</v>
      </c>
      <c r="AF63" s="98">
        <f t="shared" si="5"/>
        <v>2031</v>
      </c>
      <c r="AG63" s="98">
        <f t="shared" si="5"/>
        <v>2032</v>
      </c>
      <c r="AH63" s="98">
        <f t="shared" si="5"/>
        <v>2033</v>
      </c>
      <c r="AI63" s="98">
        <f t="shared" si="5"/>
        <v>2034</v>
      </c>
      <c r="AJ63" s="98">
        <f t="shared" si="5"/>
        <v>2035</v>
      </c>
      <c r="AK63" s="98">
        <f t="shared" si="5"/>
        <v>2036</v>
      </c>
      <c r="AL63" s="98">
        <f t="shared" si="5"/>
        <v>2037</v>
      </c>
      <c r="AM63" s="98">
        <f t="shared" si="5"/>
        <v>2038</v>
      </c>
      <c r="AN63" s="98">
        <f t="shared" si="5"/>
        <v>2039</v>
      </c>
      <c r="AO63" s="98">
        <f t="shared" si="5"/>
        <v>2040</v>
      </c>
      <c r="AP63" s="98">
        <f t="shared" si="5"/>
        <v>2041</v>
      </c>
      <c r="AQ63" s="98">
        <f t="shared" si="5"/>
        <v>2042</v>
      </c>
      <c r="AR63" s="98">
        <f t="shared" si="5"/>
        <v>2043</v>
      </c>
      <c r="AS63" s="98">
        <f t="shared" si="5"/>
        <v>2044</v>
      </c>
      <c r="AT63" s="98">
        <f t="shared" si="5"/>
        <v>2045</v>
      </c>
      <c r="AU63" s="98">
        <f t="shared" si="5"/>
        <v>2046</v>
      </c>
      <c r="AV63" s="98">
        <f t="shared" si="5"/>
        <v>2047</v>
      </c>
      <c r="AW63" s="98">
        <f t="shared" si="5"/>
        <v>2048</v>
      </c>
      <c r="AX63" s="98">
        <f t="shared" si="5"/>
        <v>2049</v>
      </c>
      <c r="AY63" s="98">
        <f t="shared" si="5"/>
        <v>2050</v>
      </c>
      <c r="AZ63" s="98">
        <f t="shared" si="5"/>
        <v>2051</v>
      </c>
      <c r="BA63" s="98">
        <f t="shared" si="5"/>
        <v>2052</v>
      </c>
      <c r="BB63" s="98">
        <f t="shared" si="5"/>
        <v>2053</v>
      </c>
      <c r="BC63" s="98">
        <f t="shared" si="5"/>
        <v>2054</v>
      </c>
      <c r="BD63" s="98">
        <f t="shared" si="5"/>
        <v>2055</v>
      </c>
      <c r="BE63" s="98">
        <f t="shared" si="5"/>
        <v>2056</v>
      </c>
      <c r="BF63" s="98">
        <f t="shared" si="5"/>
        <v>2057</v>
      </c>
      <c r="BG63" s="98">
        <f t="shared" si="5"/>
        <v>2058</v>
      </c>
    </row>
    <row r="64" spans="1:59">
      <c r="A64" s="128"/>
      <c r="B64" s="129"/>
      <c r="C64" s="128"/>
      <c r="D64" s="12"/>
      <c r="E64" s="43"/>
      <c r="F64" s="312"/>
      <c r="G64" s="1"/>
      <c r="H64" s="1"/>
      <c r="I64" s="1"/>
      <c r="J64" s="1"/>
      <c r="K64" s="1"/>
      <c r="L64" s="1"/>
      <c r="M64" s="1"/>
      <c r="N64" s="1"/>
      <c r="O64" s="7"/>
      <c r="P64" s="6"/>
      <c r="Q64" s="6"/>
      <c r="R64" s="103" t="str">
        <f>D61</f>
        <v>Additional cost because of the reduced period between two innovation cycles of the basic IT infrastructure</v>
      </c>
      <c r="S64" s="313">
        <f ca="1">IF(S$63&lt;='2.2 Input_General_Information'!$H$20+'2.2 Input_General_Information'!$H$40,$F$61*VLOOKUP(S$63,Growth!$B$128:$H$170,7,FALSE),$F$61)</f>
        <v>-0.66666666666639007</v>
      </c>
      <c r="T64" s="313">
        <f ca="1">IF(T$63&lt;='2.2 Input_General_Information'!$H$20+'2.2 Input_General_Information'!$H$40,$F$61*VLOOKUP(T$63,Growth!$B$128:$H$170,7,FALSE),$F$61)</f>
        <v>-295.72287345894961</v>
      </c>
      <c r="U64" s="313">
        <f ca="1">IF(U$63&lt;='2.2 Input_General_Information'!$H$20+'2.2 Input_General_Information'!$H$40,$F$61*VLOOKUP(U$63,Growth!$B$128:$H$170,7,FALSE),$F$61)</f>
        <v>-6370.9437932077208</v>
      </c>
      <c r="V64" s="313">
        <f ca="1">IF(V$63&lt;='2.2 Input_General_Information'!$H$20+'2.2 Input_General_Information'!$H$40,$F$61*VLOOKUP(V$63,Growth!$B$128:$H$170,7,FALSE),$F$61)</f>
        <v>-6666.0000000000055</v>
      </c>
      <c r="W64" s="313">
        <f ca="1">IF(W$63&lt;='2.2 Input_General_Information'!$H$20+'2.2 Input_General_Information'!$H$40,$F$61*VLOOKUP(W$63,Growth!$B$128:$H$170,7,FALSE),$F$61)</f>
        <v>-6666.6666666666715</v>
      </c>
      <c r="X64" s="313">
        <f ca="1">IF(X$63&lt;='2.2 Input_General_Information'!$H$20+'2.2 Input_General_Information'!$H$40,$F$61*VLOOKUP(X$63,Growth!$B$128:$H$170,7,FALSE),$F$61)</f>
        <v>-6666.6666666666715</v>
      </c>
      <c r="Y64" s="313">
        <f ca="1">IF(Y$63&lt;='2.2 Input_General_Information'!$H$20+'2.2 Input_General_Information'!$H$40,$F$61*VLOOKUP(Y$63,Growth!$B$128:$H$170,7,FALSE),$F$61)</f>
        <v>-6666.6666666666715</v>
      </c>
      <c r="Z64" s="313">
        <f ca="1">IF(Z$63&lt;='2.2 Input_General_Information'!$H$20+'2.2 Input_General_Information'!$H$40,$F$61*VLOOKUP(Z$63,Growth!$B$128:$H$170,7,FALSE),$F$61)</f>
        <v>-6666.6666666666715</v>
      </c>
      <c r="AA64" s="313">
        <f ca="1">IF(AA$63&lt;='2.2 Input_General_Information'!$H$20+'2.2 Input_General_Information'!$H$40,$F$61*VLOOKUP(AA$63,Growth!$B$128:$H$170,7,FALSE),$F$61)</f>
        <v>-6666.6666666666715</v>
      </c>
      <c r="AB64" s="313">
        <f ca="1">IF(AB$63&lt;='2.2 Input_General_Information'!$H$20+'2.2 Input_General_Information'!$H$40,$F$61*VLOOKUP(AB$63,Growth!$B$128:$H$170,7,FALSE),$F$61)</f>
        <v>-6666.6666666666715</v>
      </c>
      <c r="AC64" s="313">
        <f ca="1">IF(AC$63&lt;='2.2 Input_General_Information'!$H$20+'2.2 Input_General_Information'!$H$40,$F$61*VLOOKUP(AC$63,Growth!$B$128:$H$170,7,FALSE),$F$61)</f>
        <v>-6666.6666666666715</v>
      </c>
      <c r="AD64" s="313">
        <f ca="1">IF(AD$63&lt;='2.2 Input_General_Information'!$H$20+'2.2 Input_General_Information'!$H$40,$F$61*VLOOKUP(AD$63,Growth!$B$128:$H$170,7,FALSE),$F$61)</f>
        <v>-6666.6666666666715</v>
      </c>
      <c r="AE64" s="313">
        <f ca="1">IF(AE$63&lt;='2.2 Input_General_Information'!$H$20+'2.2 Input_General_Information'!$H$40,$F$61*VLOOKUP(AE$63,Growth!$B$128:$H$170,7,FALSE),$F$61)</f>
        <v>-6666.6666666666715</v>
      </c>
      <c r="AF64" s="313">
        <f ca="1">IF(AF$63&lt;='2.2 Input_General_Information'!$H$20+'2.2 Input_General_Information'!$H$40,$F$61*VLOOKUP(AF$63,Growth!$B$128:$H$170,7,FALSE),$F$61)</f>
        <v>-6666.6666666666715</v>
      </c>
      <c r="AG64" s="313">
        <f ca="1">IF(AG$63&lt;='2.2 Input_General_Information'!$H$20+'2.2 Input_General_Information'!$H$40,$F$61*VLOOKUP(AG$63,Growth!$B$128:$H$170,7,FALSE),$F$61)</f>
        <v>-6666.6666666666715</v>
      </c>
      <c r="AH64" s="313">
        <f ca="1">IF(AH$63&lt;='2.2 Input_General_Information'!$H$20+'2.2 Input_General_Information'!$H$40,$F$61*VLOOKUP(AH$63,Growth!$B$128:$H$170,7,FALSE),$F$61)</f>
        <v>-6666.6666666666715</v>
      </c>
      <c r="AI64" s="313">
        <f ca="1">IF(AI$63&lt;='2.2 Input_General_Information'!$H$20+'2.2 Input_General_Information'!$H$40,$F$61*VLOOKUP(AI$63,Growth!$B$128:$H$170,7,FALSE),$F$61)</f>
        <v>-6666.6666666666715</v>
      </c>
      <c r="AJ64" s="313">
        <f ca="1">IF(AJ$63&lt;='2.2 Input_General_Information'!$H$20+'2.2 Input_General_Information'!$H$40,$F$61*VLOOKUP(AJ$63,Growth!$B$128:$H$170,7,FALSE),$F$61)</f>
        <v>-6666.6666666666715</v>
      </c>
      <c r="AK64" s="313">
        <f ca="1">IF(AK$63&lt;='2.2 Input_General_Information'!$H$20+'2.2 Input_General_Information'!$H$40,$F$61*VLOOKUP(AK$63,Growth!$B$128:$H$170,7,FALSE),$F$61)</f>
        <v>-6666.6666666666715</v>
      </c>
      <c r="AL64" s="313">
        <f ca="1">IF(AL$63&lt;='2.2 Input_General_Information'!$H$20+'2.2 Input_General_Information'!$H$40,$F$61*VLOOKUP(AL$63,Growth!$B$128:$H$170,7,FALSE),$F$61)</f>
        <v>-6666.6666666666715</v>
      </c>
      <c r="AM64" s="313">
        <f ca="1">IF(AM$63&lt;='2.2 Input_General_Information'!$H$20+'2.2 Input_General_Information'!$H$40,$F$61*VLOOKUP(AM$63,Growth!$B$128:$H$170,7,FALSE),$F$61)</f>
        <v>-6666.6666666666715</v>
      </c>
      <c r="AN64" s="313">
        <f ca="1">IF(AN$63&lt;='2.2 Input_General_Information'!$H$20+'2.2 Input_General_Information'!$H$40,$F$61*VLOOKUP(AN$63,Growth!$B$128:$H$170,7,FALSE),$F$61)</f>
        <v>-6666.6666666666715</v>
      </c>
      <c r="AO64" s="313">
        <f ca="1">IF(AO$63&lt;='2.2 Input_General_Information'!$H$20+'2.2 Input_General_Information'!$H$40,$F$61*VLOOKUP(AO$63,Growth!$B$128:$H$170,7,FALSE),$F$61)</f>
        <v>-6666.6666666666715</v>
      </c>
      <c r="AP64" s="313">
        <f ca="1">IF(AP$63&lt;='2.2 Input_General_Information'!$H$20+'2.2 Input_General_Information'!$H$40,$F$61*VLOOKUP(AP$63,Growth!$B$128:$H$170,7,FALSE),$F$61)</f>
        <v>-6666.6666666666715</v>
      </c>
      <c r="AQ64" s="313">
        <f ca="1">IF(AQ$63&lt;='2.2 Input_General_Information'!$H$20+'2.2 Input_General_Information'!$H$40,$F$61*VLOOKUP(AQ$63,Growth!$B$128:$H$170,7,FALSE),$F$61)</f>
        <v>-6666.6666666666715</v>
      </c>
      <c r="AR64" s="313">
        <f ca="1">IF(AR$63&lt;='2.2 Input_General_Information'!$H$20+'2.2 Input_General_Information'!$H$40,$F$61*VLOOKUP(AR$63,Growth!$B$128:$H$170,7,FALSE),$F$61)</f>
        <v>-6666.6666666666715</v>
      </c>
      <c r="AS64" s="313">
        <f ca="1">IF(AS$63&lt;='2.2 Input_General_Information'!$H$20+'2.2 Input_General_Information'!$H$40,$F$61*VLOOKUP(AS$63,Growth!$B$128:$H$170,7,FALSE),$F$61)</f>
        <v>-6666.6666666666715</v>
      </c>
      <c r="AT64" s="313">
        <f ca="1">IF(AT$63&lt;='2.2 Input_General_Information'!$H$20+'2.2 Input_General_Information'!$H$40,$F$61*VLOOKUP(AT$63,Growth!$B$128:$H$170,7,FALSE),$F$61)</f>
        <v>-6666.6666666666715</v>
      </c>
      <c r="AU64" s="313">
        <f ca="1">IF(AU$63&lt;='2.2 Input_General_Information'!$H$20+'2.2 Input_General_Information'!$H$40,$F$61*VLOOKUP(AU$63,Growth!$B$128:$H$170,7,FALSE),$F$61)</f>
        <v>-6666.6666666666715</v>
      </c>
      <c r="AV64" s="313">
        <f ca="1">IF(AV$63&lt;='2.2 Input_General_Information'!$H$20+'2.2 Input_General_Information'!$H$40,$F$61*VLOOKUP(AV$63,Growth!$B$128:$H$170,7,FALSE),$F$61)</f>
        <v>-6666.6666666666715</v>
      </c>
      <c r="AW64" s="313">
        <f ca="1">IF(AW$63&lt;='2.2 Input_General_Information'!$H$20+'2.2 Input_General_Information'!$H$40,$F$61*VLOOKUP(AW$63,Growth!$B$128:$H$170,7,FALSE),$F$61)</f>
        <v>-6666.6666666666715</v>
      </c>
      <c r="AX64" s="313">
        <f ca="1">IF(AX$63&lt;='2.2 Input_General_Information'!$H$20+'2.2 Input_General_Information'!$H$40,$F$61*VLOOKUP(AX$63,Growth!$B$128:$H$170,7,FALSE),$F$61)</f>
        <v>-6666.6666666666715</v>
      </c>
      <c r="AY64" s="313">
        <f ca="1">IF(AY$63&lt;='2.2 Input_General_Information'!$H$20+'2.2 Input_General_Information'!$H$40,$F$61*VLOOKUP(AY$63,Growth!$B$128:$H$170,7,FALSE),$F$61)</f>
        <v>-6666.6666666666715</v>
      </c>
      <c r="AZ64" s="313">
        <f ca="1">IF(AZ$63&lt;='2.2 Input_General_Information'!$H$20+'2.2 Input_General_Information'!$H$40,$F$61*VLOOKUP(AZ$63,Growth!$B$128:$H$170,7,FALSE),$F$61)</f>
        <v>-6666.6666666666715</v>
      </c>
      <c r="BA64" s="313">
        <f ca="1">IF(BA$63&lt;='2.2 Input_General_Information'!$H$20+'2.2 Input_General_Information'!$H$40,$F$61*VLOOKUP(BA$63,Growth!$B$128:$H$170,7,FALSE),$F$61)</f>
        <v>-6666.6666666666715</v>
      </c>
      <c r="BB64" s="313">
        <f ca="1">IF(BB$63&lt;='2.2 Input_General_Information'!$H$20+'2.2 Input_General_Information'!$H$40,$F$61*VLOOKUP(BB$63,Growth!$B$128:$H$170,7,FALSE),$F$61)</f>
        <v>-6666.6666666666715</v>
      </c>
      <c r="BC64" s="313">
        <f ca="1">IF(BC$63&lt;='2.2 Input_General_Information'!$H$20+'2.2 Input_General_Information'!$H$40,$F$61*VLOOKUP(BC$63,Growth!$B$128:$H$170,7,FALSE),$F$61)</f>
        <v>-6666.6666666666715</v>
      </c>
      <c r="BD64" s="313">
        <f ca="1">IF(BD$63&lt;='2.2 Input_General_Information'!$H$20+'2.2 Input_General_Information'!$H$40,$F$61*VLOOKUP(BD$63,Growth!$B$128:$H$170,7,FALSE),$F$61)</f>
        <v>-6666.6666666666715</v>
      </c>
      <c r="BE64" s="313">
        <f ca="1">IF(BE$63&lt;='2.2 Input_General_Information'!$H$20+'2.2 Input_General_Information'!$H$40,$F$61*VLOOKUP(BE$63,Growth!$B$128:$H$170,7,FALSE),$F$61)</f>
        <v>-6666.6666666666715</v>
      </c>
      <c r="BF64" s="313">
        <f ca="1">IF(BF$63&lt;='2.2 Input_General_Information'!$H$20+'2.2 Input_General_Information'!$H$40,$F$61*VLOOKUP(BF$63,Growth!$B$128:$H$170,7,FALSE),$F$61)</f>
        <v>-6666.6666666666715</v>
      </c>
      <c r="BG64" s="313">
        <f ca="1">IF(BG$63&lt;='2.2 Input_General_Information'!$H$20+'2.2 Input_General_Information'!$H$40,$F$61*VLOOKUP(BG$63,Growth!$B$128:$H$170,7,FALSE),$F$61)</f>
        <v>-6666.6666666666715</v>
      </c>
    </row>
    <row r="65" spans="1:59">
      <c r="A65" s="128"/>
      <c r="B65" s="129"/>
      <c r="C65" s="128"/>
      <c r="D65" s="12"/>
      <c r="E65" s="43"/>
      <c r="F65" s="312"/>
      <c r="G65" s="1"/>
      <c r="H65" s="1"/>
      <c r="I65" s="1"/>
      <c r="J65" s="1"/>
      <c r="K65" s="1"/>
      <c r="L65" s="1"/>
      <c r="M65" s="1"/>
      <c r="N65" s="1"/>
      <c r="O65" s="7"/>
      <c r="P65" s="6"/>
      <c r="Q65" s="6"/>
      <c r="R65" s="9" t="s">
        <v>29</v>
      </c>
      <c r="S65" s="134"/>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c r="AS65" s="98"/>
      <c r="AT65" s="98"/>
      <c r="AU65" s="98"/>
      <c r="AV65" s="98"/>
      <c r="AW65" s="98"/>
      <c r="AX65" s="98"/>
      <c r="AY65" s="98"/>
      <c r="AZ65" s="98"/>
      <c r="BA65" s="98"/>
      <c r="BB65" s="98"/>
      <c r="BC65" s="98"/>
      <c r="BD65" s="98"/>
      <c r="BE65" s="98"/>
      <c r="BF65" s="98"/>
      <c r="BG65" s="98"/>
    </row>
    <row r="66" spans="1:59">
      <c r="A66" s="128"/>
      <c r="B66" s="129"/>
      <c r="C66" s="128"/>
      <c r="D66" s="1"/>
      <c r="E66" s="3"/>
      <c r="F66" s="1"/>
      <c r="G66" s="1"/>
      <c r="H66" s="1"/>
      <c r="I66" s="1"/>
      <c r="J66" s="1"/>
      <c r="K66" s="1"/>
      <c r="L66" s="1"/>
      <c r="M66" s="1"/>
      <c r="N66" s="1"/>
      <c r="O66" s="7"/>
      <c r="P66" s="6"/>
      <c r="Q66" s="6"/>
      <c r="R66" s="172"/>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c r="AS66" s="98"/>
      <c r="AT66" s="98"/>
      <c r="AU66" s="98"/>
      <c r="AV66" s="98"/>
      <c r="AW66" s="98"/>
      <c r="AX66" s="98"/>
      <c r="AY66" s="98"/>
      <c r="AZ66" s="98"/>
      <c r="BA66" s="98"/>
      <c r="BB66" s="98"/>
      <c r="BC66" s="98"/>
      <c r="BD66" s="98"/>
      <c r="BE66" s="98"/>
      <c r="BF66" s="98"/>
      <c r="BG66" s="98"/>
    </row>
    <row r="67" spans="1:59">
      <c r="A67" s="128"/>
      <c r="B67" s="129"/>
      <c r="C67" s="128"/>
      <c r="D67" s="1"/>
      <c r="E67" s="3"/>
      <c r="F67" s="1"/>
      <c r="G67" s="1"/>
      <c r="H67" s="1"/>
      <c r="I67" s="1"/>
      <c r="J67" s="1"/>
      <c r="K67" s="1"/>
      <c r="L67" s="1"/>
      <c r="M67" s="1"/>
      <c r="N67" s="1"/>
      <c r="O67" s="7"/>
      <c r="P67" s="6"/>
      <c r="Q67" s="6"/>
      <c r="R67" s="172"/>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c r="AS67" s="98"/>
      <c r="AT67" s="98"/>
      <c r="AU67" s="98"/>
      <c r="AV67" s="98"/>
      <c r="AW67" s="98"/>
      <c r="AX67" s="98"/>
      <c r="AY67" s="98"/>
      <c r="AZ67" s="98"/>
      <c r="BA67" s="98"/>
      <c r="BB67" s="98"/>
      <c r="BC67" s="98"/>
      <c r="BD67" s="98"/>
      <c r="BE67" s="98"/>
      <c r="BF67" s="98"/>
      <c r="BG67" s="98"/>
    </row>
    <row r="68" spans="1:59">
      <c r="A68" s="128"/>
      <c r="B68" s="129"/>
      <c r="C68" s="128"/>
      <c r="D68" s="9" t="s">
        <v>5</v>
      </c>
      <c r="E68" s="3"/>
      <c r="F68" s="1"/>
      <c r="G68" s="1"/>
      <c r="H68" s="1"/>
      <c r="I68" s="1"/>
      <c r="J68" s="1"/>
      <c r="K68" s="1"/>
      <c r="L68" s="1"/>
      <c r="M68" s="1"/>
      <c r="N68" s="1"/>
      <c r="O68" s="7"/>
      <c r="P68" s="6"/>
      <c r="Q68" s="6"/>
      <c r="R68" s="172"/>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c r="AS68" s="98"/>
      <c r="AT68" s="98"/>
      <c r="AU68" s="98"/>
      <c r="AV68" s="98"/>
      <c r="AW68" s="98"/>
      <c r="AX68" s="98"/>
      <c r="AY68" s="98"/>
      <c r="AZ68" s="98"/>
      <c r="BA68" s="98"/>
      <c r="BB68" s="98"/>
      <c r="BC68" s="98"/>
      <c r="BD68" s="98"/>
      <c r="BE68" s="98"/>
      <c r="BF68" s="98"/>
      <c r="BG68" s="98"/>
    </row>
    <row r="69" spans="1:59">
      <c r="A69" s="128"/>
      <c r="B69" s="129"/>
      <c r="C69" s="128"/>
      <c r="D69" s="315" t="s">
        <v>778</v>
      </c>
      <c r="E69" s="3"/>
      <c r="F69" s="1"/>
      <c r="G69" s="1"/>
      <c r="H69" s="1"/>
      <c r="I69" s="1"/>
      <c r="J69" s="1"/>
      <c r="K69" s="1"/>
      <c r="L69" s="1"/>
      <c r="M69" s="1"/>
      <c r="N69" s="1"/>
      <c r="O69" s="7"/>
      <c r="P69" s="6"/>
      <c r="Q69" s="6"/>
      <c r="R69" s="6"/>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c r="AS69" s="98"/>
      <c r="AT69" s="98"/>
      <c r="AU69" s="98"/>
      <c r="AV69" s="98"/>
      <c r="AW69" s="98"/>
      <c r="AX69" s="98"/>
      <c r="AY69" s="98"/>
      <c r="AZ69" s="98"/>
      <c r="BA69" s="98"/>
      <c r="BB69" s="98"/>
      <c r="BC69" s="98"/>
      <c r="BD69" s="98"/>
      <c r="BE69" s="98"/>
      <c r="BF69" s="98"/>
      <c r="BG69" s="98"/>
    </row>
    <row r="70" spans="1:59">
      <c r="A70" s="316"/>
      <c r="B70" s="317"/>
      <c r="C70" s="6"/>
      <c r="D70" s="318" t="s">
        <v>779</v>
      </c>
      <c r="E70" s="319" t="s">
        <v>780</v>
      </c>
      <c r="F70" s="320"/>
      <c r="G70" s="320"/>
      <c r="H70" s="320"/>
      <c r="I70" s="45"/>
      <c r="J70" s="45"/>
      <c r="K70" s="45"/>
      <c r="L70" s="45"/>
      <c r="M70" s="1"/>
      <c r="N70" s="1"/>
      <c r="O70" s="7"/>
      <c r="P70" s="316"/>
      <c r="Q70" s="316"/>
      <c r="R70" s="316"/>
      <c r="S70" s="316"/>
      <c r="T70" s="316"/>
      <c r="U70" s="316"/>
      <c r="V70" s="316"/>
      <c r="W70" s="316"/>
      <c r="X70" s="316"/>
      <c r="Y70" s="316"/>
      <c r="Z70" s="316"/>
      <c r="AA70" s="316"/>
      <c r="AB70" s="98"/>
      <c r="AC70" s="98"/>
      <c r="AD70" s="98"/>
      <c r="AE70" s="98"/>
      <c r="AF70" s="98"/>
      <c r="AG70" s="98"/>
      <c r="AH70" s="98"/>
      <c r="AI70" s="98"/>
      <c r="AJ70" s="98"/>
      <c r="AK70" s="98"/>
      <c r="AL70" s="98"/>
      <c r="AM70" s="98"/>
      <c r="AN70" s="98"/>
      <c r="AO70" s="98"/>
      <c r="AP70" s="98"/>
      <c r="AQ70" s="98"/>
      <c r="AR70" s="98"/>
      <c r="AS70" s="98"/>
      <c r="AT70" s="98"/>
      <c r="AU70" s="98"/>
      <c r="AV70" s="98"/>
      <c r="AW70" s="98"/>
      <c r="AX70" s="98"/>
      <c r="AY70" s="98"/>
      <c r="AZ70" s="98"/>
      <c r="BA70" s="98"/>
      <c r="BB70" s="98"/>
      <c r="BC70" s="98"/>
      <c r="BD70" s="98"/>
      <c r="BE70" s="98"/>
      <c r="BF70" s="98"/>
      <c r="BG70" s="98"/>
    </row>
    <row r="71" spans="1:59">
      <c r="A71" s="316"/>
      <c r="B71" s="317"/>
      <c r="C71" s="6"/>
      <c r="D71" s="1"/>
      <c r="E71" s="1"/>
      <c r="F71" s="1"/>
      <c r="G71" s="1"/>
      <c r="H71" s="1"/>
      <c r="I71" s="1"/>
      <c r="J71" s="1"/>
      <c r="K71" s="1"/>
      <c r="L71" s="1"/>
      <c r="M71" s="1"/>
      <c r="N71" s="1"/>
      <c r="O71" s="7"/>
      <c r="P71" s="316"/>
      <c r="Q71" s="316"/>
      <c r="R71" s="316"/>
      <c r="S71" s="316"/>
      <c r="T71" s="316"/>
      <c r="U71" s="316"/>
      <c r="V71" s="316"/>
      <c r="W71" s="316"/>
      <c r="X71" s="316"/>
      <c r="Y71" s="316"/>
      <c r="Z71" s="316"/>
      <c r="AA71" s="316"/>
      <c r="AB71" s="98"/>
      <c r="AC71" s="98"/>
      <c r="AD71" s="98"/>
      <c r="AE71" s="98"/>
      <c r="AF71" s="98"/>
      <c r="AG71" s="98"/>
      <c r="AH71" s="98"/>
      <c r="AI71" s="98"/>
      <c r="AJ71" s="98"/>
      <c r="AK71" s="98"/>
      <c r="AL71" s="98"/>
      <c r="AM71" s="98"/>
      <c r="AN71" s="98"/>
      <c r="AO71" s="98"/>
      <c r="AP71" s="98"/>
      <c r="AQ71" s="98"/>
      <c r="AR71" s="98"/>
      <c r="AS71" s="98"/>
      <c r="AT71" s="98"/>
      <c r="AU71" s="98"/>
      <c r="AV71" s="98"/>
      <c r="AW71" s="98"/>
      <c r="AX71" s="98"/>
      <c r="AY71" s="98"/>
      <c r="AZ71" s="98"/>
      <c r="BA71" s="98"/>
      <c r="BB71" s="98"/>
      <c r="BC71" s="98"/>
      <c r="BD71" s="98"/>
      <c r="BE71" s="98"/>
      <c r="BF71" s="98"/>
      <c r="BG71" s="98"/>
    </row>
    <row r="72" spans="1:59">
      <c r="A72" s="316"/>
      <c r="B72" s="317"/>
      <c r="C72" s="6"/>
      <c r="D72" s="12" t="s">
        <v>781</v>
      </c>
      <c r="E72" s="321">
        <f>AVERAGE(8458.9,8016.9,8323)*1000000</f>
        <v>8266266666.666666</v>
      </c>
      <c r="F72" s="1"/>
      <c r="G72" s="1"/>
      <c r="I72" s="1"/>
      <c r="J72" s="1"/>
      <c r="K72" s="12"/>
      <c r="L72" s="1"/>
      <c r="M72" s="1"/>
      <c r="N72" s="1"/>
      <c r="O72" s="7"/>
      <c r="P72" s="316"/>
      <c r="Q72" s="316"/>
      <c r="R72" s="316"/>
      <c r="S72" s="316"/>
      <c r="T72" s="316"/>
      <c r="U72" s="316"/>
      <c r="V72" s="316"/>
      <c r="W72" s="316"/>
      <c r="X72" s="316"/>
      <c r="Y72" s="316"/>
      <c r="Z72" s="316"/>
      <c r="AA72" s="316"/>
      <c r="AB72" s="98"/>
      <c r="AC72" s="98"/>
      <c r="AD72" s="98"/>
      <c r="AE72" s="98"/>
      <c r="AF72" s="98"/>
      <c r="AG72" s="98"/>
      <c r="AH72" s="98"/>
      <c r="AI72" s="98"/>
      <c r="AJ72" s="98"/>
      <c r="AK72" s="98"/>
      <c r="AL72" s="98"/>
      <c r="AM72" s="98"/>
      <c r="AN72" s="98"/>
      <c r="AO72" s="98"/>
      <c r="AP72" s="98"/>
      <c r="AQ72" s="98"/>
      <c r="AR72" s="98"/>
      <c r="AS72" s="98"/>
      <c r="AT72" s="98"/>
      <c r="AU72" s="98"/>
      <c r="AV72" s="98"/>
      <c r="AW72" s="98"/>
      <c r="AX72" s="98"/>
      <c r="AY72" s="98"/>
      <c r="AZ72" s="98"/>
      <c r="BA72" s="98"/>
      <c r="BB72" s="98"/>
      <c r="BC72" s="98"/>
      <c r="BD72" s="98"/>
      <c r="BE72" s="98"/>
      <c r="BF72" s="98"/>
      <c r="BG72" s="98"/>
    </row>
    <row r="73" spans="1:59">
      <c r="A73" s="316"/>
      <c r="B73" s="317"/>
      <c r="C73" s="6"/>
      <c r="D73" s="12" t="s">
        <v>782</v>
      </c>
      <c r="E73" s="77">
        <f>AVERAGE(4578,4731,4594)</f>
        <v>4634.333333333333</v>
      </c>
      <c r="F73" s="1"/>
      <c r="G73" s="1"/>
      <c r="H73" s="12"/>
      <c r="I73" s="1"/>
      <c r="J73" s="1"/>
      <c r="K73" s="12"/>
      <c r="L73" s="1"/>
      <c r="M73" s="1"/>
      <c r="N73" s="1"/>
      <c r="O73" s="7"/>
      <c r="P73" s="316"/>
      <c r="Q73" s="316"/>
      <c r="R73" s="316"/>
      <c r="S73" s="316"/>
      <c r="T73" s="316"/>
      <c r="U73" s="316"/>
      <c r="V73" s="316"/>
      <c r="W73" s="316"/>
      <c r="X73" s="316"/>
      <c r="Y73" s="316"/>
      <c r="Z73" s="316"/>
      <c r="AA73" s="316"/>
      <c r="AB73" s="98"/>
      <c r="AC73" s="98"/>
      <c r="AD73" s="98"/>
      <c r="AE73" s="98"/>
      <c r="AF73" s="98"/>
      <c r="AG73" s="98"/>
      <c r="AH73" s="98"/>
      <c r="AI73" s="98"/>
      <c r="AJ73" s="98"/>
      <c r="AK73" s="98"/>
      <c r="AL73" s="98"/>
      <c r="AM73" s="98"/>
      <c r="AN73" s="98"/>
      <c r="AO73" s="98"/>
      <c r="AP73" s="98"/>
      <c r="AQ73" s="98"/>
      <c r="AR73" s="98"/>
      <c r="AS73" s="98"/>
      <c r="AT73" s="98"/>
      <c r="AU73" s="98"/>
      <c r="AV73" s="98"/>
      <c r="AW73" s="98"/>
      <c r="AX73" s="98"/>
      <c r="AY73" s="98"/>
      <c r="AZ73" s="98"/>
      <c r="BA73" s="98"/>
      <c r="BB73" s="98"/>
      <c r="BC73" s="98"/>
      <c r="BD73" s="98"/>
      <c r="BE73" s="98"/>
      <c r="BF73" s="98"/>
      <c r="BG73" s="98"/>
    </row>
    <row r="74" spans="1:59" s="1094" customFormat="1">
      <c r="A74" s="316"/>
      <c r="B74" s="317"/>
      <c r="C74" s="54"/>
      <c r="D74" s="325" t="s">
        <v>1134</v>
      </c>
      <c r="E74" s="321">
        <f>E72/E73</f>
        <v>1783701.3594188304</v>
      </c>
      <c r="F74" s="325"/>
      <c r="G74" s="325"/>
      <c r="H74" s="325"/>
      <c r="I74" s="325"/>
      <c r="J74" s="325"/>
      <c r="K74" s="325"/>
      <c r="L74" s="325"/>
      <c r="M74" s="325"/>
      <c r="N74" s="325"/>
      <c r="O74" s="7"/>
      <c r="P74" s="316"/>
      <c r="Q74" s="316"/>
      <c r="R74" s="316"/>
      <c r="S74" s="316"/>
      <c r="T74" s="316"/>
      <c r="U74" s="316"/>
      <c r="V74" s="316"/>
      <c r="W74" s="316"/>
      <c r="X74" s="316"/>
      <c r="Y74" s="316"/>
      <c r="Z74" s="316"/>
      <c r="AA74" s="316"/>
      <c r="AB74" s="346"/>
      <c r="AC74" s="346"/>
      <c r="AD74" s="346"/>
      <c r="AE74" s="346"/>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c r="BB74" s="346"/>
      <c r="BC74" s="346"/>
      <c r="BD74" s="346"/>
      <c r="BE74" s="346"/>
      <c r="BF74" s="346"/>
      <c r="BG74" s="346"/>
    </row>
    <row r="75" spans="1:59" s="1094" customFormat="1">
      <c r="A75" s="316"/>
      <c r="B75" s="317"/>
      <c r="C75" s="54"/>
      <c r="D75" s="325" t="s">
        <v>1135</v>
      </c>
      <c r="E75" s="77">
        <f>115235/3</f>
        <v>38411.666666666664</v>
      </c>
      <c r="F75" s="325"/>
      <c r="G75" s="325"/>
      <c r="H75" s="325"/>
      <c r="I75" s="325"/>
      <c r="J75" s="325"/>
      <c r="K75" s="325"/>
      <c r="L75" s="325"/>
      <c r="M75" s="325"/>
      <c r="N75" s="325"/>
      <c r="O75" s="7"/>
      <c r="P75" s="316"/>
      <c r="Q75" s="316"/>
      <c r="R75" s="316"/>
      <c r="S75" s="316"/>
      <c r="T75" s="316"/>
      <c r="U75" s="316"/>
      <c r="V75" s="316"/>
      <c r="W75" s="316"/>
      <c r="X75" s="316"/>
      <c r="Y75" s="316"/>
      <c r="Z75" s="316"/>
      <c r="AA75" s="316"/>
      <c r="AB75" s="346"/>
      <c r="AC75" s="346"/>
      <c r="AD75" s="346"/>
      <c r="AE75" s="346"/>
      <c r="AF75" s="346"/>
      <c r="AG75" s="346"/>
      <c r="AH75" s="346"/>
      <c r="AI75" s="346"/>
      <c r="AJ75" s="346"/>
      <c r="AK75" s="346"/>
      <c r="AL75" s="346"/>
      <c r="AM75" s="346"/>
      <c r="AN75" s="346"/>
      <c r="AO75" s="346"/>
      <c r="AP75" s="346"/>
      <c r="AQ75" s="346"/>
      <c r="AR75" s="346"/>
      <c r="AS75" s="346"/>
      <c r="AT75" s="346"/>
      <c r="AU75" s="346"/>
      <c r="AV75" s="346"/>
      <c r="AW75" s="346"/>
      <c r="AX75" s="346"/>
      <c r="AY75" s="346"/>
      <c r="AZ75" s="346"/>
      <c r="BA75" s="346"/>
      <c r="BB75" s="346"/>
      <c r="BC75" s="346"/>
      <c r="BD75" s="346"/>
      <c r="BE75" s="346"/>
      <c r="BF75" s="346"/>
      <c r="BG75" s="346"/>
    </row>
    <row r="76" spans="1:59">
      <c r="A76" s="128"/>
      <c r="B76" s="129"/>
      <c r="C76" s="128"/>
      <c r="D76" s="318" t="s">
        <v>784</v>
      </c>
      <c r="E76" s="322" t="s">
        <v>785</v>
      </c>
      <c r="F76" s="320"/>
      <c r="G76" s="320"/>
      <c r="H76" s="320"/>
      <c r="I76" s="320"/>
      <c r="J76" s="323"/>
      <c r="K76" s="45"/>
      <c r="L76" s="45"/>
      <c r="M76" s="1"/>
      <c r="N76" s="1"/>
      <c r="O76" s="7"/>
      <c r="P76" s="316"/>
      <c r="Q76" s="316"/>
      <c r="R76" s="316"/>
      <c r="S76" s="316"/>
      <c r="T76" s="316"/>
      <c r="U76" s="316"/>
      <c r="V76" s="316"/>
      <c r="W76" s="316"/>
      <c r="X76" s="316"/>
      <c r="Y76" s="316"/>
      <c r="Z76" s="316"/>
      <c r="AA76" s="316"/>
      <c r="AB76" s="316"/>
      <c r="AC76" s="316"/>
      <c r="AD76" s="98"/>
      <c r="AE76" s="98"/>
      <c r="AF76" s="98"/>
      <c r="AG76" s="98"/>
      <c r="AH76" s="98"/>
      <c r="AI76" s="98"/>
      <c r="AJ76" s="98"/>
      <c r="AK76" s="98"/>
      <c r="AL76" s="98"/>
      <c r="AM76" s="98"/>
      <c r="AN76" s="98"/>
      <c r="AO76" s="98"/>
      <c r="AP76" s="98"/>
      <c r="AQ76" s="98"/>
      <c r="AR76" s="98"/>
      <c r="AS76" s="98"/>
      <c r="AT76" s="98"/>
      <c r="AU76" s="98"/>
      <c r="AV76" s="98"/>
      <c r="AW76" s="98"/>
      <c r="AX76" s="98"/>
      <c r="AY76" s="98"/>
      <c r="AZ76" s="98"/>
      <c r="BA76" s="98"/>
      <c r="BB76" s="98"/>
      <c r="BC76" s="98"/>
      <c r="BD76" s="98"/>
      <c r="BE76" s="98"/>
      <c r="BF76" s="98"/>
      <c r="BG76" s="6"/>
    </row>
    <row r="77" spans="1:59" ht="24">
      <c r="A77" s="128"/>
      <c r="B77" s="129"/>
      <c r="C77" s="128"/>
      <c r="D77" s="34" t="s">
        <v>786</v>
      </c>
      <c r="E77" s="189">
        <f>H90</f>
        <v>2.0591221487098015E-3</v>
      </c>
      <c r="F77" s="1"/>
      <c r="G77" s="1"/>
      <c r="H77" s="1"/>
      <c r="I77" s="1"/>
      <c r="J77" s="1"/>
      <c r="K77" s="1"/>
      <c r="L77" s="1"/>
      <c r="M77" s="1"/>
      <c r="N77" s="1"/>
      <c r="O77" s="7"/>
      <c r="P77" s="6"/>
      <c r="Q77" s="6"/>
      <c r="R77" s="6"/>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c r="AR77" s="98"/>
      <c r="AS77" s="98"/>
      <c r="AT77" s="98"/>
      <c r="AU77" s="98"/>
      <c r="AV77" s="98"/>
      <c r="AW77" s="98"/>
      <c r="AX77" s="98"/>
      <c r="AY77" s="98"/>
      <c r="AZ77" s="98"/>
      <c r="BA77" s="98"/>
      <c r="BB77" s="98"/>
      <c r="BC77" s="98"/>
      <c r="BD77" s="98"/>
      <c r="BE77" s="98"/>
      <c r="BF77" s="98"/>
      <c r="BG77" s="98"/>
    </row>
    <row r="78" spans="1:59">
      <c r="A78" s="128"/>
      <c r="B78" s="129"/>
      <c r="C78" s="128"/>
      <c r="D78" s="34" t="s">
        <v>787</v>
      </c>
      <c r="E78" s="189">
        <f>I91</f>
        <v>0.25692307692307692</v>
      </c>
      <c r="F78" s="1"/>
      <c r="G78" s="1"/>
      <c r="H78" s="1"/>
      <c r="I78" s="1"/>
      <c r="J78" s="1"/>
      <c r="K78" s="1"/>
      <c r="L78" s="1"/>
      <c r="M78" s="1"/>
      <c r="N78" s="1"/>
      <c r="O78" s="7"/>
      <c r="P78" s="6"/>
      <c r="Q78" s="6"/>
      <c r="R78" s="6"/>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c r="AR78" s="98"/>
      <c r="AS78" s="98"/>
      <c r="AT78" s="98"/>
      <c r="AU78" s="98"/>
      <c r="AV78" s="98"/>
      <c r="AW78" s="98"/>
      <c r="AX78" s="98"/>
      <c r="AY78" s="98"/>
      <c r="AZ78" s="98"/>
      <c r="BA78" s="98"/>
      <c r="BB78" s="98"/>
      <c r="BC78" s="98"/>
      <c r="BD78" s="98"/>
      <c r="BE78" s="98"/>
      <c r="BF78" s="98"/>
      <c r="BG78" s="98"/>
    </row>
    <row r="79" spans="1:59">
      <c r="A79" s="128"/>
      <c r="B79" s="129"/>
      <c r="C79" s="128"/>
      <c r="D79" s="34" t="s">
        <v>788</v>
      </c>
      <c r="E79" s="43">
        <v>1.9</v>
      </c>
      <c r="F79" s="1"/>
      <c r="G79" s="1"/>
      <c r="H79" s="1"/>
      <c r="I79" s="1"/>
      <c r="J79" s="1"/>
      <c r="K79" s="1"/>
      <c r="L79" s="1"/>
      <c r="M79" s="1"/>
      <c r="N79" s="1"/>
      <c r="O79" s="7"/>
      <c r="P79" s="6"/>
      <c r="Q79" s="6"/>
      <c r="R79" s="6"/>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c r="AR79" s="98"/>
      <c r="AS79" s="98"/>
      <c r="AT79" s="98"/>
      <c r="AU79" s="98"/>
      <c r="AV79" s="98"/>
      <c r="AW79" s="98"/>
      <c r="AX79" s="98"/>
      <c r="AY79" s="98"/>
      <c r="AZ79" s="98"/>
      <c r="BA79" s="98"/>
      <c r="BB79" s="98"/>
      <c r="BC79" s="98"/>
      <c r="BD79" s="98"/>
      <c r="BE79" s="98"/>
      <c r="BF79" s="98"/>
      <c r="BG79" s="98"/>
    </row>
    <row r="80" spans="1:59">
      <c r="A80" s="128"/>
      <c r="B80" s="129"/>
      <c r="C80" s="128"/>
      <c r="D80" s="34" t="s">
        <v>789</v>
      </c>
      <c r="E80" s="189">
        <f>I90</f>
        <v>5.2903599820697982E-4</v>
      </c>
      <c r="F80" s="1"/>
      <c r="G80" s="1"/>
      <c r="H80" s="1"/>
      <c r="I80" s="1"/>
      <c r="J80" s="1"/>
      <c r="K80" s="1"/>
      <c r="L80" s="1"/>
      <c r="M80" s="1"/>
      <c r="N80" s="1"/>
      <c r="O80" s="7"/>
      <c r="P80" s="6"/>
      <c r="Q80" s="6"/>
      <c r="R80" s="6"/>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c r="AR80" s="98"/>
      <c r="AS80" s="98"/>
      <c r="AT80" s="98"/>
      <c r="AU80" s="98"/>
      <c r="AV80" s="98"/>
      <c r="AW80" s="98"/>
      <c r="AX80" s="98"/>
      <c r="AY80" s="98"/>
      <c r="AZ80" s="98"/>
      <c r="BA80" s="98"/>
      <c r="BB80" s="98"/>
      <c r="BC80" s="98"/>
      <c r="BD80" s="98"/>
      <c r="BE80" s="98"/>
      <c r="BF80" s="98"/>
      <c r="BG80" s="98"/>
    </row>
    <row r="81" spans="1:59">
      <c r="A81" s="128"/>
      <c r="B81" s="129"/>
      <c r="C81" s="128"/>
      <c r="D81" s="1"/>
      <c r="E81" s="3"/>
      <c r="F81" s="1"/>
      <c r="G81" s="1"/>
      <c r="H81" s="1"/>
      <c r="I81" s="1"/>
      <c r="J81" s="1"/>
      <c r="K81" s="1"/>
      <c r="L81" s="1"/>
      <c r="M81" s="1"/>
      <c r="N81" s="1"/>
      <c r="O81" s="7"/>
      <c r="P81" s="6"/>
      <c r="Q81" s="6"/>
      <c r="R81" s="6"/>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row>
    <row r="82" spans="1:59">
      <c r="A82" s="128"/>
      <c r="B82" s="129"/>
      <c r="C82" s="128"/>
      <c r="D82" s="12" t="s">
        <v>790</v>
      </c>
      <c r="E82" s="43" t="s">
        <v>791</v>
      </c>
      <c r="F82" s="43" t="s">
        <v>792</v>
      </c>
      <c r="G82" s="43" t="s">
        <v>793</v>
      </c>
      <c r="H82" s="43" t="s">
        <v>794</v>
      </c>
      <c r="I82" s="43" t="s">
        <v>795</v>
      </c>
      <c r="J82" s="3"/>
      <c r="K82" s="3"/>
      <c r="L82" s="1"/>
      <c r="M82" s="1"/>
      <c r="N82" s="1"/>
      <c r="O82" s="7"/>
      <c r="P82" s="6"/>
      <c r="Q82" s="6"/>
      <c r="R82" s="6"/>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c r="AR82" s="98"/>
      <c r="AS82" s="98"/>
      <c r="AT82" s="98"/>
      <c r="AU82" s="98"/>
      <c r="AV82" s="98"/>
      <c r="AW82" s="98"/>
      <c r="AX82" s="98"/>
      <c r="AY82" s="98"/>
      <c r="AZ82" s="98"/>
      <c r="BA82" s="98"/>
      <c r="BB82" s="98"/>
      <c r="BC82" s="98"/>
      <c r="BD82" s="98"/>
      <c r="BE82" s="98"/>
      <c r="BF82" s="98"/>
      <c r="BG82" s="98"/>
    </row>
    <row r="83" spans="1:59">
      <c r="A83" s="128"/>
      <c r="B83" s="129"/>
      <c r="C83" s="128"/>
      <c r="D83" s="12" t="s">
        <v>796</v>
      </c>
      <c r="E83" s="43" t="s">
        <v>797</v>
      </c>
      <c r="F83" s="43">
        <v>1209</v>
      </c>
      <c r="G83" s="43">
        <v>1208</v>
      </c>
      <c r="H83" s="43">
        <v>98</v>
      </c>
      <c r="I83" s="43">
        <v>30</v>
      </c>
      <c r="J83" s="3"/>
      <c r="K83" s="3"/>
      <c r="L83" s="1"/>
      <c r="M83" s="1"/>
      <c r="N83" s="1"/>
      <c r="O83" s="7"/>
      <c r="P83" s="6"/>
      <c r="Q83" s="6"/>
      <c r="R83" s="6"/>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c r="AR83" s="98"/>
      <c r="AS83" s="98"/>
      <c r="AT83" s="98"/>
      <c r="AU83" s="98"/>
      <c r="AV83" s="98"/>
      <c r="AW83" s="98"/>
      <c r="AX83" s="98"/>
      <c r="AY83" s="98"/>
      <c r="AZ83" s="98"/>
      <c r="BA83" s="98"/>
      <c r="BB83" s="98"/>
      <c r="BC83" s="98"/>
      <c r="BD83" s="98"/>
      <c r="BE83" s="98"/>
      <c r="BF83" s="98"/>
      <c r="BG83" s="98"/>
    </row>
    <row r="84" spans="1:59">
      <c r="A84" s="128"/>
      <c r="B84" s="129"/>
      <c r="C84" s="128"/>
      <c r="D84" s="12" t="s">
        <v>798</v>
      </c>
      <c r="E84" s="43" t="s">
        <v>799</v>
      </c>
      <c r="F84" s="43">
        <v>10201</v>
      </c>
      <c r="G84" s="43">
        <v>10086</v>
      </c>
      <c r="H84" s="43">
        <v>157</v>
      </c>
      <c r="I84" s="43">
        <v>68</v>
      </c>
      <c r="J84" s="3"/>
      <c r="K84" s="3"/>
      <c r="L84" s="1"/>
      <c r="M84" s="1"/>
      <c r="N84" s="1"/>
      <c r="O84" s="7"/>
      <c r="P84" s="6"/>
      <c r="Q84" s="6"/>
      <c r="R84" s="6"/>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c r="AR84" s="98"/>
      <c r="AS84" s="98"/>
      <c r="AT84" s="98"/>
      <c r="AU84" s="98"/>
      <c r="AV84" s="98"/>
      <c r="AW84" s="98"/>
      <c r="AX84" s="98"/>
      <c r="AY84" s="98"/>
      <c r="AZ84" s="98"/>
      <c r="BA84" s="98"/>
      <c r="BB84" s="98"/>
      <c r="BC84" s="98"/>
      <c r="BD84" s="98"/>
      <c r="BE84" s="98"/>
      <c r="BF84" s="98"/>
      <c r="BG84" s="98"/>
    </row>
    <row r="85" spans="1:59">
      <c r="A85" s="128"/>
      <c r="B85" s="129"/>
      <c r="C85" s="128"/>
      <c r="D85" s="12" t="s">
        <v>800</v>
      </c>
      <c r="E85" s="43" t="s">
        <v>801</v>
      </c>
      <c r="F85" s="43">
        <v>38408</v>
      </c>
      <c r="G85" s="43">
        <v>9731</v>
      </c>
      <c r="H85" s="43">
        <v>20</v>
      </c>
      <c r="I85" s="43">
        <v>3</v>
      </c>
      <c r="J85" s="3"/>
      <c r="K85" s="3"/>
      <c r="L85" s="1"/>
      <c r="M85" s="1"/>
      <c r="N85" s="1"/>
      <c r="O85" s="7"/>
      <c r="P85" s="6"/>
      <c r="Q85" s="6"/>
      <c r="R85" s="6"/>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c r="AR85" s="98"/>
      <c r="AS85" s="98"/>
      <c r="AT85" s="98"/>
      <c r="AU85" s="98"/>
      <c r="AV85" s="98"/>
      <c r="AW85" s="98"/>
      <c r="AX85" s="98"/>
      <c r="AY85" s="98"/>
      <c r="AZ85" s="98"/>
      <c r="BA85" s="98"/>
      <c r="BB85" s="98"/>
      <c r="BC85" s="98"/>
      <c r="BD85" s="98"/>
      <c r="BE85" s="98"/>
      <c r="BF85" s="98"/>
      <c r="BG85" s="98"/>
    </row>
    <row r="86" spans="1:59">
      <c r="A86" s="128"/>
      <c r="B86" s="129"/>
      <c r="C86" s="128"/>
      <c r="D86" s="12" t="s">
        <v>802</v>
      </c>
      <c r="E86" s="43" t="s">
        <v>803</v>
      </c>
      <c r="F86" s="43">
        <v>299332</v>
      </c>
      <c r="G86" s="43">
        <v>221513</v>
      </c>
      <c r="H86" s="43">
        <v>446</v>
      </c>
      <c r="I86" s="43">
        <v>92</v>
      </c>
      <c r="J86" s="3"/>
      <c r="K86" s="3"/>
      <c r="L86" s="1"/>
      <c r="M86" s="1"/>
      <c r="N86" s="1"/>
      <c r="O86" s="7"/>
      <c r="P86" s="6"/>
      <c r="Q86" s="6"/>
      <c r="R86" s="6"/>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c r="AR86" s="98"/>
      <c r="AS86" s="98"/>
      <c r="AT86" s="98"/>
      <c r="AU86" s="98"/>
      <c r="AV86" s="98"/>
      <c r="AW86" s="98"/>
      <c r="AX86" s="98"/>
      <c r="AY86" s="98"/>
      <c r="AZ86" s="98"/>
      <c r="BA86" s="98"/>
      <c r="BB86" s="98"/>
      <c r="BC86" s="98"/>
      <c r="BD86" s="98"/>
      <c r="BE86" s="98"/>
      <c r="BF86" s="98"/>
      <c r="BG86" s="98"/>
    </row>
    <row r="87" spans="1:59">
      <c r="A87" s="128"/>
      <c r="B87" s="129"/>
      <c r="C87" s="128"/>
      <c r="D87" s="12" t="s">
        <v>804</v>
      </c>
      <c r="E87" s="43" t="s">
        <v>803</v>
      </c>
      <c r="F87" s="43">
        <v>509567</v>
      </c>
      <c r="G87" s="43">
        <v>388799</v>
      </c>
      <c r="H87" s="43">
        <v>579</v>
      </c>
      <c r="I87" s="43">
        <v>141</v>
      </c>
      <c r="J87" s="3"/>
      <c r="K87" s="3"/>
      <c r="L87" s="1"/>
      <c r="M87" s="1"/>
      <c r="N87" s="1"/>
      <c r="O87" s="7"/>
      <c r="P87" s="6"/>
      <c r="Q87" s="6"/>
      <c r="R87" s="6"/>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c r="AR87" s="98"/>
      <c r="AS87" s="98"/>
      <c r="AT87" s="98"/>
      <c r="AU87" s="98"/>
      <c r="AV87" s="98"/>
      <c r="AW87" s="98"/>
      <c r="AX87" s="98"/>
      <c r="AY87" s="98"/>
      <c r="AZ87" s="98"/>
      <c r="BA87" s="98"/>
      <c r="BB87" s="98"/>
      <c r="BC87" s="98"/>
      <c r="BD87" s="98"/>
      <c r="BE87" s="98"/>
      <c r="BF87" s="98"/>
      <c r="BG87" s="98"/>
    </row>
    <row r="88" spans="1:59">
      <c r="A88" s="128"/>
      <c r="B88" s="129"/>
      <c r="C88" s="128"/>
      <c r="D88" s="1"/>
      <c r="E88" s="3"/>
      <c r="F88" s="3"/>
      <c r="G88" s="3"/>
      <c r="H88" s="3"/>
      <c r="I88" s="3"/>
      <c r="J88" s="3"/>
      <c r="K88" s="3"/>
      <c r="L88" s="1"/>
      <c r="M88" s="1"/>
      <c r="N88" s="1"/>
      <c r="O88" s="7"/>
      <c r="P88" s="6"/>
      <c r="Q88" s="6"/>
      <c r="R88" s="6"/>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c r="AR88" s="98"/>
      <c r="AS88" s="98"/>
      <c r="AT88" s="98"/>
      <c r="AU88" s="98"/>
      <c r="AV88" s="98"/>
      <c r="AW88" s="98"/>
      <c r="AX88" s="98"/>
      <c r="AY88" s="98"/>
      <c r="AZ88" s="98"/>
      <c r="BA88" s="98"/>
      <c r="BB88" s="98"/>
      <c r="BC88" s="98"/>
      <c r="BD88" s="98"/>
      <c r="BE88" s="98"/>
      <c r="BF88" s="98"/>
      <c r="BG88" s="98"/>
    </row>
    <row r="89" spans="1:59">
      <c r="A89" s="128"/>
      <c r="B89" s="129"/>
      <c r="C89" s="128"/>
      <c r="D89" s="12" t="s">
        <v>772</v>
      </c>
      <c r="E89" s="3"/>
      <c r="F89" s="43">
        <f t="shared" ref="F89:I89" si="6">SUM(F83:F87)</f>
        <v>858717</v>
      </c>
      <c r="G89" s="43">
        <f t="shared" si="6"/>
        <v>631337</v>
      </c>
      <c r="H89" s="43">
        <f t="shared" si="6"/>
        <v>1300</v>
      </c>
      <c r="I89" s="43">
        <f t="shared" si="6"/>
        <v>334</v>
      </c>
      <c r="J89" s="3"/>
      <c r="K89" s="3"/>
      <c r="L89" s="1"/>
      <c r="M89" s="1"/>
      <c r="N89" s="1"/>
      <c r="O89" s="7"/>
      <c r="P89" s="6"/>
      <c r="Q89" s="6"/>
      <c r="R89" s="6"/>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c r="AR89" s="98"/>
      <c r="AS89" s="98"/>
      <c r="AT89" s="98"/>
      <c r="AU89" s="98"/>
      <c r="AV89" s="98"/>
      <c r="AW89" s="98"/>
      <c r="AX89" s="98"/>
      <c r="AY89" s="98"/>
      <c r="AZ89" s="98"/>
      <c r="BA89" s="98"/>
      <c r="BB89" s="98"/>
      <c r="BC89" s="98"/>
      <c r="BD89" s="98"/>
      <c r="BE89" s="98"/>
      <c r="BF89" s="98"/>
      <c r="BG89" s="98"/>
    </row>
    <row r="90" spans="1:59">
      <c r="A90" s="128"/>
      <c r="B90" s="129"/>
      <c r="C90" s="128"/>
      <c r="D90" s="12" t="s">
        <v>805</v>
      </c>
      <c r="E90" s="3"/>
      <c r="F90" s="183">
        <f>F89/F89</f>
        <v>1</v>
      </c>
      <c r="G90" s="183">
        <f t="shared" ref="G90:H90" si="7">G89/F89</f>
        <v>0.7352096208646155</v>
      </c>
      <c r="H90" s="183">
        <f t="shared" si="7"/>
        <v>2.0591221487098015E-3</v>
      </c>
      <c r="I90" s="183">
        <f>I89/G89</f>
        <v>5.2903599820697982E-4</v>
      </c>
      <c r="J90" s="3"/>
      <c r="K90" s="3"/>
      <c r="L90" s="1"/>
      <c r="M90" s="1"/>
      <c r="N90" s="1"/>
      <c r="O90" s="7"/>
      <c r="P90" s="6"/>
      <c r="Q90" s="6"/>
      <c r="R90" s="6"/>
      <c r="S90" s="98"/>
      <c r="T90" s="98"/>
      <c r="U90" s="98"/>
      <c r="V90" s="98"/>
      <c r="W90" s="98"/>
      <c r="X90" s="98"/>
      <c r="Y90" s="98"/>
      <c r="Z90" s="98"/>
      <c r="AA90" s="98"/>
      <c r="AB90" s="98"/>
      <c r="AC90" s="98"/>
      <c r="AD90" s="98"/>
      <c r="AE90" s="98"/>
      <c r="AF90" s="98"/>
      <c r="AG90" s="98"/>
      <c r="AH90" s="98"/>
      <c r="AI90" s="98"/>
      <c r="AJ90" s="98"/>
      <c r="AK90" s="98"/>
      <c r="AL90" s="98"/>
      <c r="AM90" s="98"/>
      <c r="AN90" s="98"/>
      <c r="AO90" s="98"/>
      <c r="AP90" s="98"/>
      <c r="AQ90" s="98"/>
      <c r="AR90" s="98"/>
      <c r="AS90" s="98"/>
      <c r="AT90" s="98"/>
      <c r="AU90" s="98"/>
      <c r="AV90" s="98"/>
      <c r="AW90" s="98"/>
      <c r="AX90" s="98"/>
      <c r="AY90" s="98"/>
      <c r="AZ90" s="98"/>
      <c r="BA90" s="98"/>
      <c r="BB90" s="98"/>
      <c r="BC90" s="98"/>
      <c r="BD90" s="98"/>
      <c r="BE90" s="98"/>
      <c r="BF90" s="98"/>
      <c r="BG90" s="98"/>
    </row>
    <row r="91" spans="1:59">
      <c r="A91" s="128"/>
      <c r="B91" s="129"/>
      <c r="C91" s="128"/>
      <c r="D91" s="1"/>
      <c r="E91" s="3"/>
      <c r="F91" s="3"/>
      <c r="G91" s="3"/>
      <c r="H91" s="3"/>
      <c r="I91" s="183">
        <f>I89/H89</f>
        <v>0.25692307692307692</v>
      </c>
      <c r="J91" s="3"/>
      <c r="K91" s="3"/>
      <c r="L91" s="1"/>
      <c r="M91" s="1"/>
      <c r="N91" s="1"/>
      <c r="O91" s="7"/>
      <c r="P91" s="6"/>
      <c r="Q91" s="6"/>
      <c r="R91" s="6"/>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row>
    <row r="92" spans="1:59">
      <c r="A92" s="128"/>
      <c r="B92" s="129"/>
      <c r="C92" s="128"/>
      <c r="D92" s="1"/>
      <c r="E92" s="1"/>
      <c r="F92" s="1"/>
      <c r="G92" s="1"/>
      <c r="H92" s="1"/>
      <c r="I92" s="1"/>
      <c r="J92" s="1"/>
      <c r="K92" s="1"/>
      <c r="L92" s="1"/>
      <c r="M92" s="1"/>
      <c r="N92" s="1"/>
      <c r="O92" s="7"/>
      <c r="P92" s="6"/>
      <c r="Q92" s="6"/>
      <c r="R92" s="6"/>
      <c r="S92" s="98"/>
      <c r="T92" s="98"/>
      <c r="U92" s="98"/>
      <c r="V92" s="98"/>
      <c r="W92" s="98"/>
      <c r="X92" s="98"/>
      <c r="Y92" s="98"/>
      <c r="Z92" s="98"/>
      <c r="AA92" s="98"/>
      <c r="AB92" s="98"/>
      <c r="AC92" s="98"/>
      <c r="AD92" s="98"/>
      <c r="AE92" s="98"/>
      <c r="AF92" s="98"/>
      <c r="AG92" s="98"/>
      <c r="AH92" s="98"/>
      <c r="AI92" s="98"/>
      <c r="AJ92" s="98"/>
      <c r="AK92" s="98"/>
      <c r="AL92" s="98"/>
      <c r="AM92" s="98"/>
      <c r="AN92" s="98"/>
      <c r="AO92" s="98"/>
      <c r="AP92" s="98"/>
      <c r="AQ92" s="98"/>
      <c r="AR92" s="98"/>
      <c r="AS92" s="98"/>
      <c r="AT92" s="98"/>
      <c r="AU92" s="98"/>
      <c r="AV92" s="98"/>
      <c r="AW92" s="98"/>
      <c r="AX92" s="98"/>
      <c r="AY92" s="98"/>
      <c r="AZ92" s="98"/>
      <c r="BA92" s="98"/>
      <c r="BB92" s="98"/>
      <c r="BC92" s="98"/>
      <c r="BD92" s="98"/>
      <c r="BE92" s="98"/>
      <c r="BF92" s="98"/>
      <c r="BG92" s="98"/>
    </row>
    <row r="93" spans="1:59">
      <c r="A93" s="128"/>
      <c r="B93" s="129"/>
      <c r="C93" s="128"/>
      <c r="D93" s="315" t="s">
        <v>454</v>
      </c>
      <c r="E93" s="1"/>
      <c r="F93" s="1"/>
      <c r="G93" s="1"/>
      <c r="H93" s="1"/>
      <c r="I93" s="1"/>
      <c r="J93" s="1"/>
      <c r="K93" s="1"/>
      <c r="L93" s="1"/>
      <c r="M93" s="1"/>
      <c r="N93" s="1"/>
      <c r="O93" s="7"/>
      <c r="P93" s="6"/>
      <c r="Q93" s="6"/>
      <c r="R93" s="6"/>
      <c r="S93" s="98"/>
      <c r="T93" s="98"/>
      <c r="U93" s="98"/>
      <c r="V93" s="98"/>
      <c r="W93" s="98"/>
      <c r="X93" s="98"/>
      <c r="Y93" s="98"/>
      <c r="Z93" s="98"/>
      <c r="AA93" s="98"/>
      <c r="AB93" s="98"/>
      <c r="AC93" s="98"/>
      <c r="AD93" s="98"/>
      <c r="AE93" s="98"/>
      <c r="AF93" s="98"/>
      <c r="AG93" s="98"/>
      <c r="AH93" s="98"/>
      <c r="AI93" s="98"/>
      <c r="AJ93" s="98"/>
      <c r="AK93" s="98"/>
      <c r="AL93" s="98"/>
      <c r="AM93" s="98"/>
      <c r="AN93" s="98"/>
      <c r="AO93" s="98"/>
      <c r="AP93" s="98"/>
      <c r="AQ93" s="98"/>
      <c r="AR93" s="98"/>
      <c r="AS93" s="98"/>
      <c r="AT93" s="98"/>
      <c r="AU93" s="98"/>
      <c r="AV93" s="98"/>
      <c r="AW93" s="98"/>
      <c r="AX93" s="98"/>
      <c r="AY93" s="98"/>
      <c r="AZ93" s="98"/>
      <c r="BA93" s="98"/>
      <c r="BB93" s="98"/>
      <c r="BC93" s="98"/>
      <c r="BD93" s="98"/>
      <c r="BE93" s="98"/>
      <c r="BF93" s="98"/>
      <c r="BG93" s="98"/>
    </row>
    <row r="94" spans="1:59" ht="24">
      <c r="A94" s="128"/>
      <c r="B94" s="129"/>
      <c r="C94" s="128"/>
      <c r="D94" s="34" t="s">
        <v>806</v>
      </c>
      <c r="E94" s="189">
        <v>0.4855681818</v>
      </c>
      <c r="F94" s="1"/>
      <c r="G94" s="1"/>
      <c r="H94" s="1"/>
      <c r="I94" s="1"/>
      <c r="J94" s="1"/>
      <c r="K94" s="1"/>
      <c r="L94" s="1"/>
      <c r="M94" s="1"/>
      <c r="N94" s="1"/>
      <c r="O94" s="7"/>
      <c r="P94" s="6"/>
      <c r="Q94" s="6"/>
      <c r="R94" s="6"/>
      <c r="S94" s="98"/>
      <c r="T94" s="98"/>
      <c r="U94" s="98"/>
      <c r="V94" s="98"/>
      <c r="W94" s="98"/>
      <c r="X94" s="98"/>
      <c r="Y94" s="98"/>
      <c r="Z94" s="98"/>
      <c r="AA94" s="98"/>
      <c r="AB94" s="98"/>
      <c r="AC94" s="98"/>
      <c r="AD94" s="98"/>
      <c r="AE94" s="98"/>
      <c r="AF94" s="98"/>
      <c r="AG94" s="98"/>
      <c r="AH94" s="98"/>
      <c r="AI94" s="98"/>
      <c r="AJ94" s="98"/>
      <c r="AK94" s="98"/>
      <c r="AL94" s="98"/>
      <c r="AM94" s="98"/>
      <c r="AN94" s="98"/>
      <c r="AO94" s="98"/>
      <c r="AP94" s="98"/>
      <c r="AQ94" s="98"/>
      <c r="AR94" s="98"/>
      <c r="AS94" s="98"/>
      <c r="AT94" s="98"/>
      <c r="AU94" s="98"/>
      <c r="AV94" s="98"/>
      <c r="AW94" s="98"/>
      <c r="AX94" s="98"/>
      <c r="AY94" s="98"/>
      <c r="AZ94" s="98"/>
      <c r="BA94" s="98"/>
      <c r="BB94" s="98"/>
      <c r="BC94" s="98"/>
      <c r="BD94" s="98"/>
      <c r="BE94" s="98"/>
      <c r="BF94" s="98"/>
      <c r="BG94" s="98"/>
    </row>
    <row r="95" spans="1:59" ht="36">
      <c r="A95" s="128"/>
      <c r="B95" s="129"/>
      <c r="C95" s="128"/>
      <c r="D95" s="34" t="s">
        <v>807</v>
      </c>
      <c r="E95" s="34" t="s">
        <v>808</v>
      </c>
      <c r="F95" s="34" t="s">
        <v>809</v>
      </c>
      <c r="G95" s="34" t="s">
        <v>810</v>
      </c>
      <c r="H95" s="34" t="s">
        <v>811</v>
      </c>
      <c r="I95" s="34" t="s">
        <v>812</v>
      </c>
      <c r="J95" s="34" t="s">
        <v>813</v>
      </c>
      <c r="K95" s="34" t="s">
        <v>814</v>
      </c>
      <c r="L95" s="34" t="s">
        <v>815</v>
      </c>
      <c r="M95" s="1"/>
      <c r="N95" s="1"/>
      <c r="O95" s="7"/>
      <c r="P95" s="6"/>
      <c r="Q95" s="6"/>
      <c r="R95" s="6"/>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8"/>
      <c r="AR95" s="98"/>
      <c r="AS95" s="98"/>
      <c r="AT95" s="98"/>
      <c r="AU95" s="98"/>
      <c r="AV95" s="98"/>
      <c r="AW95" s="98"/>
      <c r="AX95" s="98"/>
      <c r="AY95" s="98"/>
      <c r="AZ95" s="98"/>
      <c r="BA95" s="98"/>
      <c r="BB95" s="98"/>
      <c r="BC95" s="98"/>
      <c r="BD95" s="98"/>
      <c r="BE95" s="98"/>
      <c r="BF95" s="98"/>
      <c r="BG95" s="98"/>
    </row>
    <row r="96" spans="1:59">
      <c r="A96" s="128"/>
      <c r="B96" s="129"/>
      <c r="C96" s="128"/>
      <c r="D96" s="34" t="s">
        <v>816</v>
      </c>
      <c r="E96" s="189"/>
      <c r="F96" s="189"/>
      <c r="G96" s="189"/>
      <c r="H96" s="189"/>
      <c r="I96" s="189"/>
      <c r="J96" s="189">
        <v>6.0699999999999997E-2</v>
      </c>
      <c r="K96" s="189"/>
      <c r="L96" s="189"/>
      <c r="M96" s="189"/>
      <c r="N96" s="324" t="s">
        <v>817</v>
      </c>
      <c r="O96" s="7"/>
      <c r="P96" s="6"/>
      <c r="Q96" s="6"/>
      <c r="R96" s="6"/>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row>
    <row r="97" spans="1:59">
      <c r="A97" s="128"/>
      <c r="B97" s="129"/>
      <c r="C97" s="128"/>
      <c r="D97" s="34" t="s">
        <v>818</v>
      </c>
      <c r="E97" s="189"/>
      <c r="F97" s="189"/>
      <c r="G97" s="189"/>
      <c r="H97" s="189">
        <v>0.28570000000000001</v>
      </c>
      <c r="I97" s="189">
        <v>0.17860000000000001</v>
      </c>
      <c r="J97" s="189"/>
      <c r="K97" s="189">
        <v>0.35709999999999997</v>
      </c>
      <c r="L97" s="189"/>
      <c r="M97" s="189"/>
      <c r="N97" s="325" t="s">
        <v>819</v>
      </c>
      <c r="O97" s="7"/>
      <c r="P97" s="6"/>
      <c r="Q97" s="6"/>
      <c r="R97" s="6"/>
      <c r="S97" s="98"/>
      <c r="T97" s="98"/>
      <c r="U97" s="98"/>
      <c r="V97" s="98"/>
      <c r="W97" s="98"/>
      <c r="X97" s="98"/>
      <c r="Y97" s="98"/>
      <c r="Z97" s="98"/>
      <c r="AA97" s="98"/>
      <c r="AB97" s="98"/>
      <c r="AC97" s="98"/>
      <c r="AD97" s="98"/>
      <c r="AE97" s="98"/>
      <c r="AF97" s="98"/>
      <c r="AG97" s="98"/>
      <c r="AH97" s="98"/>
      <c r="AI97" s="98"/>
      <c r="AJ97" s="98"/>
      <c r="AK97" s="98"/>
      <c r="AL97" s="98"/>
      <c r="AM97" s="98"/>
      <c r="AN97" s="98"/>
      <c r="AO97" s="98"/>
      <c r="AP97" s="98"/>
      <c r="AQ97" s="98"/>
      <c r="AR97" s="98"/>
      <c r="AS97" s="98"/>
      <c r="AT97" s="98"/>
      <c r="AU97" s="98"/>
      <c r="AV97" s="98"/>
      <c r="AW97" s="98"/>
      <c r="AX97" s="98"/>
      <c r="AY97" s="98"/>
      <c r="AZ97" s="98"/>
      <c r="BA97" s="98"/>
      <c r="BB97" s="98"/>
      <c r="BC97" s="98"/>
      <c r="BD97" s="98"/>
      <c r="BE97" s="98"/>
      <c r="BF97" s="98"/>
      <c r="BG97" s="98"/>
    </row>
    <row r="98" spans="1:59">
      <c r="A98" s="128"/>
      <c r="B98" s="129"/>
      <c r="C98" s="128"/>
      <c r="D98" s="34" t="s">
        <v>820</v>
      </c>
      <c r="E98" s="189">
        <v>0.21299999999999999</v>
      </c>
      <c r="F98" s="189"/>
      <c r="G98" s="189">
        <v>0.434</v>
      </c>
      <c r="H98" s="189">
        <v>0.14199999999999999</v>
      </c>
      <c r="I98" s="189">
        <v>9.8000000000000004E-2</v>
      </c>
      <c r="J98" s="189"/>
      <c r="K98" s="189"/>
      <c r="L98" s="189">
        <v>0.113</v>
      </c>
      <c r="M98" s="189"/>
      <c r="N98" s="325" t="s">
        <v>821</v>
      </c>
      <c r="O98" s="7"/>
      <c r="P98" s="6"/>
      <c r="Q98" s="6"/>
      <c r="R98" s="6"/>
      <c r="S98" s="98"/>
      <c r="T98" s="98"/>
      <c r="U98" s="98"/>
      <c r="V98" s="98"/>
      <c r="W98" s="98"/>
      <c r="X98" s="98"/>
      <c r="Y98" s="98"/>
      <c r="Z98" s="98"/>
      <c r="AA98" s="98"/>
      <c r="AB98" s="98"/>
      <c r="AC98" s="98"/>
      <c r="AD98" s="98"/>
      <c r="AE98" s="98"/>
      <c r="AF98" s="98"/>
      <c r="AG98" s="98"/>
      <c r="AH98" s="98"/>
      <c r="AI98" s="98"/>
      <c r="AJ98" s="98"/>
      <c r="AK98" s="98"/>
      <c r="AL98" s="98"/>
      <c r="AM98" s="98"/>
      <c r="AN98" s="98"/>
      <c r="AO98" s="98"/>
      <c r="AP98" s="98"/>
      <c r="AQ98" s="98"/>
      <c r="AR98" s="98"/>
      <c r="AS98" s="98"/>
      <c r="AT98" s="98"/>
      <c r="AU98" s="98"/>
      <c r="AV98" s="98"/>
      <c r="AW98" s="98"/>
      <c r="AX98" s="98"/>
      <c r="AY98" s="98"/>
      <c r="AZ98" s="98"/>
      <c r="BA98" s="98"/>
      <c r="BB98" s="98"/>
      <c r="BC98" s="98"/>
      <c r="BD98" s="98"/>
      <c r="BE98" s="98"/>
      <c r="BF98" s="98"/>
      <c r="BG98" s="98"/>
    </row>
    <row r="99" spans="1:59">
      <c r="A99" s="128"/>
      <c r="B99" s="129"/>
      <c r="C99" s="128"/>
      <c r="D99" s="34" t="s">
        <v>822</v>
      </c>
      <c r="E99" s="189">
        <v>0.27879999999999999</v>
      </c>
      <c r="F99" s="189">
        <v>0.11219999999999999</v>
      </c>
      <c r="G99" s="189">
        <v>9.2899999999999996E-2</v>
      </c>
      <c r="H99" s="189">
        <v>0.1731</v>
      </c>
      <c r="I99" s="189">
        <v>0.15709999999999999</v>
      </c>
      <c r="J99" s="189"/>
      <c r="K99" s="189">
        <v>0.13780000000000001</v>
      </c>
      <c r="L99" s="189">
        <v>5.45E-2</v>
      </c>
      <c r="M99" s="189"/>
      <c r="N99" s="325" t="s">
        <v>823</v>
      </c>
      <c r="O99" s="7"/>
      <c r="P99" s="6"/>
      <c r="Q99" s="6"/>
      <c r="R99" s="6"/>
      <c r="S99" s="98"/>
      <c r="T99" s="98"/>
      <c r="U99" s="98"/>
      <c r="V99" s="98"/>
      <c r="W99" s="98"/>
      <c r="X99" s="98"/>
      <c r="Y99" s="98"/>
      <c r="Z99" s="98"/>
      <c r="AA99" s="98"/>
      <c r="AB99" s="98"/>
      <c r="AC99" s="98"/>
      <c r="AD99" s="98"/>
      <c r="AE99" s="98"/>
      <c r="AF99" s="98"/>
      <c r="AG99" s="98"/>
      <c r="AH99" s="98"/>
      <c r="AI99" s="98"/>
      <c r="AJ99" s="98"/>
      <c r="AK99" s="98"/>
      <c r="AL99" s="98"/>
      <c r="AM99" s="98"/>
      <c r="AN99" s="98"/>
      <c r="AO99" s="98"/>
      <c r="AP99" s="98"/>
      <c r="AQ99" s="98"/>
      <c r="AR99" s="98"/>
      <c r="AS99" s="98"/>
      <c r="AT99" s="98"/>
      <c r="AU99" s="98"/>
      <c r="AV99" s="98"/>
      <c r="AW99" s="98"/>
      <c r="AX99" s="98"/>
      <c r="AY99" s="98"/>
      <c r="AZ99" s="98"/>
      <c r="BA99" s="98"/>
      <c r="BB99" s="98"/>
      <c r="BC99" s="98"/>
      <c r="BD99" s="98"/>
      <c r="BE99" s="98"/>
      <c r="BF99" s="98"/>
      <c r="BG99" s="98"/>
    </row>
    <row r="100" spans="1:59">
      <c r="A100" s="128"/>
      <c r="B100" s="129"/>
      <c r="C100" s="128"/>
      <c r="D100" s="34" t="s">
        <v>824</v>
      </c>
      <c r="E100" s="189">
        <v>0.24590000000000001</v>
      </c>
      <c r="F100" s="189">
        <v>0.11219999999999999</v>
      </c>
      <c r="G100" s="189">
        <v>0.26350000000000001</v>
      </c>
      <c r="H100" s="189">
        <v>0.20030000000000001</v>
      </c>
      <c r="I100" s="189">
        <v>0.14449999999999999</v>
      </c>
      <c r="J100" s="189">
        <v>6.0699999999999997E-2</v>
      </c>
      <c r="K100" s="189">
        <v>0.2475</v>
      </c>
      <c r="L100" s="189">
        <v>8.3699999999999997E-2</v>
      </c>
      <c r="M100" s="189">
        <v>1.2976000000000001</v>
      </c>
      <c r="N100" s="1"/>
      <c r="O100" s="7"/>
      <c r="P100" s="6"/>
      <c r="Q100" s="6"/>
      <c r="R100" s="6"/>
      <c r="S100" s="98"/>
      <c r="T100" s="98"/>
      <c r="U100" s="98"/>
      <c r="V100" s="98"/>
      <c r="W100" s="98"/>
      <c r="X100" s="98"/>
      <c r="Y100" s="98"/>
      <c r="Z100" s="98"/>
      <c r="AA100" s="98"/>
      <c r="AB100" s="98"/>
      <c r="AC100" s="98"/>
      <c r="AD100" s="98"/>
      <c r="AE100" s="98"/>
      <c r="AF100" s="98"/>
      <c r="AG100" s="98"/>
      <c r="AH100" s="98"/>
      <c r="AI100" s="98"/>
      <c r="AJ100" s="98"/>
      <c r="AK100" s="98"/>
      <c r="AL100" s="98"/>
      <c r="AM100" s="98"/>
      <c r="AN100" s="98"/>
      <c r="AO100" s="98"/>
      <c r="AP100" s="98"/>
      <c r="AQ100" s="98"/>
      <c r="AR100" s="98"/>
      <c r="AS100" s="98"/>
      <c r="AT100" s="98"/>
      <c r="AU100" s="98"/>
      <c r="AV100" s="98"/>
      <c r="AW100" s="98"/>
      <c r="AX100" s="98"/>
      <c r="AY100" s="98"/>
      <c r="AZ100" s="98"/>
      <c r="BA100" s="98"/>
      <c r="BB100" s="98"/>
      <c r="BC100" s="98"/>
      <c r="BD100" s="98"/>
      <c r="BE100" s="98"/>
      <c r="BF100" s="98"/>
      <c r="BG100" s="98"/>
    </row>
    <row r="101" spans="1:59">
      <c r="A101" s="128"/>
      <c r="B101" s="129"/>
      <c r="C101" s="128"/>
      <c r="D101" s="34" t="s">
        <v>825</v>
      </c>
      <c r="E101" s="189">
        <v>0.1895</v>
      </c>
      <c r="F101" s="189">
        <v>8.6499999999999994E-2</v>
      </c>
      <c r="G101" s="189">
        <v>0.20300000000000001</v>
      </c>
      <c r="H101" s="189">
        <v>0.15429999999999999</v>
      </c>
      <c r="I101" s="189">
        <v>0.1114</v>
      </c>
      <c r="J101" s="189">
        <v>4.6800000000000001E-2</v>
      </c>
      <c r="K101" s="189">
        <v>0.19070000000000001</v>
      </c>
      <c r="L101" s="189">
        <v>6.4500000000000002E-2</v>
      </c>
      <c r="M101" s="189">
        <v>1</v>
      </c>
      <c r="N101" s="1"/>
      <c r="O101" s="7"/>
      <c r="P101" s="6"/>
      <c r="Q101" s="6"/>
      <c r="R101" s="6"/>
      <c r="S101" s="98"/>
      <c r="T101" s="98"/>
      <c r="U101" s="98"/>
      <c r="V101" s="98"/>
      <c r="W101" s="98"/>
      <c r="X101" s="98"/>
      <c r="Y101" s="98"/>
      <c r="Z101" s="98"/>
      <c r="AA101" s="98"/>
      <c r="AB101" s="98"/>
      <c r="AC101" s="98"/>
      <c r="AD101" s="98"/>
      <c r="AE101" s="98"/>
      <c r="AF101" s="98"/>
      <c r="AG101" s="98"/>
      <c r="AH101" s="98"/>
      <c r="AI101" s="98"/>
      <c r="AJ101" s="98"/>
      <c r="AK101" s="98"/>
      <c r="AL101" s="98"/>
      <c r="AM101" s="98"/>
      <c r="AN101" s="98"/>
      <c r="AO101" s="98"/>
      <c r="AP101" s="98"/>
      <c r="AQ101" s="98"/>
      <c r="AR101" s="98"/>
      <c r="AS101" s="98"/>
      <c r="AT101" s="98"/>
      <c r="AU101" s="98"/>
      <c r="AV101" s="98"/>
      <c r="AW101" s="98"/>
      <c r="AX101" s="98"/>
      <c r="AY101" s="98"/>
      <c r="AZ101" s="98"/>
      <c r="BA101" s="98"/>
      <c r="BB101" s="98"/>
      <c r="BC101" s="98"/>
      <c r="BD101" s="98"/>
      <c r="BE101" s="98"/>
      <c r="BF101" s="98"/>
      <c r="BG101" s="98"/>
    </row>
    <row r="102" spans="1:59">
      <c r="A102" s="128"/>
      <c r="B102" s="129"/>
      <c r="C102" s="128"/>
      <c r="D102" s="34" t="s">
        <v>826</v>
      </c>
      <c r="E102" s="189">
        <v>0.6</v>
      </c>
      <c r="F102" s="189">
        <v>0.75</v>
      </c>
      <c r="G102" s="189">
        <v>0.5</v>
      </c>
      <c r="H102" s="189">
        <v>0.5</v>
      </c>
      <c r="I102" s="189">
        <v>0.5</v>
      </c>
      <c r="J102" s="189">
        <v>0</v>
      </c>
      <c r="K102" s="189">
        <v>0.5</v>
      </c>
      <c r="L102" s="189">
        <v>0</v>
      </c>
      <c r="M102" s="189"/>
      <c r="N102" s="1"/>
      <c r="O102" s="7"/>
      <c r="P102" s="6"/>
      <c r="Q102" s="6"/>
      <c r="R102" s="6"/>
      <c r="S102" s="98"/>
      <c r="T102" s="98"/>
      <c r="U102" s="98"/>
      <c r="V102" s="98"/>
      <c r="W102" s="98"/>
      <c r="X102" s="98"/>
      <c r="Y102" s="98"/>
      <c r="Z102" s="98"/>
      <c r="AA102" s="98"/>
      <c r="AB102" s="98"/>
      <c r="AC102" s="98"/>
      <c r="AD102" s="98"/>
      <c r="AE102" s="98"/>
      <c r="AF102" s="98"/>
      <c r="AG102" s="98"/>
      <c r="AH102" s="98"/>
      <c r="AI102" s="98"/>
      <c r="AJ102" s="98"/>
      <c r="AK102" s="98"/>
      <c r="AL102" s="98"/>
      <c r="AM102" s="98"/>
      <c r="AN102" s="98"/>
      <c r="AO102" s="98"/>
      <c r="AP102" s="98"/>
      <c r="AQ102" s="98"/>
      <c r="AR102" s="98"/>
      <c r="AS102" s="98"/>
      <c r="AT102" s="98"/>
      <c r="AU102" s="98"/>
      <c r="AV102" s="98"/>
      <c r="AW102" s="98"/>
      <c r="AX102" s="98"/>
      <c r="AY102" s="98"/>
      <c r="AZ102" s="98"/>
      <c r="BA102" s="98"/>
      <c r="BB102" s="98"/>
      <c r="BC102" s="98"/>
      <c r="BD102" s="98"/>
      <c r="BE102" s="98"/>
      <c r="BF102" s="98"/>
      <c r="BG102" s="98"/>
    </row>
    <row r="103" spans="1:59">
      <c r="A103" s="128"/>
      <c r="B103" s="129"/>
      <c r="C103" s="128"/>
      <c r="D103" s="9" t="s">
        <v>29</v>
      </c>
      <c r="E103" s="3"/>
      <c r="F103" s="1"/>
      <c r="G103" s="1"/>
      <c r="H103" s="1"/>
      <c r="I103" s="1"/>
      <c r="J103" s="1"/>
      <c r="K103" s="1"/>
      <c r="L103" s="1"/>
      <c r="M103" s="1"/>
      <c r="N103" s="1"/>
      <c r="O103" s="7"/>
      <c r="P103" s="6"/>
      <c r="Q103" s="6"/>
      <c r="R103" s="6"/>
      <c r="S103" s="98"/>
      <c r="T103" s="98"/>
      <c r="U103" s="98"/>
      <c r="V103" s="98"/>
      <c r="W103" s="98"/>
      <c r="X103" s="98"/>
      <c r="Y103" s="98"/>
      <c r="Z103" s="98"/>
      <c r="AA103" s="98"/>
      <c r="AB103" s="98"/>
      <c r="AC103" s="98"/>
      <c r="AD103" s="98"/>
      <c r="AE103" s="98"/>
      <c r="AF103" s="98"/>
      <c r="AG103" s="98"/>
      <c r="AH103" s="98"/>
      <c r="AI103" s="98"/>
      <c r="AJ103" s="98"/>
      <c r="AK103" s="98"/>
      <c r="AL103" s="98"/>
      <c r="AM103" s="98"/>
      <c r="AN103" s="98"/>
      <c r="AO103" s="98"/>
      <c r="AP103" s="98"/>
      <c r="AQ103" s="98"/>
      <c r="AR103" s="98"/>
      <c r="AS103" s="98"/>
      <c r="AT103" s="98"/>
      <c r="AU103" s="98"/>
      <c r="AV103" s="98"/>
      <c r="AW103" s="98"/>
      <c r="AX103" s="98"/>
      <c r="AY103" s="98"/>
      <c r="AZ103" s="98"/>
      <c r="BA103" s="98"/>
      <c r="BB103" s="98"/>
      <c r="BC103" s="98"/>
      <c r="BD103" s="98"/>
      <c r="BE103" s="98"/>
      <c r="BF103" s="98"/>
      <c r="BG103" s="98"/>
    </row>
    <row r="104" spans="1:59">
      <c r="A104" s="128"/>
      <c r="B104" s="129"/>
      <c r="C104" s="128"/>
      <c r="D104" s="6"/>
      <c r="E104" s="81"/>
      <c r="F104" s="6"/>
      <c r="G104" s="6"/>
      <c r="H104" s="6"/>
      <c r="I104" s="6"/>
      <c r="J104" s="6"/>
      <c r="K104" s="6"/>
      <c r="L104" s="6"/>
      <c r="M104" s="6"/>
      <c r="N104" s="6"/>
      <c r="O104" s="7"/>
      <c r="P104" s="6"/>
      <c r="Q104" s="6"/>
      <c r="R104" s="6"/>
      <c r="S104" s="98"/>
      <c r="T104" s="98"/>
      <c r="U104" s="98"/>
      <c r="V104" s="98"/>
      <c r="W104" s="98"/>
      <c r="X104" s="98"/>
      <c r="Y104" s="98"/>
      <c r="Z104" s="98"/>
      <c r="AA104" s="98"/>
      <c r="AB104" s="98"/>
      <c r="AC104" s="98"/>
      <c r="AD104" s="98"/>
      <c r="AE104" s="98"/>
      <c r="AF104" s="98"/>
      <c r="AG104" s="98"/>
      <c r="AH104" s="98"/>
      <c r="AI104" s="98"/>
      <c r="AJ104" s="98"/>
      <c r="AK104" s="98"/>
      <c r="AL104" s="98"/>
      <c r="AM104" s="98"/>
      <c r="AN104" s="98"/>
      <c r="AO104" s="98"/>
      <c r="AP104" s="98"/>
      <c r="AQ104" s="98"/>
      <c r="AR104" s="98"/>
      <c r="AS104" s="98"/>
      <c r="AT104" s="98"/>
      <c r="AU104" s="98"/>
      <c r="AV104" s="98"/>
      <c r="AW104" s="98"/>
      <c r="AX104" s="98"/>
      <c r="AY104" s="98"/>
      <c r="AZ104" s="98"/>
      <c r="BA104" s="98"/>
      <c r="BB104" s="98"/>
      <c r="BC104" s="98"/>
      <c r="BD104" s="98"/>
      <c r="BE104" s="98"/>
      <c r="BF104" s="98"/>
      <c r="BG104" s="98"/>
    </row>
    <row r="105" spans="1:59">
      <c r="A105" s="128"/>
      <c r="B105" s="129"/>
      <c r="C105" s="128"/>
      <c r="D105" s="6"/>
      <c r="E105" s="6"/>
      <c r="F105" s="6"/>
      <c r="G105" s="6"/>
      <c r="H105" s="6"/>
      <c r="I105" s="6"/>
      <c r="J105" s="6"/>
      <c r="K105" s="6"/>
      <c r="L105" s="6"/>
      <c r="M105" s="6"/>
      <c r="N105" s="6"/>
      <c r="O105" s="7"/>
      <c r="P105" s="6"/>
      <c r="Q105" s="6"/>
      <c r="R105" s="6"/>
      <c r="S105" s="98"/>
      <c r="T105" s="98"/>
      <c r="U105" s="98"/>
      <c r="V105" s="98"/>
      <c r="W105" s="98"/>
      <c r="X105" s="98"/>
      <c r="Y105" s="98"/>
      <c r="Z105" s="98"/>
      <c r="AA105" s="98"/>
      <c r="AB105" s="98"/>
      <c r="AC105" s="98"/>
      <c r="AD105" s="98"/>
      <c r="AE105" s="98"/>
      <c r="AF105" s="98"/>
      <c r="AG105" s="98"/>
      <c r="AH105" s="98"/>
      <c r="AI105" s="98"/>
      <c r="AJ105" s="98"/>
      <c r="AK105" s="98"/>
      <c r="AL105" s="98"/>
      <c r="AM105" s="98"/>
      <c r="AN105" s="98"/>
      <c r="AO105" s="98"/>
      <c r="AP105" s="98"/>
      <c r="AQ105" s="98"/>
      <c r="AR105" s="98"/>
      <c r="AS105" s="98"/>
      <c r="AT105" s="98"/>
      <c r="AU105" s="98"/>
      <c r="AV105" s="98"/>
      <c r="AW105" s="98"/>
      <c r="AX105" s="98"/>
      <c r="AY105" s="98"/>
      <c r="AZ105" s="98"/>
      <c r="BA105" s="98"/>
      <c r="BB105" s="98"/>
      <c r="BC105" s="98"/>
      <c r="BD105" s="98"/>
      <c r="BE105" s="98"/>
      <c r="BF105" s="98"/>
      <c r="BG105" s="98"/>
    </row>
    <row r="106" spans="1:59">
      <c r="A106" s="128"/>
      <c r="B106" s="129"/>
      <c r="C106" s="128"/>
      <c r="D106" s="6"/>
      <c r="E106" s="6"/>
      <c r="F106" s="6"/>
      <c r="G106" s="6"/>
      <c r="H106" s="6"/>
      <c r="I106" s="6"/>
      <c r="J106" s="6"/>
      <c r="K106" s="6"/>
      <c r="L106" s="6"/>
      <c r="M106" s="6"/>
      <c r="N106" s="6"/>
      <c r="O106" s="7"/>
      <c r="P106" s="6"/>
      <c r="Q106" s="6"/>
      <c r="R106" s="6"/>
      <c r="S106" s="98"/>
      <c r="T106" s="98"/>
      <c r="U106" s="98"/>
      <c r="V106" s="98"/>
      <c r="W106" s="98"/>
      <c r="X106" s="98"/>
      <c r="Y106" s="98"/>
      <c r="Z106" s="98"/>
      <c r="AA106" s="98"/>
      <c r="AB106" s="98"/>
      <c r="AC106" s="98"/>
      <c r="AD106" s="98"/>
      <c r="AE106" s="98"/>
      <c r="AF106" s="98"/>
      <c r="AG106" s="98"/>
      <c r="AH106" s="98"/>
      <c r="AI106" s="98"/>
      <c r="AJ106" s="98"/>
      <c r="AK106" s="98"/>
      <c r="AL106" s="98"/>
      <c r="AM106" s="98"/>
      <c r="AN106" s="98"/>
      <c r="AO106" s="98"/>
      <c r="AP106" s="98"/>
      <c r="AQ106" s="98"/>
      <c r="AR106" s="98"/>
      <c r="AS106" s="98"/>
      <c r="AT106" s="98"/>
      <c r="AU106" s="98"/>
      <c r="AV106" s="98"/>
      <c r="AW106" s="98"/>
      <c r="AX106" s="98"/>
      <c r="AY106" s="98"/>
      <c r="AZ106" s="98"/>
      <c r="BA106" s="98"/>
      <c r="BB106" s="98"/>
      <c r="BC106" s="98"/>
      <c r="BD106" s="98"/>
      <c r="BE106" s="98"/>
      <c r="BF106" s="98"/>
      <c r="BG106" s="98"/>
    </row>
    <row r="107" spans="1:59">
      <c r="A107" s="128"/>
      <c r="B107" s="129"/>
      <c r="C107" s="128"/>
      <c r="D107" s="6"/>
      <c r="E107" s="6"/>
      <c r="F107" s="6"/>
      <c r="G107" s="6"/>
      <c r="H107" s="6"/>
      <c r="I107" s="6"/>
      <c r="J107" s="6"/>
      <c r="K107" s="6"/>
      <c r="L107" s="6"/>
      <c r="M107" s="6"/>
      <c r="N107" s="6"/>
      <c r="O107" s="7"/>
      <c r="P107" s="6"/>
      <c r="Q107" s="6"/>
      <c r="R107" s="6"/>
      <c r="S107" s="98"/>
      <c r="T107" s="98"/>
      <c r="U107" s="98"/>
      <c r="V107" s="98"/>
      <c r="W107" s="98"/>
      <c r="X107" s="98"/>
      <c r="Y107" s="98"/>
      <c r="Z107" s="98"/>
      <c r="AA107" s="98"/>
      <c r="AB107" s="98"/>
      <c r="AC107" s="98"/>
      <c r="AD107" s="98"/>
      <c r="AE107" s="98"/>
      <c r="AF107" s="98"/>
      <c r="AG107" s="98"/>
      <c r="AH107" s="98"/>
      <c r="AI107" s="98"/>
      <c r="AJ107" s="98"/>
      <c r="AK107" s="98"/>
      <c r="AL107" s="98"/>
      <c r="AM107" s="98"/>
      <c r="AN107" s="98"/>
      <c r="AO107" s="98"/>
      <c r="AP107" s="98"/>
      <c r="AQ107" s="98"/>
      <c r="AR107" s="98"/>
      <c r="AS107" s="98"/>
      <c r="AT107" s="98"/>
      <c r="AU107" s="98"/>
      <c r="AV107" s="98"/>
      <c r="AW107" s="98"/>
      <c r="AX107" s="98"/>
      <c r="AY107" s="98"/>
      <c r="AZ107" s="98"/>
      <c r="BA107" s="98"/>
      <c r="BB107" s="98"/>
      <c r="BC107" s="98"/>
      <c r="BD107" s="98"/>
      <c r="BE107" s="98"/>
      <c r="BF107" s="98"/>
      <c r="BG107" s="98"/>
    </row>
  </sheetData>
  <conditionalFormatting sqref="D69:D70 D72:D75 B76:B107 D93 B1:B69">
    <cfRule type="cellIs" dxfId="2" priority="1" operator="equal">
      <formula>"OC"</formula>
    </cfRule>
  </conditionalFormatting>
  <conditionalFormatting sqref="D69:D70 D72:D75 B76:B107 D93 B1:B69">
    <cfRule type="cellIs" dxfId="1" priority="2" operator="equal">
      <formula>"IC"</formula>
    </cfRule>
  </conditionalFormatting>
  <conditionalFormatting sqref="D69:D70 D72:D75 B76:B107 D93 B1:B69">
    <cfRule type="cellIs" dxfId="0" priority="3" operator="equal">
      <formula>"B"</formula>
    </cfRule>
  </conditionalFormatting>
  <hyperlinks>
    <hyperlink ref="E70" r:id="rId1"/>
    <hyperlink ref="N96" r:id="rId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66"/>
    <outlinePr summaryBelow="0" summaryRight="0"/>
  </sheetPr>
  <dimension ref="A1:AI1005"/>
  <sheetViews>
    <sheetView showGridLines="0" workbookViewId="0">
      <pane xSplit="6" topLeftCell="U1" activePane="topRight" state="frozen"/>
      <selection pane="topRight" activeCell="AF49" sqref="AF49"/>
    </sheetView>
  </sheetViews>
  <sheetFormatPr defaultColWidth="14.42578125" defaultRowHeight="15" customHeight="1"/>
  <cols>
    <col min="1" max="1" width="3" customWidth="1"/>
    <col min="5" max="6" width="8.28515625" customWidth="1"/>
    <col min="9" max="9" width="3" customWidth="1"/>
    <col min="10" max="10" width="25.140625" bestFit="1" customWidth="1"/>
    <col min="12" max="12" width="3" customWidth="1"/>
    <col min="14" max="14" width="6" hidden="1" customWidth="1"/>
    <col min="16" max="16" width="14.42578125" hidden="1"/>
    <col min="17" max="17" width="3" customWidth="1"/>
    <col min="18" max="18" width="14.42578125" hidden="1"/>
    <col min="20" max="20" width="14.42578125" hidden="1"/>
    <col min="22" max="22" width="3" customWidth="1"/>
    <col min="25" max="25" width="3" customWidth="1"/>
    <col min="28" max="28" width="3" customWidth="1"/>
    <col min="31" max="31" width="3" customWidth="1"/>
    <col min="33" max="33" width="3" customWidth="1"/>
  </cols>
  <sheetData>
    <row r="1" spans="1:35">
      <c r="A1" s="109"/>
      <c r="B1" s="263"/>
      <c r="C1" s="263"/>
      <c r="D1" s="263"/>
      <c r="E1" s="109"/>
      <c r="F1" s="109"/>
      <c r="G1" s="48"/>
      <c r="H1" s="264"/>
      <c r="I1" s="265"/>
      <c r="J1" s="265"/>
      <c r="K1" s="264"/>
      <c r="L1" s="265"/>
      <c r="M1" s="264"/>
      <c r="N1" s="264"/>
      <c r="O1" s="264"/>
      <c r="P1" s="264"/>
      <c r="Q1" s="263"/>
      <c r="R1" s="263"/>
      <c r="S1" s="263"/>
      <c r="T1" s="263"/>
      <c r="U1" s="263"/>
      <c r="V1" s="109"/>
      <c r="W1" s="263"/>
      <c r="X1" s="263"/>
      <c r="Y1" s="263"/>
      <c r="Z1" s="263"/>
      <c r="AA1" s="263"/>
      <c r="AB1" s="109"/>
      <c r="AC1" s="109"/>
      <c r="AD1" s="109"/>
      <c r="AE1" s="109"/>
      <c r="AF1" s="109"/>
      <c r="AG1" s="109"/>
      <c r="AH1" s="109"/>
      <c r="AI1" s="109"/>
    </row>
    <row r="2" spans="1:35">
      <c r="A2" s="109"/>
      <c r="B2" s="266" t="s">
        <v>750</v>
      </c>
      <c r="C2" s="263"/>
      <c r="D2" s="263"/>
      <c r="E2" s="109"/>
      <c r="F2" s="109"/>
      <c r="G2" s="1179" t="s">
        <v>751</v>
      </c>
      <c r="H2" s="1177"/>
      <c r="I2" s="268"/>
      <c r="J2" s="1179" t="s">
        <v>752</v>
      </c>
      <c r="K2" s="1177"/>
      <c r="L2" s="268"/>
      <c r="M2" s="1179" t="s">
        <v>753</v>
      </c>
      <c r="N2" s="1177"/>
      <c r="O2" s="1177"/>
      <c r="P2" s="1177"/>
      <c r="Q2" s="263"/>
      <c r="R2" s="1179" t="s">
        <v>754</v>
      </c>
      <c r="S2" s="1177"/>
      <c r="T2" s="1177"/>
      <c r="U2" s="1177"/>
      <c r="V2" s="109"/>
      <c r="W2" s="1179" t="s">
        <v>755</v>
      </c>
      <c r="X2" s="1177"/>
      <c r="Y2" s="263"/>
      <c r="Z2" s="1179" t="s">
        <v>756</v>
      </c>
      <c r="AA2" s="1177"/>
      <c r="AB2" s="109"/>
      <c r="AC2" s="1179" t="s">
        <v>757</v>
      </c>
      <c r="AD2" s="1177"/>
      <c r="AE2" s="109"/>
      <c r="AF2" s="269" t="s">
        <v>758</v>
      </c>
      <c r="AG2" s="109"/>
      <c r="AH2" s="270" t="s">
        <v>759</v>
      </c>
      <c r="AI2" s="109"/>
    </row>
    <row r="3" spans="1:35">
      <c r="A3" s="109"/>
      <c r="B3" s="271" t="s">
        <v>181</v>
      </c>
      <c r="C3" s="271" t="s">
        <v>361</v>
      </c>
      <c r="D3" s="271" t="s">
        <v>760</v>
      </c>
      <c r="E3" s="272" t="s">
        <v>181</v>
      </c>
      <c r="F3" s="272" t="s">
        <v>181</v>
      </c>
      <c r="G3" s="273" t="s">
        <v>361</v>
      </c>
      <c r="H3" s="274" t="s">
        <v>761</v>
      </c>
      <c r="I3" s="268"/>
      <c r="J3" s="273" t="s">
        <v>361</v>
      </c>
      <c r="K3" s="274" t="s">
        <v>761</v>
      </c>
      <c r="L3" s="268"/>
      <c r="M3" s="273" t="s">
        <v>361</v>
      </c>
      <c r="N3" s="273" t="s">
        <v>361</v>
      </c>
      <c r="O3" s="274" t="s">
        <v>761</v>
      </c>
      <c r="P3" s="274" t="s">
        <v>761</v>
      </c>
      <c r="Q3" s="271"/>
      <c r="R3" s="273"/>
      <c r="S3" s="273" t="s">
        <v>762</v>
      </c>
      <c r="T3" s="274"/>
      <c r="U3" s="274" t="s">
        <v>763</v>
      </c>
      <c r="V3" s="109"/>
      <c r="W3" s="273" t="s">
        <v>762</v>
      </c>
      <c r="X3" s="274" t="s">
        <v>763</v>
      </c>
      <c r="Y3" s="263"/>
      <c r="Z3" s="273" t="s">
        <v>762</v>
      </c>
      <c r="AA3" s="274" t="s">
        <v>763</v>
      </c>
      <c r="AB3" s="109"/>
      <c r="AC3" s="273" t="s">
        <v>762</v>
      </c>
      <c r="AD3" s="274" t="s">
        <v>763</v>
      </c>
      <c r="AE3" s="109"/>
      <c r="AF3" s="273" t="s">
        <v>764</v>
      </c>
      <c r="AG3" s="109"/>
      <c r="AH3" s="273" t="s">
        <v>764</v>
      </c>
      <c r="AI3" s="109"/>
    </row>
    <row r="4" spans="1:35">
      <c r="A4" s="109"/>
      <c r="B4" s="275">
        <f>'2.3 Input_Main_Questionnaire'!H$138-2000</f>
        <v>17</v>
      </c>
      <c r="C4" s="1082">
        <f>'2.3 Input_Main_Questionnaire'!H$139*$D$19</f>
        <v>6.4</v>
      </c>
      <c r="D4" s="276">
        <f>'2.3 Input_Main_Questionnaire'!H$140</f>
        <v>140</v>
      </c>
      <c r="E4" s="1080">
        <f>B4</f>
        <v>17</v>
      </c>
      <c r="F4" s="1080">
        <f>'2.3 Input_Main_Questionnaire'!H$138</f>
        <v>2017</v>
      </c>
      <c r="G4" s="278">
        <f>C4</f>
        <v>6.4</v>
      </c>
      <c r="H4" s="279">
        <f t="shared" ref="H4" si="0">D4</f>
        <v>140</v>
      </c>
      <c r="I4" s="280"/>
      <c r="J4" s="281">
        <f>C4</f>
        <v>6.4</v>
      </c>
      <c r="K4" s="279">
        <f t="shared" ref="K4" si="1">D4</f>
        <v>140</v>
      </c>
      <c r="L4" s="280"/>
      <c r="M4" s="281">
        <f>C4</f>
        <v>6.4</v>
      </c>
      <c r="N4" s="281"/>
      <c r="O4" s="279">
        <f t="shared" ref="O4:O8" si="2">D4</f>
        <v>140</v>
      </c>
      <c r="P4" s="279"/>
      <c r="Q4" s="282"/>
      <c r="R4" s="283">
        <f t="shared" ref="R4:R48" si="3">E4-$D$13</f>
        <v>12</v>
      </c>
      <c r="S4" s="283">
        <f t="shared" ref="S4:S48" si="4">IF($R4&lt;$B$4, $E4-$B$4, $D$13)</f>
        <v>0</v>
      </c>
      <c r="T4" s="284">
        <f t="shared" ref="T4:T48" si="5">E4-$D$14</f>
        <v>-3</v>
      </c>
      <c r="U4" s="284">
        <f t="shared" ref="U4:U48" si="6">IF($T4&lt;$B$4, $E4-$B$4, $D$14)</f>
        <v>0</v>
      </c>
      <c r="V4" s="109"/>
      <c r="W4" s="285">
        <f t="shared" ref="W4:W48" ca="1" si="7">IF($C$10 = "Exponential", SUM(INDIRECT(CONCATENATE("J", ROW(J4)-S4)):INDIRECT(CONCATENATE("J",ROW(J4)))), IF($C$10 = "Linear", SUM(INDIRECT(CONCATENATE("G", ROW(G4)-S4)):INDIRECT(CONCATENATE("G",ROW(G4)))), SUM(INDIRECT(CONCATENATE("M", ROW(M4)-S4)):INDIRECT(CONCATENATE("M",ROW(M4)))) ))</f>
        <v>6.4</v>
      </c>
      <c r="X4" s="285">
        <f t="shared" ref="X4:X48" ca="1" si="8">IF($C$10 = "Exponential", SUM(INDIRECT(CONCATENATE("J", ROW(J4)-U4)):INDIRECT(CONCATENATE("J",ROW(J4)))), IF($C$10 = "Linear", SUM(INDIRECT(CONCATENATE("G", ROW(G4)-U4)):INDIRECT(CONCATENATE("G",ROW(G4)))), SUM(INDIRECT(CONCATENATE("M", ROW(M4)-U4)):INDIRECT(CONCATENATE("M",ROW(M4)))) ))</f>
        <v>6.4</v>
      </c>
      <c r="Y4" s="263"/>
      <c r="Z4" s="286">
        <f t="shared" ref="Z4:Z48" ca="1" si="9">IF($C$11 = "Exponential",($W4*$K4), IF($C$11 = "Linear", ($W4*$H4), ($W4*$O4)))</f>
        <v>896</v>
      </c>
      <c r="AA4" s="286">
        <f t="shared" ref="AA4:AA48" ca="1" si="10">IF($C$11 = "Exponential",($X4*$K4), IF($C$11 = "Linear", ($X4*$H4), ($X4*$O4)))</f>
        <v>896</v>
      </c>
      <c r="AB4" s="109"/>
      <c r="AC4" s="286">
        <f t="shared" ref="AC4:AC48" ca="1" si="11">Z4*$D$16</f>
        <v>5376</v>
      </c>
      <c r="AD4" s="286">
        <f t="shared" ref="AD4:AD48" ca="1" si="12">AA4*$D$17</f>
        <v>1792</v>
      </c>
      <c r="AE4" s="109"/>
      <c r="AF4" s="286">
        <f ca="1">AC4-AD4</f>
        <v>3584</v>
      </c>
      <c r="AG4" s="109"/>
      <c r="AH4" s="286">
        <f t="shared" ref="AH4:AH48" ca="1" si="13">-($AA4-$Z4)</f>
        <v>0</v>
      </c>
      <c r="AI4" s="109"/>
    </row>
    <row r="5" spans="1:35">
      <c r="A5" s="109"/>
      <c r="B5" s="287">
        <f>'2.3 Input_Main_Questionnaire'!I$138-2000</f>
        <v>18</v>
      </c>
      <c r="C5" s="1083">
        <f>'2.3 Input_Main_Questionnaire'!I$139*$D$19</f>
        <v>8</v>
      </c>
      <c r="D5" s="288">
        <f>'2.3 Input_Main_Questionnaire'!I$140</f>
        <v>135</v>
      </c>
      <c r="E5" s="1080">
        <f t="shared" ref="E5:E8" si="14">B5</f>
        <v>18</v>
      </c>
      <c r="F5" s="1080">
        <f t="shared" ref="F5:F8" si="15">F4+1</f>
        <v>2018</v>
      </c>
      <c r="G5" s="278">
        <f>IF(C5=0,C4,C5)</f>
        <v>8</v>
      </c>
      <c r="H5" s="279">
        <f t="shared" ref="H5:H8" si="16">D5</f>
        <v>135</v>
      </c>
      <c r="I5" s="280"/>
      <c r="J5" s="281">
        <f>IF(C5=0,C4,C5)</f>
        <v>8</v>
      </c>
      <c r="K5" s="279">
        <f t="shared" ref="K5:K8" si="17">D5</f>
        <v>135</v>
      </c>
      <c r="L5" s="280"/>
      <c r="M5" s="281">
        <f t="shared" ref="M5:M8" si="18">IF(C5=0,C4,C5)</f>
        <v>8</v>
      </c>
      <c r="N5" s="281"/>
      <c r="O5" s="279">
        <f t="shared" si="2"/>
        <v>135</v>
      </c>
      <c r="P5" s="279"/>
      <c r="Q5" s="282"/>
      <c r="R5" s="283">
        <f t="shared" si="3"/>
        <v>13</v>
      </c>
      <c r="S5" s="283">
        <f t="shared" si="4"/>
        <v>1</v>
      </c>
      <c r="T5" s="284">
        <f t="shared" si="5"/>
        <v>-2</v>
      </c>
      <c r="U5" s="284">
        <f t="shared" si="6"/>
        <v>1</v>
      </c>
      <c r="V5" s="109"/>
      <c r="W5" s="285">
        <f t="shared" ca="1" si="7"/>
        <v>14.4</v>
      </c>
      <c r="X5" s="285">
        <f t="shared" ca="1" si="8"/>
        <v>14.4</v>
      </c>
      <c r="Y5" s="263"/>
      <c r="Z5" s="286">
        <f t="shared" ca="1" si="9"/>
        <v>1944</v>
      </c>
      <c r="AA5" s="286">
        <f t="shared" ca="1" si="10"/>
        <v>1944</v>
      </c>
      <c r="AB5" s="109"/>
      <c r="AC5" s="286">
        <f t="shared" ca="1" si="11"/>
        <v>11664</v>
      </c>
      <c r="AD5" s="286">
        <f t="shared" ca="1" si="12"/>
        <v>3888</v>
      </c>
      <c r="AE5" s="109"/>
      <c r="AF5" s="286">
        <f t="shared" ref="AF5:AF47" ca="1" si="19">AC5-AD5</f>
        <v>7776</v>
      </c>
      <c r="AG5" s="109"/>
      <c r="AH5" s="286">
        <f t="shared" ca="1" si="13"/>
        <v>0</v>
      </c>
      <c r="AI5" s="109"/>
    </row>
    <row r="6" spans="1:35">
      <c r="A6" s="109"/>
      <c r="B6" s="287">
        <f>'2.3 Input_Main_Questionnaire'!J$138-2000</f>
        <v>19</v>
      </c>
      <c r="C6" s="1083">
        <f>'2.3 Input_Main_Questionnaire'!J$139*$D$19</f>
        <v>9.6000000000000014</v>
      </c>
      <c r="D6" s="288">
        <f>'2.3 Input_Main_Questionnaire'!J$140</f>
        <v>130</v>
      </c>
      <c r="E6" s="1080">
        <f t="shared" si="14"/>
        <v>19</v>
      </c>
      <c r="F6" s="1080">
        <f t="shared" si="15"/>
        <v>2019</v>
      </c>
      <c r="G6" s="278">
        <f>IF(C6=0,C5,C6)</f>
        <v>9.6000000000000014</v>
      </c>
      <c r="H6" s="279">
        <f t="shared" si="16"/>
        <v>130</v>
      </c>
      <c r="I6" s="280"/>
      <c r="J6" s="281">
        <f t="shared" ref="J6:J8" si="20">IF(C6=0,C5,C6)</f>
        <v>9.6000000000000014</v>
      </c>
      <c r="K6" s="279">
        <f t="shared" si="17"/>
        <v>130</v>
      </c>
      <c r="L6" s="280"/>
      <c r="M6" s="281">
        <f t="shared" si="18"/>
        <v>9.6000000000000014</v>
      </c>
      <c r="N6" s="281"/>
      <c r="O6" s="279">
        <f t="shared" si="2"/>
        <v>130</v>
      </c>
      <c r="P6" s="279"/>
      <c r="Q6" s="282"/>
      <c r="R6" s="283">
        <f t="shared" si="3"/>
        <v>14</v>
      </c>
      <c r="S6" s="283">
        <f t="shared" si="4"/>
        <v>2</v>
      </c>
      <c r="T6" s="284">
        <f t="shared" si="5"/>
        <v>-1</v>
      </c>
      <c r="U6" s="284">
        <f t="shared" si="6"/>
        <v>2</v>
      </c>
      <c r="V6" s="109"/>
      <c r="W6" s="285">
        <f t="shared" ca="1" si="7"/>
        <v>24</v>
      </c>
      <c r="X6" s="285">
        <f t="shared" ca="1" si="8"/>
        <v>24</v>
      </c>
      <c r="Y6" s="263"/>
      <c r="Z6" s="286">
        <f t="shared" ca="1" si="9"/>
        <v>3120</v>
      </c>
      <c r="AA6" s="286">
        <f t="shared" ca="1" si="10"/>
        <v>3120</v>
      </c>
      <c r="AB6" s="109"/>
      <c r="AC6" s="286">
        <f t="shared" ca="1" si="11"/>
        <v>18720</v>
      </c>
      <c r="AD6" s="286">
        <f t="shared" ca="1" si="12"/>
        <v>6240</v>
      </c>
      <c r="AE6" s="109"/>
      <c r="AF6" s="286">
        <f t="shared" ca="1" si="19"/>
        <v>12480</v>
      </c>
      <c r="AG6" s="109"/>
      <c r="AH6" s="286">
        <f t="shared" ca="1" si="13"/>
        <v>0</v>
      </c>
      <c r="AI6" s="109"/>
    </row>
    <row r="7" spans="1:35">
      <c r="A7" s="109"/>
      <c r="B7" s="287">
        <f>'2.3 Input_Main_Questionnaire'!K$138-2000</f>
        <v>20</v>
      </c>
      <c r="C7" s="1083">
        <f>'2.3 Input_Main_Questionnaire'!K$139*$D$19</f>
        <v>12</v>
      </c>
      <c r="D7" s="288">
        <f>'2.3 Input_Main_Questionnaire'!K$140</f>
        <v>125</v>
      </c>
      <c r="E7" s="1080">
        <f t="shared" si="14"/>
        <v>20</v>
      </c>
      <c r="F7" s="1080">
        <f t="shared" si="15"/>
        <v>2020</v>
      </c>
      <c r="G7" s="278">
        <f t="shared" ref="G7:G8" si="21">IF(C7=0,C6,C7)</f>
        <v>12</v>
      </c>
      <c r="H7" s="279">
        <f t="shared" si="16"/>
        <v>125</v>
      </c>
      <c r="I7" s="280"/>
      <c r="J7" s="281">
        <f t="shared" si="20"/>
        <v>12</v>
      </c>
      <c r="K7" s="279">
        <f t="shared" si="17"/>
        <v>125</v>
      </c>
      <c r="L7" s="280"/>
      <c r="M7" s="281">
        <f t="shared" si="18"/>
        <v>12</v>
      </c>
      <c r="N7" s="281"/>
      <c r="O7" s="279">
        <f t="shared" si="2"/>
        <v>125</v>
      </c>
      <c r="P7" s="279"/>
      <c r="Q7" s="282"/>
      <c r="R7" s="283">
        <f t="shared" si="3"/>
        <v>15</v>
      </c>
      <c r="S7" s="283">
        <f t="shared" si="4"/>
        <v>3</v>
      </c>
      <c r="T7" s="284">
        <f t="shared" si="5"/>
        <v>0</v>
      </c>
      <c r="U7" s="284">
        <f t="shared" si="6"/>
        <v>3</v>
      </c>
      <c r="V7" s="109"/>
      <c r="W7" s="285">
        <f t="shared" ca="1" si="7"/>
        <v>36</v>
      </c>
      <c r="X7" s="285">
        <f t="shared" ca="1" si="8"/>
        <v>36</v>
      </c>
      <c r="Y7" s="263"/>
      <c r="Z7" s="286">
        <f t="shared" ca="1" si="9"/>
        <v>4500</v>
      </c>
      <c r="AA7" s="286">
        <f t="shared" ca="1" si="10"/>
        <v>4500</v>
      </c>
      <c r="AB7" s="109"/>
      <c r="AC7" s="286">
        <f t="shared" ca="1" si="11"/>
        <v>27000</v>
      </c>
      <c r="AD7" s="286">
        <f t="shared" ca="1" si="12"/>
        <v>9000</v>
      </c>
      <c r="AE7" s="109"/>
      <c r="AF7" s="286">
        <f t="shared" ca="1" si="19"/>
        <v>18000</v>
      </c>
      <c r="AG7" s="109"/>
      <c r="AH7" s="286">
        <f t="shared" ca="1" si="13"/>
        <v>0</v>
      </c>
      <c r="AI7" s="109"/>
    </row>
    <row r="8" spans="1:35">
      <c r="A8" s="109"/>
      <c r="B8" s="289">
        <f>'2.3 Input_Main_Questionnaire'!L$138-2000</f>
        <v>21</v>
      </c>
      <c r="C8" s="1084">
        <f t="array" ref="C8">IF('2.3 Input_Main_Questionnaire'!L$139 = 0, GROWTH($C$4:$C$7,$B$4:$B$7,B8),'2.3 Input_Main_Questionnaire'!L$139*$D$19)</f>
        <v>16</v>
      </c>
      <c r="D8" s="291">
        <f>'2.3 Input_Main_Questionnaire'!L$140</f>
        <v>120</v>
      </c>
      <c r="E8" s="1080">
        <f t="shared" si="14"/>
        <v>21</v>
      </c>
      <c r="F8" s="1080">
        <f t="shared" si="15"/>
        <v>2021</v>
      </c>
      <c r="G8" s="278">
        <f t="shared" si="21"/>
        <v>16</v>
      </c>
      <c r="H8" s="279">
        <f t="shared" si="16"/>
        <v>120</v>
      </c>
      <c r="I8" s="280"/>
      <c r="J8" s="281">
        <f t="shared" si="20"/>
        <v>16</v>
      </c>
      <c r="K8" s="279">
        <f t="shared" si="17"/>
        <v>120</v>
      </c>
      <c r="L8" s="280"/>
      <c r="M8" s="281">
        <f t="shared" si="18"/>
        <v>16</v>
      </c>
      <c r="N8" s="281"/>
      <c r="O8" s="279">
        <f t="shared" si="2"/>
        <v>120</v>
      </c>
      <c r="P8" s="279"/>
      <c r="Q8" s="282"/>
      <c r="R8" s="283">
        <f t="shared" si="3"/>
        <v>16</v>
      </c>
      <c r="S8" s="283">
        <f t="shared" si="4"/>
        <v>4</v>
      </c>
      <c r="T8" s="284">
        <f t="shared" si="5"/>
        <v>1</v>
      </c>
      <c r="U8" s="284">
        <f t="shared" si="6"/>
        <v>4</v>
      </c>
      <c r="V8" s="109"/>
      <c r="W8" s="285">
        <f t="shared" ca="1" si="7"/>
        <v>52</v>
      </c>
      <c r="X8" s="285">
        <f t="shared" ca="1" si="8"/>
        <v>52</v>
      </c>
      <c r="Y8" s="263"/>
      <c r="Z8" s="286">
        <f t="shared" ca="1" si="9"/>
        <v>6240</v>
      </c>
      <c r="AA8" s="286">
        <f t="shared" ca="1" si="10"/>
        <v>6240</v>
      </c>
      <c r="AB8" s="109"/>
      <c r="AC8" s="286">
        <f t="shared" ca="1" si="11"/>
        <v>37440</v>
      </c>
      <c r="AD8" s="286">
        <f t="shared" ca="1" si="12"/>
        <v>12480</v>
      </c>
      <c r="AE8" s="109"/>
      <c r="AF8" s="286">
        <f t="shared" ca="1" si="19"/>
        <v>24960</v>
      </c>
      <c r="AG8" s="109"/>
      <c r="AH8" s="286">
        <f t="shared" ca="1" si="13"/>
        <v>0</v>
      </c>
      <c r="AI8" s="109"/>
    </row>
    <row r="9" spans="1:35">
      <c r="A9" s="109"/>
      <c r="B9" s="271"/>
      <c r="C9" s="293"/>
      <c r="D9" s="263"/>
      <c r="E9" s="277">
        <f t="shared" ref="E9:F9" si="22">E8+1</f>
        <v>22</v>
      </c>
      <c r="F9" s="277">
        <f t="shared" si="22"/>
        <v>2022</v>
      </c>
      <c r="G9" s="285">
        <f>MAX($B$27*(E9-$E$4+1)+$C$27,0)</f>
        <v>17.36</v>
      </c>
      <c r="H9" s="279">
        <f>MAX($B$28*(E9-$E$4+1)+$C$28,0)</f>
        <v>115.00000000000001</v>
      </c>
      <c r="I9" s="294"/>
      <c r="J9" s="285">
        <f>IF(SUM($C$4:$C$6)=0,GROWTH($J$7:$J8,$E$7:$E8,$E9),IF(SUM($C$4:$C$5)=0,GROWTH($J$6:$J8,$E$6:$E8,$E9),IF($C$4=0,GROWTH($J$5:$J8,$E$5:$E8,$E9),GROWTH($J$4:$J8,$E$4:$E8,$E9))))</f>
        <v>19.344605054845491</v>
      </c>
      <c r="K9" s="296">
        <f t="shared" ref="K9:K48" si="23">GROWTH($K$4:$K8,$E$4:$E8,$E9)</f>
        <v>115.63893483702456</v>
      </c>
      <c r="L9" s="294"/>
      <c r="M9" s="281">
        <f>IF(SUM($C$4:$C$6)=0,GROWTH($M$7:M8,$E$7:$E8,$E9),IF(SUM($C$4:$C$5)=0,GROWTH($M$6:$M8,$E$6:$E8,$E9),IF($C$4=0,GROWTH($M$5:$M8,$E$5:$E8,$E9),GROWTH($M$4:$M8,$E$4:$E8,$E9))))</f>
        <v>19.344605054845491</v>
      </c>
      <c r="N9" s="281"/>
      <c r="O9" s="279">
        <f t="shared" ref="O9:O28" si="24">GROWTH($O$4:$O8,$E$4:$E8,$E9)</f>
        <v>115.63893483702456</v>
      </c>
      <c r="P9" s="296"/>
      <c r="Q9" s="282"/>
      <c r="R9" s="283">
        <f t="shared" si="3"/>
        <v>17</v>
      </c>
      <c r="S9" s="283">
        <f t="shared" si="4"/>
        <v>5</v>
      </c>
      <c r="T9" s="284">
        <f t="shared" si="5"/>
        <v>2</v>
      </c>
      <c r="U9" s="284">
        <f t="shared" si="6"/>
        <v>5</v>
      </c>
      <c r="V9" s="109"/>
      <c r="W9" s="285">
        <f t="shared" ca="1" si="7"/>
        <v>71.344605054845488</v>
      </c>
      <c r="X9" s="285">
        <f t="shared" ca="1" si="8"/>
        <v>71.344605054845488</v>
      </c>
      <c r="Y9" s="263"/>
      <c r="Z9" s="286">
        <f t="shared" ca="1" si="9"/>
        <v>8250.2141349105314</v>
      </c>
      <c r="AA9" s="286">
        <f t="shared" ca="1" si="10"/>
        <v>8250.2141349105314</v>
      </c>
      <c r="AB9" s="109"/>
      <c r="AC9" s="286">
        <f t="shared" ca="1" si="11"/>
        <v>49501.284809463192</v>
      </c>
      <c r="AD9" s="286">
        <f t="shared" ca="1" si="12"/>
        <v>16500.428269821063</v>
      </c>
      <c r="AE9" s="109"/>
      <c r="AF9" s="286">
        <f t="shared" ca="1" si="19"/>
        <v>33000.856539642133</v>
      </c>
      <c r="AG9" s="109"/>
      <c r="AH9" s="286">
        <f t="shared" ca="1" si="13"/>
        <v>0</v>
      </c>
      <c r="AI9" s="109"/>
    </row>
    <row r="10" spans="1:35">
      <c r="A10" s="109"/>
      <c r="B10" s="297" t="s">
        <v>765</v>
      </c>
      <c r="C10" s="1180" t="s">
        <v>766</v>
      </c>
      <c r="D10" s="1181"/>
      <c r="E10" s="277">
        <f t="shared" ref="E10:F10" si="25">E9+1</f>
        <v>23</v>
      </c>
      <c r="F10" s="277">
        <f t="shared" si="25"/>
        <v>2023</v>
      </c>
      <c r="G10" s="285">
        <f>MAX($B$27*(E10-$E$4+1)+$C$27,0)</f>
        <v>19.679999999999996</v>
      </c>
      <c r="H10" s="279">
        <f t="shared" ref="H10:H48" si="26">MAX($B$28*(E10-$E$4+1)+$C$28,0)</f>
        <v>110.00000000000001</v>
      </c>
      <c r="I10" s="294"/>
      <c r="J10" s="285">
        <f t="shared" ref="J10:J27" si="27">IF(SUM($C$4:$C$6)=0,GROWTH($J$7:$J9,$E$7:$E9,$E10),IF(SUM($C$4:$C$5)=0,GROWTH($J$6:$J9,$E$6:$E9,$E10),IF($C$4=0,GROWTH($J$5:$J9,$E$5:$E9,$E10),GROWTH($J$4:$J9,$E$4:$E9,$E10))))</f>
        <v>24.196747643931996</v>
      </c>
      <c r="K10" s="296">
        <f t="shared" si="23"/>
        <v>111.26852966920403</v>
      </c>
      <c r="L10" s="294"/>
      <c r="M10" s="281">
        <f>IF(SUM($C$4:$C$6)=0,GROWTH($M$7:M9,$E$7:$E9,$E10),IF(SUM($C$4:$C$5)=0,GROWTH($M$6:$M9,$E$6:$E9,$E10),IF($C$4=0,GROWTH($M$5:$M9,$E$5:$E9,$E10),GROWTH($M$4:$M9,$E$4:$E9,$E10))))</f>
        <v>24.196747643931996</v>
      </c>
      <c r="N10" s="281">
        <f>$N11+M9-M8</f>
        <v>2702.5372506852909</v>
      </c>
      <c r="O10" s="279">
        <f t="shared" si="24"/>
        <v>111.26852966920403</v>
      </c>
      <c r="P10" s="296">
        <f t="shared" ref="P10:P28" si="28">MAX($P11+O9-O8,0)</f>
        <v>0</v>
      </c>
      <c r="Q10" s="282"/>
      <c r="R10" s="283">
        <f t="shared" si="3"/>
        <v>18</v>
      </c>
      <c r="S10" s="283">
        <f t="shared" si="4"/>
        <v>5</v>
      </c>
      <c r="T10" s="284">
        <f t="shared" si="5"/>
        <v>3</v>
      </c>
      <c r="U10" s="284">
        <f t="shared" si="6"/>
        <v>6</v>
      </c>
      <c r="V10" s="109"/>
      <c r="W10" s="285">
        <f t="shared" ca="1" si="7"/>
        <v>89.141352698777496</v>
      </c>
      <c r="X10" s="285">
        <f t="shared" ca="1" si="8"/>
        <v>95.541352698777487</v>
      </c>
      <c r="Y10" s="263"/>
      <c r="Z10" s="286">
        <f t="shared" ca="1" si="9"/>
        <v>9918.6272475169044</v>
      </c>
      <c r="AA10" s="286">
        <f t="shared" ca="1" si="10"/>
        <v>10630.745837399809</v>
      </c>
      <c r="AB10" s="109"/>
      <c r="AC10" s="286">
        <f t="shared" ca="1" si="11"/>
        <v>59511.76348510143</v>
      </c>
      <c r="AD10" s="286">
        <f t="shared" ca="1" si="12"/>
        <v>21261.491674799618</v>
      </c>
      <c r="AE10" s="109"/>
      <c r="AF10" s="286">
        <f t="shared" ca="1" si="19"/>
        <v>38250.271810301812</v>
      </c>
      <c r="AG10" s="109"/>
      <c r="AH10" s="286">
        <f t="shared" ca="1" si="13"/>
        <v>-712.11858988290442</v>
      </c>
      <c r="AI10" s="109"/>
    </row>
    <row r="11" spans="1:35">
      <c r="A11" s="109"/>
      <c r="B11" s="299" t="s">
        <v>756</v>
      </c>
      <c r="C11" s="1182" t="s">
        <v>767</v>
      </c>
      <c r="D11" s="1183"/>
      <c r="E11" s="277">
        <f t="shared" ref="E11:F11" si="29">E10+1</f>
        <v>24</v>
      </c>
      <c r="F11" s="277">
        <f t="shared" si="29"/>
        <v>2024</v>
      </c>
      <c r="G11" s="285">
        <f t="shared" ref="G11:G48" si="30">MAX($B$27*(E11-$E$4+1)+$C$27,0)</f>
        <v>21.999999999999996</v>
      </c>
      <c r="H11" s="279">
        <f t="shared" si="26"/>
        <v>105.00000000000001</v>
      </c>
      <c r="I11" s="294"/>
      <c r="J11" s="285">
        <f t="shared" si="27"/>
        <v>30.265936930951973</v>
      </c>
      <c r="K11" s="296">
        <f t="shared" si="23"/>
        <v>107.06329760123809</v>
      </c>
      <c r="L11" s="294"/>
      <c r="M11" s="281">
        <f>IF(SUM($C$4:$C$6)=0,GROWTH($M$7:M10,$E$7:$E10,$E11),IF(SUM($C$4:$C$5)=0,GROWTH($M$6:$M10,$E$6:$E10,$E11),IF($C$4=0,GROWTH($M$5:$M10,$E$5:$E10,$E11),GROWTH($M$4:$M10,$E$4:$E10,$E11))))</f>
        <v>30.265936930951973</v>
      </c>
      <c r="N11" s="281">
        <f t="shared" ref="N11:N28" si="31">$N12+M10-M9</f>
        <v>2699.1926456304454</v>
      </c>
      <c r="O11" s="279">
        <f t="shared" si="24"/>
        <v>107.06329760123809</v>
      </c>
      <c r="P11" s="296">
        <f t="shared" si="28"/>
        <v>0</v>
      </c>
      <c r="Q11" s="282"/>
      <c r="R11" s="283">
        <f t="shared" si="3"/>
        <v>19</v>
      </c>
      <c r="S11" s="283">
        <f t="shared" si="4"/>
        <v>5</v>
      </c>
      <c r="T11" s="284">
        <f t="shared" si="5"/>
        <v>4</v>
      </c>
      <c r="U11" s="284">
        <f t="shared" si="6"/>
        <v>7</v>
      </c>
      <c r="V11" s="109"/>
      <c r="W11" s="285">
        <f t="shared" ca="1" si="7"/>
        <v>111.40728962972946</v>
      </c>
      <c r="X11" s="285">
        <f t="shared" ca="1" si="8"/>
        <v>125.80728962972947</v>
      </c>
      <c r="Y11" s="263"/>
      <c r="Z11" s="286">
        <f t="shared" ca="1" si="9"/>
        <v>11927.631804575052</v>
      </c>
      <c r="AA11" s="286">
        <f t="shared" ca="1" si="10"/>
        <v>13469.343290032881</v>
      </c>
      <c r="AB11" s="109"/>
      <c r="AC11" s="286">
        <f t="shared" ca="1" si="11"/>
        <v>71565.790827450313</v>
      </c>
      <c r="AD11" s="286">
        <f t="shared" ca="1" si="12"/>
        <v>26938.686580065762</v>
      </c>
      <c r="AE11" s="109"/>
      <c r="AF11" s="286">
        <f t="shared" ca="1" si="19"/>
        <v>44627.104247384552</v>
      </c>
      <c r="AG11" s="109"/>
      <c r="AH11" s="286">
        <f t="shared" ca="1" si="13"/>
        <v>-1541.7114854578285</v>
      </c>
      <c r="AI11" s="109"/>
    </row>
    <row r="12" spans="1:35">
      <c r="A12" s="109"/>
      <c r="B12" s="263"/>
      <c r="C12" s="263"/>
      <c r="D12" s="263"/>
      <c r="E12" s="277">
        <f t="shared" ref="E12:F12" si="32">E11+1</f>
        <v>25</v>
      </c>
      <c r="F12" s="277">
        <f t="shared" si="32"/>
        <v>2025</v>
      </c>
      <c r="G12" s="285">
        <f t="shared" si="30"/>
        <v>24.319999999999997</v>
      </c>
      <c r="H12" s="279">
        <f t="shared" si="26"/>
        <v>100.00000000000001</v>
      </c>
      <c r="I12" s="294"/>
      <c r="J12" s="285">
        <f t="shared" si="27"/>
        <v>37.857440668811606</v>
      </c>
      <c r="K12" s="296">
        <f t="shared" si="23"/>
        <v>103.01699615631553</v>
      </c>
      <c r="L12" s="294"/>
      <c r="M12" s="281">
        <f>IF(SUM($C$4:$C$6)=0,GROWTH($M$7:M11,$E$7:$E11,$E12),IF(SUM($C$4:$C$5)=0,GROWTH($M$6:$M11,$E$6:$E11,$E12),IF($C$4=0,GROWTH($M$5:$M11,$E$5:$E11,$E12),GROWTH($M$4:$M11,$E$4:$E11,$E12))))</f>
        <v>37.857440668811606</v>
      </c>
      <c r="N12" s="281">
        <f t="shared" si="31"/>
        <v>2694.3405030413587</v>
      </c>
      <c r="O12" s="279">
        <f t="shared" si="24"/>
        <v>103.01699615631553</v>
      </c>
      <c r="P12" s="296">
        <f t="shared" si="28"/>
        <v>0</v>
      </c>
      <c r="Q12" s="282"/>
      <c r="R12" s="283">
        <f t="shared" si="3"/>
        <v>20</v>
      </c>
      <c r="S12" s="283">
        <f t="shared" si="4"/>
        <v>5</v>
      </c>
      <c r="T12" s="284">
        <f t="shared" si="5"/>
        <v>5</v>
      </c>
      <c r="U12" s="284">
        <f t="shared" si="6"/>
        <v>8</v>
      </c>
      <c r="V12" s="109"/>
      <c r="W12" s="285">
        <f t="shared" ca="1" si="7"/>
        <v>139.66473029854109</v>
      </c>
      <c r="X12" s="285">
        <f t="shared" ca="1" si="8"/>
        <v>163.66473029854109</v>
      </c>
      <c r="Y12" s="263"/>
      <c r="Z12" s="286">
        <f t="shared" ca="1" si="9"/>
        <v>14387.840984337652</v>
      </c>
      <c r="AA12" s="286">
        <f t="shared" ca="1" si="10"/>
        <v>16860.248892089225</v>
      </c>
      <c r="AB12" s="109"/>
      <c r="AC12" s="286">
        <f t="shared" ca="1" si="11"/>
        <v>86327.045906025916</v>
      </c>
      <c r="AD12" s="286">
        <f t="shared" ca="1" si="12"/>
        <v>33720.497784178449</v>
      </c>
      <c r="AE12" s="109"/>
      <c r="AF12" s="286">
        <f t="shared" ca="1" si="19"/>
        <v>52606.548121847467</v>
      </c>
      <c r="AG12" s="109"/>
      <c r="AH12" s="286">
        <f t="shared" ca="1" si="13"/>
        <v>-2472.4079077515726</v>
      </c>
      <c r="AI12" s="109"/>
    </row>
    <row r="13" spans="1:35">
      <c r="A13" s="109"/>
      <c r="B13" s="300" t="s">
        <v>768</v>
      </c>
      <c r="C13" s="301"/>
      <c r="D13" s="302">
        <f>'2.3 Input_Main_Questionnaire'!H148</f>
        <v>5</v>
      </c>
      <c r="E13" s="277">
        <f t="shared" ref="E13:F13" si="33">E12+1</f>
        <v>26</v>
      </c>
      <c r="F13" s="277">
        <f t="shared" si="33"/>
        <v>2026</v>
      </c>
      <c r="G13" s="285">
        <f t="shared" si="30"/>
        <v>26.639999999999997</v>
      </c>
      <c r="H13" s="279">
        <f t="shared" si="26"/>
        <v>95.000000000000014</v>
      </c>
      <c r="I13" s="294"/>
      <c r="J13" s="285">
        <f t="shared" si="27"/>
        <v>47.353095899929635</v>
      </c>
      <c r="K13" s="296">
        <f t="shared" si="23"/>
        <v>99.123618782946934</v>
      </c>
      <c r="L13" s="294"/>
      <c r="M13" s="281">
        <f>IF(SUM($C$4:$C$6)=0,GROWTH($M$7:M12,$E$7:$E12,$E13),IF(SUM($C$4:$C$5)=0,GROWTH($M$6:$M12,$E$6:$E12,$E13),IF($C$4=0,GROWTH($M$5:$M12,$E$5:$E12,$E13),GROWTH($M$4:$M12,$E$4:$E12,$E13))))</f>
        <v>47.353095899929635</v>
      </c>
      <c r="N13" s="281">
        <f t="shared" si="31"/>
        <v>2688.2713137543387</v>
      </c>
      <c r="O13" s="279">
        <f t="shared" si="24"/>
        <v>99.123618782946934</v>
      </c>
      <c r="P13" s="296">
        <f t="shared" si="28"/>
        <v>4.1690600030071039</v>
      </c>
      <c r="Q13" s="282"/>
      <c r="R13" s="283">
        <f t="shared" si="3"/>
        <v>21</v>
      </c>
      <c r="S13" s="283">
        <f t="shared" si="4"/>
        <v>5</v>
      </c>
      <c r="T13" s="284">
        <f t="shared" si="5"/>
        <v>6</v>
      </c>
      <c r="U13" s="284">
        <f t="shared" si="6"/>
        <v>9</v>
      </c>
      <c r="V13" s="109"/>
      <c r="W13" s="285">
        <f t="shared" ca="1" si="7"/>
        <v>175.01782619847071</v>
      </c>
      <c r="X13" s="285">
        <f t="shared" ca="1" si="8"/>
        <v>211.01782619847071</v>
      </c>
      <c r="Y13" s="263"/>
      <c r="Z13" s="286">
        <f t="shared" ca="1" si="9"/>
        <v>17348.400284317275</v>
      </c>
      <c r="AA13" s="286">
        <f t="shared" ca="1" si="10"/>
        <v>20916.850560503364</v>
      </c>
      <c r="AB13" s="109"/>
      <c r="AC13" s="286">
        <f t="shared" ca="1" si="11"/>
        <v>104090.40170590364</v>
      </c>
      <c r="AD13" s="286">
        <f t="shared" ca="1" si="12"/>
        <v>41833.701121006728</v>
      </c>
      <c r="AE13" s="109"/>
      <c r="AF13" s="286">
        <f t="shared" ca="1" si="19"/>
        <v>62256.700584896913</v>
      </c>
      <c r="AG13" s="109"/>
      <c r="AH13" s="286">
        <f t="shared" ca="1" si="13"/>
        <v>-3568.4502761860895</v>
      </c>
      <c r="AI13" s="109"/>
    </row>
    <row r="14" spans="1:35">
      <c r="A14" s="109"/>
      <c r="B14" s="303" t="s">
        <v>769</v>
      </c>
      <c r="C14" s="304"/>
      <c r="D14" s="305">
        <f>'2.3 Input_Main_Questionnaire'!H149</f>
        <v>20</v>
      </c>
      <c r="E14" s="277">
        <f t="shared" ref="E14:F14" si="34">E13+1</f>
        <v>27</v>
      </c>
      <c r="F14" s="277">
        <f t="shared" si="34"/>
        <v>2027</v>
      </c>
      <c r="G14" s="285">
        <f t="shared" si="30"/>
        <v>28.959999999999994</v>
      </c>
      <c r="H14" s="279">
        <f t="shared" si="26"/>
        <v>90.000000000000028</v>
      </c>
      <c r="I14" s="294"/>
      <c r="J14" s="285">
        <f t="shared" si="27"/>
        <v>59.230514575044687</v>
      </c>
      <c r="K14" s="296">
        <f t="shared" si="23"/>
        <v>95.377385938510869</v>
      </c>
      <c r="L14" s="294"/>
      <c r="M14" s="281">
        <f>IF(SUM($C$4:$C$6)=0,GROWTH($M$7:M13,$E$7:$E13,$E14),IF(SUM($C$4:$C$5)=0,GROWTH($M$6:$M13,$E$6:$E13,$E14),IF($C$4=0,GROWTH($M$5:$M13,$E$5:$E13,$E14),GROWTH($M$4:$M13,$E$4:$E13,$E14))))</f>
        <v>59.230514575044687</v>
      </c>
      <c r="N14" s="281">
        <f t="shared" si="31"/>
        <v>2680.6798100164792</v>
      </c>
      <c r="O14" s="279">
        <f t="shared" si="24"/>
        <v>95.377385938510869</v>
      </c>
      <c r="P14" s="296">
        <f t="shared" si="28"/>
        <v>8.2153614479296664</v>
      </c>
      <c r="Q14" s="282"/>
      <c r="R14" s="283">
        <f t="shared" si="3"/>
        <v>22</v>
      </c>
      <c r="S14" s="283">
        <f t="shared" si="4"/>
        <v>5</v>
      </c>
      <c r="T14" s="284">
        <f t="shared" si="5"/>
        <v>7</v>
      </c>
      <c r="U14" s="284">
        <f t="shared" si="6"/>
        <v>10</v>
      </c>
      <c r="V14" s="109"/>
      <c r="W14" s="285">
        <f t="shared" ca="1" si="7"/>
        <v>218.24834077351539</v>
      </c>
      <c r="X14" s="285">
        <f t="shared" ca="1" si="8"/>
        <v>270.24834077351539</v>
      </c>
      <c r="Y14" s="263"/>
      <c r="Z14" s="286">
        <f t="shared" ca="1" si="9"/>
        <v>20815.956228395215</v>
      </c>
      <c r="AA14" s="286">
        <f t="shared" ca="1" si="10"/>
        <v>25775.580297197779</v>
      </c>
      <c r="AB14" s="109"/>
      <c r="AC14" s="286">
        <f t="shared" ca="1" si="11"/>
        <v>124895.73737037129</v>
      </c>
      <c r="AD14" s="286">
        <f t="shared" ca="1" si="12"/>
        <v>51551.160594395558</v>
      </c>
      <c r="AE14" s="109"/>
      <c r="AF14" s="286">
        <f t="shared" ca="1" si="19"/>
        <v>73344.576775975729</v>
      </c>
      <c r="AG14" s="109"/>
      <c r="AH14" s="286">
        <f t="shared" ca="1" si="13"/>
        <v>-4959.6240688025646</v>
      </c>
      <c r="AI14" s="109"/>
    </row>
    <row r="15" spans="1:35">
      <c r="A15" s="109"/>
      <c r="B15" s="306"/>
      <c r="C15" s="263"/>
      <c r="D15" s="307"/>
      <c r="E15" s="277">
        <f t="shared" ref="E15:F15" si="35">E14+1</f>
        <v>28</v>
      </c>
      <c r="F15" s="277">
        <f t="shared" si="35"/>
        <v>2028</v>
      </c>
      <c r="G15" s="285">
        <f t="shared" si="30"/>
        <v>31.279999999999994</v>
      </c>
      <c r="H15" s="279">
        <f t="shared" si="26"/>
        <v>85.000000000000028</v>
      </c>
      <c r="I15" s="294"/>
      <c r="J15" s="285">
        <f t="shared" si="27"/>
        <v>74.087106453155627</v>
      </c>
      <c r="K15" s="296">
        <f t="shared" si="23"/>
        <v>91.77273650978384</v>
      </c>
      <c r="L15" s="294"/>
      <c r="M15" s="281">
        <f>IF(SUM($C$4:$C$6)=0,GROWTH($M$7:M14,$E$7:$E14,$E15),IF(SUM($C$4:$C$5)=0,GROWTH($M$6:$M14,$E$6:$E14,$E15),IF($C$4=0,GROWTH($M$5:$M14,$E$5:$E14,$E15),GROWTH($M$4:$M14,$E$4:$E14,$E15))))</f>
        <v>74.087106453155627</v>
      </c>
      <c r="N15" s="281">
        <f t="shared" si="31"/>
        <v>2671.1841547853614</v>
      </c>
      <c r="O15" s="279">
        <f t="shared" si="24"/>
        <v>91.77273650978384</v>
      </c>
      <c r="P15" s="296">
        <f t="shared" si="28"/>
        <v>12.10873882129826</v>
      </c>
      <c r="Q15" s="282"/>
      <c r="R15" s="283">
        <f t="shared" si="3"/>
        <v>23</v>
      </c>
      <c r="S15" s="283">
        <f t="shared" si="4"/>
        <v>5</v>
      </c>
      <c r="T15" s="284">
        <f t="shared" si="5"/>
        <v>8</v>
      </c>
      <c r="U15" s="284">
        <f t="shared" si="6"/>
        <v>11</v>
      </c>
      <c r="V15" s="109"/>
      <c r="W15" s="285">
        <f t="shared" ca="1" si="7"/>
        <v>272.99084217182553</v>
      </c>
      <c r="X15" s="285">
        <f t="shared" ca="1" si="8"/>
        <v>344.33544722667102</v>
      </c>
      <c r="Y15" s="263"/>
      <c r="Z15" s="286">
        <f t="shared" ca="1" si="9"/>
        <v>25053.11662821893</v>
      </c>
      <c r="AA15" s="286">
        <f t="shared" ca="1" si="10"/>
        <v>31600.606269311858</v>
      </c>
      <c r="AB15" s="109"/>
      <c r="AC15" s="286">
        <f t="shared" ca="1" si="11"/>
        <v>150318.69976931356</v>
      </c>
      <c r="AD15" s="286">
        <f t="shared" ca="1" si="12"/>
        <v>63201.212538623717</v>
      </c>
      <c r="AE15" s="109"/>
      <c r="AF15" s="286">
        <f t="shared" ca="1" si="19"/>
        <v>87117.487230689847</v>
      </c>
      <c r="AG15" s="109"/>
      <c r="AH15" s="286">
        <f t="shared" ca="1" si="13"/>
        <v>-6547.4896410929287</v>
      </c>
      <c r="AI15" s="109"/>
    </row>
    <row r="16" spans="1:35">
      <c r="A16" s="109"/>
      <c r="B16" s="300" t="s">
        <v>770</v>
      </c>
      <c r="C16" s="301"/>
      <c r="D16" s="308">
        <f>'2.3 Input_Main_Questionnaire'!H144</f>
        <v>6</v>
      </c>
      <c r="E16" s="277">
        <f t="shared" ref="E16:F16" si="36">E15+1</f>
        <v>29</v>
      </c>
      <c r="F16" s="277">
        <f t="shared" si="36"/>
        <v>2029</v>
      </c>
      <c r="G16" s="285">
        <f t="shared" si="30"/>
        <v>33.599999999999994</v>
      </c>
      <c r="H16" s="279">
        <f t="shared" si="26"/>
        <v>80.000000000000028</v>
      </c>
      <c r="I16" s="294"/>
      <c r="J16" s="285">
        <f t="shared" si="27"/>
        <v>92.670127585111842</v>
      </c>
      <c r="K16" s="296">
        <f t="shared" si="23"/>
        <v>88.304319557719595</v>
      </c>
      <c r="L16" s="294"/>
      <c r="M16" s="281">
        <f>IF(SUM($C$4:$C$6)=0,GROWTH($M$7:M15,$E$7:$E15,$E16),IF(SUM($C$4:$C$5)=0,GROWTH($M$6:$M15,$E$6:$E15,$E16),IF($C$4=0,GROWTH($M$5:$M15,$E$5:$E15,$E16),GROWTH($M$4:$M15,$E$4:$E15,$E16))))</f>
        <v>92.670127585111842</v>
      </c>
      <c r="N16" s="281">
        <f t="shared" si="31"/>
        <v>2659.3067361102462</v>
      </c>
      <c r="O16" s="279">
        <f t="shared" si="24"/>
        <v>88.304319557719595</v>
      </c>
      <c r="P16" s="296">
        <f t="shared" si="28"/>
        <v>15.854971665734325</v>
      </c>
      <c r="Q16" s="282"/>
      <c r="R16" s="283">
        <f t="shared" si="3"/>
        <v>24</v>
      </c>
      <c r="S16" s="283">
        <f t="shared" si="4"/>
        <v>5</v>
      </c>
      <c r="T16" s="284">
        <f t="shared" si="5"/>
        <v>9</v>
      </c>
      <c r="U16" s="284">
        <f t="shared" si="6"/>
        <v>12</v>
      </c>
      <c r="V16" s="109"/>
      <c r="W16" s="285">
        <f t="shared" ca="1" si="7"/>
        <v>341.46422211300535</v>
      </c>
      <c r="X16" s="285">
        <f t="shared" ca="1" si="8"/>
        <v>437.00557481178288</v>
      </c>
      <c r="Y16" s="263"/>
      <c r="Z16" s="286">
        <f t="shared" ca="1" si="9"/>
        <v>30152.765786994965</v>
      </c>
      <c r="AA16" s="286">
        <f t="shared" ca="1" si="10"/>
        <v>38589.479926684609</v>
      </c>
      <c r="AB16" s="109"/>
      <c r="AC16" s="286">
        <f t="shared" ca="1" si="11"/>
        <v>180916.5947219698</v>
      </c>
      <c r="AD16" s="286">
        <f t="shared" ca="1" si="12"/>
        <v>77178.959853369219</v>
      </c>
      <c r="AE16" s="109"/>
      <c r="AF16" s="286">
        <f t="shared" ca="1" si="19"/>
        <v>103737.63486860058</v>
      </c>
      <c r="AG16" s="109"/>
      <c r="AH16" s="286">
        <f t="shared" ca="1" si="13"/>
        <v>-8436.7141396896441</v>
      </c>
      <c r="AI16" s="109"/>
    </row>
    <row r="17" spans="1:35">
      <c r="A17" s="109"/>
      <c r="B17" s="303" t="s">
        <v>771</v>
      </c>
      <c r="C17" s="304"/>
      <c r="D17" s="305">
        <f>'2.3 Input_Main_Questionnaire'!H146</f>
        <v>2</v>
      </c>
      <c r="E17" s="277">
        <f t="shared" ref="E17:F17" si="37">E16+1</f>
        <v>30</v>
      </c>
      <c r="F17" s="277">
        <f t="shared" si="37"/>
        <v>2030</v>
      </c>
      <c r="G17" s="285">
        <f t="shared" si="30"/>
        <v>35.919999999999995</v>
      </c>
      <c r="H17" s="279">
        <f t="shared" si="26"/>
        <v>75.000000000000028</v>
      </c>
      <c r="I17" s="294"/>
      <c r="J17" s="285">
        <f t="shared" si="27"/>
        <v>115.91426575784602</v>
      </c>
      <c r="K17" s="296">
        <f t="shared" si="23"/>
        <v>84.966986374221904</v>
      </c>
      <c r="L17" s="294"/>
      <c r="M17" s="281">
        <f>IF(SUM($C$4:$C$6)=0,GROWTH($M$7:M16,$E$7:$E16,$E17),IF(SUM($C$4:$C$5)=0,GROWTH($M$6:$M16,$E$6:$E16,$E17),IF($C$4=0,GROWTH($M$5:$M16,$E$5:$E16,$E17),GROWTH($M$4:$M16,$E$4:$E16,$E17))))</f>
        <v>115.91426575784602</v>
      </c>
      <c r="N17" s="281">
        <f t="shared" si="31"/>
        <v>2644.4501442321352</v>
      </c>
      <c r="O17" s="279">
        <f t="shared" si="24"/>
        <v>84.966986374221904</v>
      </c>
      <c r="P17" s="296">
        <f t="shared" si="28"/>
        <v>19.459621094461355</v>
      </c>
      <c r="Q17" s="282"/>
      <c r="R17" s="283">
        <f t="shared" si="3"/>
        <v>25</v>
      </c>
      <c r="S17" s="283">
        <f t="shared" si="4"/>
        <v>5</v>
      </c>
      <c r="T17" s="284">
        <f t="shared" si="5"/>
        <v>10</v>
      </c>
      <c r="U17" s="284">
        <f t="shared" si="6"/>
        <v>13</v>
      </c>
      <c r="V17" s="109"/>
      <c r="W17" s="285">
        <f t="shared" ca="1" si="7"/>
        <v>427.11255093989939</v>
      </c>
      <c r="X17" s="285">
        <f t="shared" ca="1" si="8"/>
        <v>552.91984056962895</v>
      </c>
      <c r="Y17" s="263"/>
      <c r="Z17" s="286">
        <f t="shared" ca="1" si="9"/>
        <v>36290.466295969592</v>
      </c>
      <c r="AA17" s="286">
        <f t="shared" ca="1" si="10"/>
        <v>46979.93255971661</v>
      </c>
      <c r="AB17" s="109"/>
      <c r="AC17" s="286">
        <f t="shared" ca="1" si="11"/>
        <v>217742.79777581757</v>
      </c>
      <c r="AD17" s="286">
        <f t="shared" ca="1" si="12"/>
        <v>93959.86511943322</v>
      </c>
      <c r="AE17" s="109"/>
      <c r="AF17" s="286">
        <f t="shared" ca="1" si="19"/>
        <v>123782.93265638435</v>
      </c>
      <c r="AG17" s="109"/>
      <c r="AH17" s="286">
        <f t="shared" ca="1" si="13"/>
        <v>-10689.466263747017</v>
      </c>
      <c r="AI17" s="109"/>
    </row>
    <row r="18" spans="1:35">
      <c r="A18" s="109"/>
      <c r="B18" s="263"/>
      <c r="C18" s="263"/>
      <c r="D18" s="307"/>
      <c r="E18" s="277">
        <f t="shared" ref="E18:F18" si="38">E17+1</f>
        <v>31</v>
      </c>
      <c r="F18" s="277">
        <f t="shared" si="38"/>
        <v>2031</v>
      </c>
      <c r="G18" s="285">
        <f t="shared" si="30"/>
        <v>38.239999999999995</v>
      </c>
      <c r="H18" s="279">
        <f t="shared" si="26"/>
        <v>70.000000000000028</v>
      </c>
      <c r="I18" s="294"/>
      <c r="J18" s="285">
        <f t="shared" si="27"/>
        <v>144.98865336988234</v>
      </c>
      <c r="K18" s="296">
        <f t="shared" si="23"/>
        <v>81.755782839120286</v>
      </c>
      <c r="L18" s="294"/>
      <c r="M18" s="281">
        <f>IF(SUM($C$4:$C$6)=0,GROWTH($M$7:M17,$E$7:$E17,$E18),IF(SUM($C$4:$C$5)=0,GROWTH($M$6:$M17,$E$6:$E17,$E18),IF($C$4=0,GROWTH($M$5:$M17,$E$5:$E17,$E18),GROWTH($M$4:$M17,$E$4:$E17,$E18))))</f>
        <v>144.98865336988234</v>
      </c>
      <c r="N18" s="281">
        <f t="shared" si="31"/>
        <v>2625.867123100179</v>
      </c>
      <c r="O18" s="279">
        <f t="shared" si="24"/>
        <v>81.755782839120286</v>
      </c>
      <c r="P18" s="296">
        <f t="shared" si="28"/>
        <v>22.9280380465256</v>
      </c>
      <c r="Q18" s="282"/>
      <c r="R18" s="283">
        <f t="shared" si="3"/>
        <v>26</v>
      </c>
      <c r="S18" s="283">
        <f t="shared" si="4"/>
        <v>5</v>
      </c>
      <c r="T18" s="284">
        <f t="shared" si="5"/>
        <v>11</v>
      </c>
      <c r="U18" s="284">
        <f t="shared" si="6"/>
        <v>14</v>
      </c>
      <c r="V18" s="109"/>
      <c r="W18" s="285">
        <f t="shared" ca="1" si="7"/>
        <v>534.2437636409702</v>
      </c>
      <c r="X18" s="285">
        <f t="shared" ca="1" si="8"/>
        <v>697.90849393951135</v>
      </c>
      <c r="Y18" s="263"/>
      <c r="Z18" s="286">
        <f t="shared" ca="1" si="9"/>
        <v>43677.517123385463</v>
      </c>
      <c r="AA18" s="286">
        <f t="shared" ca="1" si="10"/>
        <v>57058.055272096186</v>
      </c>
      <c r="AB18" s="109"/>
      <c r="AC18" s="286">
        <f t="shared" ca="1" si="11"/>
        <v>262065.10274031278</v>
      </c>
      <c r="AD18" s="286">
        <f t="shared" ca="1" si="12"/>
        <v>114116.11054419237</v>
      </c>
      <c r="AE18" s="109"/>
      <c r="AF18" s="286">
        <f t="shared" ca="1" si="19"/>
        <v>147948.99219612041</v>
      </c>
      <c r="AG18" s="109"/>
      <c r="AH18" s="286">
        <f t="shared" ca="1" si="13"/>
        <v>-13380.538148710722</v>
      </c>
      <c r="AI18" s="109"/>
    </row>
    <row r="19" spans="1:35">
      <c r="A19" s="109"/>
      <c r="B19" s="309" t="s">
        <v>773</v>
      </c>
      <c r="C19" s="310"/>
      <c r="D19" s="311">
        <f>1-'2.3 Input_Main_Questionnaire'!H142</f>
        <v>0.8</v>
      </c>
      <c r="E19" s="277">
        <f t="shared" ref="E19:F19" si="39">E18+1</f>
        <v>32</v>
      </c>
      <c r="F19" s="277">
        <f t="shared" si="39"/>
        <v>2032</v>
      </c>
      <c r="G19" s="285">
        <f t="shared" si="30"/>
        <v>40.559999999999995</v>
      </c>
      <c r="H19" s="279">
        <f t="shared" si="26"/>
        <v>65.000000000000028</v>
      </c>
      <c r="I19" s="294"/>
      <c r="J19" s="285">
        <f t="shared" si="27"/>
        <v>181.35567238917679</v>
      </c>
      <c r="K19" s="296">
        <f t="shared" si="23"/>
        <v>78.665942066002955</v>
      </c>
      <c r="L19" s="294"/>
      <c r="M19" s="281">
        <f>IF(SUM($C$4:$C$6)=0,GROWTH($M$7:M18,$E$7:$E18,$E19),IF(SUM($C$4:$C$5)=0,GROWTH($M$6:$M18,$E$6:$E18,$E19),IF($C$4=0,GROWTH($M$5:$M18,$E$5:$E18,$E19),GROWTH($M$4:$M18,$E$4:$E18,$E19))))</f>
        <v>181.35567238917679</v>
      </c>
      <c r="N19" s="281">
        <f t="shared" si="31"/>
        <v>2602.622984927445</v>
      </c>
      <c r="O19" s="279">
        <f t="shared" si="24"/>
        <v>78.665942066002955</v>
      </c>
      <c r="P19" s="296">
        <f t="shared" si="28"/>
        <v>26.265371230023291</v>
      </c>
      <c r="Q19" s="282"/>
      <c r="R19" s="283">
        <f t="shared" si="3"/>
        <v>27</v>
      </c>
      <c r="S19" s="283">
        <f t="shared" si="4"/>
        <v>5</v>
      </c>
      <c r="T19" s="284">
        <f t="shared" si="5"/>
        <v>12</v>
      </c>
      <c r="U19" s="284">
        <f t="shared" si="6"/>
        <v>15</v>
      </c>
      <c r="V19" s="109"/>
      <c r="W19" s="285">
        <f t="shared" ca="1" si="7"/>
        <v>668.24634013021728</v>
      </c>
      <c r="X19" s="285">
        <f t="shared" ca="1" si="8"/>
        <v>879.26416632868813</v>
      </c>
      <c r="Y19" s="263"/>
      <c r="Z19" s="286">
        <f t="shared" ca="1" si="9"/>
        <v>52568.227878502177</v>
      </c>
      <c r="AA19" s="286">
        <f t="shared" ca="1" si="10"/>
        <v>69168.143969124969</v>
      </c>
      <c r="AB19" s="109"/>
      <c r="AC19" s="286">
        <f t="shared" ca="1" si="11"/>
        <v>315409.36727101309</v>
      </c>
      <c r="AD19" s="286">
        <f t="shared" ca="1" si="12"/>
        <v>138336.28793824994</v>
      </c>
      <c r="AE19" s="109"/>
      <c r="AF19" s="286">
        <f t="shared" ca="1" si="19"/>
        <v>177073.07933276315</v>
      </c>
      <c r="AG19" s="109"/>
      <c r="AH19" s="286">
        <f t="shared" ca="1" si="13"/>
        <v>-16599.916090622792</v>
      </c>
      <c r="AI19" s="109"/>
    </row>
    <row r="20" spans="1:35">
      <c r="A20" s="109"/>
      <c r="B20" s="263"/>
      <c r="C20" s="263"/>
      <c r="D20" s="263"/>
      <c r="E20" s="277">
        <f t="shared" ref="E20:F20" si="40">E19+1</f>
        <v>33</v>
      </c>
      <c r="F20" s="277">
        <f t="shared" si="40"/>
        <v>2033</v>
      </c>
      <c r="G20" s="285">
        <f t="shared" si="30"/>
        <v>42.879999999999995</v>
      </c>
      <c r="H20" s="279">
        <f t="shared" si="26"/>
        <v>60.000000000000028</v>
      </c>
      <c r="I20" s="294"/>
      <c r="J20" s="285">
        <f t="shared" si="27"/>
        <v>226.84450916186276</v>
      </c>
      <c r="K20" s="296">
        <f t="shared" si="23"/>
        <v>75.692877325988974</v>
      </c>
      <c r="L20" s="294"/>
      <c r="M20" s="281">
        <f>IF(SUM($C$4:$C$6)=0,GROWTH($M$7:M19,$E$7:$E19,$E20),IF(SUM($C$4:$C$5)=0,GROWTH($M$6:$M19,$E$6:$E19,$E20),IF($C$4=0,GROWTH($M$5:$M19,$E$5:$E19,$E20),GROWTH($M$4:$M19,$E$4:$E19,$E20))))</f>
        <v>226.84450916186276</v>
      </c>
      <c r="N20" s="281">
        <f t="shared" si="31"/>
        <v>2573.5485973154086</v>
      </c>
      <c r="O20" s="279">
        <f t="shared" si="24"/>
        <v>75.692877325988974</v>
      </c>
      <c r="P20" s="296">
        <f t="shared" si="28"/>
        <v>29.476574765124909</v>
      </c>
      <c r="Q20" s="282"/>
      <c r="R20" s="283">
        <f t="shared" si="3"/>
        <v>28</v>
      </c>
      <c r="S20" s="283">
        <f t="shared" si="4"/>
        <v>5</v>
      </c>
      <c r="T20" s="284">
        <f t="shared" si="5"/>
        <v>13</v>
      </c>
      <c r="U20" s="284">
        <f t="shared" si="6"/>
        <v>16</v>
      </c>
      <c r="V20" s="109"/>
      <c r="W20" s="285">
        <f t="shared" ca="1" si="7"/>
        <v>835.86033471703536</v>
      </c>
      <c r="X20" s="285">
        <f t="shared" ca="1" si="8"/>
        <v>1106.1086754905509</v>
      </c>
      <c r="Y20" s="263"/>
      <c r="Z20" s="286">
        <f t="shared" ca="1" si="9"/>
        <v>63268.673777396638</v>
      </c>
      <c r="AA20" s="286">
        <f t="shared" ca="1" si="10"/>
        <v>83724.54828311842</v>
      </c>
      <c r="AB20" s="109"/>
      <c r="AC20" s="286">
        <f t="shared" ca="1" si="11"/>
        <v>379612.04266437981</v>
      </c>
      <c r="AD20" s="286">
        <f t="shared" ca="1" si="12"/>
        <v>167449.09656623684</v>
      </c>
      <c r="AE20" s="109"/>
      <c r="AF20" s="286">
        <f t="shared" ca="1" si="19"/>
        <v>212162.94609814297</v>
      </c>
      <c r="AG20" s="109"/>
      <c r="AH20" s="286">
        <f t="shared" ca="1" si="13"/>
        <v>-20455.874505721782</v>
      </c>
      <c r="AI20" s="109"/>
    </row>
    <row r="21" spans="1:35">
      <c r="A21" s="109"/>
      <c r="B21" s="263"/>
      <c r="C21" s="271"/>
      <c r="D21" s="263"/>
      <c r="E21" s="277">
        <f t="shared" ref="E21:F21" si="41">E20+1</f>
        <v>34</v>
      </c>
      <c r="F21" s="277">
        <f t="shared" si="41"/>
        <v>2034</v>
      </c>
      <c r="G21" s="285">
        <f t="shared" si="30"/>
        <v>45.199999999999996</v>
      </c>
      <c r="H21" s="279">
        <f t="shared" si="26"/>
        <v>55.000000000000028</v>
      </c>
      <c r="I21" s="294"/>
      <c r="J21" s="285">
        <f t="shared" si="27"/>
        <v>283.7431587276746</v>
      </c>
      <c r="K21" s="296">
        <f t="shared" si="23"/>
        <v>72.832175238937296</v>
      </c>
      <c r="L21" s="294"/>
      <c r="M21" s="281">
        <f>IF(SUM($C$4:$C$6)=0,GROWTH($M$7:M20,$E$7:$E20,$E21),IF(SUM($C$4:$C$5)=0,GROWTH($M$6:$M20,$E$6:$E20,$E21),IF($C$4=0,GROWTH($M$5:$M20,$E$5:$E20,$E21),GROWTH($M$4:$M20,$E$4:$E20,$E21))))</f>
        <v>283.7431587276746</v>
      </c>
      <c r="N21" s="281">
        <f t="shared" si="31"/>
        <v>2537.1815782961139</v>
      </c>
      <c r="O21" s="279">
        <f t="shared" si="24"/>
        <v>72.832175238937296</v>
      </c>
      <c r="P21" s="296">
        <f t="shared" si="28"/>
        <v>32.566415538242239</v>
      </c>
      <c r="Q21" s="282"/>
      <c r="R21" s="283">
        <f t="shared" si="3"/>
        <v>29</v>
      </c>
      <c r="S21" s="283">
        <f t="shared" si="4"/>
        <v>5</v>
      </c>
      <c r="T21" s="284">
        <f t="shared" si="5"/>
        <v>14</v>
      </c>
      <c r="U21" s="284">
        <f t="shared" si="6"/>
        <v>17</v>
      </c>
      <c r="V21" s="109"/>
      <c r="W21" s="285">
        <f t="shared" ca="1" si="7"/>
        <v>1045.5163869915543</v>
      </c>
      <c r="X21" s="285">
        <f t="shared" ca="1" si="8"/>
        <v>1389.8518342182256</v>
      </c>
      <c r="Y21" s="263"/>
      <c r="Z21" s="286">
        <f t="shared" ca="1" si="9"/>
        <v>76147.232712549463</v>
      </c>
      <c r="AA21" s="286">
        <f t="shared" ca="1" si="10"/>
        <v>101225.93234594024</v>
      </c>
      <c r="AB21" s="109"/>
      <c r="AC21" s="286">
        <f t="shared" ca="1" si="11"/>
        <v>456883.39627529681</v>
      </c>
      <c r="AD21" s="286">
        <f t="shared" ca="1" si="12"/>
        <v>202451.86469188047</v>
      </c>
      <c r="AE21" s="109"/>
      <c r="AF21" s="286">
        <f t="shared" ca="1" si="19"/>
        <v>254431.53158341633</v>
      </c>
      <c r="AG21" s="109"/>
      <c r="AH21" s="286">
        <f t="shared" ca="1" si="13"/>
        <v>-25078.699633390774</v>
      </c>
      <c r="AI21" s="109"/>
    </row>
    <row r="22" spans="1:35">
      <c r="A22" s="109"/>
      <c r="B22" s="263"/>
      <c r="C22" s="271"/>
      <c r="D22" s="263"/>
      <c r="E22" s="277">
        <f t="shared" ref="E22:F22" si="42">E21+1</f>
        <v>35</v>
      </c>
      <c r="F22" s="277">
        <f t="shared" si="42"/>
        <v>2035</v>
      </c>
      <c r="G22" s="285">
        <f t="shared" si="30"/>
        <v>47.519999999999996</v>
      </c>
      <c r="H22" s="279">
        <f t="shared" si="26"/>
        <v>50.000000000000028</v>
      </c>
      <c r="I22" s="294"/>
      <c r="J22" s="285">
        <f t="shared" si="27"/>
        <v>354.91350627010877</v>
      </c>
      <c r="K22" s="296">
        <f t="shared" si="23"/>
        <v>70.079589221983269</v>
      </c>
      <c r="L22" s="294"/>
      <c r="M22" s="281">
        <f>IF(SUM($C$4:$C$6)=0,GROWTH($M$7:M21,$E$7:$E21,$E22),IF(SUM($C$4:$C$5)=0,GROWTH($M$6:$M21,$E$6:$E21,$E22),IF($C$4=0,GROWTH($M$5:$M21,$E$5:$E21,$E22),GROWTH($M$4:$M21,$E$4:$E21,$E22))))</f>
        <v>354.91350627010877</v>
      </c>
      <c r="N22" s="281">
        <f t="shared" si="31"/>
        <v>2491.6927415234281</v>
      </c>
      <c r="O22" s="279">
        <f t="shared" si="24"/>
        <v>70.079589221983269</v>
      </c>
      <c r="P22" s="296">
        <f t="shared" si="28"/>
        <v>35.539480278256221</v>
      </c>
      <c r="Q22" s="282"/>
      <c r="R22" s="283">
        <f t="shared" si="3"/>
        <v>30</v>
      </c>
      <c r="S22" s="283">
        <f t="shared" si="4"/>
        <v>5</v>
      </c>
      <c r="T22" s="284">
        <f t="shared" si="5"/>
        <v>15</v>
      </c>
      <c r="U22" s="284">
        <f t="shared" si="6"/>
        <v>18</v>
      </c>
      <c r="V22" s="109"/>
      <c r="W22" s="285">
        <f t="shared" ca="1" si="7"/>
        <v>1307.7597656765511</v>
      </c>
      <c r="X22" s="285">
        <f t="shared" ca="1" si="8"/>
        <v>1744.7653404883345</v>
      </c>
      <c r="Y22" s="263"/>
      <c r="Z22" s="286">
        <f t="shared" ca="1" si="9"/>
        <v>91647.267179649789</v>
      </c>
      <c r="AA22" s="286">
        <f t="shared" ca="1" si="10"/>
        <v>122272.43835017625</v>
      </c>
      <c r="AB22" s="109"/>
      <c r="AC22" s="286">
        <f t="shared" ca="1" si="11"/>
        <v>549883.60307789873</v>
      </c>
      <c r="AD22" s="286">
        <f t="shared" ca="1" si="12"/>
        <v>244544.8767003525</v>
      </c>
      <c r="AE22" s="109"/>
      <c r="AF22" s="286">
        <f t="shared" ca="1" si="19"/>
        <v>305338.72637754621</v>
      </c>
      <c r="AG22" s="109"/>
      <c r="AH22" s="286">
        <f t="shared" ca="1" si="13"/>
        <v>-30625.171170526461</v>
      </c>
      <c r="AI22" s="109"/>
    </row>
    <row r="23" spans="1:35">
      <c r="A23" s="109"/>
      <c r="B23" s="263"/>
      <c r="C23" s="263"/>
      <c r="D23" s="263"/>
      <c r="E23" s="277">
        <f t="shared" ref="E23:F23" si="43">E22+1</f>
        <v>36</v>
      </c>
      <c r="F23" s="277">
        <f t="shared" si="43"/>
        <v>2036</v>
      </c>
      <c r="G23" s="285">
        <f t="shared" si="30"/>
        <v>49.839999999999996</v>
      </c>
      <c r="H23" s="279">
        <f t="shared" si="26"/>
        <v>45.000000000000028</v>
      </c>
      <c r="I23" s="294"/>
      <c r="J23" s="285">
        <f t="shared" si="27"/>
        <v>443.93527406184052</v>
      </c>
      <c r="K23" s="296">
        <f t="shared" si="23"/>
        <v>67.431033185678146</v>
      </c>
      <c r="L23" s="294"/>
      <c r="M23" s="281">
        <f>IF(SUM($C$4:$C$6)=0,GROWTH($M$7:M22,$E$7:$E22,$E23),IF(SUM($C$4:$C$5)=0,GROWTH($M$6:$M22,$E$6:$E22,$E23),IF($C$4=0,GROWTH($M$5:$M22,$E$5:$E22,$E23),GROWTH($M$4:$M22,$E$4:$E22,$E23))))</f>
        <v>443.93527406184052</v>
      </c>
      <c r="N23" s="281">
        <f t="shared" si="31"/>
        <v>2434.7940919576163</v>
      </c>
      <c r="O23" s="279">
        <f t="shared" si="24"/>
        <v>67.431033185678146</v>
      </c>
      <c r="P23" s="296">
        <f t="shared" si="28"/>
        <v>38.400182365307899</v>
      </c>
      <c r="Q23" s="282"/>
      <c r="R23" s="283">
        <f t="shared" si="3"/>
        <v>31</v>
      </c>
      <c r="S23" s="283">
        <f t="shared" si="4"/>
        <v>5</v>
      </c>
      <c r="T23" s="284">
        <f t="shared" si="5"/>
        <v>16</v>
      </c>
      <c r="U23" s="284">
        <f t="shared" si="6"/>
        <v>19</v>
      </c>
      <c r="V23" s="109"/>
      <c r="W23" s="285">
        <f t="shared" ca="1" si="7"/>
        <v>1635.7807739805457</v>
      </c>
      <c r="X23" s="285">
        <f t="shared" ca="1" si="8"/>
        <v>2188.700614550175</v>
      </c>
      <c r="Y23" s="263"/>
      <c r="Z23" s="286">
        <f t="shared" ca="1" si="9"/>
        <v>110302.38765477647</v>
      </c>
      <c r="AA23" s="286">
        <f t="shared" ca="1" si="10"/>
        <v>147586.343773247</v>
      </c>
      <c r="AB23" s="109"/>
      <c r="AC23" s="286">
        <f t="shared" ca="1" si="11"/>
        <v>661814.32592865883</v>
      </c>
      <c r="AD23" s="286">
        <f t="shared" ca="1" si="12"/>
        <v>295172.68754649401</v>
      </c>
      <c r="AE23" s="109"/>
      <c r="AF23" s="286">
        <f t="shared" ca="1" si="19"/>
        <v>366641.63838216482</v>
      </c>
      <c r="AG23" s="109"/>
      <c r="AH23" s="286">
        <f t="shared" ca="1" si="13"/>
        <v>-37283.956118470538</v>
      </c>
      <c r="AI23" s="109"/>
    </row>
    <row r="24" spans="1:35">
      <c r="A24" s="109"/>
      <c r="C24" s="263"/>
      <c r="D24" s="263"/>
      <c r="E24" s="277">
        <f t="shared" ref="E24:F24" si="44">E23+1</f>
        <v>37</v>
      </c>
      <c r="F24" s="277">
        <f t="shared" si="44"/>
        <v>2037</v>
      </c>
      <c r="G24" s="285">
        <f t="shared" si="30"/>
        <v>52.159999999999989</v>
      </c>
      <c r="H24" s="279">
        <f t="shared" si="26"/>
        <v>40.000000000000043</v>
      </c>
      <c r="I24" s="294"/>
      <c r="J24" s="285">
        <f t="shared" si="27"/>
        <v>555.2860741410434</v>
      </c>
      <c r="K24" s="296">
        <f t="shared" si="23"/>
        <v>64.882575468374696</v>
      </c>
      <c r="L24" s="294"/>
      <c r="M24" s="281">
        <f>IF(SUM($C$4:$C$6)=0,GROWTH($M$7:M23,$E$7:$E23,$E24),IF(SUM($C$4:$C$5)=0,GROWTH($M$6:$M23,$E$6:$E23,$E24),IF($C$4=0,GROWTH($M$5:$M23,$E$5:$E23,$E24),GROWTH($M$4:$M23,$E$4:$E23,$E24))))</f>
        <v>555.2860741410434</v>
      </c>
      <c r="N24" s="281">
        <f t="shared" si="31"/>
        <v>2363.623744415182</v>
      </c>
      <c r="O24" s="279">
        <f t="shared" si="24"/>
        <v>64.882575468374696</v>
      </c>
      <c r="P24" s="296">
        <f t="shared" si="28"/>
        <v>41.152768382261925</v>
      </c>
      <c r="Q24" s="282"/>
      <c r="R24" s="283">
        <f t="shared" si="3"/>
        <v>32</v>
      </c>
      <c r="S24" s="283">
        <f t="shared" si="4"/>
        <v>5</v>
      </c>
      <c r="T24" s="284">
        <f t="shared" si="5"/>
        <v>17</v>
      </c>
      <c r="U24" s="284">
        <f t="shared" si="6"/>
        <v>20</v>
      </c>
      <c r="V24" s="109"/>
      <c r="W24" s="285">
        <f t="shared" ca="1" si="7"/>
        <v>2046.0781947517069</v>
      </c>
      <c r="X24" s="285">
        <f t="shared" ca="1" si="8"/>
        <v>2743.9866886912187</v>
      </c>
      <c r="Y24" s="263"/>
      <c r="Z24" s="286">
        <f t="shared" ca="1" si="9"/>
        <v>132754.82288517349</v>
      </c>
      <c r="AA24" s="286">
        <f t="shared" ca="1" si="10"/>
        <v>178036.92341322359</v>
      </c>
      <c r="AB24" s="109"/>
      <c r="AC24" s="286">
        <f t="shared" ca="1" si="11"/>
        <v>796528.93731104094</v>
      </c>
      <c r="AD24" s="286">
        <f t="shared" ca="1" si="12"/>
        <v>356073.84682644717</v>
      </c>
      <c r="AE24" s="109"/>
      <c r="AF24" s="286">
        <f t="shared" ca="1" si="19"/>
        <v>440455.09048459376</v>
      </c>
      <c r="AG24" s="109"/>
      <c r="AH24" s="286">
        <f t="shared" ca="1" si="13"/>
        <v>-45282.100528050098</v>
      </c>
      <c r="AI24" s="109"/>
    </row>
    <row r="25" spans="1:35">
      <c r="A25" s="109"/>
      <c r="B25" s="263"/>
      <c r="C25" s="314"/>
      <c r="D25" s="263"/>
      <c r="E25" s="277">
        <f t="shared" ref="E25:F25" si="45">E24+1</f>
        <v>38</v>
      </c>
      <c r="F25" s="277">
        <f t="shared" si="45"/>
        <v>2038</v>
      </c>
      <c r="G25" s="285">
        <f t="shared" si="30"/>
        <v>54.47999999999999</v>
      </c>
      <c r="H25" s="279">
        <f t="shared" si="26"/>
        <v>35.000000000000043</v>
      </c>
      <c r="I25" s="294"/>
      <c r="J25" s="285">
        <f t="shared" si="27"/>
        <v>694.56662299833386</v>
      </c>
      <c r="K25" s="296">
        <f t="shared" si="23"/>
        <v>62.430432999852918</v>
      </c>
      <c r="L25" s="294"/>
      <c r="M25" s="281">
        <f>IF(SUM($C$4:$C$6)=0,GROWTH($M$7:M24,$E$7:$E24,$E25),IF(SUM($C$4:$C$5)=0,GROWTH($M$6:$M24,$E$6:$E24,$E25),IF($C$4=0,GROWTH($M$5:$M24,$E$5:$E24,$E25),GROWTH($M$4:$M24,$E$4:$E24,$E25))))</f>
        <v>694.56662299833386</v>
      </c>
      <c r="N25" s="281">
        <f t="shared" si="31"/>
        <v>2274.6019766234504</v>
      </c>
      <c r="O25" s="279">
        <f t="shared" si="24"/>
        <v>62.430432999852918</v>
      </c>
      <c r="P25" s="296">
        <f t="shared" si="28"/>
        <v>43.801324418567049</v>
      </c>
      <c r="Q25" s="282"/>
      <c r="R25" s="283">
        <f t="shared" si="3"/>
        <v>33</v>
      </c>
      <c r="S25" s="283">
        <f t="shared" si="4"/>
        <v>5</v>
      </c>
      <c r="T25" s="284">
        <f t="shared" si="5"/>
        <v>18</v>
      </c>
      <c r="U25" s="284">
        <f t="shared" si="6"/>
        <v>20</v>
      </c>
      <c r="V25" s="109"/>
      <c r="W25" s="285">
        <f t="shared" ca="1" si="7"/>
        <v>2559.289145360864</v>
      </c>
      <c r="X25" s="285">
        <f t="shared" ca="1" si="8"/>
        <v>3432.1533116895521</v>
      </c>
      <c r="Y25" s="263"/>
      <c r="Z25" s="286">
        <f t="shared" ca="1" si="9"/>
        <v>159777.52951670226</v>
      </c>
      <c r="AA25" s="286">
        <f t="shared" ca="1" si="10"/>
        <v>214270.8173706579</v>
      </c>
      <c r="AB25" s="109"/>
      <c r="AC25" s="286">
        <f t="shared" ca="1" si="11"/>
        <v>958665.17710021348</v>
      </c>
      <c r="AD25" s="286">
        <f t="shared" ca="1" si="12"/>
        <v>428541.63474131579</v>
      </c>
      <c r="AE25" s="109"/>
      <c r="AF25" s="286">
        <f t="shared" ca="1" si="19"/>
        <v>530123.54235889763</v>
      </c>
      <c r="AG25" s="109"/>
      <c r="AH25" s="286">
        <f t="shared" ca="1" si="13"/>
        <v>-54493.28785395564</v>
      </c>
      <c r="AI25" s="109"/>
    </row>
    <row r="26" spans="1:35">
      <c r="A26" s="109"/>
      <c r="B26" s="271" t="s">
        <v>774</v>
      </c>
      <c r="D26" s="263"/>
      <c r="E26" s="277">
        <f t="shared" ref="E26:F26" si="46">E25+1</f>
        <v>39</v>
      </c>
      <c r="F26" s="277">
        <f t="shared" si="46"/>
        <v>2039</v>
      </c>
      <c r="G26" s="285">
        <f t="shared" si="30"/>
        <v>56.79999999999999</v>
      </c>
      <c r="H26" s="279">
        <f t="shared" si="26"/>
        <v>30.000000000000043</v>
      </c>
      <c r="I26" s="294"/>
      <c r="J26" s="285">
        <f t="shared" si="27"/>
        <v>868.7824461104243</v>
      </c>
      <c r="K26" s="296">
        <f t="shared" si="23"/>
        <v>60.07096568552344</v>
      </c>
      <c r="L26" s="294"/>
      <c r="M26" s="281">
        <f>IF(SUM($C$4:$C$6)=0,GROWTH($M$7:M25,$E$7:$E25,$E26),IF(SUM($C$4:$C$5)=0,GROWTH($M$6:$M25,$E$6:$E25,$E26),IF($C$4=0,GROWTH($M$5:$M25,$E$5:$E25,$E26),GROWTH($M$4:$M25,$E$4:$E25,$E26))))</f>
        <v>868.7824461104243</v>
      </c>
      <c r="N26" s="281">
        <f t="shared" si="31"/>
        <v>2163.2511765442478</v>
      </c>
      <c r="O26" s="279">
        <f t="shared" si="24"/>
        <v>60.07096568552344</v>
      </c>
      <c r="P26" s="296">
        <f t="shared" si="28"/>
        <v>46.349782135870498</v>
      </c>
      <c r="Q26" s="282"/>
      <c r="R26" s="283">
        <f t="shared" si="3"/>
        <v>34</v>
      </c>
      <c r="S26" s="283">
        <f t="shared" si="4"/>
        <v>5</v>
      </c>
      <c r="T26" s="284">
        <f t="shared" si="5"/>
        <v>19</v>
      </c>
      <c r="U26" s="284">
        <f t="shared" si="6"/>
        <v>20</v>
      </c>
      <c r="V26" s="109"/>
      <c r="W26" s="285">
        <f t="shared" ca="1" si="7"/>
        <v>3201.2270823094254</v>
      </c>
      <c r="X26" s="285">
        <f t="shared" ca="1" si="8"/>
        <v>4292.9357577999763</v>
      </c>
      <c r="Y26" s="263"/>
      <c r="Z26" s="286">
        <f t="shared" ca="1" si="9"/>
        <v>192300.80221297781</v>
      </c>
      <c r="AA26" s="286">
        <f t="shared" ca="1" si="10"/>
        <v>257880.79659695894</v>
      </c>
      <c r="AB26" s="109"/>
      <c r="AC26" s="286">
        <f t="shared" ca="1" si="11"/>
        <v>1153804.8132778669</v>
      </c>
      <c r="AD26" s="286">
        <f t="shared" ca="1" si="12"/>
        <v>515761.59319391788</v>
      </c>
      <c r="AE26" s="109"/>
      <c r="AF26" s="286">
        <f t="shared" ca="1" si="19"/>
        <v>638043.22008394904</v>
      </c>
      <c r="AG26" s="109"/>
      <c r="AH26" s="286">
        <f t="shared" ca="1" si="13"/>
        <v>-65579.994383981131</v>
      </c>
      <c r="AI26" s="109"/>
    </row>
    <row r="27" spans="1:35">
      <c r="A27" s="109"/>
      <c r="B27" s="263">
        <f t="array" ref="B27:C27">LINEST(C4:C8)</f>
        <v>2.3199999999999994</v>
      </c>
      <c r="C27">
        <v>3.4400000000000022</v>
      </c>
      <c r="D27" s="271" t="s">
        <v>361</v>
      </c>
      <c r="E27" s="277">
        <f t="shared" ref="E27:F27" si="47">E26+1</f>
        <v>40</v>
      </c>
      <c r="F27" s="277">
        <f t="shared" si="47"/>
        <v>2040</v>
      </c>
      <c r="G27" s="285">
        <f t="shared" si="30"/>
        <v>59.11999999999999</v>
      </c>
      <c r="H27" s="279">
        <f t="shared" si="26"/>
        <v>25.000000000000043</v>
      </c>
      <c r="I27" s="294"/>
      <c r="J27" s="285">
        <f t="shared" si="27"/>
        <v>1086.6962414798072</v>
      </c>
      <c r="K27" s="296">
        <f t="shared" si="23"/>
        <v>57.800671002872015</v>
      </c>
      <c r="L27" s="294"/>
      <c r="M27" s="281">
        <f>IF(SUM($C$4:$C$6)=0,GROWTH($M$7:M26,$E$7:$E26,$E27),IF(SUM($C$4:$C$5)=0,GROWTH($M$6:$M26,$E$6:$E26,$E27),IF($C$4=0,GROWTH($M$5:$M26,$E$5:$E26,$E27),GROWTH($M$4:$M26,$E$4:$E26,$E27))))</f>
        <v>1086.6962414798072</v>
      </c>
      <c r="N27" s="281">
        <f t="shared" si="31"/>
        <v>2023.9706276869574</v>
      </c>
      <c r="O27" s="279">
        <f t="shared" si="24"/>
        <v>57.800671002872015</v>
      </c>
      <c r="P27" s="296">
        <f t="shared" si="28"/>
        <v>48.801924604392276</v>
      </c>
      <c r="Q27" s="282"/>
      <c r="R27" s="283">
        <f t="shared" si="3"/>
        <v>35</v>
      </c>
      <c r="S27" s="283">
        <f t="shared" si="4"/>
        <v>5</v>
      </c>
      <c r="T27" s="284">
        <f t="shared" si="5"/>
        <v>20</v>
      </c>
      <c r="U27" s="284">
        <f t="shared" si="6"/>
        <v>20</v>
      </c>
      <c r="V27" s="109"/>
      <c r="W27" s="285">
        <f t="shared" ca="1" si="7"/>
        <v>4004.180165061558</v>
      </c>
      <c r="X27" s="285">
        <f t="shared" ca="1" si="8"/>
        <v>5370.031999279784</v>
      </c>
      <c r="Y27" s="263"/>
      <c r="Z27" s="286">
        <f t="shared" ca="1" si="9"/>
        <v>231444.30035694886</v>
      </c>
      <c r="AA27" s="286">
        <f t="shared" ca="1" si="10"/>
        <v>310391.45286526583</v>
      </c>
      <c r="AB27" s="109"/>
      <c r="AC27" s="286">
        <f t="shared" ca="1" si="11"/>
        <v>1388665.8021416932</v>
      </c>
      <c r="AD27" s="286">
        <f t="shared" ca="1" si="12"/>
        <v>620782.90573053167</v>
      </c>
      <c r="AE27" s="109"/>
      <c r="AF27" s="286">
        <f t="shared" ca="1" si="19"/>
        <v>767882.89641116152</v>
      </c>
      <c r="AG27" s="109"/>
      <c r="AH27" s="286">
        <f t="shared" ca="1" si="13"/>
        <v>-78947.152508316969</v>
      </c>
      <c r="AI27" s="109"/>
    </row>
    <row r="28" spans="1:35">
      <c r="A28" s="109"/>
      <c r="B28" s="263">
        <f t="array" ref="B28:C28">LINEST(D4:D8)</f>
        <v>-4.9999999999999982</v>
      </c>
      <c r="C28" s="263">
        <v>145</v>
      </c>
      <c r="D28" s="271" t="s">
        <v>775</v>
      </c>
      <c r="E28" s="277">
        <f t="shared" ref="E28:F28" si="48">E27+1</f>
        <v>41</v>
      </c>
      <c r="F28" s="277">
        <f t="shared" si="48"/>
        <v>2041</v>
      </c>
      <c r="G28" s="285">
        <f t="shared" si="30"/>
        <v>61.439999999999991</v>
      </c>
      <c r="H28" s="279">
        <f t="shared" si="26"/>
        <v>20.000000000000043</v>
      </c>
      <c r="I28" s="294"/>
      <c r="J28" s="285">
        <f>IF(SUM($C$4:$C$6)=0,GROWTH($J$7:$J27,$E$7:$E27,$E28),IF(SUM($C$4:$C$5)=0,GROWTH($J$6:$J27,$E$6:$E27,$E28),IF($C$4=0,GROWTH($J$5:$J27,$E$5:$E27,$E28),GROWTH($J$4:$J27,$E$4:$E27,$E28))))</f>
        <v>1359.2686253426457</v>
      </c>
      <c r="K28" s="296">
        <f t="shared" si="23"/>
        <v>55.616178802122597</v>
      </c>
      <c r="L28" s="294"/>
      <c r="M28" s="281">
        <f>IF(SUM($C$4:$C$6)=0,GROWTH($M$7:M27,$E$7:$E27,$E28),IF(SUM($C$4:$C$5)=0,GROWTH($M$6:$M27,$E$6:$E27,$E28),IF($C$4=0,GROWTH($M$5:$M27,$E$5:$E27,$E28),GROWTH($M$4:$M27,$E$4:$E27,$E28))))</f>
        <v>1359.2686253426457</v>
      </c>
      <c r="N28" s="281">
        <f t="shared" si="31"/>
        <v>1849.7548045748672</v>
      </c>
      <c r="O28" s="279">
        <f t="shared" si="24"/>
        <v>55.616178802122597</v>
      </c>
      <c r="P28" s="296">
        <f t="shared" si="28"/>
        <v>51.161391918721755</v>
      </c>
      <c r="Q28" s="282"/>
      <c r="R28" s="283">
        <f t="shared" si="3"/>
        <v>36</v>
      </c>
      <c r="S28" s="283">
        <f t="shared" si="4"/>
        <v>5</v>
      </c>
      <c r="T28" s="284">
        <f t="shared" si="5"/>
        <v>21</v>
      </c>
      <c r="U28" s="284">
        <f t="shared" si="6"/>
        <v>20</v>
      </c>
      <c r="V28" s="109"/>
      <c r="W28" s="285">
        <f t="shared" ca="1" si="7"/>
        <v>5008.5352841340946</v>
      </c>
      <c r="X28" s="285">
        <f t="shared" ca="1" si="8"/>
        <v>6717.3006246224295</v>
      </c>
      <c r="Y28" s="263"/>
      <c r="Z28" s="286">
        <f t="shared" ca="1" si="9"/>
        <v>278555.59389914171</v>
      </c>
      <c r="AA28" s="286">
        <f t="shared" ca="1" si="10"/>
        <v>373590.59260661085</v>
      </c>
      <c r="AB28" s="109"/>
      <c r="AC28" s="286">
        <f t="shared" ca="1" si="11"/>
        <v>1671333.5633948501</v>
      </c>
      <c r="AD28" s="286">
        <f t="shared" ca="1" si="12"/>
        <v>747181.1852132217</v>
      </c>
      <c r="AE28" s="109"/>
      <c r="AF28" s="286">
        <f t="shared" ca="1" si="19"/>
        <v>924152.37818162842</v>
      </c>
      <c r="AG28" s="109"/>
      <c r="AH28" s="286">
        <f t="shared" ca="1" si="13"/>
        <v>-95034.998707469145</v>
      </c>
      <c r="AI28" s="109"/>
    </row>
    <row r="29" spans="1:35">
      <c r="A29" s="109"/>
      <c r="B29" s="271" t="s">
        <v>776</v>
      </c>
      <c r="D29" s="263"/>
      <c r="E29" s="277">
        <f t="shared" ref="E29:F29" si="49">E28+1</f>
        <v>42</v>
      </c>
      <c r="F29" s="277">
        <f t="shared" si="49"/>
        <v>2042</v>
      </c>
      <c r="G29" s="285">
        <f t="shared" si="30"/>
        <v>63.759999999999991</v>
      </c>
      <c r="H29" s="279">
        <f t="shared" si="26"/>
        <v>15.000000000000057</v>
      </c>
      <c r="I29" s="294"/>
      <c r="J29" s="285">
        <f>IF(SUM($C$4:$C$6)=0,GROWTH($J$7:$J28,$E$7:$E28,$E29),IF(SUM($C$4:$C$5)=0,GROWTH($J$6:$J28,$E$6:$E28,$E29),IF($C$4=0,GROWTH($J$5:$J28,$E$5:$E28,$E29),GROWTH($J$4:$J28,$E$4:$E28,$E29))))</f>
        <v>1700.2094286485305</v>
      </c>
      <c r="K29" s="296">
        <f t="shared" si="23"/>
        <v>53.514246303403283</v>
      </c>
      <c r="L29" s="294"/>
      <c r="M29" s="281">
        <f>N27</f>
        <v>2023.9706276869574</v>
      </c>
      <c r="N29" s="281">
        <f>$M$28+M28-M27</f>
        <v>1631.8410092054842</v>
      </c>
      <c r="O29" s="279">
        <f>P29</f>
        <v>53.43168660137318</v>
      </c>
      <c r="P29" s="296">
        <f>$O$28+O28-O27</f>
        <v>53.43168660137318</v>
      </c>
      <c r="Q29" s="282"/>
      <c r="R29" s="283">
        <f t="shared" si="3"/>
        <v>37</v>
      </c>
      <c r="S29" s="283">
        <f t="shared" si="4"/>
        <v>5</v>
      </c>
      <c r="T29" s="284">
        <f t="shared" si="5"/>
        <v>22</v>
      </c>
      <c r="U29" s="284">
        <f t="shared" si="6"/>
        <v>20</v>
      </c>
      <c r="V29" s="109"/>
      <c r="W29" s="285">
        <f t="shared" ca="1" si="7"/>
        <v>6588.5706377592114</v>
      </c>
      <c r="X29" s="285">
        <f t="shared" ca="1" si="8"/>
        <v>8725.2712523093869</v>
      </c>
      <c r="Y29" s="263"/>
      <c r="Z29" s="286">
        <f t="shared" ca="1" si="9"/>
        <v>352582.39189641731</v>
      </c>
      <c r="AA29" s="286">
        <f t="shared" ca="1" si="10"/>
        <v>466926.31486008852</v>
      </c>
      <c r="AB29" s="109"/>
      <c r="AC29" s="286">
        <f t="shared" ca="1" si="11"/>
        <v>2115494.3513785037</v>
      </c>
      <c r="AD29" s="286">
        <f t="shared" ca="1" si="12"/>
        <v>933852.62972017704</v>
      </c>
      <c r="AE29" s="109"/>
      <c r="AF29" s="286">
        <f t="shared" ca="1" si="19"/>
        <v>1181641.7216583267</v>
      </c>
      <c r="AG29" s="109"/>
      <c r="AH29" s="286">
        <f t="shared" ca="1" si="13"/>
        <v>-114343.92296367121</v>
      </c>
      <c r="AI29" s="109"/>
    </row>
    <row r="30" spans="1:35">
      <c r="A30" s="109"/>
      <c r="B30" s="263">
        <f t="array" ref="B30:C30">LINEST(C5:C8)</f>
        <v>2.64</v>
      </c>
      <c r="C30">
        <v>4.8</v>
      </c>
      <c r="D30" s="271" t="s">
        <v>361</v>
      </c>
      <c r="E30" s="277">
        <f t="shared" ref="E30:F30" si="50">E29+1</f>
        <v>43</v>
      </c>
      <c r="F30" s="277">
        <f t="shared" si="50"/>
        <v>2043</v>
      </c>
      <c r="G30" s="285">
        <f t="shared" si="30"/>
        <v>66.079999999999984</v>
      </c>
      <c r="H30" s="279">
        <f t="shared" si="26"/>
        <v>10.000000000000057</v>
      </c>
      <c r="I30" s="294"/>
      <c r="J30" s="285">
        <f>IF(SUM($C$4:$C$6)=0,GROWTH($J$7:$J29,$E$7:$E29,$E30),IF(SUM($C$4:$C$5)=0,GROWTH($J$6:$J29,$E$6:$E29,$E30),IF($C$4=0,GROWTH($J$5:$J29,$E$5:$E29,$E30),GROWTH($J$4:$J29,$E$4:$E29,$E30))))</f>
        <v>2126.6672733924634</v>
      </c>
      <c r="K30" s="296">
        <f t="shared" si="23"/>
        <v>51.491753282985648</v>
      </c>
      <c r="L30" s="294"/>
      <c r="M30" s="281">
        <f>N28</f>
        <v>1849.7548045748672</v>
      </c>
      <c r="N30" s="281"/>
      <c r="O30" s="279">
        <f>P28</f>
        <v>51.161391918721755</v>
      </c>
      <c r="P30" s="296"/>
      <c r="Q30" s="282"/>
      <c r="R30" s="283">
        <f t="shared" si="3"/>
        <v>38</v>
      </c>
      <c r="S30" s="283">
        <f t="shared" si="4"/>
        <v>5</v>
      </c>
      <c r="T30" s="284">
        <f t="shared" si="5"/>
        <v>23</v>
      </c>
      <c r="U30" s="284">
        <f t="shared" si="6"/>
        <v>20</v>
      </c>
      <c r="V30" s="109"/>
      <c r="W30" s="285">
        <f t="shared" ca="1" si="7"/>
        <v>7883.0393681930354</v>
      </c>
      <c r="X30" s="285">
        <f t="shared" ca="1" si="8"/>
        <v>10555.681451829409</v>
      </c>
      <c r="Y30" s="263"/>
      <c r="Z30" s="286">
        <f t="shared" ca="1" si="9"/>
        <v>405911.51826705883</v>
      </c>
      <c r="AA30" s="286">
        <f t="shared" ca="1" si="10"/>
        <v>543530.54505138763</v>
      </c>
      <c r="AB30" s="109"/>
      <c r="AC30" s="286">
        <f t="shared" ca="1" si="11"/>
        <v>2435469.1096023531</v>
      </c>
      <c r="AD30" s="286">
        <f t="shared" ca="1" si="12"/>
        <v>1087061.0901027753</v>
      </c>
      <c r="AE30" s="109"/>
      <c r="AF30" s="286">
        <f t="shared" ca="1" si="19"/>
        <v>1348408.0194995778</v>
      </c>
      <c r="AG30" s="109"/>
      <c r="AH30" s="286">
        <f t="shared" ca="1" si="13"/>
        <v>-137619.0267843288</v>
      </c>
      <c r="AI30" s="109"/>
    </row>
    <row r="31" spans="1:35">
      <c r="A31" s="109"/>
      <c r="B31" s="263">
        <f t="array" ref="B31:C31">LINEST(D5:D8)</f>
        <v>-5</v>
      </c>
      <c r="C31" s="263">
        <v>140</v>
      </c>
      <c r="D31" s="271" t="s">
        <v>775</v>
      </c>
      <c r="E31" s="277">
        <f t="shared" ref="E31:F31" si="51">E30+1</f>
        <v>44</v>
      </c>
      <c r="F31" s="277">
        <f t="shared" si="51"/>
        <v>2044</v>
      </c>
      <c r="G31" s="285">
        <f t="shared" si="30"/>
        <v>68.399999999999977</v>
      </c>
      <c r="H31" s="279">
        <f t="shared" si="26"/>
        <v>5.0000000000000568</v>
      </c>
      <c r="I31" s="294"/>
      <c r="J31" s="285">
        <f>IF(SUM($C$4:$C$6)=0,GROWTH($J$7:$J30,$E$7:$E30,$E31),IF(SUM($C$4:$C$5)=0,GROWTH($J$6:$J30,$E$6:$E30,$E31),IF($C$4=0,GROWTH($J$5:$J30,$E$5:$E30,$E31),GROWTH($J$4:$J30,$E$4:$E30,$E31))))</f>
        <v>2660.0921130719539</v>
      </c>
      <c r="K31" s="296">
        <f t="shared" si="23"/>
        <v>49.545697441453875</v>
      </c>
      <c r="L31" s="294"/>
      <c r="M31" s="281">
        <f>N27</f>
        <v>2023.9706276869574</v>
      </c>
      <c r="N31" s="281"/>
      <c r="O31" s="279">
        <f>P27</f>
        <v>48.801924604392276</v>
      </c>
      <c r="P31" s="296"/>
      <c r="Q31" s="282"/>
      <c r="R31" s="283">
        <f t="shared" si="3"/>
        <v>39</v>
      </c>
      <c r="S31" s="283">
        <f t="shared" si="4"/>
        <v>5</v>
      </c>
      <c r="T31" s="284">
        <f t="shared" si="5"/>
        <v>24</v>
      </c>
      <c r="U31" s="284">
        <f t="shared" si="6"/>
        <v>20</v>
      </c>
      <c r="V31" s="109"/>
      <c r="W31" s="285">
        <f t="shared" ca="1" si="7"/>
        <v>9212.4433728816584</v>
      </c>
      <c r="X31" s="285">
        <f t="shared" ca="1" si="8"/>
        <v>12555.455331872436</v>
      </c>
      <c r="Y31" s="263"/>
      <c r="Z31" s="286">
        <f t="shared" ca="1" si="9"/>
        <v>456436.93204932148</v>
      </c>
      <c r="AA31" s="286">
        <f t="shared" ca="1" si="10"/>
        <v>622068.79111264052</v>
      </c>
      <c r="AB31" s="109"/>
      <c r="AC31" s="286">
        <f t="shared" ca="1" si="11"/>
        <v>2738621.5922959289</v>
      </c>
      <c r="AD31" s="286">
        <f t="shared" ca="1" si="12"/>
        <v>1244137.582225281</v>
      </c>
      <c r="AE31" s="109"/>
      <c r="AF31" s="286">
        <f t="shared" ca="1" si="19"/>
        <v>1494484.0100706478</v>
      </c>
      <c r="AG31" s="109"/>
      <c r="AH31" s="286">
        <f t="shared" ca="1" si="13"/>
        <v>-165631.85906331905</v>
      </c>
      <c r="AI31" s="109"/>
    </row>
    <row r="32" spans="1:35">
      <c r="A32" s="109"/>
      <c r="B32" s="271" t="s">
        <v>777</v>
      </c>
      <c r="D32" s="263"/>
      <c r="E32" s="277">
        <f t="shared" ref="E32:F32" si="52">E31+1</f>
        <v>45</v>
      </c>
      <c r="F32" s="277">
        <f t="shared" si="52"/>
        <v>2045</v>
      </c>
      <c r="G32" s="285">
        <f t="shared" si="30"/>
        <v>70.719999999999985</v>
      </c>
      <c r="H32" s="279">
        <f t="shared" si="26"/>
        <v>5.6843418860808015E-14</v>
      </c>
      <c r="I32" s="294"/>
      <c r="J32" s="285">
        <f>IF(SUM($C$4:$C$6)=0,GROWTH($J$7:$J31,$E$7:$E31,$E32),IF(SUM($C$4:$C$5)=0,GROWTH($J$6:$J31,$E$6:$E31,$E32),IF($C$4=0,GROWTH($J$5:$J31,$E$5:$E31,$E32),GROWTH($J$4:$J31,$E$4:$E31,$E32))))</f>
        <v>3327.3141212822679</v>
      </c>
      <c r="K32" s="296">
        <f t="shared" si="23"/>
        <v>47.673189946927259</v>
      </c>
      <c r="L32" s="294"/>
      <c r="M32" s="281">
        <f>N26</f>
        <v>2163.2511765442478</v>
      </c>
      <c r="N32" s="281"/>
      <c r="O32" s="279">
        <f>P26</f>
        <v>46.349782135870498</v>
      </c>
      <c r="P32" s="296"/>
      <c r="Q32" s="282"/>
      <c r="R32" s="283">
        <f t="shared" si="3"/>
        <v>40</v>
      </c>
      <c r="S32" s="283">
        <f t="shared" si="4"/>
        <v>5</v>
      </c>
      <c r="T32" s="284">
        <f t="shared" si="5"/>
        <v>25</v>
      </c>
      <c r="U32" s="284">
        <f t="shared" si="6"/>
        <v>20</v>
      </c>
      <c r="V32" s="109"/>
      <c r="W32" s="285">
        <f t="shared" ca="1" si="7"/>
        <v>10506.912103315481</v>
      </c>
      <c r="X32" s="285">
        <f t="shared" ca="1" si="8"/>
        <v>14688.440571485728</v>
      </c>
      <c r="Y32" s="263"/>
      <c r="Z32" s="286">
        <f t="shared" ca="1" si="9"/>
        <v>500898.01645702793</v>
      </c>
      <c r="AA32" s="286">
        <f t="shared" ca="1" si="10"/>
        <v>700244.81738859182</v>
      </c>
      <c r="AB32" s="109"/>
      <c r="AC32" s="286">
        <f t="shared" ca="1" si="11"/>
        <v>3005388.0987421675</v>
      </c>
      <c r="AD32" s="286">
        <f t="shared" ca="1" si="12"/>
        <v>1400489.6347771836</v>
      </c>
      <c r="AE32" s="109"/>
      <c r="AF32" s="286">
        <f t="shared" ca="1" si="19"/>
        <v>1604898.4639649838</v>
      </c>
      <c r="AG32" s="109"/>
      <c r="AH32" s="286">
        <f t="shared" ca="1" si="13"/>
        <v>-199346.80093156389</v>
      </c>
      <c r="AI32" s="109"/>
    </row>
    <row r="33" spans="1:35">
      <c r="A33" s="109"/>
      <c r="B33" s="263">
        <f t="array" ref="B33:C33">LINEST(C6:C8)</f>
        <v>3.1999999999999993</v>
      </c>
      <c r="C33">
        <v>6.1333333333333346</v>
      </c>
      <c r="D33" s="271" t="s">
        <v>361</v>
      </c>
      <c r="E33" s="277">
        <f t="shared" ref="E33:F33" si="53">E32+1</f>
        <v>46</v>
      </c>
      <c r="F33" s="277">
        <f t="shared" si="53"/>
        <v>2046</v>
      </c>
      <c r="G33" s="285">
        <f t="shared" si="30"/>
        <v>73.039999999999978</v>
      </c>
      <c r="H33" s="279">
        <f t="shared" si="26"/>
        <v>0</v>
      </c>
      <c r="I33" s="294"/>
      <c r="J33" s="285">
        <f>IF(SUM($C$4:$C$6)=0,GROWTH($J$7:$J32,$E$7:$E32,$E33),IF(SUM($C$4:$C$5)=0,GROWTH($J$6:$J32,$E$6:$E32,$E33),IF($C$4=0,GROWTH($J$5:$J32,$E$5:$E32,$E33),GROWTH($J$4:$J32,$E$4:$E32,$E33))))</f>
        <v>4161.8931943297503</v>
      </c>
      <c r="K33" s="296">
        <f t="shared" si="23"/>
        <v>45.871451146719657</v>
      </c>
      <c r="L33" s="294"/>
      <c r="M33" s="281">
        <f>N25</f>
        <v>2274.6019766234504</v>
      </c>
      <c r="N33" s="281"/>
      <c r="O33" s="279">
        <f>P25</f>
        <v>43.801324418567049</v>
      </c>
      <c r="P33" s="296"/>
      <c r="Q33" s="282"/>
      <c r="R33" s="283">
        <f t="shared" si="3"/>
        <v>41</v>
      </c>
      <c r="S33" s="283">
        <f t="shared" si="4"/>
        <v>5</v>
      </c>
      <c r="T33" s="284">
        <f t="shared" si="5"/>
        <v>26</v>
      </c>
      <c r="U33" s="284">
        <f t="shared" si="6"/>
        <v>20</v>
      </c>
      <c r="V33" s="109"/>
      <c r="W33" s="285">
        <f t="shared" ca="1" si="7"/>
        <v>11694.817838459127</v>
      </c>
      <c r="X33" s="285">
        <f t="shared" ca="1" si="8"/>
        <v>16925.185107440368</v>
      </c>
      <c r="Y33" s="263"/>
      <c r="Z33" s="286">
        <f t="shared" ca="1" si="9"/>
        <v>536458.26514666341</v>
      </c>
      <c r="AA33" s="286">
        <f t="shared" ca="1" si="10"/>
        <v>776382.80180513789</v>
      </c>
      <c r="AB33" s="109"/>
      <c r="AC33" s="286">
        <f t="shared" ca="1" si="11"/>
        <v>3218749.5908799805</v>
      </c>
      <c r="AD33" s="286">
        <f t="shared" ca="1" si="12"/>
        <v>1552765.6036102758</v>
      </c>
      <c r="AE33" s="109"/>
      <c r="AF33" s="286">
        <f t="shared" ca="1" si="19"/>
        <v>1665983.9872697047</v>
      </c>
      <c r="AG33" s="109"/>
      <c r="AH33" s="286">
        <f t="shared" ca="1" si="13"/>
        <v>-239924.53665847448</v>
      </c>
      <c r="AI33" s="109"/>
    </row>
    <row r="34" spans="1:35">
      <c r="A34" s="109"/>
      <c r="B34" s="263">
        <f t="array" ref="B34:C34">LINEST(D6:D8)</f>
        <v>-5</v>
      </c>
      <c r="C34" s="263">
        <v>135</v>
      </c>
      <c r="D34" s="271" t="s">
        <v>775</v>
      </c>
      <c r="E34" s="277">
        <f t="shared" ref="E34:F34" si="54">E33+1</f>
        <v>47</v>
      </c>
      <c r="F34" s="277">
        <f t="shared" si="54"/>
        <v>2047</v>
      </c>
      <c r="G34" s="285">
        <f t="shared" si="30"/>
        <v>75.359999999999985</v>
      </c>
      <c r="H34" s="279">
        <f t="shared" si="26"/>
        <v>0</v>
      </c>
      <c r="I34" s="294"/>
      <c r="J34" s="285">
        <f>IF(SUM($C$4:$C$6)=0,GROWTH($J$7:$J33,$E$7:$E33,$E34),IF(SUM($C$4:$C$5)=0,GROWTH($J$6:$J33,$E$6:$E33,$E34),IF($C$4=0,GROWTH($J$5:$J33,$E$5:$E33,$E34),GROWTH($J$4:$J33,$E$4:$E33,$E34))))</f>
        <v>5205.8069450722824</v>
      </c>
      <c r="K34" s="296">
        <f t="shared" si="23"/>
        <v>44.137806441071071</v>
      </c>
      <c r="L34" s="294"/>
      <c r="M34" s="281">
        <f>N24</f>
        <v>2363.623744415182</v>
      </c>
      <c r="N34" s="281"/>
      <c r="O34" s="279">
        <f>P24</f>
        <v>41.152768382261925</v>
      </c>
      <c r="P34" s="296"/>
      <c r="Q34" s="282"/>
      <c r="R34" s="283">
        <f t="shared" si="3"/>
        <v>42</v>
      </c>
      <c r="S34" s="283">
        <f t="shared" si="4"/>
        <v>5</v>
      </c>
      <c r="T34" s="284">
        <f t="shared" si="5"/>
        <v>27</v>
      </c>
      <c r="U34" s="284">
        <f t="shared" si="6"/>
        <v>20</v>
      </c>
      <c r="V34" s="109"/>
      <c r="W34" s="285">
        <f t="shared" ca="1" si="7"/>
        <v>12699.17295753166</v>
      </c>
      <c r="X34" s="285">
        <f t="shared" ca="1" si="8"/>
        <v>19241.45575595562</v>
      </c>
      <c r="Y34" s="263"/>
      <c r="Z34" s="286">
        <f t="shared" ca="1" si="9"/>
        <v>560513.6379612165</v>
      </c>
      <c r="AA34" s="286">
        <f t="shared" ca="1" si="10"/>
        <v>849275.649800802</v>
      </c>
      <c r="AB34" s="109"/>
      <c r="AC34" s="286">
        <f t="shared" ca="1" si="11"/>
        <v>3363081.827767299</v>
      </c>
      <c r="AD34" s="286">
        <f t="shared" ca="1" si="12"/>
        <v>1698551.299601604</v>
      </c>
      <c r="AE34" s="109"/>
      <c r="AF34" s="286">
        <f t="shared" ca="1" si="19"/>
        <v>1664530.528165695</v>
      </c>
      <c r="AG34" s="109"/>
      <c r="AH34" s="286">
        <f t="shared" ca="1" si="13"/>
        <v>-288762.0118395855</v>
      </c>
      <c r="AI34" s="109"/>
    </row>
    <row r="35" spans="1:35">
      <c r="A35" s="109"/>
      <c r="B35" s="271" t="s">
        <v>783</v>
      </c>
      <c r="D35" s="263"/>
      <c r="E35" s="277">
        <f t="shared" ref="E35:F35" si="55">E34+1</f>
        <v>48</v>
      </c>
      <c r="F35" s="277">
        <f t="shared" si="55"/>
        <v>2048</v>
      </c>
      <c r="G35" s="285">
        <f t="shared" si="30"/>
        <v>77.679999999999978</v>
      </c>
      <c r="H35" s="279">
        <f t="shared" si="26"/>
        <v>0</v>
      </c>
      <c r="I35" s="294"/>
      <c r="J35" s="285">
        <f>IF(SUM($C$4:$C$6)=0,GROWTH($J$7:$J34,$E$7:$E34,$E35),IF(SUM($C$4:$C$5)=0,GROWTH($J$6:$J34,$E$6:$E34,$E35),IF($C$4=0,GROWTH($J$5:$J34,$E$5:$E34,$E35),GROWTH($J$4:$J34,$E$4:$E34,$E35))))</f>
        <v>6511.56209060937</v>
      </c>
      <c r="K35" s="296">
        <f t="shared" si="23"/>
        <v>42.469682312824979</v>
      </c>
      <c r="L35" s="294"/>
      <c r="M35" s="281">
        <f>N23</f>
        <v>2434.7940919576163</v>
      </c>
      <c r="N35" s="281"/>
      <c r="O35" s="279">
        <f>P23</f>
        <v>38.400182365307899</v>
      </c>
      <c r="P35" s="296"/>
      <c r="Q35" s="282"/>
      <c r="R35" s="283">
        <f t="shared" si="3"/>
        <v>43</v>
      </c>
      <c r="S35" s="283">
        <f t="shared" si="4"/>
        <v>5</v>
      </c>
      <c r="T35" s="284">
        <f t="shared" si="5"/>
        <v>28</v>
      </c>
      <c r="U35" s="284">
        <f t="shared" si="6"/>
        <v>20</v>
      </c>
      <c r="V35" s="109"/>
      <c r="W35" s="285">
        <f t="shared" ca="1" si="7"/>
        <v>13109.996421802321</v>
      </c>
      <c r="X35" s="285">
        <f t="shared" ca="1" si="8"/>
        <v>21617.01933333819</v>
      </c>
      <c r="Y35" s="263"/>
      <c r="Z35" s="286">
        <f t="shared" ca="1" si="9"/>
        <v>556777.38315621682</v>
      </c>
      <c r="AA35" s="286">
        <f t="shared" ca="1" si="10"/>
        <v>918067.94363706862</v>
      </c>
      <c r="AB35" s="109"/>
      <c r="AC35" s="286">
        <f t="shared" ca="1" si="11"/>
        <v>3340664.2989373012</v>
      </c>
      <c r="AD35" s="286">
        <f t="shared" ca="1" si="12"/>
        <v>1836135.8872741372</v>
      </c>
      <c r="AE35" s="109"/>
      <c r="AF35" s="286">
        <f t="shared" ca="1" si="19"/>
        <v>1504528.4116631639</v>
      </c>
      <c r="AG35" s="109"/>
      <c r="AH35" s="286">
        <f t="shared" ca="1" si="13"/>
        <v>-361290.5604808518</v>
      </c>
      <c r="AI35" s="109"/>
    </row>
    <row r="36" spans="1:35">
      <c r="A36" s="109"/>
      <c r="B36" s="263">
        <f t="array" ref="B36:C36">LINEST(C7:C8)</f>
        <v>4</v>
      </c>
      <c r="C36">
        <v>8</v>
      </c>
      <c r="D36" s="271" t="s">
        <v>361</v>
      </c>
      <c r="E36" s="277">
        <f t="shared" ref="E36:F36" si="56">E35+1</f>
        <v>49</v>
      </c>
      <c r="F36" s="277">
        <f t="shared" si="56"/>
        <v>2049</v>
      </c>
      <c r="G36" s="285">
        <f t="shared" si="30"/>
        <v>79.999999999999972</v>
      </c>
      <c r="H36" s="279">
        <f t="shared" si="26"/>
        <v>0</v>
      </c>
      <c r="I36" s="294"/>
      <c r="J36" s="285">
        <f>IF(SUM($C$4:$C$6)=0,GROWTH($J$7:$J35,$E$7:$E35,$E36),IF(SUM($C$4:$C$5)=0,GROWTH($J$6:$J35,$E$6:$E35,$E36),IF($C$4=0,GROWTH($J$5:$J35,$E$5:$E35,$E36),GROWTH($J$4:$J35,$E$4:$E35,$E36))))</f>
        <v>8144.8354322851947</v>
      </c>
      <c r="K36" s="296">
        <f t="shared" si="23"/>
        <v>40.864602507158729</v>
      </c>
      <c r="L36" s="294"/>
      <c r="M36" s="281">
        <f>N22</f>
        <v>2491.6927415234281</v>
      </c>
      <c r="N36" s="281"/>
      <c r="O36" s="279">
        <f>P22</f>
        <v>35.539480278256221</v>
      </c>
      <c r="P36" s="296"/>
      <c r="Q36" s="282"/>
      <c r="R36" s="283">
        <f t="shared" si="3"/>
        <v>44</v>
      </c>
      <c r="S36" s="283">
        <f t="shared" si="4"/>
        <v>5</v>
      </c>
      <c r="T36" s="284">
        <f t="shared" si="5"/>
        <v>29</v>
      </c>
      <c r="U36" s="284">
        <f t="shared" si="6"/>
        <v>20</v>
      </c>
      <c r="V36" s="109"/>
      <c r="W36" s="285">
        <f t="shared" ca="1" si="7"/>
        <v>13751.934358750881</v>
      </c>
      <c r="X36" s="285">
        <f t="shared" ca="1" si="8"/>
        <v>24034.624968408461</v>
      </c>
      <c r="Y36" s="263"/>
      <c r="Z36" s="286">
        <f t="shared" ca="1" si="9"/>
        <v>561967.33127489348</v>
      </c>
      <c r="AA36" s="286">
        <f t="shared" ca="1" si="10"/>
        <v>982165.39574264421</v>
      </c>
      <c r="AB36" s="109"/>
      <c r="AC36" s="286">
        <f t="shared" ca="1" si="11"/>
        <v>3371803.9876493607</v>
      </c>
      <c r="AD36" s="286">
        <f t="shared" ca="1" si="12"/>
        <v>1964330.7914852884</v>
      </c>
      <c r="AE36" s="109"/>
      <c r="AF36" s="286">
        <f t="shared" ca="1" si="19"/>
        <v>1407473.1961640723</v>
      </c>
      <c r="AG36" s="109"/>
      <c r="AH36" s="286">
        <f t="shared" ca="1" si="13"/>
        <v>-420198.06446775072</v>
      </c>
      <c r="AI36" s="109"/>
    </row>
    <row r="37" spans="1:35">
      <c r="A37" s="109"/>
      <c r="B37" s="263">
        <f t="array" ref="B37:C37">LINEST(D7:D8)</f>
        <v>-5.0000000000000009</v>
      </c>
      <c r="C37" s="263">
        <v>130</v>
      </c>
      <c r="D37" s="271" t="s">
        <v>775</v>
      </c>
      <c r="E37" s="277">
        <f t="shared" ref="E37:F37" si="57">E36+1</f>
        <v>50</v>
      </c>
      <c r="F37" s="277">
        <f t="shared" si="57"/>
        <v>2050</v>
      </c>
      <c r="G37" s="285">
        <f t="shared" si="30"/>
        <v>82.319999999999979</v>
      </c>
      <c r="H37" s="279">
        <f t="shared" si="26"/>
        <v>0</v>
      </c>
      <c r="I37" s="294"/>
      <c r="J37" s="285">
        <f>IF(SUM($C$4:$C$6)=0,GROWTH($J$7:$J36,$E$7:$E36,$E37),IF(SUM($C$4:$C$5)=0,GROWTH($J$6:$J36,$E$6:$E36,$E37),IF($C$4=0,GROWTH($J$5:$J36,$E$5:$E36,$E37),GROWTH($J$4:$J36,$E$4:$E36,$E37))))</f>
        <v>10187.77726387318</v>
      </c>
      <c r="K37" s="296">
        <f t="shared" si="23"/>
        <v>39.320184355695076</v>
      </c>
      <c r="L37" s="294"/>
      <c r="M37" s="281">
        <f>N21</f>
        <v>2537.1815782961139</v>
      </c>
      <c r="N37" s="281"/>
      <c r="O37" s="279">
        <f>P21</f>
        <v>32.566415538242239</v>
      </c>
      <c r="P37" s="296"/>
      <c r="Q37" s="282"/>
      <c r="R37" s="283">
        <f t="shared" si="3"/>
        <v>45</v>
      </c>
      <c r="S37" s="283">
        <f t="shared" si="4"/>
        <v>5</v>
      </c>
      <c r="T37" s="284">
        <f t="shared" si="5"/>
        <v>30</v>
      </c>
      <c r="U37" s="284">
        <f t="shared" si="6"/>
        <v>20</v>
      </c>
      <c r="V37" s="109"/>
      <c r="W37" s="285">
        <f t="shared" ca="1" si="7"/>
        <v>14265.145309360039</v>
      </c>
      <c r="X37" s="285">
        <f t="shared" ca="1" si="8"/>
        <v>26479.136419119463</v>
      </c>
      <c r="Y37" s="263"/>
      <c r="Z37" s="286">
        <f t="shared" ca="1" si="9"/>
        <v>560908.14342481561</v>
      </c>
      <c r="AA37" s="286">
        <f t="shared" ca="1" si="10"/>
        <v>1041164.5255793768</v>
      </c>
      <c r="AB37" s="109"/>
      <c r="AC37" s="286">
        <f t="shared" ca="1" si="11"/>
        <v>3365448.8605488939</v>
      </c>
      <c r="AD37" s="286">
        <f t="shared" ca="1" si="12"/>
        <v>2082329.0511587537</v>
      </c>
      <c r="AE37" s="109"/>
      <c r="AF37" s="286">
        <f t="shared" ca="1" si="19"/>
        <v>1283119.8093901402</v>
      </c>
      <c r="AG37" s="109"/>
      <c r="AH37" s="286">
        <f t="shared" ca="1" si="13"/>
        <v>-480256.38215456123</v>
      </c>
      <c r="AI37" s="109"/>
    </row>
    <row r="38" spans="1:35">
      <c r="A38" s="109"/>
      <c r="B38" s="271"/>
      <c r="D38" s="263"/>
      <c r="E38" s="277">
        <f t="shared" ref="E38:F38" si="58">E37+1</f>
        <v>51</v>
      </c>
      <c r="F38" s="277">
        <f t="shared" si="58"/>
        <v>2051</v>
      </c>
      <c r="G38" s="285">
        <f t="shared" si="30"/>
        <v>84.639999999999972</v>
      </c>
      <c r="H38" s="279">
        <f t="shared" si="26"/>
        <v>0</v>
      </c>
      <c r="I38" s="294"/>
      <c r="J38" s="285">
        <f>IF(SUM($C$4:$C$6)=0,GROWTH($J$7:$J37,$E$7:$E37,$E38),IF(SUM($C$4:$C$5)=0,GROWTH($J$6:$J37,$E$6:$E37,$E38),IF($C$4=0,GROWTH($J$5:$J37,$E$5:$E37,$E38),GROWTH($J$4:$J37,$E$4:$E37,$E38))))</f>
        <v>12743.143362587296</v>
      </c>
      <c r="K38" s="296">
        <f t="shared" si="23"/>
        <v>37.834135239539059</v>
      </c>
      <c r="L38" s="294"/>
      <c r="M38" s="281">
        <f>N20</f>
        <v>2573.5485973154086</v>
      </c>
      <c r="N38" s="281"/>
      <c r="O38" s="279">
        <f>P20</f>
        <v>29.476574765124909</v>
      </c>
      <c r="P38" s="296"/>
      <c r="Q38" s="282"/>
      <c r="R38" s="283">
        <f t="shared" si="3"/>
        <v>46</v>
      </c>
      <c r="S38" s="283">
        <f t="shared" si="4"/>
        <v>5</v>
      </c>
      <c r="T38" s="284">
        <f t="shared" si="5"/>
        <v>31</v>
      </c>
      <c r="U38" s="284">
        <f t="shared" si="6"/>
        <v>20</v>
      </c>
      <c r="V38" s="109"/>
      <c r="W38" s="285">
        <f t="shared" ca="1" si="7"/>
        <v>14675.442730131197</v>
      </c>
      <c r="X38" s="285">
        <f t="shared" ca="1" si="8"/>
        <v>28936.770750677028</v>
      </c>
      <c r="Y38" s="263"/>
      <c r="Z38" s="286">
        <f t="shared" ca="1" si="9"/>
        <v>555232.68495189399</v>
      </c>
      <c r="AA38" s="286">
        <f t="shared" ca="1" si="10"/>
        <v>1094797.6979766528</v>
      </c>
      <c r="AB38" s="109"/>
      <c r="AC38" s="286">
        <f t="shared" ca="1" si="11"/>
        <v>3331396.1097113639</v>
      </c>
      <c r="AD38" s="286">
        <f t="shared" ca="1" si="12"/>
        <v>2189595.3959533055</v>
      </c>
      <c r="AE38" s="109"/>
      <c r="AF38" s="286">
        <f t="shared" ca="1" si="19"/>
        <v>1141800.7137580584</v>
      </c>
      <c r="AG38" s="109"/>
      <c r="AH38" s="286">
        <f t="shared" ca="1" si="13"/>
        <v>-539565.01302475878</v>
      </c>
      <c r="AI38" s="109"/>
    </row>
    <row r="39" spans="1:35">
      <c r="A39" s="109"/>
      <c r="B39" s="263"/>
      <c r="D39" s="271"/>
      <c r="E39" s="277">
        <f t="shared" ref="E39:F39" si="59">E38+1</f>
        <v>52</v>
      </c>
      <c r="F39" s="277">
        <f t="shared" si="59"/>
        <v>2052</v>
      </c>
      <c r="G39" s="285">
        <f t="shared" si="30"/>
        <v>86.95999999999998</v>
      </c>
      <c r="H39" s="279">
        <f t="shared" si="26"/>
        <v>0</v>
      </c>
      <c r="I39" s="294"/>
      <c r="J39" s="285">
        <f>IF(SUM($C$4:$C$6)=0,GROWTH($J$7:$J38,$E$7:$E38,$E39),IF(SUM($C$4:$C$5)=0,GROWTH($J$6:$J38,$E$6:$E38,$E39),IF($C$4=0,GROWTH($J$5:$J38,$E$5:$E38,$E39),GROWTH($J$4:$J38,$E$4:$E38,$E39))))</f>
        <v>15939.463393579965</v>
      </c>
      <c r="K39" s="296">
        <f t="shared" si="23"/>
        <v>36.404249185988526</v>
      </c>
      <c r="L39" s="294"/>
      <c r="M39" s="281">
        <f>N19</f>
        <v>2602.622984927445</v>
      </c>
      <c r="N39" s="281"/>
      <c r="O39" s="279">
        <f>P19</f>
        <v>26.265371230023291</v>
      </c>
      <c r="P39" s="296"/>
      <c r="Q39" s="282"/>
      <c r="R39" s="283">
        <f t="shared" si="3"/>
        <v>47</v>
      </c>
      <c r="S39" s="283">
        <f t="shared" si="4"/>
        <v>5</v>
      </c>
      <c r="T39" s="284">
        <f t="shared" si="5"/>
        <v>32</v>
      </c>
      <c r="U39" s="284">
        <f t="shared" si="6"/>
        <v>20</v>
      </c>
      <c r="V39" s="109"/>
      <c r="W39" s="285">
        <f t="shared" ca="1" si="7"/>
        <v>15003.463738435192</v>
      </c>
      <c r="X39" s="285">
        <f t="shared" ca="1" si="8"/>
        <v>31394.405082234593</v>
      </c>
      <c r="Y39" s="263"/>
      <c r="Z39" s="286">
        <f t="shared" ca="1" si="9"/>
        <v>546189.8325869377</v>
      </c>
      <c r="AA39" s="286">
        <f t="shared" ca="1" si="10"/>
        <v>1142889.7456595327</v>
      </c>
      <c r="AB39" s="109"/>
      <c r="AC39" s="286">
        <f t="shared" ca="1" si="11"/>
        <v>3277138.9955216264</v>
      </c>
      <c r="AD39" s="286">
        <f t="shared" ca="1" si="12"/>
        <v>2285779.4913190654</v>
      </c>
      <c r="AE39" s="109"/>
      <c r="AF39" s="286">
        <f t="shared" ca="1" si="19"/>
        <v>991359.50420256099</v>
      </c>
      <c r="AG39" s="109"/>
      <c r="AH39" s="286">
        <f t="shared" ca="1" si="13"/>
        <v>-596699.91307259502</v>
      </c>
      <c r="AI39" s="109"/>
    </row>
    <row r="40" spans="1:35">
      <c r="A40" s="109"/>
      <c r="B40" s="263"/>
      <c r="C40" s="263"/>
      <c r="D40" s="271"/>
      <c r="E40" s="277">
        <f t="shared" ref="E40:F40" si="60">E39+1</f>
        <v>53</v>
      </c>
      <c r="F40" s="277">
        <f t="shared" si="60"/>
        <v>2053</v>
      </c>
      <c r="G40" s="285">
        <f t="shared" si="30"/>
        <v>89.279999999999973</v>
      </c>
      <c r="H40" s="279">
        <f t="shared" si="26"/>
        <v>0</v>
      </c>
      <c r="I40" s="294"/>
      <c r="J40" s="285">
        <f>IF(SUM($C$4:$C$6)=0,GROWTH($J$7:$J39,$E$7:$E39,$E40),IF(SUM($C$4:$C$5)=0,GROWTH($J$6:$J39,$E$6:$E39,$E40),IF($C$4=0,GROWTH($J$5:$J39,$E$5:$E39,$E40),GROWTH($J$4:$J39,$E$4:$E39,$E40))))</f>
        <v>19937.505688054294</v>
      </c>
      <c r="K40" s="296">
        <f t="shared" si="23"/>
        <v>35.028403593867679</v>
      </c>
      <c r="L40" s="294"/>
      <c r="M40" s="281">
        <f>N18</f>
        <v>2625.867123100179</v>
      </c>
      <c r="N40" s="281"/>
      <c r="O40" s="279">
        <f>P18</f>
        <v>22.9280380465256</v>
      </c>
      <c r="P40" s="296"/>
      <c r="Q40" s="282"/>
      <c r="R40" s="283">
        <f t="shared" si="3"/>
        <v>48</v>
      </c>
      <c r="S40" s="283">
        <f t="shared" si="4"/>
        <v>5</v>
      </c>
      <c r="T40" s="284">
        <f t="shared" si="5"/>
        <v>33</v>
      </c>
      <c r="U40" s="284">
        <f t="shared" si="6"/>
        <v>20</v>
      </c>
      <c r="V40" s="109"/>
      <c r="W40" s="285">
        <f t="shared" ca="1" si="7"/>
        <v>15265.70711712019</v>
      </c>
      <c r="X40" s="285">
        <f t="shared" ca="1" si="8"/>
        <v>33838.916532945594</v>
      </c>
      <c r="Y40" s="263"/>
      <c r="Z40" s="286">
        <f t="shared" ca="1" si="9"/>
        <v>534733.35004426423</v>
      </c>
      <c r="AA40" s="286">
        <f t="shared" ca="1" si="10"/>
        <v>1185323.2254952199</v>
      </c>
      <c r="AB40" s="109"/>
      <c r="AC40" s="286">
        <f t="shared" ca="1" si="11"/>
        <v>3208400.1002655854</v>
      </c>
      <c r="AD40" s="286">
        <f t="shared" ca="1" si="12"/>
        <v>2370646.4509904399</v>
      </c>
      <c r="AE40" s="109"/>
      <c r="AF40" s="286">
        <f t="shared" ca="1" si="19"/>
        <v>837753.64927514549</v>
      </c>
      <c r="AG40" s="109"/>
      <c r="AH40" s="286">
        <f t="shared" ca="1" si="13"/>
        <v>-650589.8754509557</v>
      </c>
      <c r="AI40" s="109"/>
    </row>
    <row r="41" spans="1:35">
      <c r="A41" s="109"/>
      <c r="B41" s="263"/>
      <c r="C41" s="263"/>
      <c r="D41" s="263"/>
      <c r="E41" s="277">
        <f t="shared" ref="E41:F41" si="61">E40+1</f>
        <v>54</v>
      </c>
      <c r="F41" s="277">
        <f t="shared" si="61"/>
        <v>2054</v>
      </c>
      <c r="G41" s="285">
        <f t="shared" si="30"/>
        <v>91.59999999999998</v>
      </c>
      <c r="H41" s="279">
        <f t="shared" si="26"/>
        <v>0</v>
      </c>
      <c r="I41" s="294"/>
      <c r="J41" s="285">
        <f>IF(SUM($C$4:$C$6)=0,GROWTH($J$7:$J40,$E$7:$E40,$E41),IF(SUM($C$4:$C$5)=0,GROWTH($J$6:$J40,$E$6:$E40,$E41),IF($C$4=0,GROWTH($J$5:$J40,$E$5:$E40,$E41),GROWTH($J$4:$J40,$E$4:$E40,$E41))))</f>
        <v>24938.363560049507</v>
      </c>
      <c r="K41" s="296">
        <f t="shared" si="23"/>
        <v>33.704556082621572</v>
      </c>
      <c r="L41" s="294"/>
      <c r="M41" s="281">
        <f>N17</f>
        <v>2644.4501442321352</v>
      </c>
      <c r="N41" s="281"/>
      <c r="O41" s="279">
        <f>P17</f>
        <v>19.459621094461355</v>
      </c>
      <c r="P41" s="296"/>
      <c r="Q41" s="282"/>
      <c r="R41" s="283">
        <f t="shared" si="3"/>
        <v>49</v>
      </c>
      <c r="S41" s="283">
        <f t="shared" si="4"/>
        <v>5</v>
      </c>
      <c r="T41" s="284">
        <f t="shared" si="5"/>
        <v>34</v>
      </c>
      <c r="U41" s="284">
        <f t="shared" si="6"/>
        <v>20</v>
      </c>
      <c r="V41" s="109"/>
      <c r="W41" s="285">
        <f t="shared" ca="1" si="7"/>
        <v>15475.36316939471</v>
      </c>
      <c r="X41" s="285">
        <f t="shared" ca="1" si="8"/>
        <v>36256.522168015865</v>
      </c>
      <c r="Y41" s="263"/>
      <c r="Z41" s="286">
        <f t="shared" ca="1" si="9"/>
        <v>521590.24584180029</v>
      </c>
      <c r="AA41" s="286">
        <f t="shared" ca="1" si="10"/>
        <v>1222009.9847727029</v>
      </c>
      <c r="AB41" s="109"/>
      <c r="AC41" s="286">
        <f t="shared" ca="1" si="11"/>
        <v>3129541.4750508019</v>
      </c>
      <c r="AD41" s="286">
        <f t="shared" ca="1" si="12"/>
        <v>2444019.9695454058</v>
      </c>
      <c r="AE41" s="109"/>
      <c r="AF41" s="286">
        <f t="shared" ca="1" si="19"/>
        <v>685521.50550539605</v>
      </c>
      <c r="AG41" s="109"/>
      <c r="AH41" s="286">
        <f t="shared" ca="1" si="13"/>
        <v>-700419.73893090268</v>
      </c>
      <c r="AI41" s="109"/>
    </row>
    <row r="42" spans="1:35">
      <c r="A42" s="109"/>
      <c r="B42" s="263"/>
      <c r="C42" s="263"/>
      <c r="D42" s="263"/>
      <c r="E42" s="277">
        <f t="shared" ref="E42:F42" si="62">E41+1</f>
        <v>55</v>
      </c>
      <c r="F42" s="277">
        <f t="shared" si="62"/>
        <v>2055</v>
      </c>
      <c r="G42" s="285">
        <f t="shared" si="30"/>
        <v>93.919999999999973</v>
      </c>
      <c r="H42" s="279">
        <f t="shared" si="26"/>
        <v>0</v>
      </c>
      <c r="I42" s="294"/>
      <c r="J42" s="285">
        <f>IF(SUM($C$4:$C$6)=0,GROWTH($J$7:$J41,$E$7:$E41,$E42),IF(SUM($C$4:$C$5)=0,GROWTH($J$6:$J41,$E$6:$E41,$E42),IF($C$4=0,GROWTH($J$5:$J41,$E$5:$E41,$E42),GROWTH($J$4:$J41,$E$4:$E41,$E42))))</f>
        <v>31193.569887021269</v>
      </c>
      <c r="K42" s="296">
        <f t="shared" si="23"/>
        <v>32.430741460494659</v>
      </c>
      <c r="L42" s="294"/>
      <c r="M42" s="281">
        <f>N16</f>
        <v>2659.3067361102462</v>
      </c>
      <c r="N42" s="281"/>
      <c r="O42" s="279">
        <f>P16</f>
        <v>15.854971665734325</v>
      </c>
      <c r="P42" s="296"/>
      <c r="Q42" s="282"/>
      <c r="R42" s="283">
        <f t="shared" si="3"/>
        <v>50</v>
      </c>
      <c r="S42" s="283">
        <f t="shared" si="4"/>
        <v>5</v>
      </c>
      <c r="T42" s="284">
        <f t="shared" si="5"/>
        <v>35</v>
      </c>
      <c r="U42" s="284">
        <f t="shared" si="6"/>
        <v>20</v>
      </c>
      <c r="V42" s="109"/>
      <c r="W42" s="285">
        <f t="shared" ca="1" si="7"/>
        <v>15642.977163981528</v>
      </c>
      <c r="X42" s="285">
        <f t="shared" ca="1" si="8"/>
        <v>38632.085745398435</v>
      </c>
      <c r="Y42" s="263"/>
      <c r="Z42" s="286">
        <f t="shared" ca="1" si="9"/>
        <v>507313.34807750687</v>
      </c>
      <c r="AA42" s="286">
        <f t="shared" ca="1" si="10"/>
        <v>1252867.1848886777</v>
      </c>
      <c r="AB42" s="109"/>
      <c r="AC42" s="286">
        <f t="shared" ca="1" si="11"/>
        <v>3043880.0884650415</v>
      </c>
      <c r="AD42" s="286">
        <f t="shared" ca="1" si="12"/>
        <v>2505734.3697773553</v>
      </c>
      <c r="AE42" s="109"/>
      <c r="AF42" s="286">
        <f t="shared" ca="1" si="19"/>
        <v>538145.71868768614</v>
      </c>
      <c r="AG42" s="109"/>
      <c r="AH42" s="286">
        <f t="shared" ca="1" si="13"/>
        <v>-745553.8368111708</v>
      </c>
      <c r="AI42" s="109"/>
    </row>
    <row r="43" spans="1:35">
      <c r="A43" s="109"/>
      <c r="B43" s="263"/>
      <c r="C43" s="263"/>
      <c r="D43" s="263"/>
      <c r="E43" s="277">
        <f t="shared" ref="E43:F43" si="63">E42+1</f>
        <v>56</v>
      </c>
      <c r="F43" s="277">
        <f t="shared" si="63"/>
        <v>2056</v>
      </c>
      <c r="G43" s="285">
        <f t="shared" si="30"/>
        <v>96.239999999999981</v>
      </c>
      <c r="H43" s="279">
        <f t="shared" si="26"/>
        <v>0</v>
      </c>
      <c r="I43" s="294"/>
      <c r="J43" s="285">
        <f>IF(SUM($C$4:$C$6)=0,GROWTH($J$7:$J42,$E$7:$E42,$E43),IF(SUM($C$4:$C$5)=0,GROWTH($J$6:$J42,$E$6:$E42,$E43),IF($C$4=0,GROWTH($J$5:$J42,$E$5:$E42,$E43),GROWTH($J$4:$J42,$E$4:$E42,$E43))))</f>
        <v>39017.748696841496</v>
      </c>
      <c r="K43" s="296">
        <f t="shared" si="23"/>
        <v>31.205068807292214</v>
      </c>
      <c r="L43" s="294"/>
      <c r="M43" s="281">
        <f>N15</f>
        <v>2671.1841547853614</v>
      </c>
      <c r="N43" s="281"/>
      <c r="O43" s="279">
        <f>P15</f>
        <v>12.10873882129826</v>
      </c>
      <c r="P43" s="296"/>
      <c r="Q43" s="282"/>
      <c r="R43" s="283">
        <f t="shared" si="3"/>
        <v>51</v>
      </c>
      <c r="S43" s="283">
        <f t="shared" si="4"/>
        <v>5</v>
      </c>
      <c r="T43" s="284">
        <f t="shared" si="5"/>
        <v>36</v>
      </c>
      <c r="U43" s="284">
        <f t="shared" si="6"/>
        <v>20</v>
      </c>
      <c r="V43" s="109"/>
      <c r="W43" s="285">
        <f t="shared" ca="1" si="7"/>
        <v>15776.979740470777</v>
      </c>
      <c r="X43" s="285">
        <f t="shared" ca="1" si="8"/>
        <v>40948.356393913687</v>
      </c>
      <c r="Y43" s="263"/>
      <c r="Z43" s="286">
        <f t="shared" ca="1" si="9"/>
        <v>492321.73837264586</v>
      </c>
      <c r="AA43" s="286">
        <f t="shared" ca="1" si="10"/>
        <v>1277796.2788176008</v>
      </c>
      <c r="AB43" s="109"/>
      <c r="AC43" s="286">
        <f t="shared" ca="1" si="11"/>
        <v>2953930.4302358753</v>
      </c>
      <c r="AD43" s="286">
        <f t="shared" ca="1" si="12"/>
        <v>2555592.5576352016</v>
      </c>
      <c r="AE43" s="109"/>
      <c r="AF43" s="286">
        <f t="shared" ca="1" si="19"/>
        <v>398337.8726006737</v>
      </c>
      <c r="AG43" s="109"/>
      <c r="AH43" s="286">
        <f t="shared" ca="1" si="13"/>
        <v>-785474.540444955</v>
      </c>
      <c r="AI43" s="109"/>
    </row>
    <row r="44" spans="1:35">
      <c r="A44" s="109"/>
      <c r="B44" s="263"/>
      <c r="C44" s="263"/>
      <c r="D44" s="263"/>
      <c r="E44" s="277">
        <f t="shared" ref="E44:F44" si="64">E43+1</f>
        <v>57</v>
      </c>
      <c r="F44" s="277">
        <f t="shared" si="64"/>
        <v>2057</v>
      </c>
      <c r="G44" s="285">
        <f t="shared" si="30"/>
        <v>98.559999999999974</v>
      </c>
      <c r="H44" s="279">
        <f t="shared" si="26"/>
        <v>0</v>
      </c>
      <c r="I44" s="294"/>
      <c r="J44" s="285">
        <f>IF(SUM($C$4:$C$6)=0,GROWTH($J$7:$J43,$E$7:$E43,$E44),IF(SUM($C$4:$C$5)=0,GROWTH($J$6:$J43,$E$6:$E43,$E44),IF($C$4=0,GROWTH($J$5:$J43,$E$5:$E43,$E44),GROWTH($J$4:$J43,$E$4:$E43,$E44))))</f>
        <v>48804.440110052579</v>
      </c>
      <c r="K44" s="296">
        <f t="shared" si="23"/>
        <v>30.025718667395203</v>
      </c>
      <c r="L44" s="294"/>
      <c r="M44" s="281">
        <f>N14</f>
        <v>2680.6798100164792</v>
      </c>
      <c r="N44" s="281"/>
      <c r="O44" s="279">
        <f>P14</f>
        <v>8.2153614479296664</v>
      </c>
      <c r="P44" s="296"/>
      <c r="Q44" s="282"/>
      <c r="R44" s="283">
        <f t="shared" si="3"/>
        <v>52</v>
      </c>
      <c r="S44" s="283">
        <f t="shared" si="4"/>
        <v>5</v>
      </c>
      <c r="T44" s="284">
        <f t="shared" si="5"/>
        <v>37</v>
      </c>
      <c r="U44" s="284">
        <f t="shared" si="6"/>
        <v>20</v>
      </c>
      <c r="V44" s="109"/>
      <c r="W44" s="285">
        <f t="shared" ca="1" si="7"/>
        <v>15884.110953171847</v>
      </c>
      <c r="X44" s="285">
        <f t="shared" ca="1" si="8"/>
        <v>43185.100929868328</v>
      </c>
      <c r="Y44" s="263"/>
      <c r="Z44" s="286">
        <f t="shared" ca="1" si="9"/>
        <v>476931.84676162852</v>
      </c>
      <c r="AA44" s="286">
        <f t="shared" ca="1" si="10"/>
        <v>1296663.6911432934</v>
      </c>
      <c r="AB44" s="109"/>
      <c r="AC44" s="286">
        <f t="shared" ca="1" si="11"/>
        <v>2861591.0805697711</v>
      </c>
      <c r="AD44" s="286">
        <f t="shared" ca="1" si="12"/>
        <v>2593327.3822865868</v>
      </c>
      <c r="AE44" s="109"/>
      <c r="AF44" s="286">
        <f t="shared" ca="1" si="19"/>
        <v>268263.69828318432</v>
      </c>
      <c r="AG44" s="109"/>
      <c r="AH44" s="286">
        <f t="shared" ca="1" si="13"/>
        <v>-819731.84438166488</v>
      </c>
      <c r="AI44" s="109"/>
    </row>
    <row r="45" spans="1:35">
      <c r="A45" s="109"/>
      <c r="B45" s="263"/>
      <c r="C45" s="263"/>
      <c r="D45" s="263"/>
      <c r="E45" s="277">
        <f t="shared" ref="E45:F45" si="65">E44+1</f>
        <v>58</v>
      </c>
      <c r="F45" s="277">
        <f t="shared" si="65"/>
        <v>2058</v>
      </c>
      <c r="G45" s="285">
        <f t="shared" si="30"/>
        <v>100.87999999999997</v>
      </c>
      <c r="H45" s="279">
        <f t="shared" si="26"/>
        <v>0</v>
      </c>
      <c r="I45" s="294"/>
      <c r="J45" s="285">
        <f>IF(SUM($C$4:$C$6)=0,GROWTH($J$7:$J44,$E$7:$E44,$E45),IF(SUM($C$4:$C$5)=0,GROWTH($J$6:$J44,$E$6:$E44,$E45),IF($C$4=0,GROWTH($J$5:$J44,$E$5:$E44,$E45),GROWTH($J$4:$J44,$E$4:$E44,$E45))))</f>
        <v>61045.894599462867</v>
      </c>
      <c r="K45" s="296">
        <f t="shared" si="23"/>
        <v>28.890940348860457</v>
      </c>
      <c r="L45" s="294"/>
      <c r="M45" s="281">
        <f>N13</f>
        <v>2688.2713137543387</v>
      </c>
      <c r="N45" s="281"/>
      <c r="O45" s="279">
        <f>P13</f>
        <v>4.1690600030071039</v>
      </c>
      <c r="P45" s="296"/>
      <c r="Q45" s="282"/>
      <c r="R45" s="283">
        <f t="shared" si="3"/>
        <v>53</v>
      </c>
      <c r="S45" s="283">
        <f t="shared" si="4"/>
        <v>5</v>
      </c>
      <c r="T45" s="284">
        <f t="shared" si="5"/>
        <v>38</v>
      </c>
      <c r="U45" s="284">
        <f t="shared" si="6"/>
        <v>20</v>
      </c>
      <c r="V45" s="109"/>
      <c r="W45" s="285">
        <f t="shared" ca="1" si="7"/>
        <v>15969.75928199874</v>
      </c>
      <c r="X45" s="285">
        <f t="shared" ca="1" si="8"/>
        <v>45318.086169481627</v>
      </c>
      <c r="Y45" s="263"/>
      <c r="Z45" s="286">
        <f t="shared" ca="1" si="9"/>
        <v>461381.36280188622</v>
      </c>
      <c r="AA45" s="286">
        <f t="shared" ca="1" si="10"/>
        <v>1309282.1242470117</v>
      </c>
      <c r="AB45" s="109"/>
      <c r="AC45" s="286">
        <f t="shared" ca="1" si="11"/>
        <v>2768288.1768113174</v>
      </c>
      <c r="AD45" s="286">
        <f t="shared" ca="1" si="12"/>
        <v>2618564.2484940235</v>
      </c>
      <c r="AE45" s="109"/>
      <c r="AF45" s="286">
        <f t="shared" ca="1" si="19"/>
        <v>149723.92831729399</v>
      </c>
      <c r="AG45" s="109"/>
      <c r="AH45" s="286">
        <f t="shared" ca="1" si="13"/>
        <v>-847900.76144512556</v>
      </c>
      <c r="AI45" s="109"/>
    </row>
    <row r="46" spans="1:35">
      <c r="A46" s="109"/>
      <c r="B46" s="263"/>
      <c r="C46" s="263"/>
      <c r="D46" s="263"/>
      <c r="E46" s="277">
        <f t="shared" ref="E46:F46" si="66">E45+1</f>
        <v>59</v>
      </c>
      <c r="F46" s="277">
        <f t="shared" si="66"/>
        <v>2059</v>
      </c>
      <c r="G46" s="285">
        <f t="shared" si="30"/>
        <v>103.19999999999997</v>
      </c>
      <c r="H46" s="279">
        <f t="shared" si="26"/>
        <v>0</v>
      </c>
      <c r="I46" s="294"/>
      <c r="J46" s="285">
        <f>IF(SUM($C$4:$C$6)=0,GROWTH($J$7:$J45,$E$7:$E45,$E46),IF(SUM($C$4:$C$5)=0,GROWTH($J$6:$J45,$E$6:$E45,$E46),IF($C$4=0,GROWTH($J$5:$J45,$E$5:$E45,$E46),GROWTH($J$4:$J45,$E$4:$E45,$E46))))</f>
        <v>76357.832177673787</v>
      </c>
      <c r="K46" s="296">
        <f t="shared" si="23"/>
        <v>27.799049324597679</v>
      </c>
      <c r="L46" s="294"/>
      <c r="M46" s="281">
        <f>N12</f>
        <v>2694.3405030413587</v>
      </c>
      <c r="N46" s="281"/>
      <c r="O46" s="279">
        <f>P12</f>
        <v>0</v>
      </c>
      <c r="P46" s="296"/>
      <c r="Q46" s="282"/>
      <c r="R46" s="283">
        <f t="shared" si="3"/>
        <v>54</v>
      </c>
      <c r="S46" s="283">
        <f t="shared" si="4"/>
        <v>5</v>
      </c>
      <c r="T46" s="284">
        <f t="shared" si="5"/>
        <v>39</v>
      </c>
      <c r="U46" s="284">
        <f t="shared" si="6"/>
        <v>20</v>
      </c>
      <c r="V46" s="109"/>
      <c r="W46" s="285">
        <f t="shared" ca="1" si="7"/>
        <v>16038.232661939921</v>
      </c>
      <c r="X46" s="285">
        <f t="shared" ca="1" si="8"/>
        <v>47317.86004952465</v>
      </c>
      <c r="Y46" s="263"/>
      <c r="Z46" s="286">
        <f t="shared" ca="1" si="9"/>
        <v>445847.62084864138</v>
      </c>
      <c r="AA46" s="286">
        <f t="shared" ca="1" si="10"/>
        <v>1315391.5254511456</v>
      </c>
      <c r="AB46" s="109"/>
      <c r="AC46" s="286">
        <f t="shared" ca="1" si="11"/>
        <v>2675085.7250918485</v>
      </c>
      <c r="AD46" s="286">
        <f t="shared" ca="1" si="12"/>
        <v>2630783.0509022912</v>
      </c>
      <c r="AE46" s="109"/>
      <c r="AF46" s="286">
        <f t="shared" ca="1" si="19"/>
        <v>44302.674189557321</v>
      </c>
      <c r="AG46" s="109"/>
      <c r="AH46" s="286">
        <f t="shared" ca="1" si="13"/>
        <v>-869543.90460250422</v>
      </c>
      <c r="AI46" s="109"/>
    </row>
    <row r="47" spans="1:35">
      <c r="A47" s="109"/>
      <c r="B47" s="263"/>
      <c r="C47" s="263"/>
      <c r="D47" s="263"/>
      <c r="E47" s="277">
        <f t="shared" ref="E47:F47" si="67">E46+1</f>
        <v>60</v>
      </c>
      <c r="F47" s="277">
        <f t="shared" si="67"/>
        <v>2060</v>
      </c>
      <c r="G47" s="285">
        <f t="shared" si="30"/>
        <v>105.51999999999997</v>
      </c>
      <c r="H47" s="279">
        <f t="shared" si="26"/>
        <v>0</v>
      </c>
      <c r="I47" s="294"/>
      <c r="J47" s="285">
        <f>IF(SUM($C$4:$C$6)=0,GROWTH($J$7:$J46,$E$7:$E46,$E47),IF(SUM($C$4:$C$5)=0,GROWTH($J$6:$J46,$E$6:$E46,$E47),IF($C$4=0,GROWTH($J$5:$J46,$E$5:$E46,$E47),GROWTH($J$4:$J46,$E$4:$E46,$E47))))</f>
        <v>95510.411848810996</v>
      </c>
      <c r="K47" s="296">
        <f t="shared" si="23"/>
        <v>26.748424731765279</v>
      </c>
      <c r="L47" s="294"/>
      <c r="M47" s="281">
        <f>N11</f>
        <v>2699.1926456304454</v>
      </c>
      <c r="N47" s="281"/>
      <c r="O47" s="279">
        <f>P11</f>
        <v>0</v>
      </c>
      <c r="P47" s="296"/>
      <c r="Q47" s="282"/>
      <c r="R47" s="283">
        <f t="shared" si="3"/>
        <v>55</v>
      </c>
      <c r="S47" s="283">
        <f t="shared" si="4"/>
        <v>5</v>
      </c>
      <c r="T47" s="284">
        <f t="shared" si="5"/>
        <v>40</v>
      </c>
      <c r="U47" s="284">
        <f t="shared" si="6"/>
        <v>20</v>
      </c>
      <c r="V47" s="109"/>
      <c r="W47" s="285">
        <f t="shared" ca="1" si="7"/>
        <v>16092.975163338233</v>
      </c>
      <c r="X47" s="285">
        <f t="shared" ca="1" si="8"/>
        <v>49148.270249044668</v>
      </c>
      <c r="Y47" s="263"/>
      <c r="Z47" s="286">
        <f t="shared" ca="1" si="9"/>
        <v>430461.7348667208</v>
      </c>
      <c r="AA47" s="286">
        <f t="shared" ca="1" si="10"/>
        <v>1314638.80745303</v>
      </c>
      <c r="AB47" s="109"/>
      <c r="AC47" s="286">
        <f t="shared" ca="1" si="11"/>
        <v>2582770.4092003247</v>
      </c>
      <c r="AD47" s="286">
        <f t="shared" ca="1" si="12"/>
        <v>2629277.61490606</v>
      </c>
      <c r="AE47" s="109"/>
      <c r="AF47" s="286">
        <f t="shared" ca="1" si="19"/>
        <v>-46507.205705735367</v>
      </c>
      <c r="AG47" s="109"/>
      <c r="AH47" s="286">
        <f t="shared" ca="1" si="13"/>
        <v>-884177.07258630916</v>
      </c>
      <c r="AI47" s="109"/>
    </row>
    <row r="48" spans="1:35">
      <c r="A48" s="109"/>
      <c r="B48" s="263"/>
      <c r="C48" s="263"/>
      <c r="D48" s="263"/>
      <c r="E48" s="277">
        <f t="shared" ref="E48:F48" si="68">E47+1</f>
        <v>61</v>
      </c>
      <c r="F48" s="277">
        <f t="shared" si="68"/>
        <v>2061</v>
      </c>
      <c r="G48" s="285">
        <f t="shared" si="30"/>
        <v>107.83999999999997</v>
      </c>
      <c r="H48" s="279">
        <f t="shared" si="26"/>
        <v>0</v>
      </c>
      <c r="I48" s="294"/>
      <c r="J48" s="285">
        <f>IF(SUM($C$4:$C$6)=0,GROWTH($J$7:$J47,$E$7:$E47,$E48),IF(SUM($C$4:$C$5)=0,GROWTH($J$6:$J47,$E$6:$E47,$E48),IF($C$4=0,GROWTH($J$5:$J47,$E$5:$E47,$E48),GROWTH($J$4:$J47,$E$4:$E47,$E48))))</f>
        <v>119466.96902425603</v>
      </c>
      <c r="K48" s="296">
        <f t="shared" si="23"/>
        <v>25.737506965672772</v>
      </c>
      <c r="L48" s="294"/>
      <c r="M48" s="281">
        <f>N10</f>
        <v>2702.5372506852909</v>
      </c>
      <c r="N48" s="281"/>
      <c r="O48" s="279">
        <f>P10</f>
        <v>0</v>
      </c>
      <c r="P48" s="296"/>
      <c r="Q48" s="282"/>
      <c r="R48" s="283">
        <f t="shared" si="3"/>
        <v>56</v>
      </c>
      <c r="S48" s="283">
        <f t="shared" si="4"/>
        <v>5</v>
      </c>
      <c r="T48" s="284">
        <f t="shared" si="5"/>
        <v>41</v>
      </c>
      <c r="U48" s="284">
        <f t="shared" si="6"/>
        <v>20</v>
      </c>
      <c r="V48" s="109"/>
      <c r="W48" s="285">
        <f t="shared" ca="1" si="7"/>
        <v>16136.205677913276</v>
      </c>
      <c r="X48" s="285">
        <f t="shared" ca="1" si="8"/>
        <v>50764.111258250152</v>
      </c>
      <c r="Y48" s="263"/>
      <c r="Z48" s="286">
        <f t="shared" ca="1" si="9"/>
        <v>415305.70603482146</v>
      </c>
      <c r="AA48" s="286">
        <f t="shared" ca="1" si="10"/>
        <v>1306541.6671154008</v>
      </c>
      <c r="AB48" s="109"/>
      <c r="AC48" s="286">
        <f t="shared" ca="1" si="11"/>
        <v>2491834.2362089287</v>
      </c>
      <c r="AD48" s="286">
        <f t="shared" ca="1" si="12"/>
        <v>2613083.3342308016</v>
      </c>
      <c r="AE48" s="109"/>
      <c r="AF48" s="286">
        <f ca="1">AC48-AD48</f>
        <v>-121249.09802187281</v>
      </c>
      <c r="AG48" s="109"/>
      <c r="AH48" s="286">
        <f t="shared" ca="1" si="13"/>
        <v>-891235.96108057932</v>
      </c>
      <c r="AI48" s="109"/>
    </row>
    <row r="49" spans="1:35">
      <c r="A49" s="109"/>
      <c r="B49" s="263"/>
      <c r="C49" s="263"/>
      <c r="D49" s="263"/>
      <c r="E49" s="109"/>
      <c r="F49" s="109"/>
      <c r="G49" s="263"/>
      <c r="H49" s="264"/>
      <c r="I49" s="294"/>
      <c r="J49" s="294"/>
      <c r="K49" s="264"/>
      <c r="L49" s="294"/>
      <c r="M49" s="264"/>
      <c r="N49" s="264"/>
      <c r="O49" s="264"/>
      <c r="P49" s="264"/>
      <c r="Q49" s="263"/>
      <c r="R49" s="263"/>
      <c r="S49" s="263"/>
      <c r="T49" s="263"/>
      <c r="U49" s="263"/>
      <c r="V49" s="109"/>
      <c r="W49" s="263"/>
      <c r="X49" s="263"/>
      <c r="Y49" s="263"/>
      <c r="Z49" s="263"/>
      <c r="AA49" s="263"/>
      <c r="AB49" s="109"/>
      <c r="AC49" s="109"/>
      <c r="AD49" s="109"/>
      <c r="AE49" s="109"/>
      <c r="AF49" s="109"/>
      <c r="AG49" s="109"/>
      <c r="AH49" s="109"/>
      <c r="AI49" s="109"/>
    </row>
    <row r="50" spans="1:35">
      <c r="A50" s="109"/>
      <c r="B50" s="263"/>
      <c r="C50" s="263"/>
      <c r="D50" s="263"/>
      <c r="E50" s="109"/>
      <c r="F50" s="109"/>
      <c r="G50" s="263"/>
      <c r="H50" s="264"/>
      <c r="I50" s="294"/>
      <c r="J50" s="294"/>
      <c r="K50" s="264"/>
      <c r="L50" s="294"/>
      <c r="M50" s="264"/>
      <c r="N50" s="264"/>
      <c r="O50" s="264"/>
      <c r="P50" s="264"/>
      <c r="Q50" s="263"/>
      <c r="R50" s="263"/>
      <c r="S50" s="263"/>
      <c r="T50" s="263"/>
      <c r="U50" s="263"/>
      <c r="V50" s="109"/>
      <c r="W50" s="263"/>
      <c r="X50" s="263"/>
      <c r="Y50" s="263"/>
      <c r="Z50" s="263"/>
      <c r="AA50" s="263"/>
      <c r="AB50" s="109"/>
      <c r="AC50" s="109"/>
      <c r="AD50" s="109"/>
      <c r="AE50" s="109"/>
      <c r="AF50" s="109"/>
      <c r="AG50" s="109"/>
      <c r="AH50" s="109"/>
      <c r="AI50" s="109"/>
    </row>
    <row r="51" spans="1:35">
      <c r="A51" s="109"/>
      <c r="B51" s="263"/>
      <c r="C51" s="263"/>
      <c r="D51" s="263"/>
      <c r="E51" s="109"/>
      <c r="F51" s="109"/>
      <c r="G51" s="263"/>
      <c r="H51" s="264"/>
      <c r="I51" s="294"/>
      <c r="J51" s="294"/>
      <c r="K51" s="264"/>
      <c r="L51" s="294"/>
      <c r="M51" s="264"/>
      <c r="N51" s="264"/>
      <c r="O51" s="264"/>
      <c r="P51" s="264"/>
      <c r="Q51" s="263"/>
      <c r="R51" s="263"/>
      <c r="S51" s="263"/>
      <c r="T51" s="263"/>
      <c r="U51" s="263"/>
      <c r="V51" s="109"/>
      <c r="W51" s="263"/>
      <c r="X51" s="263"/>
      <c r="Y51" s="263"/>
      <c r="Z51" s="263"/>
      <c r="AA51" s="263"/>
      <c r="AB51" s="109"/>
      <c r="AC51" s="109"/>
      <c r="AD51" s="109"/>
      <c r="AE51" s="109"/>
      <c r="AF51" s="109"/>
      <c r="AG51" s="109"/>
      <c r="AH51" s="109"/>
      <c r="AI51" s="109"/>
    </row>
    <row r="52" spans="1:35" hidden="1">
      <c r="A52" s="109"/>
      <c r="B52" s="271" t="s">
        <v>767</v>
      </c>
      <c r="C52" s="263"/>
      <c r="D52" s="263"/>
      <c r="E52" s="109"/>
      <c r="F52" s="109"/>
      <c r="G52" s="263"/>
      <c r="H52" s="264"/>
      <c r="I52" s="294"/>
      <c r="J52" s="294"/>
      <c r="K52" s="264"/>
      <c r="L52" s="294"/>
      <c r="M52" s="264"/>
      <c r="N52" s="264"/>
      <c r="O52" s="264"/>
      <c r="P52" s="264"/>
      <c r="Q52" s="263"/>
      <c r="R52" s="263"/>
      <c r="S52" s="263"/>
      <c r="T52" s="263"/>
      <c r="U52" s="263"/>
      <c r="V52" s="109"/>
      <c r="W52" s="263"/>
      <c r="X52" s="263"/>
      <c r="Y52" s="263"/>
      <c r="Z52" s="263"/>
      <c r="AA52" s="263"/>
      <c r="AB52" s="109"/>
      <c r="AC52" s="109"/>
      <c r="AD52" s="109"/>
      <c r="AE52" s="109"/>
      <c r="AF52" s="109"/>
      <c r="AG52" s="109"/>
      <c r="AH52" s="109"/>
      <c r="AI52" s="109"/>
    </row>
    <row r="53" spans="1:35" hidden="1">
      <c r="A53" s="109"/>
      <c r="B53" s="271" t="s">
        <v>766</v>
      </c>
      <c r="C53" s="263"/>
      <c r="D53" s="263"/>
      <c r="E53" s="109"/>
      <c r="F53" s="109"/>
      <c r="G53" s="263"/>
      <c r="H53" s="264"/>
      <c r="I53" s="294"/>
      <c r="J53" s="294"/>
      <c r="K53" s="264"/>
      <c r="L53" s="294"/>
      <c r="M53" s="264"/>
      <c r="N53" s="264"/>
      <c r="O53" s="264"/>
      <c r="P53" s="264"/>
      <c r="Q53" s="263"/>
      <c r="R53" s="263"/>
      <c r="S53" s="263"/>
      <c r="T53" s="263"/>
      <c r="U53" s="263"/>
      <c r="V53" s="109"/>
      <c r="W53" s="263"/>
      <c r="X53" s="263"/>
      <c r="Y53" s="263"/>
      <c r="Z53" s="263"/>
      <c r="AA53" s="263"/>
      <c r="AB53" s="109"/>
      <c r="AC53" s="109"/>
      <c r="AD53" s="109"/>
      <c r="AE53" s="109"/>
      <c r="AF53" s="109"/>
      <c r="AG53" s="109"/>
      <c r="AH53" s="109"/>
      <c r="AI53" s="109"/>
    </row>
    <row r="54" spans="1:35" hidden="1">
      <c r="A54" s="109"/>
      <c r="B54" s="271" t="s">
        <v>831</v>
      </c>
      <c r="C54" s="263"/>
      <c r="D54" s="263"/>
      <c r="E54" s="109"/>
      <c r="F54" s="109"/>
      <c r="G54" s="48"/>
      <c r="H54" s="264"/>
      <c r="I54" s="265"/>
      <c r="J54" s="265"/>
      <c r="K54" s="264"/>
      <c r="L54" s="265"/>
      <c r="M54" s="264"/>
      <c r="N54" s="264"/>
      <c r="O54" s="264"/>
      <c r="P54" s="264"/>
      <c r="Q54" s="263"/>
      <c r="R54" s="263"/>
      <c r="S54" s="263"/>
      <c r="T54" s="263"/>
      <c r="U54" s="263"/>
      <c r="V54" s="109"/>
      <c r="W54" s="263"/>
      <c r="X54" s="263"/>
      <c r="Y54" s="263"/>
      <c r="Z54" s="263"/>
      <c r="AA54" s="263"/>
      <c r="AB54" s="109"/>
      <c r="AC54" s="109"/>
      <c r="AD54" s="109"/>
      <c r="AE54" s="109"/>
      <c r="AF54" s="109"/>
      <c r="AG54" s="109"/>
      <c r="AH54" s="109"/>
      <c r="AI54" s="109"/>
    </row>
    <row r="55" spans="1:35">
      <c r="A55" s="109"/>
      <c r="B55" s="263"/>
      <c r="C55" s="263"/>
      <c r="D55" s="263"/>
      <c r="E55" s="109"/>
      <c r="F55" s="109"/>
      <c r="G55" s="48"/>
      <c r="H55" s="264"/>
      <c r="I55" s="265"/>
      <c r="J55" s="265"/>
      <c r="K55" s="264"/>
      <c r="L55" s="265"/>
      <c r="M55" s="264"/>
      <c r="N55" s="264"/>
      <c r="O55" s="264"/>
      <c r="P55" s="264"/>
      <c r="Q55" s="263"/>
      <c r="R55" s="263"/>
      <c r="S55" s="263"/>
      <c r="T55" s="263"/>
      <c r="U55" s="263"/>
      <c r="V55" s="109"/>
      <c r="W55" s="263"/>
      <c r="X55" s="263"/>
      <c r="Y55" s="263"/>
      <c r="Z55" s="263"/>
      <c r="AA55" s="263"/>
      <c r="AB55" s="109"/>
      <c r="AC55" s="109"/>
      <c r="AD55" s="109"/>
      <c r="AE55" s="109"/>
      <c r="AF55" s="109"/>
      <c r="AG55" s="109"/>
      <c r="AH55" s="109"/>
      <c r="AI55" s="109"/>
    </row>
    <row r="56" spans="1:35">
      <c r="A56" s="109"/>
      <c r="B56" s="263"/>
      <c r="C56" s="263"/>
      <c r="D56" s="263"/>
      <c r="E56" s="109"/>
      <c r="F56" s="109"/>
      <c r="G56" s="48"/>
      <c r="H56" s="264"/>
      <c r="I56" s="265"/>
      <c r="J56" s="265"/>
      <c r="K56" s="264"/>
      <c r="L56" s="265"/>
      <c r="M56" s="264"/>
      <c r="N56" s="264"/>
      <c r="O56" s="264"/>
      <c r="P56" s="264"/>
      <c r="Q56" s="263"/>
      <c r="R56" s="263"/>
      <c r="S56" s="263"/>
      <c r="T56" s="263"/>
      <c r="U56" s="263"/>
      <c r="V56" s="109"/>
      <c r="W56" s="263"/>
      <c r="X56" s="263"/>
      <c r="Y56" s="263"/>
      <c r="Z56" s="263"/>
      <c r="AA56" s="263"/>
      <c r="AB56" s="109"/>
      <c r="AC56" s="109"/>
      <c r="AD56" s="109"/>
      <c r="AE56" s="109"/>
      <c r="AF56" s="109"/>
      <c r="AG56" s="109"/>
      <c r="AH56" s="109"/>
      <c r="AI56" s="109"/>
    </row>
    <row r="57" spans="1:35">
      <c r="A57" s="109"/>
      <c r="B57" s="263"/>
      <c r="C57" s="263"/>
      <c r="D57" s="263"/>
      <c r="E57" s="109"/>
      <c r="F57" s="109"/>
      <c r="G57" s="48"/>
      <c r="H57" s="264"/>
      <c r="I57" s="265"/>
      <c r="J57" s="265"/>
      <c r="K57" s="264"/>
      <c r="L57" s="265"/>
      <c r="M57" s="264"/>
      <c r="N57" s="264"/>
      <c r="O57" s="264"/>
      <c r="P57" s="264"/>
      <c r="Q57" s="263"/>
      <c r="R57" s="263"/>
      <c r="S57" s="263"/>
      <c r="T57" s="263"/>
      <c r="U57" s="263"/>
      <c r="V57" s="109"/>
      <c r="W57" s="263"/>
      <c r="X57" s="263"/>
      <c r="Y57" s="263"/>
      <c r="Z57" s="263"/>
      <c r="AA57" s="263"/>
      <c r="AB57" s="109"/>
      <c r="AC57" s="109"/>
      <c r="AD57" s="109"/>
      <c r="AE57" s="109"/>
      <c r="AF57" s="109"/>
      <c r="AG57" s="109"/>
      <c r="AH57" s="109"/>
      <c r="AI57" s="109"/>
    </row>
    <row r="58" spans="1:35">
      <c r="A58" s="109"/>
      <c r="B58" s="263"/>
      <c r="C58" s="263"/>
      <c r="D58" s="263"/>
      <c r="E58" s="109"/>
      <c r="F58" s="109"/>
      <c r="G58" s="48"/>
      <c r="H58" s="271"/>
      <c r="I58" s="265"/>
      <c r="J58" s="339"/>
      <c r="K58" s="264"/>
      <c r="L58" s="265"/>
      <c r="M58" s="264"/>
      <c r="N58" s="264"/>
      <c r="O58" s="264"/>
      <c r="P58" s="264"/>
      <c r="Q58" s="263"/>
      <c r="R58" s="263"/>
      <c r="S58" s="263"/>
      <c r="T58" s="263"/>
      <c r="U58" s="263"/>
      <c r="V58" s="109"/>
      <c r="W58" s="263"/>
      <c r="X58" s="263"/>
      <c r="Y58" s="263"/>
      <c r="Z58" s="263"/>
      <c r="AA58" s="263"/>
      <c r="AB58" s="109"/>
      <c r="AC58" s="109"/>
      <c r="AD58" s="109"/>
      <c r="AE58" s="109"/>
      <c r="AF58" s="109"/>
      <c r="AG58" s="109"/>
      <c r="AH58" s="109"/>
      <c r="AI58" s="109"/>
    </row>
    <row r="59" spans="1:35">
      <c r="A59" s="109"/>
      <c r="B59" s="263"/>
      <c r="C59" s="263"/>
      <c r="D59" s="263"/>
      <c r="E59" s="109"/>
      <c r="F59" s="109"/>
      <c r="G59" s="48"/>
      <c r="H59" s="271"/>
      <c r="I59" s="265"/>
      <c r="J59" s="339"/>
      <c r="K59" s="264"/>
      <c r="L59" s="265"/>
      <c r="M59" s="264"/>
      <c r="N59" s="264"/>
      <c r="O59" s="264"/>
      <c r="P59" s="264"/>
      <c r="Q59" s="263"/>
      <c r="R59" s="263"/>
      <c r="S59" s="263"/>
      <c r="T59" s="263"/>
      <c r="U59" s="263"/>
      <c r="V59" s="109"/>
      <c r="W59" s="263"/>
      <c r="X59" s="263"/>
      <c r="Y59" s="263"/>
      <c r="Z59" s="263"/>
      <c r="AA59" s="263"/>
      <c r="AB59" s="109"/>
      <c r="AC59" s="109"/>
      <c r="AD59" s="109"/>
      <c r="AE59" s="109"/>
      <c r="AF59" s="109"/>
      <c r="AG59" s="109"/>
      <c r="AH59" s="109"/>
      <c r="AI59" s="109"/>
    </row>
    <row r="60" spans="1:35">
      <c r="A60" s="109"/>
      <c r="B60" s="263"/>
      <c r="C60" s="263"/>
      <c r="D60" s="263"/>
      <c r="E60" s="109"/>
      <c r="F60" s="109"/>
      <c r="G60" s="48"/>
      <c r="H60" s="271"/>
      <c r="I60" s="265"/>
      <c r="J60" s="339"/>
      <c r="K60" s="264"/>
      <c r="L60" s="265"/>
      <c r="M60" s="264"/>
      <c r="N60" s="264"/>
      <c r="O60" s="264"/>
      <c r="P60" s="264"/>
      <c r="Q60" s="263"/>
      <c r="R60" s="263"/>
      <c r="S60" s="263"/>
      <c r="T60" s="263"/>
      <c r="U60" s="263"/>
      <c r="V60" s="109"/>
      <c r="W60" s="263"/>
      <c r="X60" s="263"/>
      <c r="Y60" s="263"/>
      <c r="Z60" s="263"/>
      <c r="AA60" s="263"/>
      <c r="AB60" s="109"/>
      <c r="AC60" s="109"/>
      <c r="AD60" s="109"/>
      <c r="AE60" s="109"/>
      <c r="AF60" s="109"/>
      <c r="AG60" s="109"/>
      <c r="AH60" s="109"/>
      <c r="AI60" s="109"/>
    </row>
    <row r="61" spans="1:35">
      <c r="A61" s="109"/>
      <c r="B61" s="263"/>
      <c r="C61" s="263"/>
      <c r="D61" s="263"/>
      <c r="E61" s="109"/>
      <c r="F61" s="109"/>
      <c r="G61" s="48"/>
      <c r="H61" s="271"/>
      <c r="I61" s="265"/>
      <c r="J61" s="339"/>
      <c r="K61" s="264"/>
      <c r="L61" s="265"/>
      <c r="M61" s="264"/>
      <c r="N61" s="264"/>
      <c r="O61" s="264"/>
      <c r="P61" s="264"/>
      <c r="Q61" s="263"/>
      <c r="R61" s="263"/>
      <c r="S61" s="263"/>
      <c r="T61" s="263"/>
      <c r="U61" s="263"/>
      <c r="V61" s="109"/>
      <c r="W61" s="263"/>
      <c r="X61" s="263"/>
      <c r="Y61" s="263"/>
      <c r="Z61" s="263"/>
      <c r="AA61" s="263"/>
      <c r="AB61" s="109"/>
      <c r="AC61" s="109"/>
      <c r="AD61" s="109"/>
      <c r="AE61" s="109"/>
      <c r="AF61" s="109"/>
      <c r="AG61" s="109"/>
      <c r="AH61" s="109"/>
      <c r="AI61" s="109"/>
    </row>
    <row r="62" spans="1:35">
      <c r="A62" s="109"/>
      <c r="B62" s="263"/>
      <c r="C62" s="263"/>
      <c r="D62" s="263"/>
      <c r="E62" s="109"/>
      <c r="F62" s="109"/>
      <c r="G62" s="48"/>
      <c r="H62" s="271"/>
      <c r="I62" s="265"/>
      <c r="J62" s="339"/>
      <c r="K62" s="264"/>
      <c r="L62" s="265"/>
      <c r="M62" s="264"/>
      <c r="N62" s="264"/>
      <c r="O62" s="264"/>
      <c r="P62" s="264"/>
      <c r="Q62" s="263"/>
      <c r="R62" s="263"/>
      <c r="S62" s="263"/>
      <c r="T62" s="263"/>
      <c r="U62" s="263"/>
      <c r="V62" s="109"/>
      <c r="W62" s="263"/>
      <c r="X62" s="263"/>
      <c r="Y62" s="263"/>
      <c r="Z62" s="263"/>
      <c r="AA62" s="263"/>
      <c r="AB62" s="109"/>
      <c r="AC62" s="109"/>
      <c r="AD62" s="109"/>
      <c r="AE62" s="109"/>
      <c r="AF62" s="109"/>
      <c r="AG62" s="109"/>
      <c r="AH62" s="109"/>
      <c r="AI62" s="109"/>
    </row>
    <row r="63" spans="1:35">
      <c r="A63" s="109"/>
      <c r="B63" s="263"/>
      <c r="C63" s="263"/>
      <c r="D63" s="263"/>
      <c r="E63" s="109"/>
      <c r="F63" s="109"/>
      <c r="G63" s="48"/>
      <c r="H63" s="271"/>
      <c r="I63" s="265"/>
      <c r="J63" s="340"/>
      <c r="K63" s="341"/>
      <c r="L63" s="265"/>
      <c r="M63" s="341"/>
      <c r="N63" s="341"/>
      <c r="O63" s="341"/>
      <c r="P63" s="341"/>
      <c r="Q63" s="263"/>
      <c r="R63" s="263"/>
      <c r="S63" s="263"/>
      <c r="T63" s="263"/>
      <c r="U63" s="263"/>
      <c r="V63" s="109"/>
      <c r="W63" s="263"/>
      <c r="X63" s="263"/>
      <c r="Y63" s="263"/>
      <c r="Z63" s="263"/>
      <c r="AA63" s="263"/>
      <c r="AB63" s="109"/>
      <c r="AC63" s="109"/>
      <c r="AD63" s="109"/>
      <c r="AE63" s="109"/>
      <c r="AF63" s="109"/>
      <c r="AG63" s="109"/>
      <c r="AH63" s="109"/>
      <c r="AI63" s="109"/>
    </row>
    <row r="64" spans="1:35">
      <c r="A64" s="109"/>
      <c r="B64" s="263"/>
      <c r="C64" s="263"/>
      <c r="D64" s="263"/>
      <c r="E64" s="109"/>
      <c r="F64" s="109"/>
      <c r="G64" s="48"/>
      <c r="H64" s="271"/>
      <c r="I64" s="265"/>
      <c r="J64" s="265"/>
      <c r="K64" s="264"/>
      <c r="L64" s="265"/>
      <c r="M64" s="264"/>
      <c r="N64" s="264"/>
      <c r="O64" s="264"/>
      <c r="P64" s="264"/>
      <c r="Q64" s="263"/>
      <c r="R64" s="263"/>
      <c r="S64" s="263"/>
      <c r="T64" s="263"/>
      <c r="U64" s="263"/>
      <c r="V64" s="109"/>
      <c r="W64" s="263"/>
      <c r="X64" s="263"/>
      <c r="Y64" s="263"/>
      <c r="Z64" s="263"/>
      <c r="AA64" s="263"/>
      <c r="AB64" s="109"/>
      <c r="AC64" s="109"/>
      <c r="AD64" s="109"/>
      <c r="AE64" s="109"/>
      <c r="AF64" s="109"/>
      <c r="AG64" s="109"/>
      <c r="AH64" s="109"/>
      <c r="AI64" s="109"/>
    </row>
    <row r="65" spans="1:35">
      <c r="A65" s="109"/>
      <c r="B65" s="263"/>
      <c r="C65" s="263"/>
      <c r="D65" s="263"/>
      <c r="E65" s="109"/>
      <c r="F65" s="109"/>
      <c r="G65" s="48"/>
      <c r="H65" s="271"/>
      <c r="I65" s="265"/>
      <c r="J65" s="265"/>
      <c r="K65" s="264"/>
      <c r="L65" s="265"/>
      <c r="M65" s="264"/>
      <c r="N65" s="264"/>
      <c r="O65" s="264"/>
      <c r="P65" s="264"/>
      <c r="Q65" s="263"/>
      <c r="R65" s="263"/>
      <c r="S65" s="263"/>
      <c r="T65" s="263"/>
      <c r="U65" s="263"/>
      <c r="V65" s="109"/>
      <c r="W65" s="263"/>
      <c r="X65" s="263"/>
      <c r="Y65" s="263"/>
      <c r="Z65" s="263"/>
      <c r="AA65" s="263"/>
      <c r="AB65" s="109"/>
      <c r="AC65" s="109"/>
      <c r="AD65" s="109"/>
      <c r="AE65" s="109"/>
      <c r="AF65" s="109"/>
      <c r="AG65" s="109"/>
      <c r="AH65" s="109"/>
      <c r="AI65" s="109"/>
    </row>
    <row r="66" spans="1:35">
      <c r="A66" s="109"/>
      <c r="B66" s="263"/>
      <c r="C66" s="263"/>
      <c r="D66" s="263"/>
      <c r="E66" s="109"/>
      <c r="F66" s="109"/>
      <c r="G66" s="48"/>
      <c r="H66" s="271"/>
      <c r="I66" s="265"/>
      <c r="J66" s="265"/>
      <c r="K66" s="264"/>
      <c r="L66" s="265"/>
      <c r="M66" s="264"/>
      <c r="N66" s="264"/>
      <c r="O66" s="264"/>
      <c r="P66" s="264"/>
      <c r="Q66" s="263"/>
      <c r="R66" s="263"/>
      <c r="S66" s="263"/>
      <c r="T66" s="263"/>
      <c r="U66" s="263"/>
      <c r="V66" s="109"/>
      <c r="W66" s="263"/>
      <c r="X66" s="263"/>
      <c r="Y66" s="263"/>
      <c r="Z66" s="263"/>
      <c r="AA66" s="263"/>
      <c r="AB66" s="109"/>
      <c r="AC66" s="109"/>
      <c r="AD66" s="109"/>
      <c r="AE66" s="109"/>
      <c r="AF66" s="109"/>
      <c r="AG66" s="109"/>
      <c r="AH66" s="109"/>
      <c r="AI66" s="109"/>
    </row>
    <row r="67" spans="1:35">
      <c r="A67" s="109"/>
      <c r="B67" s="263"/>
      <c r="C67" s="263"/>
      <c r="D67" s="263"/>
      <c r="E67" s="109"/>
      <c r="F67" s="109"/>
      <c r="G67" s="48"/>
      <c r="H67" s="271"/>
      <c r="I67" s="265"/>
      <c r="J67" s="265"/>
      <c r="K67" s="264"/>
      <c r="L67" s="265"/>
      <c r="M67" s="264"/>
      <c r="N67" s="264"/>
      <c r="O67" s="264"/>
      <c r="P67" s="264"/>
      <c r="Q67" s="263"/>
      <c r="R67" s="263"/>
      <c r="S67" s="263"/>
      <c r="T67" s="263"/>
      <c r="U67" s="263"/>
      <c r="V67" s="109"/>
      <c r="W67" s="263"/>
      <c r="X67" s="263"/>
      <c r="Y67" s="263"/>
      <c r="Z67" s="263"/>
      <c r="AA67" s="263"/>
      <c r="AB67" s="109"/>
      <c r="AC67" s="109"/>
      <c r="AD67" s="109"/>
      <c r="AE67" s="109"/>
      <c r="AF67" s="109"/>
      <c r="AG67" s="109"/>
      <c r="AH67" s="109"/>
      <c r="AI67" s="109"/>
    </row>
    <row r="68" spans="1:35">
      <c r="A68" s="109"/>
      <c r="B68" s="263"/>
      <c r="C68" s="263"/>
      <c r="D68" s="263"/>
      <c r="E68" s="109"/>
      <c r="F68" s="109"/>
      <c r="G68" s="48"/>
      <c r="H68" s="271"/>
      <c r="I68" s="265"/>
      <c r="J68" s="265"/>
      <c r="K68" s="264"/>
      <c r="L68" s="265"/>
      <c r="M68" s="264"/>
      <c r="N68" s="264"/>
      <c r="O68" s="264"/>
      <c r="P68" s="264"/>
      <c r="Q68" s="263"/>
      <c r="R68" s="263"/>
      <c r="S68" s="263"/>
      <c r="T68" s="263"/>
      <c r="U68" s="263"/>
      <c r="V68" s="109"/>
      <c r="W68" s="263"/>
      <c r="X68" s="263"/>
      <c r="Y68" s="263"/>
      <c r="Z68" s="263"/>
      <c r="AA68" s="263"/>
      <c r="AB68" s="109"/>
      <c r="AC68" s="109"/>
      <c r="AD68" s="109"/>
      <c r="AE68" s="109"/>
      <c r="AF68" s="109"/>
      <c r="AG68" s="109"/>
      <c r="AH68" s="109"/>
      <c r="AI68" s="109"/>
    </row>
    <row r="69" spans="1:35">
      <c r="A69" s="109"/>
      <c r="B69" s="263"/>
      <c r="C69" s="263"/>
      <c r="D69" s="263"/>
      <c r="E69" s="109"/>
      <c r="F69" s="109"/>
      <c r="G69" s="48"/>
      <c r="H69" s="271"/>
      <c r="I69" s="265"/>
      <c r="J69" s="265"/>
      <c r="K69" s="264"/>
      <c r="L69" s="265"/>
      <c r="M69" s="264"/>
      <c r="N69" s="264"/>
      <c r="O69" s="264"/>
      <c r="P69" s="264"/>
      <c r="Q69" s="263"/>
      <c r="R69" s="263"/>
      <c r="S69" s="263"/>
      <c r="T69" s="263"/>
      <c r="U69" s="263"/>
      <c r="V69" s="109"/>
      <c r="W69" s="263"/>
      <c r="X69" s="263"/>
      <c r="Y69" s="263"/>
      <c r="Z69" s="263"/>
      <c r="AA69" s="263"/>
      <c r="AB69" s="109"/>
      <c r="AC69" s="109"/>
      <c r="AD69" s="109"/>
      <c r="AE69" s="109"/>
      <c r="AF69" s="109"/>
      <c r="AG69" s="109"/>
      <c r="AH69" s="109"/>
      <c r="AI69" s="109"/>
    </row>
    <row r="70" spans="1:35">
      <c r="A70" s="109"/>
      <c r="B70" s="263"/>
      <c r="C70" s="263"/>
      <c r="D70" s="263"/>
      <c r="E70" s="109"/>
      <c r="F70" s="109"/>
      <c r="G70" s="48"/>
      <c r="H70" s="271"/>
      <c r="I70" s="265"/>
      <c r="J70" s="265"/>
      <c r="K70" s="264"/>
      <c r="L70" s="265"/>
      <c r="M70" s="264"/>
      <c r="N70" s="264"/>
      <c r="O70" s="264"/>
      <c r="P70" s="264"/>
      <c r="Q70" s="263"/>
      <c r="R70" s="263"/>
      <c r="S70" s="263"/>
      <c r="T70" s="263"/>
      <c r="U70" s="263"/>
      <c r="V70" s="109"/>
      <c r="W70" s="263"/>
      <c r="X70" s="263"/>
      <c r="Y70" s="263"/>
      <c r="Z70" s="263"/>
      <c r="AA70" s="263"/>
      <c r="AB70" s="109"/>
      <c r="AC70" s="109"/>
      <c r="AD70" s="109"/>
      <c r="AE70" s="109"/>
      <c r="AF70" s="109"/>
      <c r="AG70" s="109"/>
      <c r="AH70" s="109"/>
      <c r="AI70" s="109"/>
    </row>
    <row r="71" spans="1:35">
      <c r="A71" s="109"/>
      <c r="B71" s="263"/>
      <c r="C71" s="263"/>
      <c r="D71" s="263"/>
      <c r="E71" s="109"/>
      <c r="F71" s="109"/>
      <c r="G71" s="48"/>
      <c r="H71" s="271"/>
      <c r="I71" s="265"/>
      <c r="J71" s="265"/>
      <c r="K71" s="264"/>
      <c r="L71" s="265"/>
      <c r="M71" s="264"/>
      <c r="N71" s="264"/>
      <c r="O71" s="264"/>
      <c r="P71" s="264"/>
      <c r="Q71" s="263"/>
      <c r="R71" s="263"/>
      <c r="S71" s="263"/>
      <c r="T71" s="263"/>
      <c r="U71" s="263"/>
      <c r="V71" s="109"/>
      <c r="W71" s="263"/>
      <c r="X71" s="263"/>
      <c r="Y71" s="263"/>
      <c r="Z71" s="263"/>
      <c r="AA71" s="263"/>
      <c r="AB71" s="109"/>
      <c r="AC71" s="109"/>
      <c r="AD71" s="109"/>
      <c r="AE71" s="109"/>
      <c r="AF71" s="109"/>
      <c r="AG71" s="109"/>
      <c r="AH71" s="109"/>
      <c r="AI71" s="109"/>
    </row>
    <row r="72" spans="1:35">
      <c r="A72" s="109"/>
      <c r="B72" s="263"/>
      <c r="C72" s="263"/>
      <c r="D72" s="263"/>
      <c r="E72" s="109"/>
      <c r="F72" s="109"/>
      <c r="G72" s="48"/>
      <c r="H72" s="264"/>
      <c r="I72" s="265"/>
      <c r="J72" s="265"/>
      <c r="K72" s="264"/>
      <c r="L72" s="265"/>
      <c r="M72" s="264"/>
      <c r="N72" s="264"/>
      <c r="O72" s="264"/>
      <c r="P72" s="264"/>
      <c r="Q72" s="263"/>
      <c r="R72" s="263"/>
      <c r="S72" s="263"/>
      <c r="T72" s="263"/>
      <c r="U72" s="263"/>
      <c r="V72" s="109"/>
      <c r="W72" s="263"/>
      <c r="X72" s="263"/>
      <c r="Y72" s="263"/>
      <c r="Z72" s="263"/>
      <c r="AA72" s="263"/>
      <c r="AB72" s="109"/>
      <c r="AC72" s="109"/>
      <c r="AD72" s="109"/>
      <c r="AE72" s="109"/>
      <c r="AF72" s="109"/>
      <c r="AG72" s="109"/>
      <c r="AH72" s="109"/>
      <c r="AI72" s="109"/>
    </row>
    <row r="73" spans="1:35">
      <c r="A73" s="109"/>
      <c r="B73" s="263"/>
      <c r="C73" s="263"/>
      <c r="D73" s="263"/>
      <c r="E73" s="109"/>
      <c r="F73" s="109"/>
      <c r="G73" s="48"/>
      <c r="H73" s="264"/>
      <c r="I73" s="265"/>
      <c r="J73" s="265"/>
      <c r="K73" s="264"/>
      <c r="L73" s="265"/>
      <c r="M73" s="264"/>
      <c r="N73" s="264"/>
      <c r="O73" s="264"/>
      <c r="P73" s="264"/>
      <c r="Q73" s="263"/>
      <c r="R73" s="263"/>
      <c r="S73" s="263"/>
      <c r="T73" s="263"/>
      <c r="U73" s="263"/>
      <c r="V73" s="109"/>
      <c r="W73" s="263"/>
      <c r="X73" s="263"/>
      <c r="Y73" s="263"/>
      <c r="Z73" s="263"/>
      <c r="AA73" s="263"/>
      <c r="AB73" s="109"/>
      <c r="AC73" s="109"/>
      <c r="AD73" s="109"/>
      <c r="AE73" s="109"/>
      <c r="AF73" s="109"/>
      <c r="AG73" s="109"/>
      <c r="AH73" s="109"/>
      <c r="AI73" s="109"/>
    </row>
    <row r="74" spans="1:35">
      <c r="A74" s="109"/>
      <c r="B74" s="263"/>
      <c r="C74" s="263"/>
      <c r="D74" s="263"/>
      <c r="E74" s="109"/>
      <c r="F74" s="109"/>
      <c r="G74" s="48"/>
      <c r="H74" s="264"/>
      <c r="I74" s="265"/>
      <c r="J74" s="265"/>
      <c r="K74" s="264"/>
      <c r="L74" s="265"/>
      <c r="M74" s="264"/>
      <c r="N74" s="264"/>
      <c r="O74" s="264"/>
      <c r="P74" s="264"/>
      <c r="Q74" s="263"/>
      <c r="R74" s="263"/>
      <c r="S74" s="263"/>
      <c r="T74" s="263"/>
      <c r="U74" s="263"/>
      <c r="V74" s="109"/>
      <c r="W74" s="263"/>
      <c r="X74" s="263"/>
      <c r="Y74" s="263"/>
      <c r="Z74" s="263"/>
      <c r="AA74" s="263"/>
      <c r="AB74" s="109"/>
      <c r="AC74" s="109"/>
      <c r="AD74" s="109"/>
      <c r="AE74" s="109"/>
      <c r="AF74" s="109"/>
      <c r="AG74" s="109"/>
      <c r="AH74" s="109"/>
      <c r="AI74" s="109"/>
    </row>
    <row r="75" spans="1:35">
      <c r="A75" s="109"/>
      <c r="B75" s="263"/>
      <c r="C75" s="263"/>
      <c r="D75" s="263"/>
      <c r="E75" s="109"/>
      <c r="F75" s="109"/>
      <c r="G75" s="48"/>
      <c r="H75" s="264"/>
      <c r="I75" s="265"/>
      <c r="J75" s="265"/>
      <c r="K75" s="264"/>
      <c r="L75" s="265"/>
      <c r="M75" s="264"/>
      <c r="N75" s="264"/>
      <c r="O75" s="264"/>
      <c r="P75" s="264"/>
      <c r="Q75" s="263"/>
      <c r="R75" s="263"/>
      <c r="S75" s="263"/>
      <c r="T75" s="263"/>
      <c r="U75" s="263"/>
      <c r="V75" s="109"/>
      <c r="W75" s="263"/>
      <c r="X75" s="263"/>
      <c r="Y75" s="263"/>
      <c r="Z75" s="263"/>
      <c r="AA75" s="263"/>
      <c r="AB75" s="109"/>
      <c r="AC75" s="109"/>
      <c r="AD75" s="109"/>
      <c r="AE75" s="109"/>
      <c r="AF75" s="109"/>
      <c r="AG75" s="109"/>
      <c r="AH75" s="109"/>
      <c r="AI75" s="109"/>
    </row>
    <row r="76" spans="1:35">
      <c r="A76" s="109"/>
      <c r="B76" s="263"/>
      <c r="C76" s="263"/>
      <c r="D76" s="263"/>
      <c r="E76" s="109"/>
      <c r="F76" s="109"/>
      <c r="G76" s="48"/>
      <c r="H76" s="264"/>
      <c r="I76" s="265"/>
      <c r="J76" s="265"/>
      <c r="K76" s="264"/>
      <c r="L76" s="265"/>
      <c r="M76" s="264"/>
      <c r="N76" s="264"/>
      <c r="O76" s="264"/>
      <c r="P76" s="264"/>
      <c r="Q76" s="263"/>
      <c r="R76" s="263"/>
      <c r="S76" s="263"/>
      <c r="T76" s="263"/>
      <c r="U76" s="263"/>
      <c r="V76" s="109"/>
      <c r="W76" s="263"/>
      <c r="X76" s="263"/>
      <c r="Y76" s="263"/>
      <c r="Z76" s="263"/>
      <c r="AA76" s="263"/>
      <c r="AB76" s="109"/>
      <c r="AC76" s="109"/>
      <c r="AD76" s="109"/>
      <c r="AE76" s="109"/>
      <c r="AF76" s="109"/>
      <c r="AG76" s="109"/>
      <c r="AH76" s="109"/>
      <c r="AI76" s="109"/>
    </row>
    <row r="77" spans="1:35">
      <c r="A77" s="109"/>
      <c r="B77" s="263"/>
      <c r="C77" s="263"/>
      <c r="D77" s="263"/>
      <c r="E77" s="109"/>
      <c r="F77" s="109"/>
      <c r="G77" s="48"/>
      <c r="H77" s="264"/>
      <c r="I77" s="265"/>
      <c r="J77" s="265"/>
      <c r="K77" s="264"/>
      <c r="L77" s="265"/>
      <c r="M77" s="264"/>
      <c r="N77" s="264"/>
      <c r="O77" s="264"/>
      <c r="P77" s="264"/>
      <c r="Q77" s="263"/>
      <c r="R77" s="263"/>
      <c r="S77" s="263"/>
      <c r="T77" s="263"/>
      <c r="U77" s="263"/>
      <c r="V77" s="109"/>
      <c r="W77" s="263"/>
      <c r="X77" s="263"/>
      <c r="Y77" s="263"/>
      <c r="Z77" s="263"/>
      <c r="AA77" s="263"/>
      <c r="AB77" s="109"/>
      <c r="AC77" s="109"/>
      <c r="AD77" s="109"/>
      <c r="AE77" s="109"/>
      <c r="AF77" s="109"/>
      <c r="AG77" s="109"/>
      <c r="AH77" s="109"/>
      <c r="AI77" s="109"/>
    </row>
    <row r="78" spans="1:35">
      <c r="A78" s="109"/>
      <c r="B78" s="263"/>
      <c r="C78" s="263"/>
      <c r="D78" s="263"/>
      <c r="E78" s="109"/>
      <c r="F78" s="109"/>
      <c r="G78" s="48"/>
      <c r="H78" s="264"/>
      <c r="I78" s="265"/>
      <c r="J78" s="265"/>
      <c r="K78" s="264"/>
      <c r="L78" s="265"/>
      <c r="M78" s="264"/>
      <c r="N78" s="264"/>
      <c r="O78" s="264"/>
      <c r="P78" s="264"/>
      <c r="Q78" s="263"/>
      <c r="R78" s="263"/>
      <c r="S78" s="263"/>
      <c r="T78" s="263"/>
      <c r="U78" s="263"/>
      <c r="V78" s="109"/>
      <c r="W78" s="263"/>
      <c r="X78" s="263"/>
      <c r="Y78" s="263"/>
      <c r="Z78" s="263"/>
      <c r="AA78" s="263"/>
      <c r="AB78" s="109"/>
      <c r="AC78" s="109"/>
      <c r="AD78" s="109"/>
      <c r="AE78" s="109"/>
      <c r="AF78" s="109"/>
      <c r="AG78" s="109"/>
      <c r="AH78" s="109"/>
      <c r="AI78" s="109"/>
    </row>
    <row r="79" spans="1:35">
      <c r="A79" s="109"/>
      <c r="B79" s="263"/>
      <c r="C79" s="263"/>
      <c r="D79" s="263"/>
      <c r="E79" s="109"/>
      <c r="F79" s="109"/>
      <c r="G79" s="48"/>
      <c r="H79" s="264"/>
      <c r="I79" s="265"/>
      <c r="J79" s="265"/>
      <c r="K79" s="264"/>
      <c r="L79" s="265"/>
      <c r="M79" s="264"/>
      <c r="N79" s="264"/>
      <c r="O79" s="264"/>
      <c r="P79" s="264"/>
      <c r="Q79" s="263"/>
      <c r="R79" s="263"/>
      <c r="S79" s="263"/>
      <c r="T79" s="263"/>
      <c r="U79" s="263"/>
      <c r="V79" s="109"/>
      <c r="W79" s="263"/>
      <c r="X79" s="263"/>
      <c r="Y79" s="263"/>
      <c r="Z79" s="263"/>
      <c r="AA79" s="263"/>
      <c r="AB79" s="109"/>
      <c r="AC79" s="109"/>
      <c r="AD79" s="109"/>
      <c r="AE79" s="109"/>
      <c r="AF79" s="109"/>
      <c r="AG79" s="109"/>
      <c r="AH79" s="109"/>
      <c r="AI79" s="109"/>
    </row>
    <row r="80" spans="1:35">
      <c r="A80" s="109"/>
      <c r="B80" s="263"/>
      <c r="C80" s="263"/>
      <c r="D80" s="263"/>
      <c r="E80" s="109"/>
      <c r="F80" s="109"/>
      <c r="G80" s="48"/>
      <c r="H80" s="264"/>
      <c r="I80" s="265"/>
      <c r="J80" s="265"/>
      <c r="K80" s="264"/>
      <c r="L80" s="265"/>
      <c r="M80" s="264"/>
      <c r="N80" s="264"/>
      <c r="O80" s="264"/>
      <c r="P80" s="264"/>
      <c r="Q80" s="263"/>
      <c r="R80" s="263"/>
      <c r="S80" s="263"/>
      <c r="T80" s="263"/>
      <c r="U80" s="263"/>
      <c r="V80" s="109"/>
      <c r="W80" s="263"/>
      <c r="X80" s="263"/>
      <c r="Y80" s="263"/>
      <c r="Z80" s="263"/>
      <c r="AA80" s="263"/>
      <c r="AB80" s="109"/>
      <c r="AC80" s="109"/>
      <c r="AD80" s="109"/>
      <c r="AE80" s="109"/>
      <c r="AF80" s="109"/>
      <c r="AG80" s="109"/>
      <c r="AH80" s="109"/>
      <c r="AI80" s="109"/>
    </row>
    <row r="81" spans="1:35">
      <c r="A81" s="109"/>
      <c r="B81" s="263"/>
      <c r="C81" s="263"/>
      <c r="D81" s="263"/>
      <c r="E81" s="109"/>
      <c r="F81" s="109"/>
      <c r="G81" s="48"/>
      <c r="H81" s="264"/>
      <c r="I81" s="265"/>
      <c r="J81" s="265"/>
      <c r="K81" s="264"/>
      <c r="L81" s="265"/>
      <c r="M81" s="264"/>
      <c r="N81" s="264"/>
      <c r="O81" s="264"/>
      <c r="P81" s="264"/>
      <c r="Q81" s="263"/>
      <c r="R81" s="263"/>
      <c r="S81" s="263"/>
      <c r="T81" s="263"/>
      <c r="U81" s="263"/>
      <c r="V81" s="109"/>
      <c r="W81" s="263"/>
      <c r="X81" s="263"/>
      <c r="Y81" s="263"/>
      <c r="Z81" s="263"/>
      <c r="AA81" s="263"/>
      <c r="AB81" s="109"/>
      <c r="AC81" s="109"/>
      <c r="AD81" s="109"/>
      <c r="AE81" s="109"/>
      <c r="AF81" s="109"/>
      <c r="AG81" s="109"/>
      <c r="AH81" s="109"/>
      <c r="AI81" s="109"/>
    </row>
    <row r="82" spans="1:35">
      <c r="A82" s="109"/>
      <c r="B82" s="263"/>
      <c r="C82" s="263"/>
      <c r="D82" s="263"/>
      <c r="E82" s="109"/>
      <c r="F82" s="109"/>
      <c r="G82" s="48"/>
      <c r="H82" s="264"/>
      <c r="I82" s="265"/>
      <c r="J82" s="265"/>
      <c r="K82" s="264"/>
      <c r="L82" s="265"/>
      <c r="M82" s="264"/>
      <c r="N82" s="264"/>
      <c r="O82" s="264"/>
      <c r="P82" s="264"/>
      <c r="Q82" s="263"/>
      <c r="R82" s="263"/>
      <c r="S82" s="263"/>
      <c r="T82" s="263"/>
      <c r="U82" s="263"/>
      <c r="V82" s="109"/>
      <c r="W82" s="263"/>
      <c r="X82" s="263"/>
      <c r="Y82" s="263"/>
      <c r="Z82" s="263"/>
      <c r="AA82" s="263"/>
      <c r="AB82" s="109"/>
      <c r="AC82" s="109"/>
      <c r="AD82" s="109"/>
      <c r="AE82" s="109"/>
      <c r="AF82" s="109"/>
      <c r="AG82" s="109"/>
      <c r="AH82" s="109"/>
      <c r="AI82" s="109"/>
    </row>
    <row r="83" spans="1:35">
      <c r="A83" s="109"/>
      <c r="B83" s="263"/>
      <c r="C83" s="263"/>
      <c r="D83" s="263"/>
      <c r="E83" s="109"/>
      <c r="F83" s="109"/>
      <c r="G83" s="48"/>
      <c r="H83" s="264"/>
      <c r="I83" s="265"/>
      <c r="J83" s="265"/>
      <c r="K83" s="264"/>
      <c r="L83" s="265"/>
      <c r="M83" s="264"/>
      <c r="N83" s="264"/>
      <c r="O83" s="264"/>
      <c r="P83" s="264"/>
      <c r="Q83" s="263"/>
      <c r="R83" s="263"/>
      <c r="S83" s="263"/>
      <c r="T83" s="263"/>
      <c r="U83" s="263"/>
      <c r="V83" s="109"/>
      <c r="W83" s="263"/>
      <c r="X83" s="263"/>
      <c r="Y83" s="263"/>
      <c r="Z83" s="263"/>
      <c r="AA83" s="263"/>
      <c r="AB83" s="109"/>
      <c r="AC83" s="109"/>
      <c r="AD83" s="109"/>
      <c r="AE83" s="109"/>
      <c r="AF83" s="109"/>
      <c r="AG83" s="109"/>
      <c r="AH83" s="109"/>
      <c r="AI83" s="109"/>
    </row>
    <row r="84" spans="1:35">
      <c r="A84" s="109"/>
      <c r="B84" s="263"/>
      <c r="C84" s="263"/>
      <c r="D84" s="263"/>
      <c r="E84" s="109"/>
      <c r="F84" s="109"/>
      <c r="G84" s="48"/>
      <c r="H84" s="264"/>
      <c r="I84" s="265"/>
      <c r="J84" s="265"/>
      <c r="K84" s="264"/>
      <c r="L84" s="265"/>
      <c r="M84" s="264"/>
      <c r="N84" s="264"/>
      <c r="O84" s="264"/>
      <c r="P84" s="264"/>
      <c r="Q84" s="263"/>
      <c r="R84" s="263"/>
      <c r="S84" s="263"/>
      <c r="T84" s="263"/>
      <c r="U84" s="263"/>
      <c r="V84" s="109"/>
      <c r="W84" s="263"/>
      <c r="X84" s="263"/>
      <c r="Y84" s="263"/>
      <c r="Z84" s="263"/>
      <c r="AA84" s="263"/>
      <c r="AB84" s="109"/>
      <c r="AC84" s="109"/>
      <c r="AD84" s="109"/>
      <c r="AE84" s="109"/>
      <c r="AF84" s="109"/>
      <c r="AG84" s="109"/>
      <c r="AH84" s="109"/>
      <c r="AI84" s="109"/>
    </row>
    <row r="85" spans="1:35">
      <c r="A85" s="109"/>
      <c r="B85" s="263"/>
      <c r="C85" s="263"/>
      <c r="D85" s="263"/>
      <c r="E85" s="109"/>
      <c r="F85" s="109"/>
      <c r="G85" s="48"/>
      <c r="H85" s="264"/>
      <c r="I85" s="265"/>
      <c r="J85" s="265"/>
      <c r="K85" s="264"/>
      <c r="L85" s="265"/>
      <c r="M85" s="264"/>
      <c r="N85" s="264"/>
      <c r="O85" s="264"/>
      <c r="P85" s="264"/>
      <c r="Q85" s="263"/>
      <c r="R85" s="263"/>
      <c r="S85" s="263"/>
      <c r="T85" s="263"/>
      <c r="U85" s="263"/>
      <c r="V85" s="109"/>
      <c r="W85" s="263"/>
      <c r="X85" s="263"/>
      <c r="Y85" s="263"/>
      <c r="Z85" s="263"/>
      <c r="AA85" s="263"/>
      <c r="AB85" s="109"/>
      <c r="AC85" s="109"/>
      <c r="AD85" s="109"/>
      <c r="AE85" s="109"/>
      <c r="AF85" s="109"/>
      <c r="AG85" s="109"/>
      <c r="AH85" s="109"/>
      <c r="AI85" s="109"/>
    </row>
    <row r="86" spans="1:35">
      <c r="A86" s="109"/>
      <c r="B86" s="263"/>
      <c r="C86" s="263"/>
      <c r="D86" s="263"/>
      <c r="E86" s="109"/>
      <c r="F86" s="109"/>
      <c r="G86" s="48"/>
      <c r="H86" s="264"/>
      <c r="I86" s="265"/>
      <c r="J86" s="265"/>
      <c r="K86" s="264"/>
      <c r="L86" s="265"/>
      <c r="M86" s="264"/>
      <c r="N86" s="264"/>
      <c r="O86" s="264"/>
      <c r="P86" s="264"/>
      <c r="Q86" s="263"/>
      <c r="R86" s="263"/>
      <c r="S86" s="263"/>
      <c r="T86" s="263"/>
      <c r="U86" s="263"/>
      <c r="V86" s="109"/>
      <c r="W86" s="263"/>
      <c r="X86" s="263"/>
      <c r="Y86" s="263"/>
      <c r="Z86" s="263"/>
      <c r="AA86" s="263"/>
      <c r="AB86" s="109"/>
      <c r="AC86" s="109"/>
      <c r="AD86" s="109"/>
      <c r="AE86" s="109"/>
      <c r="AF86" s="109"/>
      <c r="AG86" s="109"/>
      <c r="AH86" s="109"/>
      <c r="AI86" s="109"/>
    </row>
    <row r="87" spans="1:35">
      <c r="A87" s="109"/>
      <c r="B87" s="263"/>
      <c r="C87" s="263"/>
      <c r="D87" s="263"/>
      <c r="E87" s="109"/>
      <c r="F87" s="109"/>
      <c r="G87" s="48"/>
      <c r="H87" s="264"/>
      <c r="I87" s="265"/>
      <c r="J87" s="265"/>
      <c r="K87" s="264"/>
      <c r="L87" s="265"/>
      <c r="M87" s="264"/>
      <c r="N87" s="264"/>
      <c r="O87" s="264"/>
      <c r="P87" s="264"/>
      <c r="Q87" s="263"/>
      <c r="R87" s="263"/>
      <c r="S87" s="263"/>
      <c r="T87" s="263"/>
      <c r="U87" s="263"/>
      <c r="V87" s="109"/>
      <c r="W87" s="263"/>
      <c r="X87" s="263"/>
      <c r="Y87" s="263"/>
      <c r="Z87" s="263"/>
      <c r="AA87" s="263"/>
      <c r="AB87" s="109"/>
      <c r="AC87" s="109"/>
      <c r="AD87" s="109"/>
      <c r="AE87" s="109"/>
      <c r="AF87" s="109"/>
      <c r="AG87" s="109"/>
      <c r="AH87" s="109"/>
      <c r="AI87" s="109"/>
    </row>
    <row r="88" spans="1:35">
      <c r="A88" s="109"/>
      <c r="B88" s="263"/>
      <c r="C88" s="263"/>
      <c r="D88" s="263"/>
      <c r="E88" s="109"/>
      <c r="F88" s="109"/>
      <c r="G88" s="48"/>
      <c r="H88" s="264"/>
      <c r="I88" s="265"/>
      <c r="J88" s="265"/>
      <c r="K88" s="264"/>
      <c r="L88" s="265"/>
      <c r="M88" s="264"/>
      <c r="N88" s="264"/>
      <c r="O88" s="264"/>
      <c r="P88" s="264"/>
      <c r="Q88" s="263"/>
      <c r="R88" s="263"/>
      <c r="S88" s="263"/>
      <c r="T88" s="263"/>
      <c r="U88" s="263"/>
      <c r="V88" s="109"/>
      <c r="W88" s="263"/>
      <c r="X88" s="263"/>
      <c r="Y88" s="263"/>
      <c r="Z88" s="263"/>
      <c r="AA88" s="263"/>
      <c r="AB88" s="109"/>
      <c r="AC88" s="109"/>
      <c r="AD88" s="109"/>
      <c r="AE88" s="109"/>
      <c r="AF88" s="109"/>
      <c r="AG88" s="109"/>
      <c r="AH88" s="109"/>
      <c r="AI88" s="109"/>
    </row>
    <row r="89" spans="1:35">
      <c r="A89" s="109"/>
      <c r="B89" s="263"/>
      <c r="C89" s="263"/>
      <c r="D89" s="263"/>
      <c r="E89" s="109"/>
      <c r="F89" s="109"/>
      <c r="G89" s="48"/>
      <c r="H89" s="264"/>
      <c r="I89" s="265"/>
      <c r="J89" s="265"/>
      <c r="K89" s="264"/>
      <c r="L89" s="265"/>
      <c r="M89" s="264"/>
      <c r="N89" s="264"/>
      <c r="O89" s="264"/>
      <c r="P89" s="264"/>
      <c r="Q89" s="263"/>
      <c r="R89" s="263"/>
      <c r="S89" s="263"/>
      <c r="T89" s="263"/>
      <c r="U89" s="263"/>
      <c r="V89" s="109"/>
      <c r="W89" s="263"/>
      <c r="X89" s="263"/>
      <c r="Y89" s="263"/>
      <c r="Z89" s="263"/>
      <c r="AA89" s="263"/>
      <c r="AB89" s="109"/>
      <c r="AC89" s="109"/>
      <c r="AD89" s="109"/>
      <c r="AE89" s="109"/>
      <c r="AF89" s="109"/>
      <c r="AG89" s="109"/>
      <c r="AH89" s="109"/>
      <c r="AI89" s="109"/>
    </row>
    <row r="90" spans="1:35">
      <c r="A90" s="109"/>
      <c r="B90" s="263"/>
      <c r="C90" s="263"/>
      <c r="D90" s="263"/>
      <c r="E90" s="109"/>
      <c r="F90" s="109"/>
      <c r="G90" s="48"/>
      <c r="H90" s="264"/>
      <c r="I90" s="265"/>
      <c r="J90" s="265"/>
      <c r="K90" s="264"/>
      <c r="L90" s="265"/>
      <c r="M90" s="264"/>
      <c r="N90" s="264"/>
      <c r="O90" s="264"/>
      <c r="P90" s="264"/>
      <c r="Q90" s="263"/>
      <c r="R90" s="263"/>
      <c r="S90" s="263"/>
      <c r="T90" s="263"/>
      <c r="U90" s="263"/>
      <c r="V90" s="109"/>
      <c r="W90" s="263"/>
      <c r="X90" s="263"/>
      <c r="Y90" s="263"/>
      <c r="Z90" s="263"/>
      <c r="AA90" s="263"/>
      <c r="AB90" s="109"/>
      <c r="AC90" s="109"/>
      <c r="AD90" s="109"/>
      <c r="AE90" s="109"/>
      <c r="AF90" s="109"/>
      <c r="AG90" s="109"/>
      <c r="AH90" s="109"/>
      <c r="AI90" s="109"/>
    </row>
    <row r="91" spans="1:35">
      <c r="A91" s="109"/>
      <c r="B91" s="263"/>
      <c r="C91" s="263"/>
      <c r="D91" s="263"/>
      <c r="E91" s="109"/>
      <c r="F91" s="109"/>
      <c r="G91" s="48"/>
      <c r="H91" s="264"/>
      <c r="I91" s="265"/>
      <c r="J91" s="265"/>
      <c r="K91" s="264"/>
      <c r="L91" s="265"/>
      <c r="M91" s="264"/>
      <c r="N91" s="264"/>
      <c r="O91" s="264"/>
      <c r="P91" s="264"/>
      <c r="Q91" s="263"/>
      <c r="R91" s="263"/>
      <c r="S91" s="263"/>
      <c r="T91" s="263"/>
      <c r="U91" s="263"/>
      <c r="V91" s="109"/>
      <c r="W91" s="263"/>
      <c r="X91" s="263"/>
      <c r="Y91" s="263"/>
      <c r="Z91" s="263"/>
      <c r="AA91" s="263"/>
      <c r="AB91" s="109"/>
      <c r="AC91" s="109"/>
      <c r="AD91" s="109"/>
      <c r="AE91" s="109"/>
      <c r="AF91" s="109"/>
      <c r="AG91" s="109"/>
      <c r="AH91" s="109"/>
      <c r="AI91" s="109"/>
    </row>
    <row r="92" spans="1:35">
      <c r="A92" s="109"/>
      <c r="B92" s="263"/>
      <c r="C92" s="263"/>
      <c r="D92" s="263"/>
      <c r="E92" s="109"/>
      <c r="F92" s="109"/>
      <c r="G92" s="48"/>
      <c r="H92" s="264"/>
      <c r="I92" s="265"/>
      <c r="J92" s="265"/>
      <c r="K92" s="264"/>
      <c r="L92" s="265"/>
      <c r="M92" s="264"/>
      <c r="N92" s="264"/>
      <c r="O92" s="264"/>
      <c r="P92" s="264"/>
      <c r="Q92" s="263"/>
      <c r="R92" s="263"/>
      <c r="S92" s="263"/>
      <c r="T92" s="263"/>
      <c r="U92" s="263"/>
      <c r="V92" s="109"/>
      <c r="W92" s="263"/>
      <c r="X92" s="263"/>
      <c r="Y92" s="263"/>
      <c r="Z92" s="263"/>
      <c r="AA92" s="263"/>
      <c r="AB92" s="109"/>
      <c r="AC92" s="109"/>
      <c r="AD92" s="109"/>
      <c r="AE92" s="109"/>
      <c r="AF92" s="109"/>
      <c r="AG92" s="109"/>
      <c r="AH92" s="109"/>
      <c r="AI92" s="109"/>
    </row>
    <row r="93" spans="1:35">
      <c r="A93" s="109"/>
      <c r="B93" s="263"/>
      <c r="C93" s="263"/>
      <c r="D93" s="263"/>
      <c r="E93" s="109"/>
      <c r="F93" s="109"/>
      <c r="G93" s="48"/>
      <c r="H93" s="264"/>
      <c r="I93" s="265"/>
      <c r="J93" s="265"/>
      <c r="K93" s="264"/>
      <c r="L93" s="265"/>
      <c r="M93" s="264"/>
      <c r="N93" s="264"/>
      <c r="O93" s="264"/>
      <c r="P93" s="264"/>
      <c r="Q93" s="263"/>
      <c r="R93" s="263"/>
      <c r="S93" s="263"/>
      <c r="T93" s="263"/>
      <c r="U93" s="263"/>
      <c r="V93" s="109"/>
      <c r="W93" s="263"/>
      <c r="X93" s="263"/>
      <c r="Y93" s="263"/>
      <c r="Z93" s="263"/>
      <c r="AA93" s="263"/>
      <c r="AB93" s="109"/>
      <c r="AC93" s="109"/>
      <c r="AD93" s="109"/>
      <c r="AE93" s="109"/>
      <c r="AF93" s="109"/>
      <c r="AG93" s="109"/>
      <c r="AH93" s="109"/>
      <c r="AI93" s="109"/>
    </row>
    <row r="94" spans="1:35">
      <c r="A94" s="109"/>
      <c r="B94" s="263"/>
      <c r="C94" s="263"/>
      <c r="D94" s="263"/>
      <c r="E94" s="109"/>
      <c r="F94" s="109"/>
      <c r="G94" s="48"/>
      <c r="H94" s="264"/>
      <c r="I94" s="265"/>
      <c r="J94" s="265"/>
      <c r="K94" s="264"/>
      <c r="L94" s="265"/>
      <c r="M94" s="264"/>
      <c r="N94" s="264"/>
      <c r="O94" s="264"/>
      <c r="P94" s="264"/>
      <c r="Q94" s="263"/>
      <c r="R94" s="263"/>
      <c r="S94" s="263"/>
      <c r="T94" s="263"/>
      <c r="U94" s="263"/>
      <c r="V94" s="109"/>
      <c r="W94" s="263"/>
      <c r="X94" s="263"/>
      <c r="Y94" s="263"/>
      <c r="Z94" s="263"/>
      <c r="AA94" s="263"/>
      <c r="AB94" s="109"/>
      <c r="AC94" s="109"/>
      <c r="AD94" s="109"/>
      <c r="AE94" s="109"/>
      <c r="AF94" s="109"/>
      <c r="AG94" s="109"/>
      <c r="AH94" s="109"/>
      <c r="AI94" s="109"/>
    </row>
    <row r="95" spans="1:35">
      <c r="A95" s="109"/>
      <c r="B95" s="263"/>
      <c r="C95" s="263"/>
      <c r="D95" s="263"/>
      <c r="E95" s="109"/>
      <c r="F95" s="109"/>
      <c r="G95" s="48"/>
      <c r="H95" s="264"/>
      <c r="I95" s="265"/>
      <c r="J95" s="265"/>
      <c r="K95" s="264"/>
      <c r="L95" s="265"/>
      <c r="M95" s="264"/>
      <c r="N95" s="264"/>
      <c r="O95" s="264"/>
      <c r="P95" s="264"/>
      <c r="Q95" s="263"/>
      <c r="R95" s="263"/>
      <c r="S95" s="263"/>
      <c r="T95" s="263"/>
      <c r="U95" s="263"/>
      <c r="V95" s="109"/>
      <c r="W95" s="263"/>
      <c r="X95" s="263"/>
      <c r="Y95" s="263"/>
      <c r="Z95" s="263"/>
      <c r="AA95" s="263"/>
      <c r="AB95" s="109"/>
      <c r="AC95" s="109"/>
      <c r="AD95" s="109"/>
      <c r="AE95" s="109"/>
      <c r="AF95" s="109"/>
      <c r="AG95" s="109"/>
      <c r="AH95" s="109"/>
      <c r="AI95" s="109"/>
    </row>
    <row r="96" spans="1:35">
      <c r="A96" s="109"/>
      <c r="B96" s="263"/>
      <c r="C96" s="263"/>
      <c r="D96" s="263"/>
      <c r="E96" s="109"/>
      <c r="F96" s="109"/>
      <c r="G96" s="48"/>
      <c r="H96" s="264"/>
      <c r="I96" s="265"/>
      <c r="J96" s="265"/>
      <c r="K96" s="264"/>
      <c r="L96" s="265"/>
      <c r="M96" s="264"/>
      <c r="N96" s="264"/>
      <c r="O96" s="264"/>
      <c r="P96" s="264"/>
      <c r="Q96" s="263"/>
      <c r="R96" s="263"/>
      <c r="S96" s="263"/>
      <c r="T96" s="263"/>
      <c r="U96" s="263"/>
      <c r="V96" s="109"/>
      <c r="W96" s="263"/>
      <c r="X96" s="263"/>
      <c r="Y96" s="263"/>
      <c r="Z96" s="263"/>
      <c r="AA96" s="263"/>
      <c r="AB96" s="109"/>
      <c r="AC96" s="109"/>
      <c r="AD96" s="109"/>
      <c r="AE96" s="109"/>
      <c r="AF96" s="109"/>
      <c r="AG96" s="109"/>
      <c r="AH96" s="109"/>
      <c r="AI96" s="109"/>
    </row>
    <row r="97" spans="1:35">
      <c r="A97" s="109"/>
      <c r="B97" s="263"/>
      <c r="C97" s="263"/>
      <c r="D97" s="263"/>
      <c r="E97" s="109"/>
      <c r="F97" s="109"/>
      <c r="G97" s="48"/>
      <c r="H97" s="264"/>
      <c r="I97" s="265"/>
      <c r="J97" s="265"/>
      <c r="K97" s="264"/>
      <c r="L97" s="265"/>
      <c r="M97" s="264"/>
      <c r="N97" s="264"/>
      <c r="O97" s="264"/>
      <c r="P97" s="264"/>
      <c r="Q97" s="263"/>
      <c r="R97" s="263"/>
      <c r="S97" s="263"/>
      <c r="T97" s="263"/>
      <c r="U97" s="263"/>
      <c r="V97" s="109"/>
      <c r="W97" s="263"/>
      <c r="X97" s="263"/>
      <c r="Y97" s="263"/>
      <c r="Z97" s="263"/>
      <c r="AA97" s="263"/>
      <c r="AB97" s="109"/>
      <c r="AC97" s="109"/>
      <c r="AD97" s="109"/>
      <c r="AE97" s="109"/>
      <c r="AF97" s="109"/>
      <c r="AG97" s="109"/>
      <c r="AH97" s="109"/>
      <c r="AI97" s="109"/>
    </row>
    <row r="98" spans="1:35">
      <c r="A98" s="109"/>
      <c r="B98" s="263"/>
      <c r="C98" s="263"/>
      <c r="D98" s="263"/>
      <c r="E98" s="109"/>
      <c r="F98" s="109"/>
      <c r="G98" s="48"/>
      <c r="H98" s="264"/>
      <c r="I98" s="265"/>
      <c r="J98" s="265"/>
      <c r="K98" s="264"/>
      <c r="L98" s="265"/>
      <c r="M98" s="264"/>
      <c r="N98" s="264"/>
      <c r="O98" s="264"/>
      <c r="P98" s="264"/>
      <c r="Q98" s="263"/>
      <c r="R98" s="263"/>
      <c r="S98" s="263"/>
      <c r="T98" s="263"/>
      <c r="U98" s="263"/>
      <c r="V98" s="109"/>
      <c r="W98" s="263"/>
      <c r="X98" s="263"/>
      <c r="Y98" s="263"/>
      <c r="Z98" s="263"/>
      <c r="AA98" s="263"/>
      <c r="AB98" s="109"/>
      <c r="AC98" s="109"/>
      <c r="AD98" s="109"/>
      <c r="AE98" s="109"/>
      <c r="AF98" s="109"/>
      <c r="AG98" s="109"/>
      <c r="AH98" s="109"/>
      <c r="AI98" s="109"/>
    </row>
    <row r="99" spans="1:35">
      <c r="A99" s="109"/>
      <c r="B99" s="263"/>
      <c r="C99" s="263"/>
      <c r="D99" s="263"/>
      <c r="E99" s="109"/>
      <c r="F99" s="109"/>
      <c r="G99" s="48"/>
      <c r="H99" s="264"/>
      <c r="I99" s="265"/>
      <c r="J99" s="265"/>
      <c r="K99" s="264"/>
      <c r="L99" s="265"/>
      <c r="M99" s="264"/>
      <c r="N99" s="264"/>
      <c r="O99" s="264"/>
      <c r="P99" s="264"/>
      <c r="Q99" s="263"/>
      <c r="R99" s="263"/>
      <c r="S99" s="263"/>
      <c r="T99" s="263"/>
      <c r="U99" s="263"/>
      <c r="V99" s="109"/>
      <c r="W99" s="263"/>
      <c r="X99" s="263"/>
      <c r="Y99" s="263"/>
      <c r="Z99" s="263"/>
      <c r="AA99" s="263"/>
      <c r="AB99" s="109"/>
      <c r="AC99" s="109"/>
      <c r="AD99" s="109"/>
      <c r="AE99" s="109"/>
      <c r="AF99" s="109"/>
      <c r="AG99" s="109"/>
      <c r="AH99" s="109"/>
      <c r="AI99" s="109"/>
    </row>
    <row r="100" spans="1:35">
      <c r="A100" s="109"/>
      <c r="B100" s="263"/>
      <c r="C100" s="263"/>
      <c r="D100" s="263"/>
      <c r="E100" s="109"/>
      <c r="F100" s="109"/>
      <c r="G100" s="48"/>
      <c r="H100" s="264"/>
      <c r="I100" s="265"/>
      <c r="J100" s="265"/>
      <c r="K100" s="264"/>
      <c r="L100" s="265"/>
      <c r="M100" s="264"/>
      <c r="N100" s="264"/>
      <c r="O100" s="264"/>
      <c r="P100" s="264"/>
      <c r="Q100" s="263"/>
      <c r="R100" s="263"/>
      <c r="S100" s="263"/>
      <c r="T100" s="263"/>
      <c r="U100" s="263"/>
      <c r="V100" s="109"/>
      <c r="W100" s="263"/>
      <c r="X100" s="263"/>
      <c r="Y100" s="263"/>
      <c r="Z100" s="263"/>
      <c r="AA100" s="263"/>
      <c r="AB100" s="109"/>
      <c r="AC100" s="109"/>
      <c r="AD100" s="109"/>
      <c r="AE100" s="109"/>
      <c r="AF100" s="109"/>
      <c r="AG100" s="109"/>
      <c r="AH100" s="109"/>
      <c r="AI100" s="109"/>
    </row>
    <row r="101" spans="1:35">
      <c r="A101" s="109"/>
      <c r="B101" s="263"/>
      <c r="C101" s="263"/>
      <c r="D101" s="263"/>
      <c r="E101" s="109"/>
      <c r="F101" s="109"/>
      <c r="G101" s="48"/>
      <c r="H101" s="264"/>
      <c r="I101" s="265"/>
      <c r="J101" s="265"/>
      <c r="K101" s="264"/>
      <c r="L101" s="265"/>
      <c r="M101" s="264"/>
      <c r="N101" s="264"/>
      <c r="O101" s="264"/>
      <c r="P101" s="264"/>
      <c r="Q101" s="263"/>
      <c r="R101" s="263"/>
      <c r="S101" s="263"/>
      <c r="T101" s="263"/>
      <c r="U101" s="263"/>
      <c r="V101" s="109"/>
      <c r="W101" s="263"/>
      <c r="X101" s="263"/>
      <c r="Y101" s="263"/>
      <c r="Z101" s="263"/>
      <c r="AA101" s="263"/>
      <c r="AB101" s="109"/>
      <c r="AC101" s="109"/>
      <c r="AD101" s="109"/>
      <c r="AE101" s="109"/>
      <c r="AF101" s="109"/>
      <c r="AG101" s="109"/>
      <c r="AH101" s="109"/>
      <c r="AI101" s="109"/>
    </row>
    <row r="102" spans="1:35">
      <c r="A102" s="109"/>
      <c r="B102" s="263"/>
      <c r="C102" s="263"/>
      <c r="D102" s="263"/>
      <c r="E102" s="109"/>
      <c r="F102" s="109"/>
      <c r="G102" s="48"/>
      <c r="H102" s="264"/>
      <c r="I102" s="265"/>
      <c r="J102" s="265"/>
      <c r="K102" s="264"/>
      <c r="L102" s="265"/>
      <c r="M102" s="264"/>
      <c r="N102" s="264"/>
      <c r="O102" s="264"/>
      <c r="P102" s="264"/>
      <c r="Q102" s="263"/>
      <c r="R102" s="263"/>
      <c r="S102" s="263"/>
      <c r="T102" s="263"/>
      <c r="U102" s="263"/>
      <c r="V102" s="109"/>
      <c r="W102" s="263"/>
      <c r="X102" s="263"/>
      <c r="Y102" s="263"/>
      <c r="Z102" s="263"/>
      <c r="AA102" s="263"/>
      <c r="AB102" s="109"/>
      <c r="AC102" s="109"/>
      <c r="AD102" s="109"/>
      <c r="AE102" s="109"/>
      <c r="AF102" s="109"/>
      <c r="AG102" s="109"/>
      <c r="AH102" s="109"/>
      <c r="AI102" s="109"/>
    </row>
    <row r="103" spans="1:35">
      <c r="A103" s="109"/>
      <c r="B103" s="263"/>
      <c r="C103" s="263"/>
      <c r="D103" s="263"/>
      <c r="E103" s="109"/>
      <c r="F103" s="109"/>
      <c r="G103" s="48"/>
      <c r="H103" s="264"/>
      <c r="I103" s="265"/>
      <c r="J103" s="265"/>
      <c r="K103" s="264"/>
      <c r="L103" s="265"/>
      <c r="M103" s="264"/>
      <c r="N103" s="264"/>
      <c r="O103" s="264"/>
      <c r="P103" s="264"/>
      <c r="Q103" s="263"/>
      <c r="R103" s="263"/>
      <c r="S103" s="263"/>
      <c r="T103" s="263"/>
      <c r="U103" s="263"/>
      <c r="V103" s="109"/>
      <c r="W103" s="263"/>
      <c r="X103" s="263"/>
      <c r="Y103" s="263"/>
      <c r="Z103" s="263"/>
      <c r="AA103" s="263"/>
      <c r="AB103" s="109"/>
      <c r="AC103" s="109"/>
      <c r="AD103" s="109"/>
      <c r="AE103" s="109"/>
      <c r="AF103" s="109"/>
      <c r="AG103" s="109"/>
      <c r="AH103" s="109"/>
      <c r="AI103" s="109"/>
    </row>
    <row r="104" spans="1:35">
      <c r="A104" s="109"/>
      <c r="B104" s="263"/>
      <c r="C104" s="263"/>
      <c r="D104" s="263"/>
      <c r="E104" s="109"/>
      <c r="F104" s="109"/>
      <c r="G104" s="48"/>
      <c r="H104" s="264"/>
      <c r="I104" s="265"/>
      <c r="J104" s="265"/>
      <c r="K104" s="264"/>
      <c r="L104" s="265"/>
      <c r="M104" s="264"/>
      <c r="N104" s="264"/>
      <c r="O104" s="264"/>
      <c r="P104" s="264"/>
      <c r="Q104" s="263"/>
      <c r="R104" s="263"/>
      <c r="S104" s="263"/>
      <c r="T104" s="263"/>
      <c r="U104" s="263"/>
      <c r="V104" s="109"/>
      <c r="W104" s="263"/>
      <c r="X104" s="263"/>
      <c r="Y104" s="263"/>
      <c r="Z104" s="263"/>
      <c r="AA104" s="263"/>
      <c r="AB104" s="109"/>
      <c r="AC104" s="109"/>
      <c r="AD104" s="109"/>
      <c r="AE104" s="109"/>
      <c r="AF104" s="109"/>
      <c r="AG104" s="109"/>
      <c r="AH104" s="109"/>
      <c r="AI104" s="109"/>
    </row>
    <row r="105" spans="1:35">
      <c r="A105" s="109"/>
      <c r="B105" s="263"/>
      <c r="C105" s="263"/>
      <c r="D105" s="263"/>
      <c r="E105" s="109"/>
      <c r="F105" s="109"/>
      <c r="G105" s="48"/>
      <c r="H105" s="264"/>
      <c r="I105" s="265"/>
      <c r="J105" s="265"/>
      <c r="K105" s="264"/>
      <c r="L105" s="265"/>
      <c r="M105" s="264"/>
      <c r="N105" s="264"/>
      <c r="O105" s="264"/>
      <c r="P105" s="264"/>
      <c r="Q105" s="263"/>
      <c r="R105" s="263"/>
      <c r="S105" s="263"/>
      <c r="T105" s="263"/>
      <c r="U105" s="263"/>
      <c r="V105" s="109"/>
      <c r="W105" s="263"/>
      <c r="X105" s="263"/>
      <c r="Y105" s="263"/>
      <c r="Z105" s="263"/>
      <c r="AA105" s="263"/>
      <c r="AB105" s="109"/>
      <c r="AC105" s="109"/>
      <c r="AD105" s="109"/>
      <c r="AE105" s="109"/>
      <c r="AF105" s="109"/>
      <c r="AG105" s="109"/>
      <c r="AH105" s="109"/>
      <c r="AI105" s="109"/>
    </row>
    <row r="106" spans="1:35">
      <c r="A106" s="109"/>
      <c r="B106" s="263"/>
      <c r="C106" s="263"/>
      <c r="D106" s="263"/>
      <c r="E106" s="109"/>
      <c r="F106" s="109"/>
      <c r="G106" s="48"/>
      <c r="H106" s="264"/>
      <c r="I106" s="265"/>
      <c r="J106" s="265"/>
      <c r="K106" s="264"/>
      <c r="L106" s="265"/>
      <c r="M106" s="264"/>
      <c r="N106" s="264"/>
      <c r="O106" s="264"/>
      <c r="P106" s="264"/>
      <c r="Q106" s="263"/>
      <c r="R106" s="263"/>
      <c r="S106" s="263"/>
      <c r="T106" s="263"/>
      <c r="U106" s="263"/>
      <c r="V106" s="109"/>
      <c r="W106" s="263"/>
      <c r="X106" s="263"/>
      <c r="Y106" s="263"/>
      <c r="Z106" s="263"/>
      <c r="AA106" s="263"/>
      <c r="AB106" s="109"/>
      <c r="AC106" s="109"/>
      <c r="AD106" s="109"/>
      <c r="AE106" s="109"/>
      <c r="AF106" s="109"/>
      <c r="AG106" s="109"/>
      <c r="AH106" s="109"/>
      <c r="AI106" s="109"/>
    </row>
    <row r="107" spans="1:35">
      <c r="A107" s="109"/>
      <c r="B107" s="263"/>
      <c r="C107" s="263"/>
      <c r="D107" s="263"/>
      <c r="E107" s="109"/>
      <c r="F107" s="109"/>
      <c r="G107" s="48"/>
      <c r="H107" s="264"/>
      <c r="I107" s="265"/>
      <c r="J107" s="265"/>
      <c r="K107" s="264"/>
      <c r="L107" s="265"/>
      <c r="M107" s="264"/>
      <c r="N107" s="264"/>
      <c r="O107" s="264"/>
      <c r="P107" s="264"/>
      <c r="Q107" s="263"/>
      <c r="R107" s="263"/>
      <c r="S107" s="263"/>
      <c r="T107" s="263"/>
      <c r="U107" s="263"/>
      <c r="V107" s="109"/>
      <c r="W107" s="263"/>
      <c r="X107" s="263"/>
      <c r="Y107" s="263"/>
      <c r="Z107" s="263"/>
      <c r="AA107" s="263"/>
      <c r="AB107" s="109"/>
      <c r="AC107" s="109"/>
      <c r="AD107" s="109"/>
      <c r="AE107" s="109"/>
      <c r="AF107" s="109"/>
      <c r="AG107" s="109"/>
      <c r="AH107" s="109"/>
      <c r="AI107" s="109"/>
    </row>
    <row r="108" spans="1:35">
      <c r="A108" s="109"/>
      <c r="B108" s="263"/>
      <c r="C108" s="263"/>
      <c r="D108" s="263"/>
      <c r="E108" s="109"/>
      <c r="F108" s="109"/>
      <c r="G108" s="48"/>
      <c r="H108" s="264"/>
      <c r="I108" s="265"/>
      <c r="J108" s="265"/>
      <c r="K108" s="264"/>
      <c r="L108" s="265"/>
      <c r="M108" s="264"/>
      <c r="N108" s="264"/>
      <c r="O108" s="264"/>
      <c r="P108" s="264"/>
      <c r="Q108" s="263"/>
      <c r="R108" s="263"/>
      <c r="S108" s="263"/>
      <c r="T108" s="263"/>
      <c r="U108" s="263"/>
      <c r="V108" s="109"/>
      <c r="W108" s="263"/>
      <c r="X108" s="263"/>
      <c r="Y108" s="263"/>
      <c r="Z108" s="263"/>
      <c r="AA108" s="263"/>
      <c r="AB108" s="109"/>
      <c r="AC108" s="109"/>
      <c r="AD108" s="109"/>
      <c r="AE108" s="109"/>
      <c r="AF108" s="109"/>
      <c r="AG108" s="109"/>
      <c r="AH108" s="109"/>
      <c r="AI108" s="109"/>
    </row>
    <row r="109" spans="1:35">
      <c r="A109" s="109"/>
      <c r="B109" s="263"/>
      <c r="C109" s="263"/>
      <c r="D109" s="263"/>
      <c r="E109" s="109"/>
      <c r="F109" s="109"/>
      <c r="G109" s="48"/>
      <c r="H109" s="264"/>
      <c r="I109" s="265"/>
      <c r="J109" s="265"/>
      <c r="K109" s="264"/>
      <c r="L109" s="265"/>
      <c r="M109" s="264"/>
      <c r="N109" s="264"/>
      <c r="O109" s="264"/>
      <c r="P109" s="264"/>
      <c r="Q109" s="263"/>
      <c r="R109" s="263"/>
      <c r="S109" s="263"/>
      <c r="T109" s="263"/>
      <c r="U109" s="263"/>
      <c r="V109" s="109"/>
      <c r="W109" s="263"/>
      <c r="X109" s="263"/>
      <c r="Y109" s="263"/>
      <c r="Z109" s="263"/>
      <c r="AA109" s="263"/>
      <c r="AB109" s="109"/>
      <c r="AC109" s="109"/>
      <c r="AD109" s="109"/>
      <c r="AE109" s="109"/>
      <c r="AF109" s="109"/>
      <c r="AG109" s="109"/>
      <c r="AH109" s="109"/>
      <c r="AI109" s="109"/>
    </row>
    <row r="110" spans="1:35">
      <c r="A110" s="109"/>
      <c r="B110" s="263"/>
      <c r="C110" s="263"/>
      <c r="D110" s="263"/>
      <c r="E110" s="109"/>
      <c r="F110" s="109"/>
      <c r="G110" s="48"/>
      <c r="H110" s="264"/>
      <c r="I110" s="265"/>
      <c r="J110" s="265"/>
      <c r="K110" s="264"/>
      <c r="L110" s="265"/>
      <c r="M110" s="264"/>
      <c r="N110" s="264"/>
      <c r="O110" s="264"/>
      <c r="P110" s="264"/>
      <c r="Q110" s="263"/>
      <c r="R110" s="263"/>
      <c r="S110" s="263"/>
      <c r="T110" s="263"/>
      <c r="U110" s="263"/>
      <c r="V110" s="109"/>
      <c r="W110" s="263"/>
      <c r="X110" s="263"/>
      <c r="Y110" s="263"/>
      <c r="Z110" s="263"/>
      <c r="AA110" s="263"/>
      <c r="AB110" s="109"/>
      <c r="AC110" s="109"/>
      <c r="AD110" s="109"/>
      <c r="AE110" s="109"/>
      <c r="AF110" s="109"/>
      <c r="AG110" s="109"/>
      <c r="AH110" s="109"/>
      <c r="AI110" s="109"/>
    </row>
    <row r="111" spans="1:35">
      <c r="A111" s="109"/>
      <c r="B111" s="263"/>
      <c r="C111" s="263"/>
      <c r="D111" s="263"/>
      <c r="E111" s="109"/>
      <c r="F111" s="109"/>
      <c r="G111" s="48"/>
      <c r="H111" s="264"/>
      <c r="I111" s="265"/>
      <c r="J111" s="265"/>
      <c r="K111" s="264"/>
      <c r="L111" s="265"/>
      <c r="M111" s="264"/>
      <c r="N111" s="264"/>
      <c r="O111" s="264"/>
      <c r="P111" s="264"/>
      <c r="Q111" s="263"/>
      <c r="R111" s="263"/>
      <c r="S111" s="263"/>
      <c r="T111" s="263"/>
      <c r="U111" s="263"/>
      <c r="V111" s="109"/>
      <c r="W111" s="263"/>
      <c r="X111" s="263"/>
      <c r="Y111" s="263"/>
      <c r="Z111" s="263"/>
      <c r="AA111" s="263"/>
      <c r="AB111" s="109"/>
      <c r="AC111" s="109"/>
      <c r="AD111" s="109"/>
      <c r="AE111" s="109"/>
      <c r="AF111" s="109"/>
      <c r="AG111" s="109"/>
      <c r="AH111" s="109"/>
      <c r="AI111" s="109"/>
    </row>
    <row r="112" spans="1:35">
      <c r="A112" s="109"/>
      <c r="B112" s="263"/>
      <c r="C112" s="263"/>
      <c r="D112" s="263"/>
      <c r="E112" s="109"/>
      <c r="F112" s="109"/>
      <c r="G112" s="48"/>
      <c r="H112" s="264"/>
      <c r="I112" s="265"/>
      <c r="J112" s="265"/>
      <c r="K112" s="264"/>
      <c r="L112" s="265"/>
      <c r="M112" s="264"/>
      <c r="N112" s="264"/>
      <c r="O112" s="264"/>
      <c r="P112" s="264"/>
      <c r="Q112" s="263"/>
      <c r="R112" s="263"/>
      <c r="S112" s="263"/>
      <c r="T112" s="263"/>
      <c r="U112" s="263"/>
      <c r="V112" s="109"/>
      <c r="W112" s="263"/>
      <c r="X112" s="263"/>
      <c r="Y112" s="263"/>
      <c r="Z112" s="263"/>
      <c r="AA112" s="263"/>
      <c r="AB112" s="109"/>
      <c r="AC112" s="109"/>
      <c r="AD112" s="109"/>
      <c r="AE112" s="109"/>
      <c r="AF112" s="109"/>
      <c r="AG112" s="109"/>
      <c r="AH112" s="109"/>
      <c r="AI112" s="109"/>
    </row>
    <row r="113" spans="1:35">
      <c r="A113" s="109"/>
      <c r="B113" s="263"/>
      <c r="C113" s="263"/>
      <c r="D113" s="263"/>
      <c r="E113" s="109"/>
      <c r="F113" s="109"/>
      <c r="G113" s="48"/>
      <c r="H113" s="264"/>
      <c r="I113" s="265"/>
      <c r="J113" s="265"/>
      <c r="K113" s="264"/>
      <c r="L113" s="265"/>
      <c r="M113" s="264"/>
      <c r="N113" s="264"/>
      <c r="O113" s="264"/>
      <c r="P113" s="264"/>
      <c r="Q113" s="263"/>
      <c r="R113" s="263"/>
      <c r="S113" s="263"/>
      <c r="T113" s="263"/>
      <c r="U113" s="263"/>
      <c r="V113" s="109"/>
      <c r="W113" s="263"/>
      <c r="X113" s="263"/>
      <c r="Y113" s="263"/>
      <c r="Z113" s="263"/>
      <c r="AA113" s="263"/>
      <c r="AB113" s="109"/>
      <c r="AC113" s="109"/>
      <c r="AD113" s="109"/>
      <c r="AE113" s="109"/>
      <c r="AF113" s="109"/>
      <c r="AG113" s="109"/>
      <c r="AH113" s="109"/>
      <c r="AI113" s="109"/>
    </row>
    <row r="114" spans="1:35">
      <c r="A114" s="109"/>
      <c r="B114" s="263"/>
      <c r="C114" s="263"/>
      <c r="D114" s="263"/>
      <c r="E114" s="109"/>
      <c r="F114" s="109"/>
      <c r="G114" s="48"/>
      <c r="H114" s="264"/>
      <c r="I114" s="265"/>
      <c r="J114" s="265"/>
      <c r="K114" s="264"/>
      <c r="L114" s="265"/>
      <c r="M114" s="264"/>
      <c r="N114" s="264"/>
      <c r="O114" s="264"/>
      <c r="P114" s="264"/>
      <c r="Q114" s="263"/>
      <c r="R114" s="263"/>
      <c r="S114" s="263"/>
      <c r="T114" s="263"/>
      <c r="U114" s="263"/>
      <c r="V114" s="109"/>
      <c r="W114" s="263"/>
      <c r="X114" s="263"/>
      <c r="Y114" s="263"/>
      <c r="Z114" s="263"/>
      <c r="AA114" s="263"/>
      <c r="AB114" s="109"/>
      <c r="AC114" s="109"/>
      <c r="AD114" s="109"/>
      <c r="AE114" s="109"/>
      <c r="AF114" s="109"/>
      <c r="AG114" s="109"/>
      <c r="AH114" s="109"/>
      <c r="AI114" s="109"/>
    </row>
    <row r="115" spans="1:35">
      <c r="A115" s="109"/>
      <c r="B115" s="263"/>
      <c r="C115" s="263"/>
      <c r="D115" s="263"/>
      <c r="E115" s="109"/>
      <c r="F115" s="109"/>
      <c r="G115" s="48"/>
      <c r="H115" s="264"/>
      <c r="I115" s="265"/>
      <c r="J115" s="265"/>
      <c r="K115" s="264"/>
      <c r="L115" s="265"/>
      <c r="M115" s="264"/>
      <c r="N115" s="264"/>
      <c r="O115" s="264"/>
      <c r="P115" s="264"/>
      <c r="Q115" s="263"/>
      <c r="R115" s="263"/>
      <c r="S115" s="263"/>
      <c r="T115" s="263"/>
      <c r="U115" s="263"/>
      <c r="V115" s="109"/>
      <c r="W115" s="263"/>
      <c r="X115" s="263"/>
      <c r="Y115" s="263"/>
      <c r="Z115" s="263"/>
      <c r="AA115" s="263"/>
      <c r="AB115" s="109"/>
      <c r="AC115" s="109"/>
      <c r="AD115" s="109"/>
      <c r="AE115" s="109"/>
      <c r="AF115" s="109"/>
      <c r="AG115" s="109"/>
      <c r="AH115" s="109"/>
      <c r="AI115" s="109"/>
    </row>
    <row r="116" spans="1:35">
      <c r="A116" s="109"/>
      <c r="B116" s="263"/>
      <c r="C116" s="263"/>
      <c r="D116" s="263"/>
      <c r="E116" s="109"/>
      <c r="F116" s="109"/>
      <c r="G116" s="48"/>
      <c r="H116" s="264"/>
      <c r="I116" s="265"/>
      <c r="J116" s="265"/>
      <c r="K116" s="264"/>
      <c r="L116" s="265"/>
      <c r="M116" s="264"/>
      <c r="N116" s="264"/>
      <c r="O116" s="264"/>
      <c r="P116" s="264"/>
      <c r="Q116" s="263"/>
      <c r="R116" s="263"/>
      <c r="S116" s="263"/>
      <c r="T116" s="263"/>
      <c r="U116" s="263"/>
      <c r="V116" s="109"/>
      <c r="W116" s="263"/>
      <c r="X116" s="263"/>
      <c r="Y116" s="263"/>
      <c r="Z116" s="263"/>
      <c r="AA116" s="263"/>
      <c r="AB116" s="109"/>
      <c r="AC116" s="109"/>
      <c r="AD116" s="109"/>
      <c r="AE116" s="109"/>
      <c r="AF116" s="109"/>
      <c r="AG116" s="109"/>
      <c r="AH116" s="109"/>
      <c r="AI116" s="109"/>
    </row>
    <row r="117" spans="1:35">
      <c r="A117" s="109"/>
      <c r="B117" s="263"/>
      <c r="C117" s="263"/>
      <c r="D117" s="263"/>
      <c r="E117" s="109"/>
      <c r="F117" s="109"/>
      <c r="G117" s="48"/>
      <c r="H117" s="264"/>
      <c r="I117" s="265"/>
      <c r="J117" s="265"/>
      <c r="K117" s="264"/>
      <c r="L117" s="265"/>
      <c r="M117" s="264"/>
      <c r="N117" s="264"/>
      <c r="O117" s="264"/>
      <c r="P117" s="264"/>
      <c r="Q117" s="263"/>
      <c r="R117" s="263"/>
      <c r="S117" s="263"/>
      <c r="T117" s="263"/>
      <c r="U117" s="263"/>
      <c r="V117" s="109"/>
      <c r="W117" s="263"/>
      <c r="X117" s="263"/>
      <c r="Y117" s="263"/>
      <c r="Z117" s="263"/>
      <c r="AA117" s="263"/>
      <c r="AB117" s="109"/>
      <c r="AC117" s="109"/>
      <c r="AD117" s="109"/>
      <c r="AE117" s="109"/>
      <c r="AF117" s="109"/>
      <c r="AG117" s="109"/>
      <c r="AH117" s="109"/>
      <c r="AI117" s="109"/>
    </row>
    <row r="118" spans="1:35">
      <c r="A118" s="109"/>
      <c r="B118" s="263"/>
      <c r="C118" s="263"/>
      <c r="D118" s="263"/>
      <c r="E118" s="109"/>
      <c r="F118" s="109"/>
      <c r="G118" s="48"/>
      <c r="H118" s="264"/>
      <c r="I118" s="265"/>
      <c r="J118" s="265"/>
      <c r="K118" s="264"/>
      <c r="L118" s="265"/>
      <c r="M118" s="264"/>
      <c r="N118" s="264"/>
      <c r="O118" s="264"/>
      <c r="P118" s="264"/>
      <c r="Q118" s="263"/>
      <c r="R118" s="263"/>
      <c r="S118" s="263"/>
      <c r="T118" s="263"/>
      <c r="U118" s="263"/>
      <c r="V118" s="109"/>
      <c r="W118" s="263"/>
      <c r="X118" s="263"/>
      <c r="Y118" s="263"/>
      <c r="Z118" s="263"/>
      <c r="AA118" s="263"/>
      <c r="AB118" s="109"/>
      <c r="AC118" s="109"/>
      <c r="AD118" s="109"/>
      <c r="AE118" s="109"/>
      <c r="AF118" s="109"/>
      <c r="AG118" s="109"/>
      <c r="AH118" s="109"/>
      <c r="AI118" s="109"/>
    </row>
    <row r="119" spans="1:35">
      <c r="A119" s="109"/>
      <c r="B119" s="263"/>
      <c r="C119" s="263"/>
      <c r="D119" s="263"/>
      <c r="E119" s="109"/>
      <c r="F119" s="109"/>
      <c r="G119" s="48"/>
      <c r="H119" s="264"/>
      <c r="I119" s="265"/>
      <c r="J119" s="265"/>
      <c r="K119" s="264"/>
      <c r="L119" s="265"/>
      <c r="M119" s="264"/>
      <c r="N119" s="264"/>
      <c r="O119" s="264"/>
      <c r="P119" s="264"/>
      <c r="Q119" s="263"/>
      <c r="R119" s="263"/>
      <c r="S119" s="263"/>
      <c r="T119" s="263"/>
      <c r="U119" s="263"/>
      <c r="V119" s="109"/>
      <c r="W119" s="263"/>
      <c r="X119" s="263"/>
      <c r="Y119" s="263"/>
      <c r="Z119" s="263"/>
      <c r="AA119" s="263"/>
      <c r="AB119" s="109"/>
      <c r="AC119" s="109"/>
      <c r="AD119" s="109"/>
      <c r="AE119" s="109"/>
      <c r="AF119" s="109"/>
      <c r="AG119" s="109"/>
      <c r="AH119" s="109"/>
      <c r="AI119" s="109"/>
    </row>
    <row r="120" spans="1:35">
      <c r="A120" s="109"/>
      <c r="B120" s="263"/>
      <c r="C120" s="263"/>
      <c r="D120" s="263"/>
      <c r="E120" s="109"/>
      <c r="F120" s="109"/>
      <c r="G120" s="48"/>
      <c r="H120" s="264"/>
      <c r="I120" s="265"/>
      <c r="J120" s="265"/>
      <c r="K120" s="264"/>
      <c r="L120" s="265"/>
      <c r="M120" s="264"/>
      <c r="N120" s="264"/>
      <c r="O120" s="264"/>
      <c r="P120" s="264"/>
      <c r="Q120" s="263"/>
      <c r="R120" s="263"/>
      <c r="S120" s="263"/>
      <c r="T120" s="263"/>
      <c r="U120" s="263"/>
      <c r="V120" s="109"/>
      <c r="W120" s="263"/>
      <c r="X120" s="263"/>
      <c r="Y120" s="263"/>
      <c r="Z120" s="263"/>
      <c r="AA120" s="263"/>
      <c r="AB120" s="109"/>
      <c r="AC120" s="109"/>
      <c r="AD120" s="109"/>
      <c r="AE120" s="109"/>
      <c r="AF120" s="109"/>
      <c r="AG120" s="109"/>
      <c r="AH120" s="109"/>
      <c r="AI120" s="109"/>
    </row>
    <row r="121" spans="1:35">
      <c r="A121" s="109"/>
      <c r="B121" s="263"/>
      <c r="C121" s="263"/>
      <c r="D121" s="263"/>
      <c r="E121" s="109"/>
      <c r="F121" s="109"/>
      <c r="G121" s="48"/>
      <c r="H121" s="264"/>
      <c r="I121" s="265"/>
      <c r="J121" s="265"/>
      <c r="K121" s="264"/>
      <c r="L121" s="265"/>
      <c r="M121" s="264"/>
      <c r="N121" s="264"/>
      <c r="O121" s="264"/>
      <c r="P121" s="264"/>
      <c r="Q121" s="263"/>
      <c r="R121" s="263"/>
      <c r="S121" s="263"/>
      <c r="T121" s="263"/>
      <c r="U121" s="263"/>
      <c r="V121" s="109"/>
      <c r="W121" s="263"/>
      <c r="X121" s="263"/>
      <c r="Y121" s="263"/>
      <c r="Z121" s="263"/>
      <c r="AA121" s="263"/>
      <c r="AB121" s="109"/>
      <c r="AC121" s="109"/>
      <c r="AD121" s="109"/>
      <c r="AE121" s="109"/>
      <c r="AF121" s="109"/>
      <c r="AG121" s="109"/>
      <c r="AH121" s="109"/>
      <c r="AI121" s="109"/>
    </row>
    <row r="122" spans="1:35">
      <c r="A122" s="109"/>
      <c r="B122" s="263"/>
      <c r="C122" s="263"/>
      <c r="D122" s="263"/>
      <c r="E122" s="109"/>
      <c r="F122" s="109"/>
      <c r="G122" s="48"/>
      <c r="H122" s="264"/>
      <c r="I122" s="265"/>
      <c r="J122" s="265"/>
      <c r="K122" s="264"/>
      <c r="L122" s="265"/>
      <c r="M122" s="264"/>
      <c r="N122" s="264"/>
      <c r="O122" s="264"/>
      <c r="P122" s="264"/>
      <c r="Q122" s="263"/>
      <c r="R122" s="263"/>
      <c r="S122" s="263"/>
      <c r="T122" s="263"/>
      <c r="U122" s="263"/>
      <c r="V122" s="109"/>
      <c r="W122" s="263"/>
      <c r="X122" s="263"/>
      <c r="Y122" s="263"/>
      <c r="Z122" s="263"/>
      <c r="AA122" s="263"/>
      <c r="AB122" s="109"/>
      <c r="AC122" s="109"/>
      <c r="AD122" s="109"/>
      <c r="AE122" s="109"/>
      <c r="AF122" s="109"/>
      <c r="AG122" s="109"/>
      <c r="AH122" s="109"/>
      <c r="AI122" s="109"/>
    </row>
    <row r="123" spans="1:35">
      <c r="A123" s="109"/>
      <c r="B123" s="263"/>
      <c r="C123" s="263"/>
      <c r="D123" s="263"/>
      <c r="E123" s="109"/>
      <c r="F123" s="109"/>
      <c r="G123" s="48"/>
      <c r="H123" s="264"/>
      <c r="I123" s="265"/>
      <c r="J123" s="265"/>
      <c r="K123" s="264"/>
      <c r="L123" s="265"/>
      <c r="M123" s="264"/>
      <c r="N123" s="264"/>
      <c r="O123" s="264"/>
      <c r="P123" s="264"/>
      <c r="Q123" s="263"/>
      <c r="R123" s="263"/>
      <c r="S123" s="263"/>
      <c r="T123" s="263"/>
      <c r="U123" s="263"/>
      <c r="V123" s="109"/>
      <c r="W123" s="263"/>
      <c r="X123" s="263"/>
      <c r="Y123" s="263"/>
      <c r="Z123" s="263"/>
      <c r="AA123" s="263"/>
      <c r="AB123" s="109"/>
      <c r="AC123" s="109"/>
      <c r="AD123" s="109"/>
      <c r="AE123" s="109"/>
      <c r="AF123" s="109"/>
      <c r="AG123" s="109"/>
      <c r="AH123" s="109"/>
      <c r="AI123" s="109"/>
    </row>
    <row r="124" spans="1:35">
      <c r="A124" s="109"/>
      <c r="B124" s="263"/>
      <c r="C124" s="263"/>
      <c r="D124" s="263"/>
      <c r="E124" s="109"/>
      <c r="F124" s="109"/>
      <c r="G124" s="48"/>
      <c r="H124" s="264"/>
      <c r="I124" s="265"/>
      <c r="J124" s="265"/>
      <c r="K124" s="264"/>
      <c r="L124" s="265"/>
      <c r="M124" s="264"/>
      <c r="N124" s="264"/>
      <c r="O124" s="264"/>
      <c r="P124" s="264"/>
      <c r="Q124" s="263"/>
      <c r="R124" s="263"/>
      <c r="S124" s="263"/>
      <c r="T124" s="263"/>
      <c r="U124" s="263"/>
      <c r="V124" s="109"/>
      <c r="W124" s="263"/>
      <c r="X124" s="263"/>
      <c r="Y124" s="263"/>
      <c r="Z124" s="263"/>
      <c r="AA124" s="263"/>
      <c r="AB124" s="109"/>
      <c r="AC124" s="109"/>
      <c r="AD124" s="109"/>
      <c r="AE124" s="109"/>
      <c r="AF124" s="109"/>
      <c r="AG124" s="109"/>
      <c r="AH124" s="109"/>
      <c r="AI124" s="109"/>
    </row>
    <row r="125" spans="1:35">
      <c r="A125" s="109"/>
      <c r="B125" s="263"/>
      <c r="C125" s="263"/>
      <c r="D125" s="263"/>
      <c r="E125" s="109"/>
      <c r="F125" s="109"/>
      <c r="G125" s="48"/>
      <c r="H125" s="264"/>
      <c r="I125" s="265"/>
      <c r="J125" s="265"/>
      <c r="K125" s="264"/>
      <c r="L125" s="265"/>
      <c r="M125" s="264"/>
      <c r="N125" s="264"/>
      <c r="O125" s="264"/>
      <c r="P125" s="264"/>
      <c r="Q125" s="263"/>
      <c r="R125" s="263"/>
      <c r="S125" s="263"/>
      <c r="T125" s="263"/>
      <c r="U125" s="263"/>
      <c r="V125" s="109"/>
      <c r="W125" s="263"/>
      <c r="X125" s="263"/>
      <c r="Y125" s="263"/>
      <c r="Z125" s="263"/>
      <c r="AA125" s="263"/>
      <c r="AB125" s="109"/>
      <c r="AC125" s="109"/>
      <c r="AD125" s="109"/>
      <c r="AE125" s="109"/>
      <c r="AF125" s="109"/>
      <c r="AG125" s="109"/>
      <c r="AH125" s="109"/>
      <c r="AI125" s="109"/>
    </row>
    <row r="126" spans="1:35">
      <c r="A126" s="109"/>
      <c r="B126" s="263"/>
      <c r="C126" s="263"/>
      <c r="D126" s="263"/>
      <c r="E126" s="109"/>
      <c r="F126" s="109"/>
      <c r="G126" s="48"/>
      <c r="H126" s="264"/>
      <c r="I126" s="265"/>
      <c r="J126" s="265"/>
      <c r="K126" s="264"/>
      <c r="L126" s="265"/>
      <c r="M126" s="264"/>
      <c r="N126" s="264"/>
      <c r="O126" s="264"/>
      <c r="P126" s="264"/>
      <c r="Q126" s="263"/>
      <c r="R126" s="263"/>
      <c r="S126" s="263"/>
      <c r="T126" s="263"/>
      <c r="U126" s="263"/>
      <c r="V126" s="109"/>
      <c r="W126" s="263"/>
      <c r="X126" s="263"/>
      <c r="Y126" s="263"/>
      <c r="Z126" s="263"/>
      <c r="AA126" s="263"/>
      <c r="AB126" s="109"/>
      <c r="AC126" s="109"/>
      <c r="AD126" s="109"/>
      <c r="AE126" s="109"/>
      <c r="AF126" s="109"/>
      <c r="AG126" s="109"/>
      <c r="AH126" s="109"/>
      <c r="AI126" s="109"/>
    </row>
    <row r="127" spans="1:35">
      <c r="A127" s="109"/>
      <c r="B127" s="263"/>
      <c r="C127" s="263"/>
      <c r="D127" s="263"/>
      <c r="E127" s="109"/>
      <c r="F127" s="109"/>
      <c r="G127" s="48"/>
      <c r="H127" s="264"/>
      <c r="I127" s="265"/>
      <c r="J127" s="265"/>
      <c r="K127" s="264"/>
      <c r="L127" s="265"/>
      <c r="M127" s="264"/>
      <c r="N127" s="264"/>
      <c r="O127" s="264"/>
      <c r="P127" s="264"/>
      <c r="Q127" s="263"/>
      <c r="R127" s="263"/>
      <c r="S127" s="263"/>
      <c r="T127" s="263"/>
      <c r="U127" s="263"/>
      <c r="V127" s="109"/>
      <c r="W127" s="263"/>
      <c r="X127" s="263"/>
      <c r="Y127" s="263"/>
      <c r="Z127" s="263"/>
      <c r="AA127" s="263"/>
      <c r="AB127" s="109"/>
      <c r="AC127" s="109"/>
      <c r="AD127" s="109"/>
      <c r="AE127" s="109"/>
      <c r="AF127" s="109"/>
      <c r="AG127" s="109"/>
      <c r="AH127" s="109"/>
      <c r="AI127" s="109"/>
    </row>
    <row r="128" spans="1:35">
      <c r="A128" s="109"/>
      <c r="B128" s="263"/>
      <c r="C128" s="263"/>
      <c r="D128" s="263"/>
      <c r="E128" s="109"/>
      <c r="F128" s="109"/>
      <c r="G128" s="48"/>
      <c r="H128" s="264"/>
      <c r="I128" s="265"/>
      <c r="J128" s="265"/>
      <c r="K128" s="264"/>
      <c r="L128" s="265"/>
      <c r="M128" s="264"/>
      <c r="N128" s="264"/>
      <c r="O128" s="264"/>
      <c r="P128" s="264"/>
      <c r="Q128" s="263"/>
      <c r="R128" s="263"/>
      <c r="S128" s="263"/>
      <c r="T128" s="263"/>
      <c r="U128" s="263"/>
      <c r="V128" s="109"/>
      <c r="W128" s="263"/>
      <c r="X128" s="263"/>
      <c r="Y128" s="263"/>
      <c r="Z128" s="263"/>
      <c r="AA128" s="263"/>
      <c r="AB128" s="109"/>
      <c r="AC128" s="109"/>
      <c r="AD128" s="109"/>
      <c r="AE128" s="109"/>
      <c r="AF128" s="109"/>
      <c r="AG128" s="109"/>
      <c r="AH128" s="109"/>
      <c r="AI128" s="109"/>
    </row>
    <row r="129" spans="1:35">
      <c r="A129" s="109"/>
      <c r="B129" s="263"/>
      <c r="C129" s="263"/>
      <c r="D129" s="263"/>
      <c r="E129" s="109"/>
      <c r="F129" s="109"/>
      <c r="G129" s="48"/>
      <c r="H129" s="264"/>
      <c r="I129" s="265"/>
      <c r="J129" s="265"/>
      <c r="K129" s="264"/>
      <c r="L129" s="265"/>
      <c r="M129" s="264"/>
      <c r="N129" s="264"/>
      <c r="O129" s="264"/>
      <c r="P129" s="264"/>
      <c r="Q129" s="263"/>
      <c r="R129" s="263"/>
      <c r="S129" s="263"/>
      <c r="T129" s="263"/>
      <c r="U129" s="263"/>
      <c r="V129" s="109"/>
      <c r="W129" s="263"/>
      <c r="X129" s="263"/>
      <c r="Y129" s="263"/>
      <c r="Z129" s="263"/>
      <c r="AA129" s="263"/>
      <c r="AB129" s="109"/>
      <c r="AC129" s="109"/>
      <c r="AD129" s="109"/>
      <c r="AE129" s="109"/>
      <c r="AF129" s="109"/>
      <c r="AG129" s="109"/>
      <c r="AH129" s="109"/>
      <c r="AI129" s="109"/>
    </row>
    <row r="130" spans="1:35">
      <c r="A130" s="109"/>
      <c r="B130" s="263"/>
      <c r="C130" s="263"/>
      <c r="D130" s="263"/>
      <c r="E130" s="109"/>
      <c r="F130" s="109"/>
      <c r="G130" s="48"/>
      <c r="H130" s="264"/>
      <c r="I130" s="265"/>
      <c r="J130" s="265"/>
      <c r="K130" s="264"/>
      <c r="L130" s="265"/>
      <c r="M130" s="264"/>
      <c r="N130" s="264"/>
      <c r="O130" s="264"/>
      <c r="P130" s="264"/>
      <c r="Q130" s="263"/>
      <c r="R130" s="263"/>
      <c r="S130" s="263"/>
      <c r="T130" s="263"/>
      <c r="U130" s="263"/>
      <c r="V130" s="109"/>
      <c r="W130" s="263"/>
      <c r="X130" s="263"/>
      <c r="Y130" s="263"/>
      <c r="Z130" s="263"/>
      <c r="AA130" s="263"/>
      <c r="AB130" s="109"/>
      <c r="AC130" s="109"/>
      <c r="AD130" s="109"/>
      <c r="AE130" s="109"/>
      <c r="AF130" s="109"/>
      <c r="AG130" s="109"/>
      <c r="AH130" s="109"/>
      <c r="AI130" s="109"/>
    </row>
    <row r="131" spans="1:35">
      <c r="A131" s="109"/>
      <c r="B131" s="263"/>
      <c r="C131" s="263"/>
      <c r="D131" s="263"/>
      <c r="E131" s="109"/>
      <c r="F131" s="109"/>
      <c r="G131" s="48"/>
      <c r="H131" s="264"/>
      <c r="I131" s="265"/>
      <c r="J131" s="265"/>
      <c r="K131" s="264"/>
      <c r="L131" s="265"/>
      <c r="M131" s="264"/>
      <c r="N131" s="264"/>
      <c r="O131" s="264"/>
      <c r="P131" s="264"/>
      <c r="Q131" s="263"/>
      <c r="R131" s="263"/>
      <c r="S131" s="263"/>
      <c r="T131" s="263"/>
      <c r="U131" s="263"/>
      <c r="V131" s="109"/>
      <c r="W131" s="263"/>
      <c r="X131" s="263"/>
      <c r="Y131" s="263"/>
      <c r="Z131" s="263"/>
      <c r="AA131" s="263"/>
      <c r="AB131" s="109"/>
      <c r="AC131" s="109"/>
      <c r="AD131" s="109"/>
      <c r="AE131" s="109"/>
      <c r="AF131" s="109"/>
      <c r="AG131" s="109"/>
      <c r="AH131" s="109"/>
      <c r="AI131" s="109"/>
    </row>
    <row r="132" spans="1:35">
      <c r="A132" s="109"/>
      <c r="B132" s="263"/>
      <c r="C132" s="263"/>
      <c r="D132" s="263"/>
      <c r="E132" s="109"/>
      <c r="F132" s="109"/>
      <c r="G132" s="48"/>
      <c r="H132" s="264"/>
      <c r="I132" s="265"/>
      <c r="J132" s="265"/>
      <c r="K132" s="264"/>
      <c r="L132" s="265"/>
      <c r="M132" s="264"/>
      <c r="N132" s="264"/>
      <c r="O132" s="264"/>
      <c r="P132" s="264"/>
      <c r="Q132" s="263"/>
      <c r="R132" s="263"/>
      <c r="S132" s="263"/>
      <c r="T132" s="263"/>
      <c r="U132" s="263"/>
      <c r="V132" s="109"/>
      <c r="W132" s="263"/>
      <c r="X132" s="263"/>
      <c r="Y132" s="263"/>
      <c r="Z132" s="263"/>
      <c r="AA132" s="263"/>
      <c r="AB132" s="109"/>
      <c r="AC132" s="109"/>
      <c r="AD132" s="109"/>
      <c r="AE132" s="109"/>
      <c r="AF132" s="109"/>
      <c r="AG132" s="109"/>
      <c r="AH132" s="109"/>
      <c r="AI132" s="109"/>
    </row>
    <row r="133" spans="1:35">
      <c r="A133" s="109"/>
      <c r="B133" s="263"/>
      <c r="C133" s="263"/>
      <c r="D133" s="263"/>
      <c r="E133" s="109"/>
      <c r="F133" s="109"/>
      <c r="G133" s="48"/>
      <c r="H133" s="264"/>
      <c r="I133" s="265"/>
      <c r="J133" s="265"/>
      <c r="K133" s="264"/>
      <c r="L133" s="265"/>
      <c r="M133" s="264"/>
      <c r="N133" s="264"/>
      <c r="O133" s="264"/>
      <c r="P133" s="264"/>
      <c r="Q133" s="263"/>
      <c r="R133" s="263"/>
      <c r="S133" s="263"/>
      <c r="T133" s="263"/>
      <c r="U133" s="263"/>
      <c r="V133" s="109"/>
      <c r="W133" s="263"/>
      <c r="X133" s="263"/>
      <c r="Y133" s="263"/>
      <c r="Z133" s="263"/>
      <c r="AA133" s="263"/>
      <c r="AB133" s="109"/>
      <c r="AC133" s="109"/>
      <c r="AD133" s="109"/>
      <c r="AE133" s="109"/>
      <c r="AF133" s="109"/>
      <c r="AG133" s="109"/>
      <c r="AH133" s="109"/>
      <c r="AI133" s="109"/>
    </row>
    <row r="134" spans="1:35">
      <c r="A134" s="109"/>
      <c r="B134" s="263"/>
      <c r="C134" s="263"/>
      <c r="D134" s="263"/>
      <c r="E134" s="109"/>
      <c r="F134" s="109"/>
      <c r="G134" s="48"/>
      <c r="H134" s="264"/>
      <c r="I134" s="265"/>
      <c r="J134" s="265"/>
      <c r="K134" s="264"/>
      <c r="L134" s="265"/>
      <c r="M134" s="264"/>
      <c r="N134" s="264"/>
      <c r="O134" s="264"/>
      <c r="P134" s="264"/>
      <c r="Q134" s="263"/>
      <c r="R134" s="263"/>
      <c r="S134" s="263"/>
      <c r="T134" s="263"/>
      <c r="U134" s="263"/>
      <c r="V134" s="109"/>
      <c r="W134" s="263"/>
      <c r="X134" s="263"/>
      <c r="Y134" s="263"/>
      <c r="Z134" s="263"/>
      <c r="AA134" s="263"/>
      <c r="AB134" s="109"/>
      <c r="AC134" s="109"/>
      <c r="AD134" s="109"/>
      <c r="AE134" s="109"/>
      <c r="AF134" s="109"/>
      <c r="AG134" s="109"/>
      <c r="AH134" s="109"/>
      <c r="AI134" s="109"/>
    </row>
    <row r="135" spans="1:35">
      <c r="A135" s="109"/>
      <c r="B135" s="263"/>
      <c r="C135" s="263"/>
      <c r="D135" s="263"/>
      <c r="E135" s="109"/>
      <c r="F135" s="109"/>
      <c r="G135" s="48"/>
      <c r="H135" s="264"/>
      <c r="I135" s="265"/>
      <c r="J135" s="265"/>
      <c r="K135" s="264"/>
      <c r="L135" s="265"/>
      <c r="M135" s="264"/>
      <c r="N135" s="264"/>
      <c r="O135" s="264"/>
      <c r="P135" s="264"/>
      <c r="Q135" s="263"/>
      <c r="R135" s="263"/>
      <c r="S135" s="263"/>
      <c r="T135" s="263"/>
      <c r="U135" s="263"/>
      <c r="V135" s="109"/>
      <c r="W135" s="263"/>
      <c r="X135" s="263"/>
      <c r="Y135" s="263"/>
      <c r="Z135" s="263"/>
      <c r="AA135" s="263"/>
      <c r="AB135" s="109"/>
      <c r="AC135" s="109"/>
      <c r="AD135" s="109"/>
      <c r="AE135" s="109"/>
      <c r="AF135" s="109"/>
      <c r="AG135" s="109"/>
      <c r="AH135" s="109"/>
      <c r="AI135" s="109"/>
    </row>
    <row r="136" spans="1:35">
      <c r="A136" s="109"/>
      <c r="B136" s="263"/>
      <c r="C136" s="263"/>
      <c r="D136" s="263"/>
      <c r="E136" s="109"/>
      <c r="F136" s="109"/>
      <c r="G136" s="48"/>
      <c r="H136" s="264"/>
      <c r="I136" s="265"/>
      <c r="J136" s="265"/>
      <c r="K136" s="264"/>
      <c r="L136" s="265"/>
      <c r="M136" s="264"/>
      <c r="N136" s="264"/>
      <c r="O136" s="264"/>
      <c r="P136" s="264"/>
      <c r="Q136" s="263"/>
      <c r="R136" s="263"/>
      <c r="S136" s="263"/>
      <c r="T136" s="263"/>
      <c r="U136" s="263"/>
      <c r="V136" s="109"/>
      <c r="W136" s="263"/>
      <c r="X136" s="263"/>
      <c r="Y136" s="263"/>
      <c r="Z136" s="263"/>
      <c r="AA136" s="263"/>
      <c r="AB136" s="109"/>
      <c r="AC136" s="109"/>
      <c r="AD136" s="109"/>
      <c r="AE136" s="109"/>
      <c r="AF136" s="109"/>
      <c r="AG136" s="109"/>
      <c r="AH136" s="109"/>
      <c r="AI136" s="109"/>
    </row>
    <row r="137" spans="1:35">
      <c r="A137" s="109"/>
      <c r="B137" s="263"/>
      <c r="C137" s="263"/>
      <c r="D137" s="263"/>
      <c r="E137" s="109"/>
      <c r="F137" s="109"/>
      <c r="G137" s="48"/>
      <c r="H137" s="264"/>
      <c r="I137" s="265"/>
      <c r="J137" s="265"/>
      <c r="K137" s="264"/>
      <c r="L137" s="265"/>
      <c r="M137" s="264"/>
      <c r="N137" s="264"/>
      <c r="O137" s="264"/>
      <c r="P137" s="264"/>
      <c r="Q137" s="263"/>
      <c r="R137" s="263"/>
      <c r="S137" s="263"/>
      <c r="T137" s="263"/>
      <c r="U137" s="263"/>
      <c r="V137" s="109"/>
      <c r="W137" s="263"/>
      <c r="X137" s="263"/>
      <c r="Y137" s="263"/>
      <c r="Z137" s="263"/>
      <c r="AA137" s="263"/>
      <c r="AB137" s="109"/>
      <c r="AC137" s="109"/>
      <c r="AD137" s="109"/>
      <c r="AE137" s="109"/>
      <c r="AF137" s="109"/>
      <c r="AG137" s="109"/>
      <c r="AH137" s="109"/>
      <c r="AI137" s="109"/>
    </row>
    <row r="138" spans="1:35">
      <c r="A138" s="109"/>
      <c r="B138" s="263"/>
      <c r="C138" s="263"/>
      <c r="D138" s="263"/>
      <c r="E138" s="109"/>
      <c r="F138" s="109"/>
      <c r="G138" s="48"/>
      <c r="H138" s="264"/>
      <c r="I138" s="265"/>
      <c r="J138" s="265"/>
      <c r="K138" s="264"/>
      <c r="L138" s="265"/>
      <c r="M138" s="264"/>
      <c r="N138" s="264"/>
      <c r="O138" s="264"/>
      <c r="P138" s="264"/>
      <c r="Q138" s="263"/>
      <c r="R138" s="263"/>
      <c r="S138" s="263"/>
      <c r="T138" s="263"/>
      <c r="U138" s="263"/>
      <c r="V138" s="109"/>
      <c r="W138" s="263"/>
      <c r="X138" s="263"/>
      <c r="Y138" s="263"/>
      <c r="Z138" s="263"/>
      <c r="AA138" s="263"/>
      <c r="AB138" s="109"/>
      <c r="AC138" s="109"/>
      <c r="AD138" s="109"/>
      <c r="AE138" s="109"/>
      <c r="AF138" s="109"/>
      <c r="AG138" s="109"/>
      <c r="AH138" s="109"/>
      <c r="AI138" s="109"/>
    </row>
    <row r="139" spans="1:35">
      <c r="A139" s="109"/>
      <c r="B139" s="263"/>
      <c r="C139" s="263"/>
      <c r="D139" s="263"/>
      <c r="E139" s="109"/>
      <c r="F139" s="109"/>
      <c r="G139" s="48"/>
      <c r="H139" s="264"/>
      <c r="I139" s="265"/>
      <c r="J139" s="265"/>
      <c r="K139" s="264"/>
      <c r="L139" s="265"/>
      <c r="M139" s="264"/>
      <c r="N139" s="264"/>
      <c r="O139" s="264"/>
      <c r="P139" s="264"/>
      <c r="Q139" s="263"/>
      <c r="R139" s="263"/>
      <c r="S139" s="263"/>
      <c r="T139" s="263"/>
      <c r="U139" s="263"/>
      <c r="V139" s="109"/>
      <c r="W139" s="263"/>
      <c r="X139" s="263"/>
      <c r="Y139" s="263"/>
      <c r="Z139" s="263"/>
      <c r="AA139" s="263"/>
      <c r="AB139" s="109"/>
      <c r="AC139" s="109"/>
      <c r="AD139" s="109"/>
      <c r="AE139" s="109"/>
      <c r="AF139" s="109"/>
      <c r="AG139" s="109"/>
      <c r="AH139" s="109"/>
      <c r="AI139" s="109"/>
    </row>
    <row r="140" spans="1:35">
      <c r="A140" s="109"/>
      <c r="B140" s="263"/>
      <c r="C140" s="263"/>
      <c r="D140" s="263"/>
      <c r="E140" s="109"/>
      <c r="F140" s="109"/>
      <c r="G140" s="48"/>
      <c r="H140" s="264"/>
      <c r="I140" s="265"/>
      <c r="J140" s="265"/>
      <c r="K140" s="264"/>
      <c r="L140" s="265"/>
      <c r="M140" s="264"/>
      <c r="N140" s="264"/>
      <c r="O140" s="264"/>
      <c r="P140" s="264"/>
      <c r="Q140" s="263"/>
      <c r="R140" s="263"/>
      <c r="S140" s="263"/>
      <c r="T140" s="263"/>
      <c r="U140" s="263"/>
      <c r="V140" s="109"/>
      <c r="W140" s="263"/>
      <c r="X140" s="263"/>
      <c r="Y140" s="263"/>
      <c r="Z140" s="263"/>
      <c r="AA140" s="263"/>
      <c r="AB140" s="109"/>
      <c r="AC140" s="109"/>
      <c r="AD140" s="109"/>
      <c r="AE140" s="109"/>
      <c r="AF140" s="109"/>
      <c r="AG140" s="109"/>
      <c r="AH140" s="109"/>
      <c r="AI140" s="109"/>
    </row>
    <row r="141" spans="1:35">
      <c r="A141" s="109"/>
      <c r="B141" s="263"/>
      <c r="C141" s="263"/>
      <c r="D141" s="263"/>
      <c r="E141" s="109"/>
      <c r="F141" s="109"/>
      <c r="G141" s="48"/>
      <c r="H141" s="264"/>
      <c r="I141" s="265"/>
      <c r="J141" s="265"/>
      <c r="K141" s="264"/>
      <c r="L141" s="265"/>
      <c r="M141" s="264"/>
      <c r="N141" s="264"/>
      <c r="O141" s="264"/>
      <c r="P141" s="264"/>
      <c r="Q141" s="263"/>
      <c r="R141" s="263"/>
      <c r="S141" s="263"/>
      <c r="T141" s="263"/>
      <c r="U141" s="263"/>
      <c r="V141" s="109"/>
      <c r="W141" s="263"/>
      <c r="X141" s="263"/>
      <c r="Y141" s="263"/>
      <c r="Z141" s="263"/>
      <c r="AA141" s="263"/>
      <c r="AB141" s="109"/>
      <c r="AC141" s="109"/>
      <c r="AD141" s="109"/>
      <c r="AE141" s="109"/>
      <c r="AF141" s="109"/>
      <c r="AG141" s="109"/>
      <c r="AH141" s="109"/>
      <c r="AI141" s="109"/>
    </row>
    <row r="142" spans="1:35">
      <c r="A142" s="109"/>
      <c r="B142" s="263"/>
      <c r="C142" s="263"/>
      <c r="D142" s="263"/>
      <c r="E142" s="109"/>
      <c r="F142" s="109"/>
      <c r="G142" s="48"/>
      <c r="H142" s="264"/>
      <c r="I142" s="265"/>
      <c r="J142" s="265"/>
      <c r="K142" s="264"/>
      <c r="L142" s="265"/>
      <c r="M142" s="264"/>
      <c r="N142" s="264"/>
      <c r="O142" s="264"/>
      <c r="P142" s="264"/>
      <c r="Q142" s="263"/>
      <c r="R142" s="263"/>
      <c r="S142" s="263"/>
      <c r="T142" s="263"/>
      <c r="U142" s="263"/>
      <c r="V142" s="109"/>
      <c r="W142" s="263"/>
      <c r="X142" s="263"/>
      <c r="Y142" s="263"/>
      <c r="Z142" s="263"/>
      <c r="AA142" s="263"/>
      <c r="AB142" s="109"/>
      <c r="AC142" s="109"/>
      <c r="AD142" s="109"/>
      <c r="AE142" s="109"/>
      <c r="AF142" s="109"/>
      <c r="AG142" s="109"/>
      <c r="AH142" s="109"/>
      <c r="AI142" s="109"/>
    </row>
    <row r="143" spans="1:35">
      <c r="A143" s="109"/>
      <c r="B143" s="263"/>
      <c r="C143" s="263"/>
      <c r="D143" s="263"/>
      <c r="E143" s="109"/>
      <c r="F143" s="109"/>
      <c r="G143" s="48"/>
      <c r="H143" s="264"/>
      <c r="I143" s="265"/>
      <c r="J143" s="265"/>
      <c r="K143" s="264"/>
      <c r="L143" s="265"/>
      <c r="M143" s="264"/>
      <c r="N143" s="264"/>
      <c r="O143" s="264"/>
      <c r="P143" s="264"/>
      <c r="Q143" s="263"/>
      <c r="R143" s="263"/>
      <c r="S143" s="263"/>
      <c r="T143" s="263"/>
      <c r="U143" s="263"/>
      <c r="V143" s="109"/>
      <c r="W143" s="263"/>
      <c r="X143" s="263"/>
      <c r="Y143" s="263"/>
      <c r="Z143" s="263"/>
      <c r="AA143" s="263"/>
      <c r="AB143" s="109"/>
      <c r="AC143" s="109"/>
      <c r="AD143" s="109"/>
      <c r="AE143" s="109"/>
      <c r="AF143" s="109"/>
      <c r="AG143" s="109"/>
      <c r="AH143" s="109"/>
      <c r="AI143" s="109"/>
    </row>
    <row r="144" spans="1:35">
      <c r="A144" s="109"/>
      <c r="B144" s="263"/>
      <c r="C144" s="263"/>
      <c r="D144" s="263"/>
      <c r="E144" s="109"/>
      <c r="F144" s="109"/>
      <c r="G144" s="48"/>
      <c r="H144" s="264"/>
      <c r="I144" s="265"/>
      <c r="J144" s="265"/>
      <c r="K144" s="264"/>
      <c r="L144" s="265"/>
      <c r="M144" s="264"/>
      <c r="N144" s="264"/>
      <c r="O144" s="264"/>
      <c r="P144" s="264"/>
      <c r="Q144" s="263"/>
      <c r="R144" s="263"/>
      <c r="S144" s="263"/>
      <c r="T144" s="263"/>
      <c r="U144" s="263"/>
      <c r="V144" s="109"/>
      <c r="W144" s="263"/>
      <c r="X144" s="263"/>
      <c r="Y144" s="263"/>
      <c r="Z144" s="263"/>
      <c r="AA144" s="263"/>
      <c r="AB144" s="109"/>
      <c r="AC144" s="109"/>
      <c r="AD144" s="109"/>
      <c r="AE144" s="109"/>
      <c r="AF144" s="109"/>
      <c r="AG144" s="109"/>
      <c r="AH144" s="109"/>
      <c r="AI144" s="109"/>
    </row>
    <row r="145" spans="1:35">
      <c r="A145" s="109"/>
      <c r="B145" s="263"/>
      <c r="C145" s="263"/>
      <c r="D145" s="263"/>
      <c r="E145" s="109"/>
      <c r="F145" s="109"/>
      <c r="G145" s="48"/>
      <c r="H145" s="264"/>
      <c r="I145" s="265"/>
      <c r="J145" s="265"/>
      <c r="K145" s="264"/>
      <c r="L145" s="265"/>
      <c r="M145" s="264"/>
      <c r="N145" s="264"/>
      <c r="O145" s="264"/>
      <c r="P145" s="264"/>
      <c r="Q145" s="263"/>
      <c r="R145" s="263"/>
      <c r="S145" s="263"/>
      <c r="T145" s="263"/>
      <c r="U145" s="263"/>
      <c r="V145" s="109"/>
      <c r="W145" s="263"/>
      <c r="X145" s="263"/>
      <c r="Y145" s="263"/>
      <c r="Z145" s="263"/>
      <c r="AA145" s="263"/>
      <c r="AB145" s="109"/>
      <c r="AC145" s="109"/>
      <c r="AD145" s="109"/>
      <c r="AE145" s="109"/>
      <c r="AF145" s="109"/>
      <c r="AG145" s="109"/>
      <c r="AH145" s="109"/>
      <c r="AI145" s="109"/>
    </row>
    <row r="146" spans="1:35">
      <c r="A146" s="109"/>
      <c r="B146" s="263"/>
      <c r="C146" s="263"/>
      <c r="D146" s="263"/>
      <c r="E146" s="109"/>
      <c r="F146" s="109"/>
      <c r="G146" s="48"/>
      <c r="H146" s="264"/>
      <c r="I146" s="265"/>
      <c r="J146" s="265"/>
      <c r="K146" s="264"/>
      <c r="L146" s="265"/>
      <c r="M146" s="264"/>
      <c r="N146" s="264"/>
      <c r="O146" s="264"/>
      <c r="P146" s="264"/>
      <c r="Q146" s="263"/>
      <c r="R146" s="263"/>
      <c r="S146" s="263"/>
      <c r="T146" s="263"/>
      <c r="U146" s="263"/>
      <c r="V146" s="109"/>
      <c r="W146" s="263"/>
      <c r="X146" s="263"/>
      <c r="Y146" s="263"/>
      <c r="Z146" s="263"/>
      <c r="AA146" s="263"/>
      <c r="AB146" s="109"/>
      <c r="AC146" s="109"/>
      <c r="AD146" s="109"/>
      <c r="AE146" s="109"/>
      <c r="AF146" s="109"/>
      <c r="AG146" s="109"/>
      <c r="AH146" s="109"/>
      <c r="AI146" s="109"/>
    </row>
    <row r="147" spans="1:35">
      <c r="A147" s="109"/>
      <c r="B147" s="263"/>
      <c r="C147" s="263"/>
      <c r="D147" s="263"/>
      <c r="E147" s="109"/>
      <c r="F147" s="109"/>
      <c r="G147" s="48"/>
      <c r="H147" s="264"/>
      <c r="I147" s="265"/>
      <c r="J147" s="265"/>
      <c r="K147" s="264"/>
      <c r="L147" s="265"/>
      <c r="M147" s="264"/>
      <c r="N147" s="264"/>
      <c r="O147" s="264"/>
      <c r="P147" s="264"/>
      <c r="Q147" s="263"/>
      <c r="R147" s="263"/>
      <c r="S147" s="263"/>
      <c r="T147" s="263"/>
      <c r="U147" s="263"/>
      <c r="V147" s="109"/>
      <c r="W147" s="263"/>
      <c r="X147" s="263"/>
      <c r="Y147" s="263"/>
      <c r="Z147" s="263"/>
      <c r="AA147" s="263"/>
      <c r="AB147" s="109"/>
      <c r="AC147" s="109"/>
      <c r="AD147" s="109"/>
      <c r="AE147" s="109"/>
      <c r="AF147" s="109"/>
      <c r="AG147" s="109"/>
      <c r="AH147" s="109"/>
      <c r="AI147" s="109"/>
    </row>
    <row r="148" spans="1:35">
      <c r="A148" s="109"/>
      <c r="B148" s="263"/>
      <c r="C148" s="263"/>
      <c r="D148" s="263"/>
      <c r="E148" s="109"/>
      <c r="F148" s="109"/>
      <c r="G148" s="48"/>
      <c r="H148" s="264"/>
      <c r="I148" s="265"/>
      <c r="J148" s="265"/>
      <c r="K148" s="264"/>
      <c r="L148" s="265"/>
      <c r="M148" s="264"/>
      <c r="N148" s="264"/>
      <c r="O148" s="264"/>
      <c r="P148" s="264"/>
      <c r="Q148" s="263"/>
      <c r="R148" s="263"/>
      <c r="S148" s="263"/>
      <c r="T148" s="263"/>
      <c r="U148" s="263"/>
      <c r="V148" s="109"/>
      <c r="W148" s="263"/>
      <c r="X148" s="263"/>
      <c r="Y148" s="263"/>
      <c r="Z148" s="263"/>
      <c r="AA148" s="263"/>
      <c r="AB148" s="109"/>
      <c r="AC148" s="109"/>
      <c r="AD148" s="109"/>
      <c r="AE148" s="109"/>
      <c r="AF148" s="109"/>
      <c r="AG148" s="109"/>
      <c r="AH148" s="109"/>
      <c r="AI148" s="109"/>
    </row>
    <row r="149" spans="1:35">
      <c r="A149" s="109"/>
      <c r="B149" s="263"/>
      <c r="C149" s="263"/>
      <c r="D149" s="263"/>
      <c r="E149" s="109"/>
      <c r="F149" s="109"/>
      <c r="G149" s="48"/>
      <c r="H149" s="264"/>
      <c r="I149" s="265"/>
      <c r="J149" s="265"/>
      <c r="K149" s="264"/>
      <c r="L149" s="265"/>
      <c r="M149" s="264"/>
      <c r="N149" s="264"/>
      <c r="O149" s="264"/>
      <c r="P149" s="264"/>
      <c r="Q149" s="263"/>
      <c r="R149" s="263"/>
      <c r="S149" s="263"/>
      <c r="T149" s="263"/>
      <c r="U149" s="263"/>
      <c r="V149" s="109"/>
      <c r="W149" s="263"/>
      <c r="X149" s="263"/>
      <c r="Y149" s="263"/>
      <c r="Z149" s="263"/>
      <c r="AA149" s="263"/>
      <c r="AB149" s="109"/>
      <c r="AC149" s="109"/>
      <c r="AD149" s="109"/>
      <c r="AE149" s="109"/>
      <c r="AF149" s="109"/>
      <c r="AG149" s="109"/>
      <c r="AH149" s="109"/>
      <c r="AI149" s="109"/>
    </row>
    <row r="150" spans="1:35">
      <c r="A150" s="109"/>
      <c r="B150" s="263"/>
      <c r="C150" s="263"/>
      <c r="D150" s="263"/>
      <c r="E150" s="109"/>
      <c r="F150" s="109"/>
      <c r="G150" s="48"/>
      <c r="H150" s="264"/>
      <c r="I150" s="265"/>
      <c r="J150" s="265"/>
      <c r="K150" s="264"/>
      <c r="L150" s="265"/>
      <c r="M150" s="264"/>
      <c r="N150" s="264"/>
      <c r="O150" s="264"/>
      <c r="P150" s="264"/>
      <c r="Q150" s="263"/>
      <c r="R150" s="263"/>
      <c r="S150" s="263"/>
      <c r="T150" s="263"/>
      <c r="U150" s="263"/>
      <c r="V150" s="109"/>
      <c r="W150" s="263"/>
      <c r="X150" s="263"/>
      <c r="Y150" s="263"/>
      <c r="Z150" s="263"/>
      <c r="AA150" s="263"/>
      <c r="AB150" s="109"/>
      <c r="AC150" s="109"/>
      <c r="AD150" s="109"/>
      <c r="AE150" s="109"/>
      <c r="AF150" s="109"/>
      <c r="AG150" s="109"/>
      <c r="AH150" s="109"/>
      <c r="AI150" s="109"/>
    </row>
    <row r="151" spans="1:35">
      <c r="A151" s="109"/>
      <c r="B151" s="263"/>
      <c r="C151" s="263"/>
      <c r="D151" s="263"/>
      <c r="E151" s="109"/>
      <c r="F151" s="109"/>
      <c r="G151" s="48"/>
      <c r="H151" s="264"/>
      <c r="I151" s="265"/>
      <c r="J151" s="265"/>
      <c r="K151" s="264"/>
      <c r="L151" s="265"/>
      <c r="M151" s="264"/>
      <c r="N151" s="264"/>
      <c r="O151" s="264"/>
      <c r="P151" s="264"/>
      <c r="Q151" s="263"/>
      <c r="R151" s="263"/>
      <c r="S151" s="263"/>
      <c r="T151" s="263"/>
      <c r="U151" s="263"/>
      <c r="V151" s="109"/>
      <c r="W151" s="263"/>
      <c r="X151" s="263"/>
      <c r="Y151" s="263"/>
      <c r="Z151" s="263"/>
      <c r="AA151" s="263"/>
      <c r="AB151" s="109"/>
      <c r="AC151" s="109"/>
      <c r="AD151" s="109"/>
      <c r="AE151" s="109"/>
      <c r="AF151" s="109"/>
      <c r="AG151" s="109"/>
      <c r="AH151" s="109"/>
      <c r="AI151" s="109"/>
    </row>
    <row r="152" spans="1:35">
      <c r="A152" s="109"/>
      <c r="B152" s="263"/>
      <c r="C152" s="263"/>
      <c r="D152" s="263"/>
      <c r="E152" s="109"/>
      <c r="F152" s="109"/>
      <c r="G152" s="48"/>
      <c r="H152" s="264"/>
      <c r="I152" s="265"/>
      <c r="J152" s="265"/>
      <c r="K152" s="264"/>
      <c r="L152" s="265"/>
      <c r="M152" s="264"/>
      <c r="N152" s="264"/>
      <c r="O152" s="264"/>
      <c r="P152" s="264"/>
      <c r="Q152" s="263"/>
      <c r="R152" s="263"/>
      <c r="S152" s="263"/>
      <c r="T152" s="263"/>
      <c r="U152" s="263"/>
      <c r="V152" s="109"/>
      <c r="W152" s="263"/>
      <c r="X152" s="263"/>
      <c r="Y152" s="263"/>
      <c r="Z152" s="263"/>
      <c r="AA152" s="263"/>
      <c r="AB152" s="109"/>
      <c r="AC152" s="109"/>
      <c r="AD152" s="109"/>
      <c r="AE152" s="109"/>
      <c r="AF152" s="109"/>
      <c r="AG152" s="109"/>
      <c r="AH152" s="109"/>
      <c r="AI152" s="109"/>
    </row>
    <row r="153" spans="1:35">
      <c r="A153" s="109"/>
      <c r="B153" s="263"/>
      <c r="C153" s="263"/>
      <c r="D153" s="263"/>
      <c r="E153" s="109"/>
      <c r="F153" s="109"/>
      <c r="G153" s="48"/>
      <c r="H153" s="264"/>
      <c r="I153" s="265"/>
      <c r="J153" s="265"/>
      <c r="K153" s="264"/>
      <c r="L153" s="265"/>
      <c r="M153" s="264"/>
      <c r="N153" s="264"/>
      <c r="O153" s="264"/>
      <c r="P153" s="264"/>
      <c r="Q153" s="263"/>
      <c r="R153" s="263"/>
      <c r="S153" s="263"/>
      <c r="T153" s="263"/>
      <c r="U153" s="263"/>
      <c r="V153" s="109"/>
      <c r="W153" s="263"/>
      <c r="X153" s="263"/>
      <c r="Y153" s="263"/>
      <c r="Z153" s="263"/>
      <c r="AA153" s="263"/>
      <c r="AB153" s="109"/>
      <c r="AC153" s="109"/>
      <c r="AD153" s="109"/>
      <c r="AE153" s="109"/>
      <c r="AF153" s="109"/>
      <c r="AG153" s="109"/>
      <c r="AH153" s="109"/>
      <c r="AI153" s="109"/>
    </row>
    <row r="154" spans="1:35">
      <c r="A154" s="109"/>
      <c r="B154" s="263"/>
      <c r="C154" s="263"/>
      <c r="D154" s="263"/>
      <c r="E154" s="109"/>
      <c r="F154" s="109"/>
      <c r="G154" s="48"/>
      <c r="H154" s="264"/>
      <c r="I154" s="265"/>
      <c r="J154" s="265"/>
      <c r="K154" s="264"/>
      <c r="L154" s="265"/>
      <c r="M154" s="264"/>
      <c r="N154" s="264"/>
      <c r="O154" s="264"/>
      <c r="P154" s="264"/>
      <c r="Q154" s="263"/>
      <c r="R154" s="263"/>
      <c r="S154" s="263"/>
      <c r="T154" s="263"/>
      <c r="U154" s="263"/>
      <c r="V154" s="109"/>
      <c r="W154" s="263"/>
      <c r="X154" s="263"/>
      <c r="Y154" s="263"/>
      <c r="Z154" s="263"/>
      <c r="AA154" s="263"/>
      <c r="AB154" s="109"/>
      <c r="AC154" s="109"/>
      <c r="AD154" s="109"/>
      <c r="AE154" s="109"/>
      <c r="AF154" s="109"/>
      <c r="AG154" s="109"/>
      <c r="AH154" s="109"/>
      <c r="AI154" s="109"/>
    </row>
    <row r="155" spans="1:35">
      <c r="A155" s="109"/>
      <c r="B155" s="263"/>
      <c r="C155" s="263"/>
      <c r="D155" s="263"/>
      <c r="E155" s="109"/>
      <c r="F155" s="109"/>
      <c r="G155" s="48"/>
      <c r="H155" s="264"/>
      <c r="I155" s="265"/>
      <c r="J155" s="265"/>
      <c r="K155" s="264"/>
      <c r="L155" s="265"/>
      <c r="M155" s="264"/>
      <c r="N155" s="264"/>
      <c r="O155" s="264"/>
      <c r="P155" s="264"/>
      <c r="Q155" s="263"/>
      <c r="R155" s="263"/>
      <c r="S155" s="263"/>
      <c r="T155" s="263"/>
      <c r="U155" s="263"/>
      <c r="V155" s="109"/>
      <c r="W155" s="263"/>
      <c r="X155" s="263"/>
      <c r="Y155" s="263"/>
      <c r="Z155" s="263"/>
      <c r="AA155" s="263"/>
      <c r="AB155" s="109"/>
      <c r="AC155" s="109"/>
      <c r="AD155" s="109"/>
      <c r="AE155" s="109"/>
      <c r="AF155" s="109"/>
      <c r="AG155" s="109"/>
      <c r="AH155" s="109"/>
      <c r="AI155" s="109"/>
    </row>
    <row r="156" spans="1:35">
      <c r="A156" s="109"/>
      <c r="B156" s="263"/>
      <c r="C156" s="263"/>
      <c r="D156" s="263"/>
      <c r="E156" s="109"/>
      <c r="F156" s="109"/>
      <c r="G156" s="48"/>
      <c r="H156" s="264"/>
      <c r="I156" s="265"/>
      <c r="J156" s="265"/>
      <c r="K156" s="264"/>
      <c r="L156" s="265"/>
      <c r="M156" s="264"/>
      <c r="N156" s="264"/>
      <c r="O156" s="264"/>
      <c r="P156" s="264"/>
      <c r="Q156" s="263"/>
      <c r="R156" s="263"/>
      <c r="S156" s="263"/>
      <c r="T156" s="263"/>
      <c r="U156" s="263"/>
      <c r="V156" s="109"/>
      <c r="W156" s="263"/>
      <c r="X156" s="263"/>
      <c r="Y156" s="263"/>
      <c r="Z156" s="263"/>
      <c r="AA156" s="263"/>
      <c r="AB156" s="109"/>
      <c r="AC156" s="109"/>
      <c r="AD156" s="109"/>
      <c r="AE156" s="109"/>
      <c r="AF156" s="109"/>
      <c r="AG156" s="109"/>
      <c r="AH156" s="109"/>
      <c r="AI156" s="109"/>
    </row>
    <row r="157" spans="1:35">
      <c r="A157" s="109"/>
      <c r="B157" s="263"/>
      <c r="C157" s="263"/>
      <c r="D157" s="263"/>
      <c r="E157" s="109"/>
      <c r="F157" s="109"/>
      <c r="G157" s="48"/>
      <c r="H157" s="264"/>
      <c r="I157" s="265"/>
      <c r="J157" s="265"/>
      <c r="K157" s="264"/>
      <c r="L157" s="265"/>
      <c r="M157" s="264"/>
      <c r="N157" s="264"/>
      <c r="O157" s="264"/>
      <c r="P157" s="264"/>
      <c r="Q157" s="263"/>
      <c r="R157" s="263"/>
      <c r="S157" s="263"/>
      <c r="T157" s="263"/>
      <c r="U157" s="263"/>
      <c r="V157" s="109"/>
      <c r="W157" s="263"/>
      <c r="X157" s="263"/>
      <c r="Y157" s="263"/>
      <c r="Z157" s="263"/>
      <c r="AA157" s="263"/>
      <c r="AB157" s="109"/>
      <c r="AC157" s="109"/>
      <c r="AD157" s="109"/>
      <c r="AE157" s="109"/>
      <c r="AF157" s="109"/>
      <c r="AG157" s="109"/>
      <c r="AH157" s="109"/>
      <c r="AI157" s="109"/>
    </row>
    <row r="158" spans="1:35">
      <c r="A158" s="109"/>
      <c r="B158" s="263"/>
      <c r="C158" s="263"/>
      <c r="D158" s="263"/>
      <c r="E158" s="109"/>
      <c r="F158" s="109"/>
      <c r="G158" s="48"/>
      <c r="H158" s="264"/>
      <c r="I158" s="265"/>
      <c r="J158" s="265"/>
      <c r="K158" s="264"/>
      <c r="L158" s="265"/>
      <c r="M158" s="264"/>
      <c r="N158" s="264"/>
      <c r="O158" s="264"/>
      <c r="P158" s="264"/>
      <c r="Q158" s="263"/>
      <c r="R158" s="263"/>
      <c r="S158" s="263"/>
      <c r="T158" s="263"/>
      <c r="U158" s="263"/>
      <c r="V158" s="109"/>
      <c r="W158" s="263"/>
      <c r="X158" s="263"/>
      <c r="Y158" s="263"/>
      <c r="Z158" s="263"/>
      <c r="AA158" s="263"/>
      <c r="AB158" s="109"/>
      <c r="AC158" s="109"/>
      <c r="AD158" s="109"/>
      <c r="AE158" s="109"/>
      <c r="AF158" s="109"/>
      <c r="AG158" s="109"/>
      <c r="AH158" s="109"/>
      <c r="AI158" s="109"/>
    </row>
    <row r="159" spans="1:35">
      <c r="A159" s="109"/>
      <c r="B159" s="263"/>
      <c r="C159" s="263"/>
      <c r="D159" s="263"/>
      <c r="E159" s="109"/>
      <c r="F159" s="109"/>
      <c r="G159" s="48"/>
      <c r="H159" s="264"/>
      <c r="I159" s="265"/>
      <c r="J159" s="265"/>
      <c r="K159" s="264"/>
      <c r="L159" s="265"/>
      <c r="M159" s="264"/>
      <c r="N159" s="264"/>
      <c r="O159" s="264"/>
      <c r="P159" s="264"/>
      <c r="Q159" s="263"/>
      <c r="R159" s="263"/>
      <c r="S159" s="263"/>
      <c r="T159" s="263"/>
      <c r="U159" s="263"/>
      <c r="V159" s="109"/>
      <c r="W159" s="263"/>
      <c r="X159" s="263"/>
      <c r="Y159" s="263"/>
      <c r="Z159" s="263"/>
      <c r="AA159" s="263"/>
      <c r="AB159" s="109"/>
      <c r="AC159" s="109"/>
      <c r="AD159" s="109"/>
      <c r="AE159" s="109"/>
      <c r="AF159" s="109"/>
      <c r="AG159" s="109"/>
      <c r="AH159" s="109"/>
      <c r="AI159" s="109"/>
    </row>
    <row r="160" spans="1:35">
      <c r="A160" s="109"/>
      <c r="B160" s="263"/>
      <c r="C160" s="263"/>
      <c r="D160" s="263"/>
      <c r="E160" s="109"/>
      <c r="F160" s="109"/>
      <c r="G160" s="48"/>
      <c r="H160" s="264"/>
      <c r="I160" s="265"/>
      <c r="J160" s="265"/>
      <c r="K160" s="264"/>
      <c r="L160" s="265"/>
      <c r="M160" s="264"/>
      <c r="N160" s="264"/>
      <c r="O160" s="264"/>
      <c r="P160" s="264"/>
      <c r="Q160" s="263"/>
      <c r="R160" s="263"/>
      <c r="S160" s="263"/>
      <c r="T160" s="263"/>
      <c r="U160" s="263"/>
      <c r="V160" s="109"/>
      <c r="W160" s="263"/>
      <c r="X160" s="263"/>
      <c r="Y160" s="263"/>
      <c r="Z160" s="263"/>
      <c r="AA160" s="263"/>
      <c r="AB160" s="109"/>
      <c r="AC160" s="109"/>
      <c r="AD160" s="109"/>
      <c r="AE160" s="109"/>
      <c r="AF160" s="109"/>
      <c r="AG160" s="109"/>
      <c r="AH160" s="109"/>
      <c r="AI160" s="109"/>
    </row>
    <row r="161" spans="1:35">
      <c r="A161" s="109"/>
      <c r="B161" s="263"/>
      <c r="C161" s="263"/>
      <c r="D161" s="263"/>
      <c r="E161" s="109"/>
      <c r="F161" s="109"/>
      <c r="G161" s="48"/>
      <c r="H161" s="264"/>
      <c r="I161" s="265"/>
      <c r="J161" s="265"/>
      <c r="K161" s="264"/>
      <c r="L161" s="265"/>
      <c r="M161" s="264"/>
      <c r="N161" s="264"/>
      <c r="O161" s="264"/>
      <c r="P161" s="264"/>
      <c r="Q161" s="263"/>
      <c r="R161" s="263"/>
      <c r="S161" s="263"/>
      <c r="T161" s="263"/>
      <c r="U161" s="263"/>
      <c r="V161" s="109"/>
      <c r="W161" s="263"/>
      <c r="X161" s="263"/>
      <c r="Y161" s="263"/>
      <c r="Z161" s="263"/>
      <c r="AA161" s="263"/>
      <c r="AB161" s="109"/>
      <c r="AC161" s="109"/>
      <c r="AD161" s="109"/>
      <c r="AE161" s="109"/>
      <c r="AF161" s="109"/>
      <c r="AG161" s="109"/>
      <c r="AH161" s="109"/>
      <c r="AI161" s="109"/>
    </row>
    <row r="162" spans="1:35">
      <c r="A162" s="109"/>
      <c r="B162" s="263"/>
      <c r="C162" s="263"/>
      <c r="D162" s="263"/>
      <c r="E162" s="109"/>
      <c r="F162" s="109"/>
      <c r="G162" s="48"/>
      <c r="H162" s="264"/>
      <c r="I162" s="265"/>
      <c r="J162" s="265"/>
      <c r="K162" s="264"/>
      <c r="L162" s="265"/>
      <c r="M162" s="264"/>
      <c r="N162" s="264"/>
      <c r="O162" s="264"/>
      <c r="P162" s="264"/>
      <c r="Q162" s="263"/>
      <c r="R162" s="263"/>
      <c r="S162" s="263"/>
      <c r="T162" s="263"/>
      <c r="U162" s="263"/>
      <c r="V162" s="109"/>
      <c r="W162" s="263"/>
      <c r="X162" s="263"/>
      <c r="Y162" s="263"/>
      <c r="Z162" s="263"/>
      <c r="AA162" s="263"/>
      <c r="AB162" s="109"/>
      <c r="AC162" s="109"/>
      <c r="AD162" s="109"/>
      <c r="AE162" s="109"/>
      <c r="AF162" s="109"/>
      <c r="AG162" s="109"/>
      <c r="AH162" s="109"/>
      <c r="AI162" s="109"/>
    </row>
    <row r="163" spans="1:35">
      <c r="A163" s="109"/>
      <c r="B163" s="263"/>
      <c r="C163" s="263"/>
      <c r="D163" s="263"/>
      <c r="E163" s="109"/>
      <c r="F163" s="109"/>
      <c r="G163" s="48"/>
      <c r="H163" s="264"/>
      <c r="I163" s="265"/>
      <c r="J163" s="265"/>
      <c r="K163" s="264"/>
      <c r="L163" s="265"/>
      <c r="M163" s="264"/>
      <c r="N163" s="264"/>
      <c r="O163" s="264"/>
      <c r="P163" s="264"/>
      <c r="Q163" s="263"/>
      <c r="R163" s="263"/>
      <c r="S163" s="263"/>
      <c r="T163" s="263"/>
      <c r="U163" s="263"/>
      <c r="V163" s="109"/>
      <c r="W163" s="263"/>
      <c r="X163" s="263"/>
      <c r="Y163" s="263"/>
      <c r="Z163" s="263"/>
      <c r="AA163" s="263"/>
      <c r="AB163" s="109"/>
      <c r="AC163" s="109"/>
      <c r="AD163" s="109"/>
      <c r="AE163" s="109"/>
      <c r="AF163" s="109"/>
      <c r="AG163" s="109"/>
      <c r="AH163" s="109"/>
      <c r="AI163" s="109"/>
    </row>
    <row r="164" spans="1:35">
      <c r="A164" s="109"/>
      <c r="B164" s="263"/>
      <c r="C164" s="263"/>
      <c r="D164" s="263"/>
      <c r="E164" s="109"/>
      <c r="F164" s="109"/>
      <c r="G164" s="48"/>
      <c r="H164" s="264"/>
      <c r="I164" s="265"/>
      <c r="J164" s="265"/>
      <c r="K164" s="264"/>
      <c r="L164" s="265"/>
      <c r="M164" s="264"/>
      <c r="N164" s="264"/>
      <c r="O164" s="264"/>
      <c r="P164" s="264"/>
      <c r="Q164" s="263"/>
      <c r="R164" s="263"/>
      <c r="S164" s="263"/>
      <c r="T164" s="263"/>
      <c r="U164" s="263"/>
      <c r="V164" s="109"/>
      <c r="W164" s="263"/>
      <c r="X164" s="263"/>
      <c r="Y164" s="263"/>
      <c r="Z164" s="263"/>
      <c r="AA164" s="263"/>
      <c r="AB164" s="109"/>
      <c r="AC164" s="109"/>
      <c r="AD164" s="109"/>
      <c r="AE164" s="109"/>
      <c r="AF164" s="109"/>
      <c r="AG164" s="109"/>
      <c r="AH164" s="109"/>
      <c r="AI164" s="109"/>
    </row>
    <row r="165" spans="1:35">
      <c r="A165" s="109"/>
      <c r="B165" s="263"/>
      <c r="C165" s="263"/>
      <c r="D165" s="263"/>
      <c r="E165" s="109"/>
      <c r="F165" s="109"/>
      <c r="G165" s="48"/>
      <c r="H165" s="264"/>
      <c r="I165" s="265"/>
      <c r="J165" s="265"/>
      <c r="K165" s="264"/>
      <c r="L165" s="265"/>
      <c r="M165" s="264"/>
      <c r="N165" s="264"/>
      <c r="O165" s="264"/>
      <c r="P165" s="264"/>
      <c r="Q165" s="263"/>
      <c r="R165" s="263"/>
      <c r="S165" s="263"/>
      <c r="T165" s="263"/>
      <c r="U165" s="263"/>
      <c r="V165" s="109"/>
      <c r="W165" s="263"/>
      <c r="X165" s="263"/>
      <c r="Y165" s="263"/>
      <c r="Z165" s="263"/>
      <c r="AA165" s="263"/>
      <c r="AB165" s="109"/>
      <c r="AC165" s="109"/>
      <c r="AD165" s="109"/>
      <c r="AE165" s="109"/>
      <c r="AF165" s="109"/>
      <c r="AG165" s="109"/>
      <c r="AH165" s="109"/>
      <c r="AI165" s="109"/>
    </row>
    <row r="166" spans="1:35">
      <c r="A166" s="109"/>
      <c r="B166" s="263"/>
      <c r="C166" s="263"/>
      <c r="D166" s="263"/>
      <c r="E166" s="109"/>
      <c r="F166" s="109"/>
      <c r="G166" s="48"/>
      <c r="H166" s="264"/>
      <c r="I166" s="265"/>
      <c r="J166" s="265"/>
      <c r="K166" s="264"/>
      <c r="L166" s="265"/>
      <c r="M166" s="264"/>
      <c r="N166" s="264"/>
      <c r="O166" s="264"/>
      <c r="P166" s="264"/>
      <c r="Q166" s="263"/>
      <c r="R166" s="263"/>
      <c r="S166" s="263"/>
      <c r="T166" s="263"/>
      <c r="U166" s="263"/>
      <c r="V166" s="109"/>
      <c r="W166" s="263"/>
      <c r="X166" s="263"/>
      <c r="Y166" s="263"/>
      <c r="Z166" s="263"/>
      <c r="AA166" s="263"/>
      <c r="AB166" s="109"/>
      <c r="AC166" s="109"/>
      <c r="AD166" s="109"/>
      <c r="AE166" s="109"/>
      <c r="AF166" s="109"/>
      <c r="AG166" s="109"/>
      <c r="AH166" s="109"/>
      <c r="AI166" s="109"/>
    </row>
    <row r="167" spans="1:35">
      <c r="A167" s="109"/>
      <c r="B167" s="263"/>
      <c r="C167" s="263"/>
      <c r="D167" s="263"/>
      <c r="E167" s="109"/>
      <c r="F167" s="109"/>
      <c r="G167" s="48"/>
      <c r="H167" s="264"/>
      <c r="I167" s="265"/>
      <c r="J167" s="265"/>
      <c r="K167" s="264"/>
      <c r="L167" s="265"/>
      <c r="M167" s="264"/>
      <c r="N167" s="264"/>
      <c r="O167" s="264"/>
      <c r="P167" s="264"/>
      <c r="Q167" s="263"/>
      <c r="R167" s="263"/>
      <c r="S167" s="263"/>
      <c r="T167" s="263"/>
      <c r="U167" s="263"/>
      <c r="V167" s="109"/>
      <c r="W167" s="263"/>
      <c r="X167" s="263"/>
      <c r="Y167" s="263"/>
      <c r="Z167" s="263"/>
      <c r="AA167" s="263"/>
      <c r="AB167" s="109"/>
      <c r="AC167" s="109"/>
      <c r="AD167" s="109"/>
      <c r="AE167" s="109"/>
      <c r="AF167" s="109"/>
      <c r="AG167" s="109"/>
      <c r="AH167" s="109"/>
      <c r="AI167" s="109"/>
    </row>
    <row r="168" spans="1:35">
      <c r="A168" s="109"/>
      <c r="B168" s="263"/>
      <c r="C168" s="263"/>
      <c r="D168" s="263"/>
      <c r="E168" s="109"/>
      <c r="F168" s="109"/>
      <c r="G168" s="48"/>
      <c r="H168" s="264"/>
      <c r="I168" s="265"/>
      <c r="J168" s="265"/>
      <c r="K168" s="264"/>
      <c r="L168" s="265"/>
      <c r="M168" s="264"/>
      <c r="N168" s="264"/>
      <c r="O168" s="264"/>
      <c r="P168" s="264"/>
      <c r="Q168" s="263"/>
      <c r="R168" s="263"/>
      <c r="S168" s="263"/>
      <c r="T168" s="263"/>
      <c r="U168" s="263"/>
      <c r="V168" s="109"/>
      <c r="W168" s="263"/>
      <c r="X168" s="263"/>
      <c r="Y168" s="263"/>
      <c r="Z168" s="263"/>
      <c r="AA168" s="263"/>
      <c r="AB168" s="109"/>
      <c r="AC168" s="109"/>
      <c r="AD168" s="109"/>
      <c r="AE168" s="109"/>
      <c r="AF168" s="109"/>
      <c r="AG168" s="109"/>
      <c r="AH168" s="109"/>
      <c r="AI168" s="109"/>
    </row>
    <row r="169" spans="1:35">
      <c r="A169" s="109"/>
      <c r="B169" s="263"/>
      <c r="C169" s="263"/>
      <c r="D169" s="263"/>
      <c r="E169" s="109"/>
      <c r="F169" s="109"/>
      <c r="G169" s="48"/>
      <c r="H169" s="264"/>
      <c r="I169" s="265"/>
      <c r="J169" s="265"/>
      <c r="K169" s="264"/>
      <c r="L169" s="265"/>
      <c r="M169" s="264"/>
      <c r="N169" s="264"/>
      <c r="O169" s="264"/>
      <c r="P169" s="264"/>
      <c r="Q169" s="263"/>
      <c r="R169" s="263"/>
      <c r="S169" s="263"/>
      <c r="T169" s="263"/>
      <c r="U169" s="263"/>
      <c r="V169" s="109"/>
      <c r="W169" s="263"/>
      <c r="X169" s="263"/>
      <c r="Y169" s="263"/>
      <c r="Z169" s="263"/>
      <c r="AA169" s="263"/>
      <c r="AB169" s="109"/>
      <c r="AC169" s="109"/>
      <c r="AD169" s="109"/>
      <c r="AE169" s="109"/>
      <c r="AF169" s="109"/>
      <c r="AG169" s="109"/>
      <c r="AH169" s="109"/>
      <c r="AI169" s="109"/>
    </row>
    <row r="170" spans="1:35">
      <c r="A170" s="109"/>
      <c r="B170" s="263"/>
      <c r="C170" s="263"/>
      <c r="D170" s="263"/>
      <c r="E170" s="109"/>
      <c r="F170" s="109"/>
      <c r="G170" s="48"/>
      <c r="H170" s="264"/>
      <c r="I170" s="265"/>
      <c r="J170" s="265"/>
      <c r="K170" s="264"/>
      <c r="L170" s="265"/>
      <c r="M170" s="264"/>
      <c r="N170" s="264"/>
      <c r="O170" s="264"/>
      <c r="P170" s="264"/>
      <c r="Q170" s="263"/>
      <c r="R170" s="263"/>
      <c r="S170" s="263"/>
      <c r="T170" s="263"/>
      <c r="U170" s="263"/>
      <c r="V170" s="109"/>
      <c r="W170" s="263"/>
      <c r="X170" s="263"/>
      <c r="Y170" s="263"/>
      <c r="Z170" s="263"/>
      <c r="AA170" s="263"/>
      <c r="AB170" s="109"/>
      <c r="AC170" s="109"/>
      <c r="AD170" s="109"/>
      <c r="AE170" s="109"/>
      <c r="AF170" s="109"/>
      <c r="AG170" s="109"/>
      <c r="AH170" s="109"/>
      <c r="AI170" s="109"/>
    </row>
    <row r="171" spans="1:35">
      <c r="A171" s="109"/>
      <c r="B171" s="263"/>
      <c r="C171" s="263"/>
      <c r="D171" s="263"/>
      <c r="E171" s="109"/>
      <c r="F171" s="109"/>
      <c r="G171" s="48"/>
      <c r="H171" s="264"/>
      <c r="I171" s="265"/>
      <c r="J171" s="265"/>
      <c r="K171" s="264"/>
      <c r="L171" s="265"/>
      <c r="M171" s="264"/>
      <c r="N171" s="264"/>
      <c r="O171" s="264"/>
      <c r="P171" s="264"/>
      <c r="Q171" s="263"/>
      <c r="R171" s="263"/>
      <c r="S171" s="263"/>
      <c r="T171" s="263"/>
      <c r="U171" s="263"/>
      <c r="V171" s="109"/>
      <c r="W171" s="263"/>
      <c r="X171" s="263"/>
      <c r="Y171" s="263"/>
      <c r="Z171" s="263"/>
      <c r="AA171" s="263"/>
      <c r="AB171" s="109"/>
      <c r="AC171" s="109"/>
      <c r="AD171" s="109"/>
      <c r="AE171" s="109"/>
      <c r="AF171" s="109"/>
      <c r="AG171" s="109"/>
      <c r="AH171" s="109"/>
      <c r="AI171" s="109"/>
    </row>
    <row r="172" spans="1:35">
      <c r="A172" s="109"/>
      <c r="B172" s="263"/>
      <c r="C172" s="263"/>
      <c r="D172" s="263"/>
      <c r="E172" s="109"/>
      <c r="F172" s="109"/>
      <c r="G172" s="48"/>
      <c r="H172" s="264"/>
      <c r="I172" s="265"/>
      <c r="J172" s="265"/>
      <c r="K172" s="264"/>
      <c r="L172" s="265"/>
      <c r="M172" s="264"/>
      <c r="N172" s="264"/>
      <c r="O172" s="264"/>
      <c r="P172" s="264"/>
      <c r="Q172" s="263"/>
      <c r="R172" s="263"/>
      <c r="S172" s="263"/>
      <c r="T172" s="263"/>
      <c r="U172" s="263"/>
      <c r="V172" s="109"/>
      <c r="W172" s="263"/>
      <c r="X172" s="263"/>
      <c r="Y172" s="263"/>
      <c r="Z172" s="263"/>
      <c r="AA172" s="263"/>
      <c r="AB172" s="109"/>
      <c r="AC172" s="109"/>
      <c r="AD172" s="109"/>
      <c r="AE172" s="109"/>
      <c r="AF172" s="109"/>
      <c r="AG172" s="109"/>
      <c r="AH172" s="109"/>
      <c r="AI172" s="109"/>
    </row>
    <row r="173" spans="1:35">
      <c r="A173" s="109"/>
      <c r="B173" s="263"/>
      <c r="C173" s="263"/>
      <c r="D173" s="263"/>
      <c r="E173" s="109"/>
      <c r="F173" s="109"/>
      <c r="G173" s="48"/>
      <c r="H173" s="264"/>
      <c r="I173" s="265"/>
      <c r="J173" s="265"/>
      <c r="K173" s="264"/>
      <c r="L173" s="265"/>
      <c r="M173" s="264"/>
      <c r="N173" s="264"/>
      <c r="O173" s="264"/>
      <c r="P173" s="264"/>
      <c r="Q173" s="263"/>
      <c r="R173" s="263"/>
      <c r="S173" s="263"/>
      <c r="T173" s="263"/>
      <c r="U173" s="263"/>
      <c r="V173" s="109"/>
      <c r="W173" s="263"/>
      <c r="X173" s="263"/>
      <c r="Y173" s="263"/>
      <c r="Z173" s="263"/>
      <c r="AA173" s="263"/>
      <c r="AB173" s="109"/>
      <c r="AC173" s="109"/>
      <c r="AD173" s="109"/>
      <c r="AE173" s="109"/>
      <c r="AF173" s="109"/>
      <c r="AG173" s="109"/>
      <c r="AH173" s="109"/>
      <c r="AI173" s="109"/>
    </row>
    <row r="174" spans="1:35">
      <c r="A174" s="109"/>
      <c r="B174" s="263"/>
      <c r="C174" s="263"/>
      <c r="D174" s="263"/>
      <c r="E174" s="109"/>
      <c r="F174" s="109"/>
      <c r="G174" s="48"/>
      <c r="H174" s="264"/>
      <c r="I174" s="265"/>
      <c r="J174" s="265"/>
      <c r="K174" s="264"/>
      <c r="L174" s="265"/>
      <c r="M174" s="264"/>
      <c r="N174" s="264"/>
      <c r="O174" s="264"/>
      <c r="P174" s="264"/>
      <c r="Q174" s="263"/>
      <c r="R174" s="263"/>
      <c r="S174" s="263"/>
      <c r="T174" s="263"/>
      <c r="U174" s="263"/>
      <c r="V174" s="109"/>
      <c r="W174" s="263"/>
      <c r="X174" s="263"/>
      <c r="Y174" s="263"/>
      <c r="Z174" s="263"/>
      <c r="AA174" s="263"/>
      <c r="AB174" s="109"/>
      <c r="AC174" s="109"/>
      <c r="AD174" s="109"/>
      <c r="AE174" s="109"/>
      <c r="AF174" s="109"/>
      <c r="AG174" s="109"/>
      <c r="AH174" s="109"/>
      <c r="AI174" s="109"/>
    </row>
    <row r="175" spans="1:35">
      <c r="A175" s="109"/>
      <c r="B175" s="263"/>
      <c r="C175" s="263"/>
      <c r="D175" s="263"/>
      <c r="E175" s="109"/>
      <c r="F175" s="109"/>
      <c r="G175" s="48"/>
      <c r="H175" s="264"/>
      <c r="I175" s="265"/>
      <c r="J175" s="265"/>
      <c r="K175" s="264"/>
      <c r="L175" s="265"/>
      <c r="M175" s="264"/>
      <c r="N175" s="264"/>
      <c r="O175" s="264"/>
      <c r="P175" s="264"/>
      <c r="Q175" s="263"/>
      <c r="R175" s="263"/>
      <c r="S175" s="263"/>
      <c r="T175" s="263"/>
      <c r="U175" s="263"/>
      <c r="V175" s="109"/>
      <c r="W175" s="263"/>
      <c r="X175" s="263"/>
      <c r="Y175" s="263"/>
      <c r="Z175" s="263"/>
      <c r="AA175" s="263"/>
      <c r="AB175" s="109"/>
      <c r="AC175" s="109"/>
      <c r="AD175" s="109"/>
      <c r="AE175" s="109"/>
      <c r="AF175" s="109"/>
      <c r="AG175" s="109"/>
      <c r="AH175" s="109"/>
      <c r="AI175" s="109"/>
    </row>
    <row r="176" spans="1:35">
      <c r="A176" s="109"/>
      <c r="B176" s="263"/>
      <c r="C176" s="263"/>
      <c r="D176" s="263"/>
      <c r="E176" s="109"/>
      <c r="F176" s="109"/>
      <c r="G176" s="48"/>
      <c r="H176" s="264"/>
      <c r="I176" s="265"/>
      <c r="J176" s="265"/>
      <c r="K176" s="264"/>
      <c r="L176" s="265"/>
      <c r="M176" s="264"/>
      <c r="N176" s="264"/>
      <c r="O176" s="264"/>
      <c r="P176" s="264"/>
      <c r="Q176" s="263"/>
      <c r="R176" s="263"/>
      <c r="S176" s="263"/>
      <c r="T176" s="263"/>
      <c r="U176" s="263"/>
      <c r="V176" s="109"/>
      <c r="W176" s="263"/>
      <c r="X176" s="263"/>
      <c r="Y176" s="263"/>
      <c r="Z176" s="263"/>
      <c r="AA176" s="263"/>
      <c r="AB176" s="109"/>
      <c r="AC176" s="109"/>
      <c r="AD176" s="109"/>
      <c r="AE176" s="109"/>
      <c r="AF176" s="109"/>
      <c r="AG176" s="109"/>
      <c r="AH176" s="109"/>
      <c r="AI176" s="109"/>
    </row>
    <row r="177" spans="1:35">
      <c r="A177" s="109"/>
      <c r="B177" s="263"/>
      <c r="C177" s="263"/>
      <c r="D177" s="263"/>
      <c r="E177" s="109"/>
      <c r="F177" s="109"/>
      <c r="G177" s="48"/>
      <c r="H177" s="264"/>
      <c r="I177" s="265"/>
      <c r="J177" s="265"/>
      <c r="K177" s="264"/>
      <c r="L177" s="265"/>
      <c r="M177" s="264"/>
      <c r="N177" s="264"/>
      <c r="O177" s="264"/>
      <c r="P177" s="264"/>
      <c r="Q177" s="263"/>
      <c r="R177" s="263"/>
      <c r="S177" s="263"/>
      <c r="T177" s="263"/>
      <c r="U177" s="263"/>
      <c r="V177" s="109"/>
      <c r="W177" s="263"/>
      <c r="X177" s="263"/>
      <c r="Y177" s="263"/>
      <c r="Z177" s="263"/>
      <c r="AA177" s="263"/>
      <c r="AB177" s="109"/>
      <c r="AC177" s="109"/>
      <c r="AD177" s="109"/>
      <c r="AE177" s="109"/>
      <c r="AF177" s="109"/>
      <c r="AG177" s="109"/>
      <c r="AH177" s="109"/>
      <c r="AI177" s="109"/>
    </row>
    <row r="178" spans="1:35">
      <c r="A178" s="109"/>
      <c r="B178" s="263"/>
      <c r="C178" s="263"/>
      <c r="D178" s="263"/>
      <c r="E178" s="109"/>
      <c r="F178" s="109"/>
      <c r="G178" s="48"/>
      <c r="H178" s="264"/>
      <c r="I178" s="265"/>
      <c r="J178" s="265"/>
      <c r="K178" s="264"/>
      <c r="L178" s="265"/>
      <c r="M178" s="264"/>
      <c r="N178" s="264"/>
      <c r="O178" s="264"/>
      <c r="P178" s="264"/>
      <c r="Q178" s="263"/>
      <c r="R178" s="263"/>
      <c r="S178" s="263"/>
      <c r="T178" s="263"/>
      <c r="U178" s="263"/>
      <c r="V178" s="109"/>
      <c r="W178" s="263"/>
      <c r="X178" s="263"/>
      <c r="Y178" s="263"/>
      <c r="Z178" s="263"/>
      <c r="AA178" s="263"/>
      <c r="AB178" s="109"/>
      <c r="AC178" s="109"/>
      <c r="AD178" s="109"/>
      <c r="AE178" s="109"/>
      <c r="AF178" s="109"/>
      <c r="AG178" s="109"/>
      <c r="AH178" s="109"/>
      <c r="AI178" s="109"/>
    </row>
    <row r="179" spans="1:35">
      <c r="A179" s="109"/>
      <c r="B179" s="263"/>
      <c r="C179" s="263"/>
      <c r="D179" s="263"/>
      <c r="E179" s="109"/>
      <c r="F179" s="109"/>
      <c r="G179" s="48"/>
      <c r="H179" s="264"/>
      <c r="I179" s="265"/>
      <c r="J179" s="265"/>
      <c r="K179" s="264"/>
      <c r="L179" s="265"/>
      <c r="M179" s="264"/>
      <c r="N179" s="264"/>
      <c r="O179" s="264"/>
      <c r="P179" s="264"/>
      <c r="Q179" s="263"/>
      <c r="R179" s="263"/>
      <c r="S179" s="263"/>
      <c r="T179" s="263"/>
      <c r="U179" s="263"/>
      <c r="V179" s="109"/>
      <c r="W179" s="263"/>
      <c r="X179" s="263"/>
      <c r="Y179" s="263"/>
      <c r="Z179" s="263"/>
      <c r="AA179" s="263"/>
      <c r="AB179" s="109"/>
      <c r="AC179" s="109"/>
      <c r="AD179" s="109"/>
      <c r="AE179" s="109"/>
      <c r="AF179" s="109"/>
      <c r="AG179" s="109"/>
      <c r="AH179" s="109"/>
      <c r="AI179" s="109"/>
    </row>
    <row r="180" spans="1:35">
      <c r="A180" s="109"/>
      <c r="B180" s="263"/>
      <c r="C180" s="263"/>
      <c r="D180" s="263"/>
      <c r="E180" s="109"/>
      <c r="F180" s="109"/>
      <c r="G180" s="48"/>
      <c r="H180" s="264"/>
      <c r="I180" s="265"/>
      <c r="J180" s="265"/>
      <c r="K180" s="264"/>
      <c r="L180" s="265"/>
      <c r="M180" s="264"/>
      <c r="N180" s="264"/>
      <c r="O180" s="264"/>
      <c r="P180" s="264"/>
      <c r="Q180" s="263"/>
      <c r="R180" s="263"/>
      <c r="S180" s="263"/>
      <c r="T180" s="263"/>
      <c r="U180" s="263"/>
      <c r="V180" s="109"/>
      <c r="W180" s="263"/>
      <c r="X180" s="263"/>
      <c r="Y180" s="263"/>
      <c r="Z180" s="263"/>
      <c r="AA180" s="263"/>
      <c r="AB180" s="109"/>
      <c r="AC180" s="109"/>
      <c r="AD180" s="109"/>
      <c r="AE180" s="109"/>
      <c r="AF180" s="109"/>
      <c r="AG180" s="109"/>
      <c r="AH180" s="109"/>
      <c r="AI180" s="109"/>
    </row>
    <row r="181" spans="1:35">
      <c r="A181" s="109"/>
      <c r="B181" s="263"/>
      <c r="C181" s="263"/>
      <c r="D181" s="263"/>
      <c r="E181" s="109"/>
      <c r="F181" s="109"/>
      <c r="G181" s="48"/>
      <c r="H181" s="264"/>
      <c r="I181" s="265"/>
      <c r="J181" s="265"/>
      <c r="K181" s="264"/>
      <c r="L181" s="265"/>
      <c r="M181" s="264"/>
      <c r="N181" s="264"/>
      <c r="O181" s="264"/>
      <c r="P181" s="264"/>
      <c r="Q181" s="263"/>
      <c r="R181" s="263"/>
      <c r="S181" s="263"/>
      <c r="T181" s="263"/>
      <c r="U181" s="263"/>
      <c r="V181" s="109"/>
      <c r="W181" s="263"/>
      <c r="X181" s="263"/>
      <c r="Y181" s="263"/>
      <c r="Z181" s="263"/>
      <c r="AA181" s="263"/>
      <c r="AB181" s="109"/>
      <c r="AC181" s="109"/>
      <c r="AD181" s="109"/>
      <c r="AE181" s="109"/>
      <c r="AF181" s="109"/>
      <c r="AG181" s="109"/>
      <c r="AH181" s="109"/>
      <c r="AI181" s="109"/>
    </row>
    <row r="182" spans="1:35">
      <c r="A182" s="109"/>
      <c r="B182" s="263"/>
      <c r="C182" s="263"/>
      <c r="D182" s="263"/>
      <c r="E182" s="109"/>
      <c r="F182" s="109"/>
      <c r="G182" s="48"/>
      <c r="H182" s="264"/>
      <c r="I182" s="265"/>
      <c r="J182" s="265"/>
      <c r="K182" s="264"/>
      <c r="L182" s="265"/>
      <c r="M182" s="264"/>
      <c r="N182" s="264"/>
      <c r="O182" s="264"/>
      <c r="P182" s="264"/>
      <c r="Q182" s="263"/>
      <c r="R182" s="263"/>
      <c r="S182" s="263"/>
      <c r="T182" s="263"/>
      <c r="U182" s="263"/>
      <c r="V182" s="109"/>
      <c r="W182" s="263"/>
      <c r="X182" s="263"/>
      <c r="Y182" s="263"/>
      <c r="Z182" s="263"/>
      <c r="AA182" s="263"/>
      <c r="AB182" s="109"/>
      <c r="AC182" s="109"/>
      <c r="AD182" s="109"/>
      <c r="AE182" s="109"/>
      <c r="AF182" s="109"/>
      <c r="AG182" s="109"/>
      <c r="AH182" s="109"/>
      <c r="AI182" s="109"/>
    </row>
    <row r="183" spans="1:35">
      <c r="A183" s="109"/>
      <c r="B183" s="263"/>
      <c r="C183" s="263"/>
      <c r="D183" s="263"/>
      <c r="E183" s="109"/>
      <c r="F183" s="109"/>
      <c r="G183" s="48"/>
      <c r="H183" s="264"/>
      <c r="I183" s="265"/>
      <c r="J183" s="265"/>
      <c r="K183" s="264"/>
      <c r="L183" s="265"/>
      <c r="M183" s="264"/>
      <c r="N183" s="264"/>
      <c r="O183" s="264"/>
      <c r="P183" s="264"/>
      <c r="Q183" s="263"/>
      <c r="R183" s="263"/>
      <c r="S183" s="263"/>
      <c r="T183" s="263"/>
      <c r="U183" s="263"/>
      <c r="V183" s="109"/>
      <c r="W183" s="263"/>
      <c r="X183" s="263"/>
      <c r="Y183" s="263"/>
      <c r="Z183" s="263"/>
      <c r="AA183" s="263"/>
      <c r="AB183" s="109"/>
      <c r="AC183" s="109"/>
      <c r="AD183" s="109"/>
      <c r="AE183" s="109"/>
      <c r="AF183" s="109"/>
      <c r="AG183" s="109"/>
      <c r="AH183" s="109"/>
      <c r="AI183" s="109"/>
    </row>
    <row r="184" spans="1:35">
      <c r="A184" s="109"/>
      <c r="B184" s="263"/>
      <c r="C184" s="263"/>
      <c r="D184" s="263"/>
      <c r="E184" s="109"/>
      <c r="F184" s="109"/>
      <c r="G184" s="48"/>
      <c r="H184" s="264"/>
      <c r="I184" s="265"/>
      <c r="J184" s="265"/>
      <c r="K184" s="264"/>
      <c r="L184" s="265"/>
      <c r="M184" s="264"/>
      <c r="N184" s="264"/>
      <c r="O184" s="264"/>
      <c r="P184" s="264"/>
      <c r="Q184" s="263"/>
      <c r="R184" s="263"/>
      <c r="S184" s="263"/>
      <c r="T184" s="263"/>
      <c r="U184" s="263"/>
      <c r="V184" s="109"/>
      <c r="W184" s="263"/>
      <c r="X184" s="263"/>
      <c r="Y184" s="263"/>
      <c r="Z184" s="263"/>
      <c r="AA184" s="263"/>
      <c r="AB184" s="109"/>
      <c r="AC184" s="109"/>
      <c r="AD184" s="109"/>
      <c r="AE184" s="109"/>
      <c r="AF184" s="109"/>
      <c r="AG184" s="109"/>
      <c r="AH184" s="109"/>
      <c r="AI184" s="109"/>
    </row>
    <row r="185" spans="1:35">
      <c r="A185" s="109"/>
      <c r="B185" s="263"/>
      <c r="C185" s="263"/>
      <c r="D185" s="263"/>
      <c r="E185" s="109"/>
      <c r="F185" s="109"/>
      <c r="G185" s="48"/>
      <c r="H185" s="264"/>
      <c r="I185" s="265"/>
      <c r="J185" s="265"/>
      <c r="K185" s="264"/>
      <c r="L185" s="265"/>
      <c r="M185" s="264"/>
      <c r="N185" s="264"/>
      <c r="O185" s="264"/>
      <c r="P185" s="264"/>
      <c r="Q185" s="263"/>
      <c r="R185" s="263"/>
      <c r="S185" s="263"/>
      <c r="T185" s="263"/>
      <c r="U185" s="263"/>
      <c r="V185" s="109"/>
      <c r="W185" s="263"/>
      <c r="X185" s="263"/>
      <c r="Y185" s="263"/>
      <c r="Z185" s="263"/>
      <c r="AA185" s="263"/>
      <c r="AB185" s="109"/>
      <c r="AC185" s="109"/>
      <c r="AD185" s="109"/>
      <c r="AE185" s="109"/>
      <c r="AF185" s="109"/>
      <c r="AG185" s="109"/>
      <c r="AH185" s="109"/>
      <c r="AI185" s="109"/>
    </row>
    <row r="186" spans="1:35">
      <c r="A186" s="109"/>
      <c r="B186" s="263"/>
      <c r="C186" s="263"/>
      <c r="D186" s="263"/>
      <c r="E186" s="109"/>
      <c r="F186" s="109"/>
      <c r="G186" s="48"/>
      <c r="H186" s="264"/>
      <c r="I186" s="265"/>
      <c r="J186" s="265"/>
      <c r="K186" s="264"/>
      <c r="L186" s="265"/>
      <c r="M186" s="264"/>
      <c r="N186" s="264"/>
      <c r="O186" s="264"/>
      <c r="P186" s="264"/>
      <c r="Q186" s="263"/>
      <c r="R186" s="263"/>
      <c r="S186" s="263"/>
      <c r="T186" s="263"/>
      <c r="U186" s="263"/>
      <c r="V186" s="109"/>
      <c r="W186" s="263"/>
      <c r="X186" s="263"/>
      <c r="Y186" s="263"/>
      <c r="Z186" s="263"/>
      <c r="AA186" s="263"/>
      <c r="AB186" s="109"/>
      <c r="AC186" s="109"/>
      <c r="AD186" s="109"/>
      <c r="AE186" s="109"/>
      <c r="AF186" s="109"/>
      <c r="AG186" s="109"/>
      <c r="AH186" s="109"/>
      <c r="AI186" s="109"/>
    </row>
    <row r="187" spans="1:35">
      <c r="A187" s="109"/>
      <c r="B187" s="263"/>
      <c r="C187" s="263"/>
      <c r="D187" s="263"/>
      <c r="E187" s="109"/>
      <c r="F187" s="109"/>
      <c r="G187" s="48"/>
      <c r="H187" s="264"/>
      <c r="I187" s="265"/>
      <c r="J187" s="265"/>
      <c r="K187" s="264"/>
      <c r="L187" s="265"/>
      <c r="M187" s="264"/>
      <c r="N187" s="264"/>
      <c r="O187" s="264"/>
      <c r="P187" s="264"/>
      <c r="Q187" s="263"/>
      <c r="R187" s="263"/>
      <c r="S187" s="263"/>
      <c r="T187" s="263"/>
      <c r="U187" s="263"/>
      <c r="V187" s="109"/>
      <c r="W187" s="263"/>
      <c r="X187" s="263"/>
      <c r="Y187" s="263"/>
      <c r="Z187" s="263"/>
      <c r="AA187" s="263"/>
      <c r="AB187" s="109"/>
      <c r="AC187" s="109"/>
      <c r="AD187" s="109"/>
      <c r="AE187" s="109"/>
      <c r="AF187" s="109"/>
      <c r="AG187" s="109"/>
      <c r="AH187" s="109"/>
      <c r="AI187" s="109"/>
    </row>
    <row r="188" spans="1:35">
      <c r="A188" s="109"/>
      <c r="B188" s="263"/>
      <c r="C188" s="263"/>
      <c r="D188" s="263"/>
      <c r="E188" s="109"/>
      <c r="F188" s="109"/>
      <c r="G188" s="48"/>
      <c r="H188" s="264"/>
      <c r="I188" s="265"/>
      <c r="J188" s="265"/>
      <c r="K188" s="264"/>
      <c r="L188" s="265"/>
      <c r="M188" s="264"/>
      <c r="N188" s="264"/>
      <c r="O188" s="264"/>
      <c r="P188" s="264"/>
      <c r="Q188" s="263"/>
      <c r="R188" s="263"/>
      <c r="S188" s="263"/>
      <c r="T188" s="263"/>
      <c r="U188" s="263"/>
      <c r="V188" s="109"/>
      <c r="W188" s="263"/>
      <c r="X188" s="263"/>
      <c r="Y188" s="263"/>
      <c r="Z188" s="263"/>
      <c r="AA188" s="263"/>
      <c r="AB188" s="109"/>
      <c r="AC188" s="109"/>
      <c r="AD188" s="109"/>
      <c r="AE188" s="109"/>
      <c r="AF188" s="109"/>
      <c r="AG188" s="109"/>
      <c r="AH188" s="109"/>
      <c r="AI188" s="109"/>
    </row>
    <row r="189" spans="1:35">
      <c r="A189" s="109"/>
      <c r="B189" s="263"/>
      <c r="C189" s="263"/>
      <c r="D189" s="263"/>
      <c r="E189" s="109"/>
      <c r="F189" s="109"/>
      <c r="G189" s="48"/>
      <c r="H189" s="264"/>
      <c r="I189" s="265"/>
      <c r="J189" s="265"/>
      <c r="K189" s="264"/>
      <c r="L189" s="265"/>
      <c r="M189" s="264"/>
      <c r="N189" s="264"/>
      <c r="O189" s="264"/>
      <c r="P189" s="264"/>
      <c r="Q189" s="263"/>
      <c r="R189" s="263"/>
      <c r="S189" s="263"/>
      <c r="T189" s="263"/>
      <c r="U189" s="263"/>
      <c r="V189" s="109"/>
      <c r="W189" s="263"/>
      <c r="X189" s="263"/>
      <c r="Y189" s="263"/>
      <c r="Z189" s="263"/>
      <c r="AA189" s="263"/>
      <c r="AB189" s="109"/>
      <c r="AC189" s="109"/>
      <c r="AD189" s="109"/>
      <c r="AE189" s="109"/>
      <c r="AF189" s="109"/>
      <c r="AG189" s="109"/>
      <c r="AH189" s="109"/>
      <c r="AI189" s="109"/>
    </row>
    <row r="190" spans="1:35">
      <c r="A190" s="109"/>
      <c r="B190" s="263"/>
      <c r="C190" s="263"/>
      <c r="D190" s="263"/>
      <c r="E190" s="109"/>
      <c r="F190" s="109"/>
      <c r="G190" s="48"/>
      <c r="H190" s="264"/>
      <c r="I190" s="265"/>
      <c r="J190" s="265"/>
      <c r="K190" s="264"/>
      <c r="L190" s="265"/>
      <c r="M190" s="264"/>
      <c r="N190" s="264"/>
      <c r="O190" s="264"/>
      <c r="P190" s="264"/>
      <c r="Q190" s="263"/>
      <c r="R190" s="263"/>
      <c r="S190" s="263"/>
      <c r="T190" s="263"/>
      <c r="U190" s="263"/>
      <c r="V190" s="109"/>
      <c r="W190" s="263"/>
      <c r="X190" s="263"/>
      <c r="Y190" s="263"/>
      <c r="Z190" s="263"/>
      <c r="AA190" s="263"/>
      <c r="AB190" s="109"/>
      <c r="AC190" s="109"/>
      <c r="AD190" s="109"/>
      <c r="AE190" s="109"/>
      <c r="AF190" s="109"/>
      <c r="AG190" s="109"/>
      <c r="AH190" s="109"/>
      <c r="AI190" s="109"/>
    </row>
    <row r="191" spans="1:35">
      <c r="A191" s="109"/>
      <c r="B191" s="263"/>
      <c r="C191" s="263"/>
      <c r="D191" s="263"/>
      <c r="E191" s="109"/>
      <c r="F191" s="109"/>
      <c r="G191" s="48"/>
      <c r="H191" s="264"/>
      <c r="I191" s="265"/>
      <c r="J191" s="265"/>
      <c r="K191" s="264"/>
      <c r="L191" s="265"/>
      <c r="M191" s="264"/>
      <c r="N191" s="264"/>
      <c r="O191" s="264"/>
      <c r="P191" s="264"/>
      <c r="Q191" s="263"/>
      <c r="R191" s="263"/>
      <c r="S191" s="263"/>
      <c r="T191" s="263"/>
      <c r="U191" s="263"/>
      <c r="V191" s="109"/>
      <c r="W191" s="263"/>
      <c r="X191" s="263"/>
      <c r="Y191" s="263"/>
      <c r="Z191" s="263"/>
      <c r="AA191" s="263"/>
      <c r="AB191" s="109"/>
      <c r="AC191" s="109"/>
      <c r="AD191" s="109"/>
      <c r="AE191" s="109"/>
      <c r="AF191" s="109"/>
      <c r="AG191" s="109"/>
      <c r="AH191" s="109"/>
      <c r="AI191" s="109"/>
    </row>
    <row r="192" spans="1:35">
      <c r="A192" s="109"/>
      <c r="B192" s="263"/>
      <c r="C192" s="263"/>
      <c r="D192" s="263"/>
      <c r="E192" s="109"/>
      <c r="F192" s="109"/>
      <c r="G192" s="48"/>
      <c r="H192" s="264"/>
      <c r="I192" s="265"/>
      <c r="J192" s="265"/>
      <c r="K192" s="264"/>
      <c r="L192" s="265"/>
      <c r="M192" s="264"/>
      <c r="N192" s="264"/>
      <c r="O192" s="264"/>
      <c r="P192" s="264"/>
      <c r="Q192" s="263"/>
      <c r="R192" s="263"/>
      <c r="S192" s="263"/>
      <c r="T192" s="263"/>
      <c r="U192" s="263"/>
      <c r="V192" s="109"/>
      <c r="W192" s="263"/>
      <c r="X192" s="263"/>
      <c r="Y192" s="263"/>
      <c r="Z192" s="263"/>
      <c r="AA192" s="263"/>
      <c r="AB192" s="109"/>
      <c r="AC192" s="109"/>
      <c r="AD192" s="109"/>
      <c r="AE192" s="109"/>
      <c r="AF192" s="109"/>
      <c r="AG192" s="109"/>
      <c r="AH192" s="109"/>
      <c r="AI192" s="109"/>
    </row>
    <row r="193" spans="1:35">
      <c r="A193" s="109"/>
      <c r="B193" s="263"/>
      <c r="C193" s="263"/>
      <c r="D193" s="263"/>
      <c r="E193" s="109"/>
      <c r="F193" s="109"/>
      <c r="G193" s="48"/>
      <c r="H193" s="264"/>
      <c r="I193" s="265"/>
      <c r="J193" s="265"/>
      <c r="K193" s="264"/>
      <c r="L193" s="265"/>
      <c r="M193" s="264"/>
      <c r="N193" s="264"/>
      <c r="O193" s="264"/>
      <c r="P193" s="264"/>
      <c r="Q193" s="263"/>
      <c r="R193" s="263"/>
      <c r="S193" s="263"/>
      <c r="T193" s="263"/>
      <c r="U193" s="263"/>
      <c r="V193" s="109"/>
      <c r="W193" s="263"/>
      <c r="X193" s="263"/>
      <c r="Y193" s="263"/>
      <c r="Z193" s="263"/>
      <c r="AA193" s="263"/>
      <c r="AB193" s="109"/>
      <c r="AC193" s="109"/>
      <c r="AD193" s="109"/>
      <c r="AE193" s="109"/>
      <c r="AF193" s="109"/>
      <c r="AG193" s="109"/>
      <c r="AH193" s="109"/>
      <c r="AI193" s="109"/>
    </row>
    <row r="194" spans="1:35">
      <c r="A194" s="109"/>
      <c r="B194" s="263"/>
      <c r="C194" s="263"/>
      <c r="D194" s="263"/>
      <c r="E194" s="109"/>
      <c r="F194" s="109"/>
      <c r="G194" s="48"/>
      <c r="H194" s="264"/>
      <c r="I194" s="265"/>
      <c r="J194" s="265"/>
      <c r="K194" s="264"/>
      <c r="L194" s="265"/>
      <c r="M194" s="264"/>
      <c r="N194" s="264"/>
      <c r="O194" s="264"/>
      <c r="P194" s="264"/>
      <c r="Q194" s="263"/>
      <c r="R194" s="263"/>
      <c r="S194" s="263"/>
      <c r="T194" s="263"/>
      <c r="U194" s="263"/>
      <c r="V194" s="109"/>
      <c r="W194" s="263"/>
      <c r="X194" s="263"/>
      <c r="Y194" s="263"/>
      <c r="Z194" s="263"/>
      <c r="AA194" s="263"/>
      <c r="AB194" s="109"/>
      <c r="AC194" s="109"/>
      <c r="AD194" s="109"/>
      <c r="AE194" s="109"/>
      <c r="AF194" s="109"/>
      <c r="AG194" s="109"/>
      <c r="AH194" s="109"/>
      <c r="AI194" s="109"/>
    </row>
    <row r="195" spans="1:35">
      <c r="A195" s="109"/>
      <c r="B195" s="263"/>
      <c r="C195" s="263"/>
      <c r="D195" s="263"/>
      <c r="E195" s="109"/>
      <c r="F195" s="109"/>
      <c r="G195" s="48"/>
      <c r="H195" s="264"/>
      <c r="I195" s="265"/>
      <c r="J195" s="265"/>
      <c r="K195" s="264"/>
      <c r="L195" s="265"/>
      <c r="M195" s="264"/>
      <c r="N195" s="264"/>
      <c r="O195" s="264"/>
      <c r="P195" s="264"/>
      <c r="Q195" s="263"/>
      <c r="R195" s="263"/>
      <c r="S195" s="263"/>
      <c r="T195" s="263"/>
      <c r="U195" s="263"/>
      <c r="V195" s="109"/>
      <c r="W195" s="263"/>
      <c r="X195" s="263"/>
      <c r="Y195" s="263"/>
      <c r="Z195" s="263"/>
      <c r="AA195" s="263"/>
      <c r="AB195" s="109"/>
      <c r="AC195" s="109"/>
      <c r="AD195" s="109"/>
      <c r="AE195" s="109"/>
      <c r="AF195" s="109"/>
      <c r="AG195" s="109"/>
      <c r="AH195" s="109"/>
      <c r="AI195" s="109"/>
    </row>
    <row r="196" spans="1:35">
      <c r="A196" s="109"/>
      <c r="B196" s="263"/>
      <c r="C196" s="263"/>
      <c r="D196" s="263"/>
      <c r="E196" s="109"/>
      <c r="F196" s="109"/>
      <c r="G196" s="48"/>
      <c r="H196" s="264"/>
      <c r="I196" s="265"/>
      <c r="J196" s="265"/>
      <c r="K196" s="264"/>
      <c r="L196" s="265"/>
      <c r="M196" s="264"/>
      <c r="N196" s="264"/>
      <c r="O196" s="264"/>
      <c r="P196" s="264"/>
      <c r="Q196" s="263"/>
      <c r="R196" s="263"/>
      <c r="S196" s="263"/>
      <c r="T196" s="263"/>
      <c r="U196" s="263"/>
      <c r="V196" s="109"/>
      <c r="W196" s="263"/>
      <c r="X196" s="263"/>
      <c r="Y196" s="263"/>
      <c r="Z196" s="263"/>
      <c r="AA196" s="263"/>
      <c r="AB196" s="109"/>
      <c r="AC196" s="109"/>
      <c r="AD196" s="109"/>
      <c r="AE196" s="109"/>
      <c r="AF196" s="109"/>
      <c r="AG196" s="109"/>
      <c r="AH196" s="109"/>
      <c r="AI196" s="109"/>
    </row>
    <row r="197" spans="1:35">
      <c r="A197" s="109"/>
      <c r="B197" s="263"/>
      <c r="C197" s="263"/>
      <c r="D197" s="263"/>
      <c r="E197" s="109"/>
      <c r="F197" s="109"/>
      <c r="G197" s="48"/>
      <c r="H197" s="264"/>
      <c r="I197" s="265"/>
      <c r="J197" s="265"/>
      <c r="K197" s="264"/>
      <c r="L197" s="265"/>
      <c r="M197" s="264"/>
      <c r="N197" s="264"/>
      <c r="O197" s="264"/>
      <c r="P197" s="264"/>
      <c r="Q197" s="263"/>
      <c r="R197" s="263"/>
      <c r="S197" s="263"/>
      <c r="T197" s="263"/>
      <c r="U197" s="263"/>
      <c r="V197" s="109"/>
      <c r="W197" s="263"/>
      <c r="X197" s="263"/>
      <c r="Y197" s="263"/>
      <c r="Z197" s="263"/>
      <c r="AA197" s="263"/>
      <c r="AB197" s="109"/>
      <c r="AC197" s="109"/>
      <c r="AD197" s="109"/>
      <c r="AE197" s="109"/>
      <c r="AF197" s="109"/>
      <c r="AG197" s="109"/>
      <c r="AH197" s="109"/>
      <c r="AI197" s="109"/>
    </row>
    <row r="198" spans="1:35">
      <c r="A198" s="109"/>
      <c r="B198" s="263"/>
      <c r="C198" s="263"/>
      <c r="D198" s="263"/>
      <c r="E198" s="109"/>
      <c r="F198" s="109"/>
      <c r="G198" s="48"/>
      <c r="H198" s="264"/>
      <c r="I198" s="265"/>
      <c r="J198" s="265"/>
      <c r="K198" s="264"/>
      <c r="L198" s="265"/>
      <c r="M198" s="264"/>
      <c r="N198" s="264"/>
      <c r="O198" s="264"/>
      <c r="P198" s="264"/>
      <c r="Q198" s="263"/>
      <c r="R198" s="263"/>
      <c r="S198" s="263"/>
      <c r="T198" s="263"/>
      <c r="U198" s="263"/>
      <c r="V198" s="109"/>
      <c r="W198" s="263"/>
      <c r="X198" s="263"/>
      <c r="Y198" s="263"/>
      <c r="Z198" s="263"/>
      <c r="AA198" s="263"/>
      <c r="AB198" s="109"/>
      <c r="AC198" s="109"/>
      <c r="AD198" s="109"/>
      <c r="AE198" s="109"/>
      <c r="AF198" s="109"/>
      <c r="AG198" s="109"/>
      <c r="AH198" s="109"/>
      <c r="AI198" s="109"/>
    </row>
    <row r="199" spans="1:35">
      <c r="A199" s="109"/>
      <c r="B199" s="263"/>
      <c r="C199" s="263"/>
      <c r="D199" s="263"/>
      <c r="E199" s="109"/>
      <c r="F199" s="109"/>
      <c r="G199" s="48"/>
      <c r="H199" s="264"/>
      <c r="I199" s="265"/>
      <c r="J199" s="265"/>
      <c r="K199" s="264"/>
      <c r="L199" s="265"/>
      <c r="M199" s="264"/>
      <c r="N199" s="264"/>
      <c r="O199" s="264"/>
      <c r="P199" s="264"/>
      <c r="Q199" s="263"/>
      <c r="R199" s="263"/>
      <c r="S199" s="263"/>
      <c r="T199" s="263"/>
      <c r="U199" s="263"/>
      <c r="V199" s="109"/>
      <c r="W199" s="263"/>
      <c r="X199" s="263"/>
      <c r="Y199" s="263"/>
      <c r="Z199" s="263"/>
      <c r="AA199" s="263"/>
      <c r="AB199" s="109"/>
      <c r="AC199" s="109"/>
      <c r="AD199" s="109"/>
      <c r="AE199" s="109"/>
      <c r="AF199" s="109"/>
      <c r="AG199" s="109"/>
      <c r="AH199" s="109"/>
      <c r="AI199" s="109"/>
    </row>
    <row r="200" spans="1:35">
      <c r="A200" s="109"/>
      <c r="B200" s="263"/>
      <c r="C200" s="263"/>
      <c r="D200" s="263"/>
      <c r="E200" s="109"/>
      <c r="F200" s="109"/>
      <c r="G200" s="48"/>
      <c r="H200" s="264"/>
      <c r="I200" s="265"/>
      <c r="J200" s="265"/>
      <c r="K200" s="264"/>
      <c r="L200" s="265"/>
      <c r="M200" s="264"/>
      <c r="N200" s="264"/>
      <c r="O200" s="264"/>
      <c r="P200" s="264"/>
      <c r="Q200" s="263"/>
      <c r="R200" s="263"/>
      <c r="S200" s="263"/>
      <c r="T200" s="263"/>
      <c r="U200" s="263"/>
      <c r="V200" s="109"/>
      <c r="W200" s="263"/>
      <c r="X200" s="263"/>
      <c r="Y200" s="263"/>
      <c r="Z200" s="263"/>
      <c r="AA200" s="263"/>
      <c r="AB200" s="109"/>
      <c r="AC200" s="109"/>
      <c r="AD200" s="109"/>
      <c r="AE200" s="109"/>
      <c r="AF200" s="109"/>
      <c r="AG200" s="109"/>
      <c r="AH200" s="109"/>
      <c r="AI200" s="109"/>
    </row>
    <row r="201" spans="1:35">
      <c r="A201" s="109"/>
      <c r="B201" s="263"/>
      <c r="C201" s="263"/>
      <c r="D201" s="263"/>
      <c r="E201" s="109"/>
      <c r="F201" s="109"/>
      <c r="G201" s="48"/>
      <c r="H201" s="264"/>
      <c r="I201" s="265"/>
      <c r="J201" s="265"/>
      <c r="K201" s="264"/>
      <c r="L201" s="265"/>
      <c r="M201" s="264"/>
      <c r="N201" s="264"/>
      <c r="O201" s="264"/>
      <c r="P201" s="264"/>
      <c r="Q201" s="263"/>
      <c r="R201" s="263"/>
      <c r="S201" s="263"/>
      <c r="T201" s="263"/>
      <c r="U201" s="263"/>
      <c r="V201" s="109"/>
      <c r="W201" s="263"/>
      <c r="X201" s="263"/>
      <c r="Y201" s="263"/>
      <c r="Z201" s="263"/>
      <c r="AA201" s="263"/>
      <c r="AB201" s="109"/>
      <c r="AC201" s="109"/>
      <c r="AD201" s="109"/>
      <c r="AE201" s="109"/>
      <c r="AF201" s="109"/>
      <c r="AG201" s="109"/>
      <c r="AH201" s="109"/>
      <c r="AI201" s="109"/>
    </row>
    <row r="202" spans="1:35">
      <c r="A202" s="109"/>
      <c r="B202" s="263"/>
      <c r="C202" s="263"/>
      <c r="D202" s="263"/>
      <c r="E202" s="109"/>
      <c r="F202" s="109"/>
      <c r="G202" s="48"/>
      <c r="H202" s="264"/>
      <c r="I202" s="265"/>
      <c r="J202" s="265"/>
      <c r="K202" s="264"/>
      <c r="L202" s="265"/>
      <c r="M202" s="264"/>
      <c r="N202" s="264"/>
      <c r="O202" s="264"/>
      <c r="P202" s="264"/>
      <c r="Q202" s="263"/>
      <c r="R202" s="263"/>
      <c r="S202" s="263"/>
      <c r="T202" s="263"/>
      <c r="U202" s="263"/>
      <c r="V202" s="109"/>
      <c r="W202" s="263"/>
      <c r="X202" s="263"/>
      <c r="Y202" s="263"/>
      <c r="Z202" s="263"/>
      <c r="AA202" s="263"/>
      <c r="AB202" s="109"/>
      <c r="AC202" s="109"/>
      <c r="AD202" s="109"/>
      <c r="AE202" s="109"/>
      <c r="AF202" s="109"/>
      <c r="AG202" s="109"/>
      <c r="AH202" s="109"/>
      <c r="AI202" s="109"/>
    </row>
    <row r="203" spans="1:35">
      <c r="A203" s="109"/>
      <c r="B203" s="263"/>
      <c r="C203" s="263"/>
      <c r="D203" s="263"/>
      <c r="E203" s="109"/>
      <c r="F203" s="109"/>
      <c r="G203" s="48"/>
      <c r="H203" s="264"/>
      <c r="I203" s="265"/>
      <c r="J203" s="265"/>
      <c r="K203" s="264"/>
      <c r="L203" s="265"/>
      <c r="M203" s="264"/>
      <c r="N203" s="264"/>
      <c r="O203" s="264"/>
      <c r="P203" s="264"/>
      <c r="Q203" s="263"/>
      <c r="R203" s="263"/>
      <c r="S203" s="263"/>
      <c r="T203" s="263"/>
      <c r="U203" s="263"/>
      <c r="V203" s="109"/>
      <c r="W203" s="263"/>
      <c r="X203" s="263"/>
      <c r="Y203" s="263"/>
      <c r="Z203" s="263"/>
      <c r="AA203" s="263"/>
      <c r="AB203" s="109"/>
      <c r="AC203" s="109"/>
      <c r="AD203" s="109"/>
      <c r="AE203" s="109"/>
      <c r="AF203" s="109"/>
      <c r="AG203" s="109"/>
      <c r="AH203" s="109"/>
      <c r="AI203" s="109"/>
    </row>
    <row r="204" spans="1:35">
      <c r="A204" s="109"/>
      <c r="B204" s="263"/>
      <c r="C204" s="263"/>
      <c r="D204" s="263"/>
      <c r="E204" s="109"/>
      <c r="F204" s="109"/>
      <c r="G204" s="48"/>
      <c r="H204" s="264"/>
      <c r="I204" s="265"/>
      <c r="J204" s="265"/>
      <c r="K204" s="264"/>
      <c r="L204" s="265"/>
      <c r="M204" s="264"/>
      <c r="N204" s="264"/>
      <c r="O204" s="264"/>
      <c r="P204" s="264"/>
      <c r="Q204" s="263"/>
      <c r="R204" s="263"/>
      <c r="S204" s="263"/>
      <c r="T204" s="263"/>
      <c r="U204" s="263"/>
      <c r="V204" s="109"/>
      <c r="W204" s="263"/>
      <c r="X204" s="263"/>
      <c r="Y204" s="263"/>
      <c r="Z204" s="263"/>
      <c r="AA204" s="263"/>
      <c r="AB204" s="109"/>
      <c r="AC204" s="109"/>
      <c r="AD204" s="109"/>
      <c r="AE204" s="109"/>
      <c r="AF204" s="109"/>
      <c r="AG204" s="109"/>
      <c r="AH204" s="109"/>
      <c r="AI204" s="109"/>
    </row>
    <row r="205" spans="1:35">
      <c r="A205" s="109"/>
      <c r="B205" s="263"/>
      <c r="C205" s="263"/>
      <c r="D205" s="263"/>
      <c r="E205" s="109"/>
      <c r="F205" s="109"/>
      <c r="G205" s="48"/>
      <c r="H205" s="264"/>
      <c r="I205" s="265"/>
      <c r="J205" s="265"/>
      <c r="K205" s="264"/>
      <c r="L205" s="265"/>
      <c r="M205" s="264"/>
      <c r="N205" s="264"/>
      <c r="O205" s="264"/>
      <c r="P205" s="264"/>
      <c r="Q205" s="263"/>
      <c r="R205" s="263"/>
      <c r="S205" s="263"/>
      <c r="T205" s="263"/>
      <c r="U205" s="263"/>
      <c r="V205" s="109"/>
      <c r="W205" s="263"/>
      <c r="X205" s="263"/>
      <c r="Y205" s="263"/>
      <c r="Z205" s="263"/>
      <c r="AA205" s="263"/>
      <c r="AB205" s="109"/>
      <c r="AC205" s="109"/>
      <c r="AD205" s="109"/>
      <c r="AE205" s="109"/>
      <c r="AF205" s="109"/>
      <c r="AG205" s="109"/>
      <c r="AH205" s="109"/>
      <c r="AI205" s="109"/>
    </row>
    <row r="206" spans="1:35">
      <c r="A206" s="109"/>
      <c r="B206" s="263"/>
      <c r="C206" s="263"/>
      <c r="D206" s="263"/>
      <c r="E206" s="109"/>
      <c r="F206" s="109"/>
      <c r="G206" s="48"/>
      <c r="H206" s="264"/>
      <c r="I206" s="265"/>
      <c r="J206" s="265"/>
      <c r="K206" s="264"/>
      <c r="L206" s="265"/>
      <c r="M206" s="264"/>
      <c r="N206" s="264"/>
      <c r="O206" s="264"/>
      <c r="P206" s="264"/>
      <c r="Q206" s="263"/>
      <c r="R206" s="263"/>
      <c r="S206" s="263"/>
      <c r="T206" s="263"/>
      <c r="U206" s="263"/>
      <c r="V206" s="109"/>
      <c r="W206" s="263"/>
      <c r="X206" s="263"/>
      <c r="Y206" s="263"/>
      <c r="Z206" s="263"/>
      <c r="AA206" s="263"/>
      <c r="AB206" s="109"/>
      <c r="AC206" s="109"/>
      <c r="AD206" s="109"/>
      <c r="AE206" s="109"/>
      <c r="AF206" s="109"/>
      <c r="AG206" s="109"/>
      <c r="AH206" s="109"/>
      <c r="AI206" s="109"/>
    </row>
    <row r="207" spans="1:35">
      <c r="A207" s="109"/>
      <c r="B207" s="263"/>
      <c r="C207" s="263"/>
      <c r="D207" s="263"/>
      <c r="E207" s="109"/>
      <c r="F207" s="109"/>
      <c r="G207" s="48"/>
      <c r="H207" s="264"/>
      <c r="I207" s="265"/>
      <c r="J207" s="265"/>
      <c r="K207" s="264"/>
      <c r="L207" s="265"/>
      <c r="M207" s="264"/>
      <c r="N207" s="264"/>
      <c r="O207" s="264"/>
      <c r="P207" s="264"/>
      <c r="Q207" s="263"/>
      <c r="R207" s="263"/>
      <c r="S207" s="263"/>
      <c r="T207" s="263"/>
      <c r="U207" s="263"/>
      <c r="V207" s="109"/>
      <c r="W207" s="263"/>
      <c r="X207" s="263"/>
      <c r="Y207" s="263"/>
      <c r="Z207" s="263"/>
      <c r="AA207" s="263"/>
      <c r="AB207" s="109"/>
      <c r="AC207" s="109"/>
      <c r="AD207" s="109"/>
      <c r="AE207" s="109"/>
      <c r="AF207" s="109"/>
      <c r="AG207" s="109"/>
      <c r="AH207" s="109"/>
      <c r="AI207" s="109"/>
    </row>
    <row r="208" spans="1:35">
      <c r="A208" s="109"/>
      <c r="B208" s="263"/>
      <c r="C208" s="263"/>
      <c r="D208" s="263"/>
      <c r="E208" s="109"/>
      <c r="F208" s="109"/>
      <c r="G208" s="48"/>
      <c r="H208" s="264"/>
      <c r="I208" s="265"/>
      <c r="J208" s="265"/>
      <c r="K208" s="264"/>
      <c r="L208" s="265"/>
      <c r="M208" s="264"/>
      <c r="N208" s="264"/>
      <c r="O208" s="264"/>
      <c r="P208" s="264"/>
      <c r="Q208" s="263"/>
      <c r="R208" s="263"/>
      <c r="S208" s="263"/>
      <c r="T208" s="263"/>
      <c r="U208" s="263"/>
      <c r="V208" s="109"/>
      <c r="W208" s="263"/>
      <c r="X208" s="263"/>
      <c r="Y208" s="263"/>
      <c r="Z208" s="263"/>
      <c r="AA208" s="263"/>
      <c r="AB208" s="109"/>
      <c r="AC208" s="109"/>
      <c r="AD208" s="109"/>
      <c r="AE208" s="109"/>
      <c r="AF208" s="109"/>
      <c r="AG208" s="109"/>
      <c r="AH208" s="109"/>
      <c r="AI208" s="109"/>
    </row>
    <row r="209" spans="1:35">
      <c r="A209" s="109"/>
      <c r="B209" s="263"/>
      <c r="C209" s="263"/>
      <c r="D209" s="263"/>
      <c r="E209" s="109"/>
      <c r="F209" s="109"/>
      <c r="G209" s="48"/>
      <c r="H209" s="264"/>
      <c r="I209" s="265"/>
      <c r="J209" s="265"/>
      <c r="K209" s="264"/>
      <c r="L209" s="265"/>
      <c r="M209" s="264"/>
      <c r="N209" s="264"/>
      <c r="O209" s="264"/>
      <c r="P209" s="264"/>
      <c r="Q209" s="263"/>
      <c r="R209" s="263"/>
      <c r="S209" s="263"/>
      <c r="T209" s="263"/>
      <c r="U209" s="263"/>
      <c r="V209" s="109"/>
      <c r="W209" s="263"/>
      <c r="X209" s="263"/>
      <c r="Y209" s="263"/>
      <c r="Z209" s="263"/>
      <c r="AA209" s="263"/>
      <c r="AB209" s="109"/>
      <c r="AC209" s="109"/>
      <c r="AD209" s="109"/>
      <c r="AE209" s="109"/>
      <c r="AF209" s="109"/>
      <c r="AG209" s="109"/>
      <c r="AH209" s="109"/>
      <c r="AI209" s="109"/>
    </row>
    <row r="210" spans="1:35">
      <c r="A210" s="109"/>
      <c r="B210" s="263"/>
      <c r="C210" s="263"/>
      <c r="D210" s="263"/>
      <c r="E210" s="109"/>
      <c r="F210" s="109"/>
      <c r="G210" s="48"/>
      <c r="H210" s="264"/>
      <c r="I210" s="265"/>
      <c r="J210" s="265"/>
      <c r="K210" s="264"/>
      <c r="L210" s="265"/>
      <c r="M210" s="264"/>
      <c r="N210" s="264"/>
      <c r="O210" s="264"/>
      <c r="P210" s="264"/>
      <c r="Q210" s="263"/>
      <c r="R210" s="263"/>
      <c r="S210" s="263"/>
      <c r="T210" s="263"/>
      <c r="U210" s="263"/>
      <c r="V210" s="109"/>
      <c r="W210" s="263"/>
      <c r="X210" s="263"/>
      <c r="Y210" s="263"/>
      <c r="Z210" s="263"/>
      <c r="AA210" s="263"/>
      <c r="AB210" s="109"/>
      <c r="AC210" s="109"/>
      <c r="AD210" s="109"/>
      <c r="AE210" s="109"/>
      <c r="AF210" s="109"/>
      <c r="AG210" s="109"/>
      <c r="AH210" s="109"/>
      <c r="AI210" s="109"/>
    </row>
    <row r="211" spans="1:35">
      <c r="A211" s="109"/>
      <c r="B211" s="263"/>
      <c r="C211" s="263"/>
      <c r="D211" s="263"/>
      <c r="E211" s="109"/>
      <c r="F211" s="109"/>
      <c r="G211" s="48"/>
      <c r="H211" s="264"/>
      <c r="I211" s="265"/>
      <c r="J211" s="265"/>
      <c r="K211" s="264"/>
      <c r="L211" s="265"/>
      <c r="M211" s="264"/>
      <c r="N211" s="264"/>
      <c r="O211" s="264"/>
      <c r="P211" s="264"/>
      <c r="Q211" s="263"/>
      <c r="R211" s="263"/>
      <c r="S211" s="263"/>
      <c r="T211" s="263"/>
      <c r="U211" s="263"/>
      <c r="V211" s="109"/>
      <c r="W211" s="263"/>
      <c r="X211" s="263"/>
      <c r="Y211" s="263"/>
      <c r="Z211" s="263"/>
      <c r="AA211" s="263"/>
      <c r="AB211" s="109"/>
      <c r="AC211" s="109"/>
      <c r="AD211" s="109"/>
      <c r="AE211" s="109"/>
      <c r="AF211" s="109"/>
      <c r="AG211" s="109"/>
      <c r="AH211" s="109"/>
      <c r="AI211" s="109"/>
    </row>
    <row r="212" spans="1:35">
      <c r="A212" s="109"/>
      <c r="B212" s="263"/>
      <c r="C212" s="263"/>
      <c r="D212" s="263"/>
      <c r="E212" s="109"/>
      <c r="F212" s="109"/>
      <c r="G212" s="48"/>
      <c r="H212" s="264"/>
      <c r="I212" s="265"/>
      <c r="J212" s="265"/>
      <c r="K212" s="264"/>
      <c r="L212" s="265"/>
      <c r="M212" s="264"/>
      <c r="N212" s="264"/>
      <c r="O212" s="264"/>
      <c r="P212" s="264"/>
      <c r="Q212" s="263"/>
      <c r="R212" s="263"/>
      <c r="S212" s="263"/>
      <c r="T212" s="263"/>
      <c r="U212" s="263"/>
      <c r="V212" s="109"/>
      <c r="W212" s="263"/>
      <c r="X212" s="263"/>
      <c r="Y212" s="263"/>
      <c r="Z212" s="263"/>
      <c r="AA212" s="263"/>
      <c r="AB212" s="109"/>
      <c r="AC212" s="109"/>
      <c r="AD212" s="109"/>
      <c r="AE212" s="109"/>
      <c r="AF212" s="109"/>
      <c r="AG212" s="109"/>
      <c r="AH212" s="109"/>
      <c r="AI212" s="109"/>
    </row>
    <row r="213" spans="1:35">
      <c r="A213" s="109"/>
      <c r="B213" s="263"/>
      <c r="C213" s="263"/>
      <c r="D213" s="263"/>
      <c r="E213" s="109"/>
      <c r="F213" s="109"/>
      <c r="G213" s="48"/>
      <c r="H213" s="264"/>
      <c r="I213" s="265"/>
      <c r="J213" s="265"/>
      <c r="K213" s="264"/>
      <c r="L213" s="265"/>
      <c r="M213" s="264"/>
      <c r="N213" s="264"/>
      <c r="O213" s="264"/>
      <c r="P213" s="264"/>
      <c r="Q213" s="263"/>
      <c r="R213" s="263"/>
      <c r="S213" s="263"/>
      <c r="T213" s="263"/>
      <c r="U213" s="263"/>
      <c r="V213" s="109"/>
      <c r="W213" s="263"/>
      <c r="X213" s="263"/>
      <c r="Y213" s="263"/>
      <c r="Z213" s="263"/>
      <c r="AA213" s="263"/>
      <c r="AB213" s="109"/>
      <c r="AC213" s="109"/>
      <c r="AD213" s="109"/>
      <c r="AE213" s="109"/>
      <c r="AF213" s="109"/>
      <c r="AG213" s="109"/>
      <c r="AH213" s="109"/>
      <c r="AI213" s="109"/>
    </row>
    <row r="214" spans="1:35">
      <c r="A214" s="109"/>
      <c r="B214" s="263"/>
      <c r="C214" s="263"/>
      <c r="D214" s="263"/>
      <c r="E214" s="109"/>
      <c r="F214" s="109"/>
      <c r="G214" s="48"/>
      <c r="H214" s="264"/>
      <c r="I214" s="265"/>
      <c r="J214" s="265"/>
      <c r="K214" s="264"/>
      <c r="L214" s="265"/>
      <c r="M214" s="264"/>
      <c r="N214" s="264"/>
      <c r="O214" s="264"/>
      <c r="P214" s="264"/>
      <c r="Q214" s="263"/>
      <c r="R214" s="263"/>
      <c r="S214" s="263"/>
      <c r="T214" s="263"/>
      <c r="U214" s="263"/>
      <c r="V214" s="109"/>
      <c r="W214" s="263"/>
      <c r="X214" s="263"/>
      <c r="Y214" s="263"/>
      <c r="Z214" s="263"/>
      <c r="AA214" s="263"/>
      <c r="AB214" s="109"/>
      <c r="AC214" s="109"/>
      <c r="AD214" s="109"/>
      <c r="AE214" s="109"/>
      <c r="AF214" s="109"/>
      <c r="AG214" s="109"/>
      <c r="AH214" s="109"/>
      <c r="AI214" s="109"/>
    </row>
    <row r="215" spans="1:35">
      <c r="A215" s="109"/>
      <c r="B215" s="263"/>
      <c r="C215" s="263"/>
      <c r="D215" s="263"/>
      <c r="E215" s="109"/>
      <c r="F215" s="109"/>
      <c r="G215" s="48"/>
      <c r="H215" s="264"/>
      <c r="I215" s="265"/>
      <c r="J215" s="265"/>
      <c r="K215" s="264"/>
      <c r="L215" s="265"/>
      <c r="M215" s="264"/>
      <c r="N215" s="264"/>
      <c r="O215" s="264"/>
      <c r="P215" s="264"/>
      <c r="Q215" s="263"/>
      <c r="R215" s="263"/>
      <c r="S215" s="263"/>
      <c r="T215" s="263"/>
      <c r="U215" s="263"/>
      <c r="V215" s="109"/>
      <c r="W215" s="263"/>
      <c r="X215" s="263"/>
      <c r="Y215" s="263"/>
      <c r="Z215" s="263"/>
      <c r="AA215" s="263"/>
      <c r="AB215" s="109"/>
      <c r="AC215" s="109"/>
      <c r="AD215" s="109"/>
      <c r="AE215" s="109"/>
      <c r="AF215" s="109"/>
      <c r="AG215" s="109"/>
      <c r="AH215" s="109"/>
      <c r="AI215" s="109"/>
    </row>
    <row r="216" spans="1:35">
      <c r="A216" s="109"/>
      <c r="B216" s="263"/>
      <c r="C216" s="263"/>
      <c r="D216" s="263"/>
      <c r="E216" s="109"/>
      <c r="F216" s="109"/>
      <c r="G216" s="48"/>
      <c r="H216" s="264"/>
      <c r="I216" s="265"/>
      <c r="J216" s="265"/>
      <c r="K216" s="264"/>
      <c r="L216" s="265"/>
      <c r="M216" s="264"/>
      <c r="N216" s="264"/>
      <c r="O216" s="264"/>
      <c r="P216" s="264"/>
      <c r="Q216" s="263"/>
      <c r="R216" s="263"/>
      <c r="S216" s="263"/>
      <c r="T216" s="263"/>
      <c r="U216" s="263"/>
      <c r="V216" s="109"/>
      <c r="W216" s="263"/>
      <c r="X216" s="263"/>
      <c r="Y216" s="263"/>
      <c r="Z216" s="263"/>
      <c r="AA216" s="263"/>
      <c r="AB216" s="109"/>
      <c r="AC216" s="109"/>
      <c r="AD216" s="109"/>
      <c r="AE216" s="109"/>
      <c r="AF216" s="109"/>
      <c r="AG216" s="109"/>
      <c r="AH216" s="109"/>
      <c r="AI216" s="109"/>
    </row>
    <row r="217" spans="1:35">
      <c r="A217" s="109"/>
      <c r="B217" s="263"/>
      <c r="C217" s="263"/>
      <c r="D217" s="263"/>
      <c r="E217" s="109"/>
      <c r="F217" s="109"/>
      <c r="G217" s="48"/>
      <c r="H217" s="264"/>
      <c r="I217" s="265"/>
      <c r="J217" s="265"/>
      <c r="K217" s="264"/>
      <c r="L217" s="265"/>
      <c r="M217" s="264"/>
      <c r="N217" s="264"/>
      <c r="O217" s="264"/>
      <c r="P217" s="264"/>
      <c r="Q217" s="263"/>
      <c r="R217" s="263"/>
      <c r="S217" s="263"/>
      <c r="T217" s="263"/>
      <c r="U217" s="263"/>
      <c r="V217" s="109"/>
      <c r="W217" s="263"/>
      <c r="X217" s="263"/>
      <c r="Y217" s="263"/>
      <c r="Z217" s="263"/>
      <c r="AA217" s="263"/>
      <c r="AB217" s="109"/>
      <c r="AC217" s="109"/>
      <c r="AD217" s="109"/>
      <c r="AE217" s="109"/>
      <c r="AF217" s="109"/>
      <c r="AG217" s="109"/>
      <c r="AH217" s="109"/>
      <c r="AI217" s="109"/>
    </row>
    <row r="218" spans="1:35">
      <c r="A218" s="109"/>
      <c r="B218" s="263"/>
      <c r="C218" s="263"/>
      <c r="D218" s="263"/>
      <c r="E218" s="109"/>
      <c r="F218" s="109"/>
      <c r="G218" s="48"/>
      <c r="H218" s="264"/>
      <c r="I218" s="265"/>
      <c r="J218" s="265"/>
      <c r="K218" s="264"/>
      <c r="L218" s="265"/>
      <c r="M218" s="264"/>
      <c r="N218" s="264"/>
      <c r="O218" s="264"/>
      <c r="P218" s="264"/>
      <c r="Q218" s="263"/>
      <c r="R218" s="263"/>
      <c r="S218" s="263"/>
      <c r="T218" s="263"/>
      <c r="U218" s="263"/>
      <c r="V218" s="109"/>
      <c r="W218" s="263"/>
      <c r="X218" s="263"/>
      <c r="Y218" s="263"/>
      <c r="Z218" s="263"/>
      <c r="AA218" s="263"/>
      <c r="AB218" s="109"/>
      <c r="AC218" s="109"/>
      <c r="AD218" s="109"/>
      <c r="AE218" s="109"/>
      <c r="AF218" s="109"/>
      <c r="AG218" s="109"/>
      <c r="AH218" s="109"/>
      <c r="AI218" s="109"/>
    </row>
    <row r="219" spans="1:35">
      <c r="A219" s="109"/>
      <c r="B219" s="263"/>
      <c r="C219" s="263"/>
      <c r="D219" s="263"/>
      <c r="E219" s="109"/>
      <c r="F219" s="109"/>
      <c r="G219" s="48"/>
      <c r="H219" s="264"/>
      <c r="I219" s="265"/>
      <c r="J219" s="265"/>
      <c r="K219" s="264"/>
      <c r="L219" s="265"/>
      <c r="M219" s="264"/>
      <c r="N219" s="264"/>
      <c r="O219" s="264"/>
      <c r="P219" s="264"/>
      <c r="Q219" s="263"/>
      <c r="R219" s="263"/>
      <c r="S219" s="263"/>
      <c r="T219" s="263"/>
      <c r="U219" s="263"/>
      <c r="V219" s="109"/>
      <c r="W219" s="263"/>
      <c r="X219" s="263"/>
      <c r="Y219" s="263"/>
      <c r="Z219" s="263"/>
      <c r="AA219" s="263"/>
      <c r="AB219" s="109"/>
      <c r="AC219" s="109"/>
      <c r="AD219" s="109"/>
      <c r="AE219" s="109"/>
      <c r="AF219" s="109"/>
      <c r="AG219" s="109"/>
      <c r="AH219" s="109"/>
      <c r="AI219" s="109"/>
    </row>
    <row r="220" spans="1:35">
      <c r="A220" s="109"/>
      <c r="B220" s="263"/>
      <c r="C220" s="263"/>
      <c r="D220" s="263"/>
      <c r="E220" s="109"/>
      <c r="F220" s="109"/>
      <c r="G220" s="48"/>
      <c r="H220" s="264"/>
      <c r="I220" s="265"/>
      <c r="J220" s="265"/>
      <c r="K220" s="264"/>
      <c r="L220" s="265"/>
      <c r="M220" s="264"/>
      <c r="N220" s="264"/>
      <c r="O220" s="264"/>
      <c r="P220" s="264"/>
      <c r="Q220" s="263"/>
      <c r="R220" s="263"/>
      <c r="S220" s="263"/>
      <c r="T220" s="263"/>
      <c r="U220" s="263"/>
      <c r="V220" s="109"/>
      <c r="W220" s="263"/>
      <c r="X220" s="263"/>
      <c r="Y220" s="263"/>
      <c r="Z220" s="263"/>
      <c r="AA220" s="263"/>
      <c r="AB220" s="109"/>
      <c r="AC220" s="109"/>
      <c r="AD220" s="109"/>
      <c r="AE220" s="109"/>
      <c r="AF220" s="109"/>
      <c r="AG220" s="109"/>
      <c r="AH220" s="109"/>
      <c r="AI220" s="109"/>
    </row>
    <row r="221" spans="1:35">
      <c r="A221" s="109"/>
      <c r="B221" s="263"/>
      <c r="C221" s="263"/>
      <c r="D221" s="263"/>
      <c r="E221" s="109"/>
      <c r="F221" s="109"/>
      <c r="G221" s="48"/>
      <c r="H221" s="264"/>
      <c r="I221" s="265"/>
      <c r="J221" s="265"/>
      <c r="K221" s="264"/>
      <c r="L221" s="265"/>
      <c r="M221" s="264"/>
      <c r="N221" s="264"/>
      <c r="O221" s="264"/>
      <c r="P221" s="264"/>
      <c r="Q221" s="263"/>
      <c r="R221" s="263"/>
      <c r="S221" s="263"/>
      <c r="T221" s="263"/>
      <c r="U221" s="263"/>
      <c r="V221" s="109"/>
      <c r="W221" s="263"/>
      <c r="X221" s="263"/>
      <c r="Y221" s="263"/>
      <c r="Z221" s="263"/>
      <c r="AA221" s="263"/>
      <c r="AB221" s="109"/>
      <c r="AC221" s="109"/>
      <c r="AD221" s="109"/>
      <c r="AE221" s="109"/>
      <c r="AF221" s="109"/>
      <c r="AG221" s="109"/>
      <c r="AH221" s="109"/>
      <c r="AI221" s="109"/>
    </row>
    <row r="222" spans="1:35">
      <c r="A222" s="109"/>
      <c r="B222" s="263"/>
      <c r="C222" s="263"/>
      <c r="D222" s="263"/>
      <c r="E222" s="109"/>
      <c r="F222" s="109"/>
      <c r="G222" s="48"/>
      <c r="H222" s="264"/>
      <c r="I222" s="265"/>
      <c r="J222" s="265"/>
      <c r="K222" s="264"/>
      <c r="L222" s="265"/>
      <c r="M222" s="264"/>
      <c r="N222" s="264"/>
      <c r="O222" s="264"/>
      <c r="P222" s="264"/>
      <c r="Q222" s="263"/>
      <c r="R222" s="263"/>
      <c r="S222" s="263"/>
      <c r="T222" s="263"/>
      <c r="U222" s="263"/>
      <c r="V222" s="109"/>
      <c r="W222" s="263"/>
      <c r="X222" s="263"/>
      <c r="Y222" s="263"/>
      <c r="Z222" s="263"/>
      <c r="AA222" s="263"/>
      <c r="AB222" s="109"/>
      <c r="AC222" s="109"/>
      <c r="AD222" s="109"/>
      <c r="AE222" s="109"/>
      <c r="AF222" s="109"/>
      <c r="AG222" s="109"/>
      <c r="AH222" s="109"/>
      <c r="AI222" s="109"/>
    </row>
    <row r="223" spans="1:35">
      <c r="A223" s="109"/>
      <c r="B223" s="263"/>
      <c r="C223" s="263"/>
      <c r="D223" s="263"/>
      <c r="E223" s="109"/>
      <c r="F223" s="109"/>
      <c r="G223" s="48"/>
      <c r="H223" s="264"/>
      <c r="I223" s="265"/>
      <c r="J223" s="265"/>
      <c r="K223" s="264"/>
      <c r="L223" s="265"/>
      <c r="M223" s="264"/>
      <c r="N223" s="264"/>
      <c r="O223" s="264"/>
      <c r="P223" s="264"/>
      <c r="Q223" s="263"/>
      <c r="R223" s="263"/>
      <c r="S223" s="263"/>
      <c r="T223" s="263"/>
      <c r="U223" s="263"/>
      <c r="V223" s="109"/>
      <c r="W223" s="263"/>
      <c r="X223" s="263"/>
      <c r="Y223" s="263"/>
      <c r="Z223" s="263"/>
      <c r="AA223" s="263"/>
      <c r="AB223" s="109"/>
      <c r="AC223" s="109"/>
      <c r="AD223" s="109"/>
      <c r="AE223" s="109"/>
      <c r="AF223" s="109"/>
      <c r="AG223" s="109"/>
      <c r="AH223" s="109"/>
      <c r="AI223" s="109"/>
    </row>
    <row r="224" spans="1:35">
      <c r="A224" s="109"/>
      <c r="B224" s="263"/>
      <c r="C224" s="263"/>
      <c r="D224" s="263"/>
      <c r="E224" s="109"/>
      <c r="F224" s="109"/>
      <c r="G224" s="48"/>
      <c r="H224" s="264"/>
      <c r="I224" s="265"/>
      <c r="J224" s="265"/>
      <c r="K224" s="264"/>
      <c r="L224" s="265"/>
      <c r="M224" s="264"/>
      <c r="N224" s="264"/>
      <c r="O224" s="264"/>
      <c r="P224" s="264"/>
      <c r="Q224" s="263"/>
      <c r="R224" s="263"/>
      <c r="S224" s="263"/>
      <c r="T224" s="263"/>
      <c r="U224" s="263"/>
      <c r="V224" s="109"/>
      <c r="W224" s="263"/>
      <c r="X224" s="263"/>
      <c r="Y224" s="263"/>
      <c r="Z224" s="263"/>
      <c r="AA224" s="263"/>
      <c r="AB224" s="109"/>
      <c r="AC224" s="109"/>
      <c r="AD224" s="109"/>
      <c r="AE224" s="109"/>
      <c r="AF224" s="109"/>
      <c r="AG224" s="109"/>
      <c r="AH224" s="109"/>
      <c r="AI224" s="109"/>
    </row>
    <row r="225" spans="1:35">
      <c r="A225" s="109"/>
      <c r="B225" s="263"/>
      <c r="C225" s="263"/>
      <c r="D225" s="263"/>
      <c r="E225" s="109"/>
      <c r="F225" s="109"/>
      <c r="G225" s="48"/>
      <c r="H225" s="264"/>
      <c r="I225" s="265"/>
      <c r="J225" s="265"/>
      <c r="K225" s="264"/>
      <c r="L225" s="265"/>
      <c r="M225" s="264"/>
      <c r="N225" s="264"/>
      <c r="O225" s="264"/>
      <c r="P225" s="264"/>
      <c r="Q225" s="263"/>
      <c r="R225" s="263"/>
      <c r="S225" s="263"/>
      <c r="T225" s="263"/>
      <c r="U225" s="263"/>
      <c r="V225" s="109"/>
      <c r="W225" s="263"/>
      <c r="X225" s="263"/>
      <c r="Y225" s="263"/>
      <c r="Z225" s="263"/>
      <c r="AA225" s="263"/>
      <c r="AB225" s="109"/>
      <c r="AC225" s="109"/>
      <c r="AD225" s="109"/>
      <c r="AE225" s="109"/>
      <c r="AF225" s="109"/>
      <c r="AG225" s="109"/>
      <c r="AH225" s="109"/>
      <c r="AI225" s="109"/>
    </row>
    <row r="226" spans="1:35">
      <c r="A226" s="109"/>
      <c r="B226" s="263"/>
      <c r="C226" s="263"/>
      <c r="D226" s="263"/>
      <c r="E226" s="109"/>
      <c r="F226" s="109"/>
      <c r="G226" s="48"/>
      <c r="H226" s="264"/>
      <c r="I226" s="265"/>
      <c r="J226" s="265"/>
      <c r="K226" s="264"/>
      <c r="L226" s="265"/>
      <c r="M226" s="264"/>
      <c r="N226" s="264"/>
      <c r="O226" s="264"/>
      <c r="P226" s="264"/>
      <c r="Q226" s="263"/>
      <c r="R226" s="263"/>
      <c r="S226" s="263"/>
      <c r="T226" s="263"/>
      <c r="U226" s="263"/>
      <c r="V226" s="109"/>
      <c r="W226" s="263"/>
      <c r="X226" s="263"/>
      <c r="Y226" s="263"/>
      <c r="Z226" s="263"/>
      <c r="AA226" s="263"/>
      <c r="AB226" s="109"/>
      <c r="AC226" s="109"/>
      <c r="AD226" s="109"/>
      <c r="AE226" s="109"/>
      <c r="AF226" s="109"/>
      <c r="AG226" s="109"/>
      <c r="AH226" s="109"/>
      <c r="AI226" s="109"/>
    </row>
    <row r="227" spans="1:35">
      <c r="A227" s="109"/>
      <c r="B227" s="263"/>
      <c r="C227" s="263"/>
      <c r="D227" s="263"/>
      <c r="E227" s="109"/>
      <c r="F227" s="109"/>
      <c r="G227" s="48"/>
      <c r="H227" s="264"/>
      <c r="I227" s="265"/>
      <c r="J227" s="265"/>
      <c r="K227" s="264"/>
      <c r="L227" s="265"/>
      <c r="M227" s="264"/>
      <c r="N227" s="264"/>
      <c r="O227" s="264"/>
      <c r="P227" s="264"/>
      <c r="Q227" s="263"/>
      <c r="R227" s="263"/>
      <c r="S227" s="263"/>
      <c r="T227" s="263"/>
      <c r="U227" s="263"/>
      <c r="V227" s="109"/>
      <c r="W227" s="263"/>
      <c r="X227" s="263"/>
      <c r="Y227" s="263"/>
      <c r="Z227" s="263"/>
      <c r="AA227" s="263"/>
      <c r="AB227" s="109"/>
      <c r="AC227" s="109"/>
      <c r="AD227" s="109"/>
      <c r="AE227" s="109"/>
      <c r="AF227" s="109"/>
      <c r="AG227" s="109"/>
      <c r="AH227" s="109"/>
      <c r="AI227" s="109"/>
    </row>
    <row r="228" spans="1:35">
      <c r="A228" s="109"/>
      <c r="B228" s="263"/>
      <c r="C228" s="263"/>
      <c r="D228" s="263"/>
      <c r="E228" s="109"/>
      <c r="F228" s="109"/>
      <c r="G228" s="48"/>
      <c r="H228" s="264"/>
      <c r="I228" s="265"/>
      <c r="J228" s="265"/>
      <c r="K228" s="264"/>
      <c r="L228" s="265"/>
      <c r="M228" s="264"/>
      <c r="N228" s="264"/>
      <c r="O228" s="264"/>
      <c r="P228" s="264"/>
      <c r="Q228" s="263"/>
      <c r="R228" s="263"/>
      <c r="S228" s="263"/>
      <c r="T228" s="263"/>
      <c r="U228" s="263"/>
      <c r="V228" s="109"/>
      <c r="W228" s="263"/>
      <c r="X228" s="263"/>
      <c r="Y228" s="263"/>
      <c r="Z228" s="263"/>
      <c r="AA228" s="263"/>
      <c r="AB228" s="109"/>
      <c r="AC228" s="109"/>
      <c r="AD228" s="109"/>
      <c r="AE228" s="109"/>
      <c r="AF228" s="109"/>
      <c r="AG228" s="109"/>
      <c r="AH228" s="109"/>
      <c r="AI228" s="109"/>
    </row>
    <row r="229" spans="1:35">
      <c r="A229" s="109"/>
      <c r="B229" s="263"/>
      <c r="C229" s="263"/>
      <c r="D229" s="263"/>
      <c r="E229" s="109"/>
      <c r="F229" s="109"/>
      <c r="G229" s="48"/>
      <c r="H229" s="264"/>
      <c r="I229" s="265"/>
      <c r="J229" s="265"/>
      <c r="K229" s="264"/>
      <c r="L229" s="265"/>
      <c r="M229" s="264"/>
      <c r="N229" s="264"/>
      <c r="O229" s="264"/>
      <c r="P229" s="264"/>
      <c r="Q229" s="263"/>
      <c r="R229" s="263"/>
      <c r="S229" s="263"/>
      <c r="T229" s="263"/>
      <c r="U229" s="263"/>
      <c r="V229" s="109"/>
      <c r="W229" s="263"/>
      <c r="X229" s="263"/>
      <c r="Y229" s="263"/>
      <c r="Z229" s="263"/>
      <c r="AA229" s="263"/>
      <c r="AB229" s="109"/>
      <c r="AC229" s="109"/>
      <c r="AD229" s="109"/>
      <c r="AE229" s="109"/>
      <c r="AF229" s="109"/>
      <c r="AG229" s="109"/>
      <c r="AH229" s="109"/>
      <c r="AI229" s="109"/>
    </row>
    <row r="230" spans="1:35">
      <c r="A230" s="109"/>
      <c r="B230" s="263"/>
      <c r="C230" s="263"/>
      <c r="D230" s="263"/>
      <c r="E230" s="109"/>
      <c r="F230" s="109"/>
      <c r="G230" s="48"/>
      <c r="H230" s="264"/>
      <c r="I230" s="265"/>
      <c r="J230" s="265"/>
      <c r="K230" s="264"/>
      <c r="L230" s="265"/>
      <c r="M230" s="264"/>
      <c r="N230" s="264"/>
      <c r="O230" s="264"/>
      <c r="P230" s="264"/>
      <c r="Q230" s="263"/>
      <c r="R230" s="263"/>
      <c r="S230" s="263"/>
      <c r="T230" s="263"/>
      <c r="U230" s="263"/>
      <c r="V230" s="109"/>
      <c r="W230" s="263"/>
      <c r="X230" s="263"/>
      <c r="Y230" s="263"/>
      <c r="Z230" s="263"/>
      <c r="AA230" s="263"/>
      <c r="AB230" s="109"/>
      <c r="AC230" s="109"/>
      <c r="AD230" s="109"/>
      <c r="AE230" s="109"/>
      <c r="AF230" s="109"/>
      <c r="AG230" s="109"/>
      <c r="AH230" s="109"/>
      <c r="AI230" s="109"/>
    </row>
    <row r="231" spans="1:35">
      <c r="A231" s="109"/>
      <c r="B231" s="263"/>
      <c r="C231" s="263"/>
      <c r="D231" s="263"/>
      <c r="E231" s="109"/>
      <c r="F231" s="109"/>
      <c r="G231" s="48"/>
      <c r="H231" s="264"/>
      <c r="I231" s="265"/>
      <c r="J231" s="265"/>
      <c r="K231" s="264"/>
      <c r="L231" s="265"/>
      <c r="M231" s="264"/>
      <c r="N231" s="264"/>
      <c r="O231" s="264"/>
      <c r="P231" s="264"/>
      <c r="Q231" s="263"/>
      <c r="R231" s="263"/>
      <c r="S231" s="263"/>
      <c r="T231" s="263"/>
      <c r="U231" s="263"/>
      <c r="V231" s="109"/>
      <c r="W231" s="263"/>
      <c r="X231" s="263"/>
      <c r="Y231" s="263"/>
      <c r="Z231" s="263"/>
      <c r="AA231" s="263"/>
      <c r="AB231" s="109"/>
      <c r="AC231" s="109"/>
      <c r="AD231" s="109"/>
      <c r="AE231" s="109"/>
      <c r="AF231" s="109"/>
      <c r="AG231" s="109"/>
      <c r="AH231" s="109"/>
      <c r="AI231" s="109"/>
    </row>
    <row r="232" spans="1:35">
      <c r="A232" s="109"/>
      <c r="B232" s="263"/>
      <c r="C232" s="263"/>
      <c r="D232" s="263"/>
      <c r="E232" s="109"/>
      <c r="F232" s="109"/>
      <c r="G232" s="48"/>
      <c r="H232" s="264"/>
      <c r="I232" s="265"/>
      <c r="J232" s="265"/>
      <c r="K232" s="264"/>
      <c r="L232" s="265"/>
      <c r="M232" s="264"/>
      <c r="N232" s="264"/>
      <c r="O232" s="264"/>
      <c r="P232" s="264"/>
      <c r="Q232" s="263"/>
      <c r="R232" s="263"/>
      <c r="S232" s="263"/>
      <c r="T232" s="263"/>
      <c r="U232" s="263"/>
      <c r="V232" s="109"/>
      <c r="W232" s="263"/>
      <c r="X232" s="263"/>
      <c r="Y232" s="263"/>
      <c r="Z232" s="263"/>
      <c r="AA232" s="263"/>
      <c r="AB232" s="109"/>
      <c r="AC232" s="109"/>
      <c r="AD232" s="109"/>
      <c r="AE232" s="109"/>
      <c r="AF232" s="109"/>
      <c r="AG232" s="109"/>
      <c r="AH232" s="109"/>
      <c r="AI232" s="109"/>
    </row>
    <row r="233" spans="1:35">
      <c r="A233" s="109"/>
      <c r="B233" s="263"/>
      <c r="C233" s="263"/>
      <c r="D233" s="263"/>
      <c r="E233" s="109"/>
      <c r="F233" s="109"/>
      <c r="G233" s="48"/>
      <c r="H233" s="264"/>
      <c r="I233" s="265"/>
      <c r="J233" s="265"/>
      <c r="K233" s="264"/>
      <c r="L233" s="265"/>
      <c r="M233" s="264"/>
      <c r="N233" s="264"/>
      <c r="O233" s="264"/>
      <c r="P233" s="264"/>
      <c r="Q233" s="263"/>
      <c r="R233" s="263"/>
      <c r="S233" s="263"/>
      <c r="T233" s="263"/>
      <c r="U233" s="263"/>
      <c r="V233" s="109"/>
      <c r="W233" s="263"/>
      <c r="X233" s="263"/>
      <c r="Y233" s="263"/>
      <c r="Z233" s="263"/>
      <c r="AA233" s="263"/>
      <c r="AB233" s="109"/>
      <c r="AC233" s="109"/>
      <c r="AD233" s="109"/>
      <c r="AE233" s="109"/>
      <c r="AF233" s="109"/>
      <c r="AG233" s="109"/>
      <c r="AH233" s="109"/>
      <c r="AI233" s="109"/>
    </row>
    <row r="234" spans="1:35">
      <c r="A234" s="109"/>
      <c r="B234" s="263"/>
      <c r="C234" s="263"/>
      <c r="D234" s="263"/>
      <c r="E234" s="109"/>
      <c r="F234" s="109"/>
      <c r="G234" s="48"/>
      <c r="H234" s="264"/>
      <c r="I234" s="265"/>
      <c r="J234" s="265"/>
      <c r="K234" s="264"/>
      <c r="L234" s="265"/>
      <c r="M234" s="264"/>
      <c r="N234" s="264"/>
      <c r="O234" s="264"/>
      <c r="P234" s="264"/>
      <c r="Q234" s="263"/>
      <c r="R234" s="263"/>
      <c r="S234" s="263"/>
      <c r="T234" s="263"/>
      <c r="U234" s="263"/>
      <c r="V234" s="109"/>
      <c r="W234" s="263"/>
      <c r="X234" s="263"/>
      <c r="Y234" s="263"/>
      <c r="Z234" s="263"/>
      <c r="AA234" s="263"/>
      <c r="AB234" s="109"/>
      <c r="AC234" s="109"/>
      <c r="AD234" s="109"/>
      <c r="AE234" s="109"/>
      <c r="AF234" s="109"/>
      <c r="AG234" s="109"/>
      <c r="AH234" s="109"/>
      <c r="AI234" s="109"/>
    </row>
    <row r="235" spans="1:35">
      <c r="A235" s="109"/>
      <c r="B235" s="263"/>
      <c r="C235" s="263"/>
      <c r="D235" s="263"/>
      <c r="E235" s="109"/>
      <c r="F235" s="109"/>
      <c r="G235" s="48"/>
      <c r="H235" s="264"/>
      <c r="I235" s="265"/>
      <c r="J235" s="265"/>
      <c r="K235" s="264"/>
      <c r="L235" s="265"/>
      <c r="M235" s="264"/>
      <c r="N235" s="264"/>
      <c r="O235" s="264"/>
      <c r="P235" s="264"/>
      <c r="Q235" s="263"/>
      <c r="R235" s="263"/>
      <c r="S235" s="263"/>
      <c r="T235" s="263"/>
      <c r="U235" s="263"/>
      <c r="V235" s="109"/>
      <c r="W235" s="263"/>
      <c r="X235" s="263"/>
      <c r="Y235" s="263"/>
      <c r="Z235" s="263"/>
      <c r="AA235" s="263"/>
      <c r="AB235" s="109"/>
      <c r="AC235" s="109"/>
      <c r="AD235" s="109"/>
      <c r="AE235" s="109"/>
      <c r="AF235" s="109"/>
      <c r="AG235" s="109"/>
      <c r="AH235" s="109"/>
      <c r="AI235" s="109"/>
    </row>
    <row r="236" spans="1:35">
      <c r="A236" s="109"/>
      <c r="B236" s="263"/>
      <c r="C236" s="263"/>
      <c r="D236" s="263"/>
      <c r="E236" s="109"/>
      <c r="F236" s="109"/>
      <c r="G236" s="48"/>
      <c r="H236" s="264"/>
      <c r="I236" s="265"/>
      <c r="J236" s="265"/>
      <c r="K236" s="264"/>
      <c r="L236" s="265"/>
      <c r="M236" s="264"/>
      <c r="N236" s="264"/>
      <c r="O236" s="264"/>
      <c r="P236" s="264"/>
      <c r="Q236" s="263"/>
      <c r="R236" s="263"/>
      <c r="S236" s="263"/>
      <c r="T236" s="263"/>
      <c r="U236" s="263"/>
      <c r="V236" s="109"/>
      <c r="W236" s="263"/>
      <c r="X236" s="263"/>
      <c r="Y236" s="263"/>
      <c r="Z236" s="263"/>
      <c r="AA236" s="263"/>
      <c r="AB236" s="109"/>
      <c r="AC236" s="109"/>
      <c r="AD236" s="109"/>
      <c r="AE236" s="109"/>
      <c r="AF236" s="109"/>
      <c r="AG236" s="109"/>
      <c r="AH236" s="109"/>
      <c r="AI236" s="109"/>
    </row>
    <row r="237" spans="1:35">
      <c r="A237" s="109"/>
      <c r="B237" s="263"/>
      <c r="C237" s="263"/>
      <c r="D237" s="263"/>
      <c r="E237" s="109"/>
      <c r="F237" s="109"/>
      <c r="G237" s="48"/>
      <c r="H237" s="264"/>
      <c r="I237" s="265"/>
      <c r="J237" s="265"/>
      <c r="K237" s="264"/>
      <c r="L237" s="265"/>
      <c r="M237" s="264"/>
      <c r="N237" s="264"/>
      <c r="O237" s="264"/>
      <c r="P237" s="264"/>
      <c r="Q237" s="263"/>
      <c r="R237" s="263"/>
      <c r="S237" s="263"/>
      <c r="T237" s="263"/>
      <c r="U237" s="263"/>
      <c r="V237" s="109"/>
      <c r="W237" s="263"/>
      <c r="X237" s="263"/>
      <c r="Y237" s="263"/>
      <c r="Z237" s="263"/>
      <c r="AA237" s="263"/>
      <c r="AB237" s="109"/>
      <c r="AC237" s="109"/>
      <c r="AD237" s="109"/>
      <c r="AE237" s="109"/>
      <c r="AF237" s="109"/>
      <c r="AG237" s="109"/>
      <c r="AH237" s="109"/>
      <c r="AI237" s="109"/>
    </row>
    <row r="238" spans="1:35">
      <c r="A238" s="109"/>
      <c r="B238" s="263"/>
      <c r="C238" s="263"/>
      <c r="D238" s="263"/>
      <c r="E238" s="109"/>
      <c r="F238" s="109"/>
      <c r="G238" s="48"/>
      <c r="H238" s="264"/>
      <c r="I238" s="265"/>
      <c r="J238" s="265"/>
      <c r="K238" s="264"/>
      <c r="L238" s="265"/>
      <c r="M238" s="264"/>
      <c r="N238" s="264"/>
      <c r="O238" s="264"/>
      <c r="P238" s="264"/>
      <c r="Q238" s="263"/>
      <c r="R238" s="263"/>
      <c r="S238" s="263"/>
      <c r="T238" s="263"/>
      <c r="U238" s="263"/>
      <c r="V238" s="109"/>
      <c r="W238" s="263"/>
      <c r="X238" s="263"/>
      <c r="Y238" s="263"/>
      <c r="Z238" s="263"/>
      <c r="AA238" s="263"/>
      <c r="AB238" s="109"/>
      <c r="AC238" s="109"/>
      <c r="AD238" s="109"/>
      <c r="AE238" s="109"/>
      <c r="AF238" s="109"/>
      <c r="AG238" s="109"/>
      <c r="AH238" s="109"/>
      <c r="AI238" s="109"/>
    </row>
    <row r="239" spans="1:35">
      <c r="A239" s="109"/>
      <c r="B239" s="263"/>
      <c r="C239" s="263"/>
      <c r="D239" s="263"/>
      <c r="E239" s="109"/>
      <c r="F239" s="109"/>
      <c r="G239" s="48"/>
      <c r="H239" s="264"/>
      <c r="I239" s="265"/>
      <c r="J239" s="265"/>
      <c r="K239" s="264"/>
      <c r="L239" s="265"/>
      <c r="M239" s="264"/>
      <c r="N239" s="264"/>
      <c r="O239" s="264"/>
      <c r="P239" s="264"/>
      <c r="Q239" s="263"/>
      <c r="R239" s="263"/>
      <c r="S239" s="263"/>
      <c r="T239" s="263"/>
      <c r="U239" s="263"/>
      <c r="V239" s="109"/>
      <c r="W239" s="263"/>
      <c r="X239" s="263"/>
      <c r="Y239" s="263"/>
      <c r="Z239" s="263"/>
      <c r="AA239" s="263"/>
      <c r="AB239" s="109"/>
      <c r="AC239" s="109"/>
      <c r="AD239" s="109"/>
      <c r="AE239" s="109"/>
      <c r="AF239" s="109"/>
      <c r="AG239" s="109"/>
      <c r="AH239" s="109"/>
      <c r="AI239" s="109"/>
    </row>
    <row r="240" spans="1:35">
      <c r="A240" s="109"/>
      <c r="B240" s="263"/>
      <c r="C240" s="263"/>
      <c r="D240" s="263"/>
      <c r="E240" s="109"/>
      <c r="F240" s="109"/>
      <c r="G240" s="48"/>
      <c r="H240" s="264"/>
      <c r="I240" s="265"/>
      <c r="J240" s="265"/>
      <c r="K240" s="264"/>
      <c r="L240" s="265"/>
      <c r="M240" s="264"/>
      <c r="N240" s="264"/>
      <c r="O240" s="264"/>
      <c r="P240" s="264"/>
      <c r="Q240" s="263"/>
      <c r="R240" s="263"/>
      <c r="S240" s="263"/>
      <c r="T240" s="263"/>
      <c r="U240" s="263"/>
      <c r="V240" s="109"/>
      <c r="W240" s="263"/>
      <c r="X240" s="263"/>
      <c r="Y240" s="263"/>
      <c r="Z240" s="263"/>
      <c r="AA240" s="263"/>
      <c r="AB240" s="109"/>
      <c r="AC240" s="109"/>
      <c r="AD240" s="109"/>
      <c r="AE240" s="109"/>
      <c r="AF240" s="109"/>
      <c r="AG240" s="109"/>
      <c r="AH240" s="109"/>
      <c r="AI240" s="109"/>
    </row>
    <row r="241" spans="1:35">
      <c r="A241" s="109"/>
      <c r="B241" s="263"/>
      <c r="C241" s="263"/>
      <c r="D241" s="263"/>
      <c r="E241" s="109"/>
      <c r="F241" s="109"/>
      <c r="G241" s="48"/>
      <c r="H241" s="264"/>
      <c r="I241" s="265"/>
      <c r="J241" s="265"/>
      <c r="K241" s="264"/>
      <c r="L241" s="265"/>
      <c r="M241" s="264"/>
      <c r="N241" s="264"/>
      <c r="O241" s="264"/>
      <c r="P241" s="264"/>
      <c r="Q241" s="263"/>
      <c r="R241" s="263"/>
      <c r="S241" s="263"/>
      <c r="T241" s="263"/>
      <c r="U241" s="263"/>
      <c r="V241" s="109"/>
      <c r="W241" s="263"/>
      <c r="X241" s="263"/>
      <c r="Y241" s="263"/>
      <c r="Z241" s="263"/>
      <c r="AA241" s="263"/>
      <c r="AB241" s="109"/>
      <c r="AC241" s="109"/>
      <c r="AD241" s="109"/>
      <c r="AE241" s="109"/>
      <c r="AF241" s="109"/>
      <c r="AG241" s="109"/>
      <c r="AH241" s="109"/>
      <c r="AI241" s="109"/>
    </row>
    <row r="242" spans="1:35">
      <c r="A242" s="109"/>
      <c r="B242" s="263"/>
      <c r="C242" s="263"/>
      <c r="D242" s="263"/>
      <c r="E242" s="109"/>
      <c r="F242" s="109"/>
      <c r="G242" s="48"/>
      <c r="H242" s="264"/>
      <c r="I242" s="265"/>
      <c r="J242" s="265"/>
      <c r="K242" s="264"/>
      <c r="L242" s="265"/>
      <c r="M242" s="264"/>
      <c r="N242" s="264"/>
      <c r="O242" s="264"/>
      <c r="P242" s="264"/>
      <c r="Q242" s="263"/>
      <c r="R242" s="263"/>
      <c r="S242" s="263"/>
      <c r="T242" s="263"/>
      <c r="U242" s="263"/>
      <c r="V242" s="109"/>
      <c r="W242" s="263"/>
      <c r="X242" s="263"/>
      <c r="Y242" s="263"/>
      <c r="Z242" s="263"/>
      <c r="AA242" s="263"/>
      <c r="AB242" s="109"/>
      <c r="AC242" s="109"/>
      <c r="AD242" s="109"/>
      <c r="AE242" s="109"/>
      <c r="AF242" s="109"/>
      <c r="AG242" s="109"/>
      <c r="AH242" s="109"/>
      <c r="AI242" s="109"/>
    </row>
    <row r="243" spans="1:35">
      <c r="A243" s="109"/>
      <c r="B243" s="263"/>
      <c r="C243" s="263"/>
      <c r="D243" s="263"/>
      <c r="E243" s="109"/>
      <c r="F243" s="109"/>
      <c r="G243" s="48"/>
      <c r="H243" s="264"/>
      <c r="I243" s="265"/>
      <c r="J243" s="265"/>
      <c r="K243" s="264"/>
      <c r="L243" s="265"/>
      <c r="M243" s="264"/>
      <c r="N243" s="264"/>
      <c r="O243" s="264"/>
      <c r="P243" s="264"/>
      <c r="Q243" s="263"/>
      <c r="R243" s="263"/>
      <c r="S243" s="263"/>
      <c r="T243" s="263"/>
      <c r="U243" s="263"/>
      <c r="V243" s="109"/>
      <c r="W243" s="263"/>
      <c r="X243" s="263"/>
      <c r="Y243" s="263"/>
      <c r="Z243" s="263"/>
      <c r="AA243" s="263"/>
      <c r="AB243" s="109"/>
      <c r="AC243" s="109"/>
      <c r="AD243" s="109"/>
      <c r="AE243" s="109"/>
      <c r="AF243" s="109"/>
      <c r="AG243" s="109"/>
      <c r="AH243" s="109"/>
      <c r="AI243" s="109"/>
    </row>
    <row r="244" spans="1:35">
      <c r="A244" s="109"/>
      <c r="B244" s="263"/>
      <c r="C244" s="263"/>
      <c r="D244" s="263"/>
      <c r="E244" s="109"/>
      <c r="F244" s="109"/>
      <c r="G244" s="48"/>
      <c r="H244" s="264"/>
      <c r="I244" s="265"/>
      <c r="J244" s="265"/>
      <c r="K244" s="264"/>
      <c r="L244" s="265"/>
      <c r="M244" s="264"/>
      <c r="N244" s="264"/>
      <c r="O244" s="264"/>
      <c r="P244" s="264"/>
      <c r="Q244" s="263"/>
      <c r="R244" s="263"/>
      <c r="S244" s="263"/>
      <c r="T244" s="263"/>
      <c r="U244" s="263"/>
      <c r="V244" s="109"/>
      <c r="W244" s="263"/>
      <c r="X244" s="263"/>
      <c r="Y244" s="263"/>
      <c r="Z244" s="263"/>
      <c r="AA244" s="263"/>
      <c r="AB244" s="109"/>
      <c r="AC244" s="109"/>
      <c r="AD244" s="109"/>
      <c r="AE244" s="109"/>
      <c r="AF244" s="109"/>
      <c r="AG244" s="109"/>
      <c r="AH244" s="109"/>
      <c r="AI244" s="109"/>
    </row>
    <row r="245" spans="1:35">
      <c r="A245" s="109"/>
      <c r="B245" s="263"/>
      <c r="C245" s="263"/>
      <c r="D245" s="263"/>
      <c r="E245" s="109"/>
      <c r="F245" s="109"/>
      <c r="G245" s="48"/>
      <c r="H245" s="264"/>
      <c r="I245" s="265"/>
      <c r="J245" s="265"/>
      <c r="K245" s="264"/>
      <c r="L245" s="265"/>
      <c r="M245" s="264"/>
      <c r="N245" s="264"/>
      <c r="O245" s="264"/>
      <c r="P245" s="264"/>
      <c r="Q245" s="263"/>
      <c r="R245" s="263"/>
      <c r="S245" s="263"/>
      <c r="T245" s="263"/>
      <c r="U245" s="263"/>
      <c r="V245" s="109"/>
      <c r="W245" s="263"/>
      <c r="X245" s="263"/>
      <c r="Y245" s="263"/>
      <c r="Z245" s="263"/>
      <c r="AA245" s="263"/>
      <c r="AB245" s="109"/>
      <c r="AC245" s="109"/>
      <c r="AD245" s="109"/>
      <c r="AE245" s="109"/>
      <c r="AF245" s="109"/>
      <c r="AG245" s="109"/>
      <c r="AH245" s="109"/>
      <c r="AI245" s="109"/>
    </row>
    <row r="246" spans="1:35">
      <c r="A246" s="109"/>
      <c r="B246" s="263"/>
      <c r="C246" s="263"/>
      <c r="D246" s="263"/>
      <c r="E246" s="109"/>
      <c r="F246" s="109"/>
      <c r="G246" s="48"/>
      <c r="H246" s="264"/>
      <c r="I246" s="265"/>
      <c r="J246" s="265"/>
      <c r="K246" s="264"/>
      <c r="L246" s="265"/>
      <c r="M246" s="264"/>
      <c r="N246" s="264"/>
      <c r="O246" s="264"/>
      <c r="P246" s="264"/>
      <c r="Q246" s="263"/>
      <c r="R246" s="263"/>
      <c r="S246" s="263"/>
      <c r="T246" s="263"/>
      <c r="U246" s="263"/>
      <c r="V246" s="109"/>
      <c r="W246" s="263"/>
      <c r="X246" s="263"/>
      <c r="Y246" s="263"/>
      <c r="Z246" s="263"/>
      <c r="AA246" s="263"/>
      <c r="AB246" s="109"/>
      <c r="AC246" s="109"/>
      <c r="AD246" s="109"/>
      <c r="AE246" s="109"/>
      <c r="AF246" s="109"/>
      <c r="AG246" s="109"/>
      <c r="AH246" s="109"/>
      <c r="AI246" s="109"/>
    </row>
    <row r="247" spans="1:35">
      <c r="A247" s="109"/>
      <c r="B247" s="263"/>
      <c r="C247" s="263"/>
      <c r="D247" s="263"/>
      <c r="E247" s="109"/>
      <c r="F247" s="109"/>
      <c r="G247" s="48"/>
      <c r="H247" s="264"/>
      <c r="I247" s="265"/>
      <c r="J247" s="265"/>
      <c r="K247" s="264"/>
      <c r="L247" s="265"/>
      <c r="M247" s="264"/>
      <c r="N247" s="264"/>
      <c r="O247" s="264"/>
      <c r="P247" s="264"/>
      <c r="Q247" s="263"/>
      <c r="R247" s="263"/>
      <c r="S247" s="263"/>
      <c r="T247" s="263"/>
      <c r="U247" s="263"/>
      <c r="V247" s="109"/>
      <c r="W247" s="263"/>
      <c r="X247" s="263"/>
      <c r="Y247" s="263"/>
      <c r="Z247" s="263"/>
      <c r="AA247" s="263"/>
      <c r="AB247" s="109"/>
      <c r="AC247" s="109"/>
      <c r="AD247" s="109"/>
      <c r="AE247" s="109"/>
      <c r="AF247" s="109"/>
      <c r="AG247" s="109"/>
      <c r="AH247" s="109"/>
      <c r="AI247" s="109"/>
    </row>
    <row r="248" spans="1:35">
      <c r="A248" s="109"/>
      <c r="B248" s="263"/>
      <c r="C248" s="263"/>
      <c r="D248" s="263"/>
      <c r="E248" s="109"/>
      <c r="F248" s="109"/>
      <c r="G248" s="48"/>
      <c r="H248" s="264"/>
      <c r="I248" s="265"/>
      <c r="J248" s="265"/>
      <c r="K248" s="264"/>
      <c r="L248" s="265"/>
      <c r="M248" s="264"/>
      <c r="N248" s="264"/>
      <c r="O248" s="264"/>
      <c r="P248" s="264"/>
      <c r="Q248" s="263"/>
      <c r="R248" s="263"/>
      <c r="S248" s="263"/>
      <c r="T248" s="263"/>
      <c r="U248" s="263"/>
      <c r="V248" s="109"/>
      <c r="W248" s="263"/>
      <c r="X248" s="263"/>
      <c r="Y248" s="263"/>
      <c r="Z248" s="263"/>
      <c r="AA248" s="263"/>
      <c r="AB248" s="109"/>
      <c r="AC248" s="109"/>
      <c r="AD248" s="109"/>
      <c r="AE248" s="109"/>
      <c r="AF248" s="109"/>
      <c r="AG248" s="109"/>
      <c r="AH248" s="109"/>
      <c r="AI248" s="109"/>
    </row>
    <row r="249" spans="1:35">
      <c r="A249" s="109"/>
      <c r="B249" s="263"/>
      <c r="C249" s="263"/>
      <c r="D249" s="263"/>
      <c r="E249" s="109"/>
      <c r="F249" s="109"/>
      <c r="G249" s="48"/>
      <c r="H249" s="264"/>
      <c r="I249" s="265"/>
      <c r="J249" s="265"/>
      <c r="K249" s="264"/>
      <c r="L249" s="265"/>
      <c r="M249" s="264"/>
      <c r="N249" s="264"/>
      <c r="O249" s="264"/>
      <c r="P249" s="264"/>
      <c r="Q249" s="263"/>
      <c r="R249" s="263"/>
      <c r="S249" s="263"/>
      <c r="T249" s="263"/>
      <c r="U249" s="263"/>
      <c r="V249" s="109"/>
      <c r="W249" s="263"/>
      <c r="X249" s="263"/>
      <c r="Y249" s="263"/>
      <c r="Z249" s="263"/>
      <c r="AA249" s="263"/>
      <c r="AB249" s="109"/>
      <c r="AC249" s="109"/>
      <c r="AD249" s="109"/>
      <c r="AE249" s="109"/>
      <c r="AF249" s="109"/>
      <c r="AG249" s="109"/>
      <c r="AH249" s="109"/>
      <c r="AI249" s="109"/>
    </row>
    <row r="250" spans="1:35">
      <c r="A250" s="109"/>
      <c r="B250" s="263"/>
      <c r="C250" s="263"/>
      <c r="D250" s="263"/>
      <c r="E250" s="109"/>
      <c r="F250" s="109"/>
      <c r="G250" s="48"/>
      <c r="H250" s="264"/>
      <c r="I250" s="265"/>
      <c r="J250" s="265"/>
      <c r="K250" s="264"/>
      <c r="L250" s="265"/>
      <c r="M250" s="264"/>
      <c r="N250" s="264"/>
      <c r="O250" s="264"/>
      <c r="P250" s="264"/>
      <c r="Q250" s="263"/>
      <c r="R250" s="263"/>
      <c r="S250" s="263"/>
      <c r="T250" s="263"/>
      <c r="U250" s="263"/>
      <c r="V250" s="109"/>
      <c r="W250" s="263"/>
      <c r="X250" s="263"/>
      <c r="Y250" s="263"/>
      <c r="Z250" s="263"/>
      <c r="AA250" s="263"/>
      <c r="AB250" s="109"/>
      <c r="AC250" s="109"/>
      <c r="AD250" s="109"/>
      <c r="AE250" s="109"/>
      <c r="AF250" s="109"/>
      <c r="AG250" s="109"/>
      <c r="AH250" s="109"/>
      <c r="AI250" s="109"/>
    </row>
    <row r="251" spans="1:35">
      <c r="A251" s="109"/>
      <c r="B251" s="263"/>
      <c r="C251" s="263"/>
      <c r="D251" s="263"/>
      <c r="E251" s="109"/>
      <c r="F251" s="109"/>
      <c r="G251" s="48"/>
      <c r="H251" s="264"/>
      <c r="I251" s="265"/>
      <c r="J251" s="265"/>
      <c r="K251" s="264"/>
      <c r="L251" s="265"/>
      <c r="M251" s="264"/>
      <c r="N251" s="264"/>
      <c r="O251" s="264"/>
      <c r="P251" s="264"/>
      <c r="Q251" s="263"/>
      <c r="R251" s="263"/>
      <c r="S251" s="263"/>
      <c r="T251" s="263"/>
      <c r="U251" s="263"/>
      <c r="V251" s="109"/>
      <c r="W251" s="263"/>
      <c r="X251" s="263"/>
      <c r="Y251" s="263"/>
      <c r="Z251" s="263"/>
      <c r="AA251" s="263"/>
      <c r="AB251" s="109"/>
      <c r="AC251" s="109"/>
      <c r="AD251" s="109"/>
      <c r="AE251" s="109"/>
      <c r="AF251" s="109"/>
      <c r="AG251" s="109"/>
      <c r="AH251" s="109"/>
      <c r="AI251" s="109"/>
    </row>
    <row r="252" spans="1:35">
      <c r="A252" s="109"/>
      <c r="B252" s="263"/>
      <c r="C252" s="263"/>
      <c r="D252" s="263"/>
      <c r="E252" s="109"/>
      <c r="F252" s="109"/>
      <c r="G252" s="48"/>
      <c r="H252" s="264"/>
      <c r="I252" s="265"/>
      <c r="J252" s="265"/>
      <c r="K252" s="264"/>
      <c r="L252" s="265"/>
      <c r="M252" s="264"/>
      <c r="N252" s="264"/>
      <c r="O252" s="264"/>
      <c r="P252" s="264"/>
      <c r="Q252" s="263"/>
      <c r="R252" s="263"/>
      <c r="S252" s="263"/>
      <c r="T252" s="263"/>
      <c r="U252" s="263"/>
      <c r="V252" s="109"/>
      <c r="W252" s="263"/>
      <c r="X252" s="263"/>
      <c r="Y252" s="263"/>
      <c r="Z252" s="263"/>
      <c r="AA252" s="263"/>
      <c r="AB252" s="109"/>
      <c r="AC252" s="109"/>
      <c r="AD252" s="109"/>
      <c r="AE252" s="109"/>
      <c r="AF252" s="109"/>
      <c r="AG252" s="109"/>
      <c r="AH252" s="109"/>
      <c r="AI252" s="109"/>
    </row>
    <row r="253" spans="1:35">
      <c r="A253" s="109"/>
      <c r="B253" s="263"/>
      <c r="C253" s="263"/>
      <c r="D253" s="263"/>
      <c r="E253" s="109"/>
      <c r="F253" s="109"/>
      <c r="G253" s="48"/>
      <c r="H253" s="264"/>
      <c r="I253" s="265"/>
      <c r="J253" s="265"/>
      <c r="K253" s="264"/>
      <c r="L253" s="265"/>
      <c r="M253" s="264"/>
      <c r="N253" s="264"/>
      <c r="O253" s="264"/>
      <c r="P253" s="264"/>
      <c r="Q253" s="263"/>
      <c r="R253" s="263"/>
      <c r="S253" s="263"/>
      <c r="T253" s="263"/>
      <c r="U253" s="263"/>
      <c r="V253" s="109"/>
      <c r="W253" s="263"/>
      <c r="X253" s="263"/>
      <c r="Y253" s="263"/>
      <c r="Z253" s="263"/>
      <c r="AA253" s="263"/>
      <c r="AB253" s="109"/>
      <c r="AC253" s="109"/>
      <c r="AD253" s="109"/>
      <c r="AE253" s="109"/>
      <c r="AF253" s="109"/>
      <c r="AG253" s="109"/>
      <c r="AH253" s="109"/>
      <c r="AI253" s="109"/>
    </row>
    <row r="254" spans="1:35">
      <c r="A254" s="109"/>
      <c r="B254" s="263"/>
      <c r="C254" s="263"/>
      <c r="D254" s="263"/>
      <c r="E254" s="109"/>
      <c r="F254" s="109"/>
      <c r="G254" s="48"/>
      <c r="H254" s="264"/>
      <c r="I254" s="265"/>
      <c r="J254" s="265"/>
      <c r="K254" s="264"/>
      <c r="L254" s="265"/>
      <c r="M254" s="264"/>
      <c r="N254" s="264"/>
      <c r="O254" s="264"/>
      <c r="P254" s="264"/>
      <c r="Q254" s="263"/>
      <c r="R254" s="263"/>
      <c r="S254" s="263"/>
      <c r="T254" s="263"/>
      <c r="U254" s="263"/>
      <c r="V254" s="109"/>
      <c r="W254" s="263"/>
      <c r="X254" s="263"/>
      <c r="Y254" s="263"/>
      <c r="Z254" s="263"/>
      <c r="AA254" s="263"/>
      <c r="AB254" s="109"/>
      <c r="AC254" s="109"/>
      <c r="AD254" s="109"/>
      <c r="AE254" s="109"/>
      <c r="AF254" s="109"/>
      <c r="AG254" s="109"/>
      <c r="AH254" s="109"/>
      <c r="AI254" s="109"/>
    </row>
    <row r="255" spans="1:35">
      <c r="A255" s="109"/>
      <c r="B255" s="263"/>
      <c r="C255" s="263"/>
      <c r="D255" s="263"/>
      <c r="E255" s="109"/>
      <c r="F255" s="109"/>
      <c r="G255" s="48"/>
      <c r="H255" s="264"/>
      <c r="I255" s="265"/>
      <c r="J255" s="265"/>
      <c r="K255" s="264"/>
      <c r="L255" s="265"/>
      <c r="M255" s="264"/>
      <c r="N255" s="264"/>
      <c r="O255" s="264"/>
      <c r="P255" s="264"/>
      <c r="Q255" s="263"/>
      <c r="R255" s="263"/>
      <c r="S255" s="263"/>
      <c r="T255" s="263"/>
      <c r="U255" s="263"/>
      <c r="V255" s="109"/>
      <c r="W255" s="263"/>
      <c r="X255" s="263"/>
      <c r="Y255" s="263"/>
      <c r="Z255" s="263"/>
      <c r="AA255" s="263"/>
      <c r="AB255" s="109"/>
      <c r="AC255" s="109"/>
      <c r="AD255" s="109"/>
      <c r="AE255" s="109"/>
      <c r="AF255" s="109"/>
      <c r="AG255" s="109"/>
      <c r="AH255" s="109"/>
      <c r="AI255" s="109"/>
    </row>
    <row r="256" spans="1:35">
      <c r="A256" s="109"/>
      <c r="B256" s="263"/>
      <c r="C256" s="263"/>
      <c r="D256" s="263"/>
      <c r="E256" s="109"/>
      <c r="F256" s="109"/>
      <c r="G256" s="48"/>
      <c r="H256" s="264"/>
      <c r="I256" s="265"/>
      <c r="J256" s="265"/>
      <c r="K256" s="264"/>
      <c r="L256" s="265"/>
      <c r="M256" s="264"/>
      <c r="N256" s="264"/>
      <c r="O256" s="264"/>
      <c r="P256" s="264"/>
      <c r="Q256" s="263"/>
      <c r="R256" s="263"/>
      <c r="S256" s="263"/>
      <c r="T256" s="263"/>
      <c r="U256" s="263"/>
      <c r="V256" s="109"/>
      <c r="W256" s="263"/>
      <c r="X256" s="263"/>
      <c r="Y256" s="263"/>
      <c r="Z256" s="263"/>
      <c r="AA256" s="263"/>
      <c r="AB256" s="109"/>
      <c r="AC256" s="109"/>
      <c r="AD256" s="109"/>
      <c r="AE256" s="109"/>
      <c r="AF256" s="109"/>
      <c r="AG256" s="109"/>
      <c r="AH256" s="109"/>
      <c r="AI256" s="109"/>
    </row>
    <row r="257" spans="1:35">
      <c r="A257" s="109"/>
      <c r="B257" s="263"/>
      <c r="C257" s="263"/>
      <c r="D257" s="263"/>
      <c r="E257" s="109"/>
      <c r="F257" s="109"/>
      <c r="G257" s="48"/>
      <c r="H257" s="264"/>
      <c r="I257" s="265"/>
      <c r="J257" s="265"/>
      <c r="K257" s="264"/>
      <c r="L257" s="265"/>
      <c r="M257" s="264"/>
      <c r="N257" s="264"/>
      <c r="O257" s="264"/>
      <c r="P257" s="264"/>
      <c r="Q257" s="263"/>
      <c r="R257" s="263"/>
      <c r="S257" s="263"/>
      <c r="T257" s="263"/>
      <c r="U257" s="263"/>
      <c r="V257" s="109"/>
      <c r="W257" s="263"/>
      <c r="X257" s="263"/>
      <c r="Y257" s="263"/>
      <c r="Z257" s="263"/>
      <c r="AA257" s="263"/>
      <c r="AB257" s="109"/>
      <c r="AC257" s="109"/>
      <c r="AD257" s="109"/>
      <c r="AE257" s="109"/>
      <c r="AF257" s="109"/>
      <c r="AG257" s="109"/>
      <c r="AH257" s="109"/>
      <c r="AI257" s="109"/>
    </row>
    <row r="258" spans="1:35">
      <c r="A258" s="109"/>
      <c r="B258" s="263"/>
      <c r="C258" s="263"/>
      <c r="D258" s="263"/>
      <c r="E258" s="109"/>
      <c r="F258" s="109"/>
      <c r="G258" s="48"/>
      <c r="H258" s="264"/>
      <c r="I258" s="265"/>
      <c r="J258" s="265"/>
      <c r="K258" s="264"/>
      <c r="L258" s="265"/>
      <c r="M258" s="264"/>
      <c r="N258" s="264"/>
      <c r="O258" s="264"/>
      <c r="P258" s="264"/>
      <c r="Q258" s="263"/>
      <c r="R258" s="263"/>
      <c r="S258" s="263"/>
      <c r="T258" s="263"/>
      <c r="U258" s="263"/>
      <c r="V258" s="109"/>
      <c r="W258" s="263"/>
      <c r="X258" s="263"/>
      <c r="Y258" s="263"/>
      <c r="Z258" s="263"/>
      <c r="AA258" s="263"/>
      <c r="AB258" s="109"/>
      <c r="AC258" s="109"/>
      <c r="AD258" s="109"/>
      <c r="AE258" s="109"/>
      <c r="AF258" s="109"/>
      <c r="AG258" s="109"/>
      <c r="AH258" s="109"/>
      <c r="AI258" s="109"/>
    </row>
    <row r="259" spans="1:35">
      <c r="A259" s="109"/>
      <c r="B259" s="263"/>
      <c r="C259" s="263"/>
      <c r="D259" s="263"/>
      <c r="E259" s="109"/>
      <c r="F259" s="109"/>
      <c r="G259" s="48"/>
      <c r="H259" s="264"/>
      <c r="I259" s="265"/>
      <c r="J259" s="265"/>
      <c r="K259" s="264"/>
      <c r="L259" s="265"/>
      <c r="M259" s="264"/>
      <c r="N259" s="264"/>
      <c r="O259" s="264"/>
      <c r="P259" s="264"/>
      <c r="Q259" s="263"/>
      <c r="R259" s="263"/>
      <c r="S259" s="263"/>
      <c r="T259" s="263"/>
      <c r="U259" s="263"/>
      <c r="V259" s="109"/>
      <c r="W259" s="263"/>
      <c r="X259" s="263"/>
      <c r="Y259" s="263"/>
      <c r="Z259" s="263"/>
      <c r="AA259" s="263"/>
      <c r="AB259" s="109"/>
      <c r="AC259" s="109"/>
      <c r="AD259" s="109"/>
      <c r="AE259" s="109"/>
      <c r="AF259" s="109"/>
      <c r="AG259" s="109"/>
      <c r="AH259" s="109"/>
      <c r="AI259" s="109"/>
    </row>
    <row r="260" spans="1:35">
      <c r="A260" s="109"/>
      <c r="B260" s="263"/>
      <c r="C260" s="263"/>
      <c r="D260" s="263"/>
      <c r="E260" s="109"/>
      <c r="F260" s="109"/>
      <c r="G260" s="48"/>
      <c r="H260" s="264"/>
      <c r="I260" s="265"/>
      <c r="J260" s="265"/>
      <c r="K260" s="264"/>
      <c r="L260" s="265"/>
      <c r="M260" s="264"/>
      <c r="N260" s="264"/>
      <c r="O260" s="264"/>
      <c r="P260" s="264"/>
      <c r="Q260" s="263"/>
      <c r="R260" s="263"/>
      <c r="S260" s="263"/>
      <c r="T260" s="263"/>
      <c r="U260" s="263"/>
      <c r="V260" s="109"/>
      <c r="W260" s="263"/>
      <c r="X260" s="263"/>
      <c r="Y260" s="263"/>
      <c r="Z260" s="263"/>
      <c r="AA260" s="263"/>
      <c r="AB260" s="109"/>
      <c r="AC260" s="109"/>
      <c r="AD260" s="109"/>
      <c r="AE260" s="109"/>
      <c r="AF260" s="109"/>
      <c r="AG260" s="109"/>
      <c r="AH260" s="109"/>
      <c r="AI260" s="109"/>
    </row>
    <row r="261" spans="1:35">
      <c r="A261" s="109"/>
      <c r="B261" s="263"/>
      <c r="C261" s="263"/>
      <c r="D261" s="263"/>
      <c r="E261" s="109"/>
      <c r="F261" s="109"/>
      <c r="G261" s="48"/>
      <c r="H261" s="264"/>
      <c r="I261" s="265"/>
      <c r="J261" s="265"/>
      <c r="K261" s="264"/>
      <c r="L261" s="265"/>
      <c r="M261" s="264"/>
      <c r="N261" s="264"/>
      <c r="O261" s="264"/>
      <c r="P261" s="264"/>
      <c r="Q261" s="263"/>
      <c r="R261" s="263"/>
      <c r="S261" s="263"/>
      <c r="T261" s="263"/>
      <c r="U261" s="263"/>
      <c r="V261" s="109"/>
      <c r="W261" s="263"/>
      <c r="X261" s="263"/>
      <c r="Y261" s="263"/>
      <c r="Z261" s="263"/>
      <c r="AA261" s="263"/>
      <c r="AB261" s="109"/>
      <c r="AC261" s="109"/>
      <c r="AD261" s="109"/>
      <c r="AE261" s="109"/>
      <c r="AF261" s="109"/>
      <c r="AG261" s="109"/>
      <c r="AH261" s="109"/>
      <c r="AI261" s="109"/>
    </row>
    <row r="262" spans="1:35">
      <c r="A262" s="109"/>
      <c r="B262" s="263"/>
      <c r="C262" s="263"/>
      <c r="D262" s="263"/>
      <c r="E262" s="109"/>
      <c r="F262" s="109"/>
      <c r="G262" s="48"/>
      <c r="H262" s="264"/>
      <c r="I262" s="265"/>
      <c r="J262" s="265"/>
      <c r="K262" s="264"/>
      <c r="L262" s="265"/>
      <c r="M262" s="264"/>
      <c r="N262" s="264"/>
      <c r="O262" s="264"/>
      <c r="P262" s="264"/>
      <c r="Q262" s="263"/>
      <c r="R262" s="263"/>
      <c r="S262" s="263"/>
      <c r="T262" s="263"/>
      <c r="U262" s="263"/>
      <c r="V262" s="109"/>
      <c r="W262" s="263"/>
      <c r="X262" s="263"/>
      <c r="Y262" s="263"/>
      <c r="Z262" s="263"/>
      <c r="AA262" s="263"/>
      <c r="AB262" s="109"/>
      <c r="AC262" s="109"/>
      <c r="AD262" s="109"/>
      <c r="AE262" s="109"/>
      <c r="AF262" s="109"/>
      <c r="AG262" s="109"/>
      <c r="AH262" s="109"/>
      <c r="AI262" s="109"/>
    </row>
    <row r="263" spans="1:35">
      <c r="A263" s="109"/>
      <c r="B263" s="263"/>
      <c r="C263" s="263"/>
      <c r="D263" s="263"/>
      <c r="E263" s="109"/>
      <c r="F263" s="109"/>
      <c r="G263" s="48"/>
      <c r="H263" s="264"/>
      <c r="I263" s="265"/>
      <c r="J263" s="265"/>
      <c r="K263" s="264"/>
      <c r="L263" s="265"/>
      <c r="M263" s="264"/>
      <c r="N263" s="264"/>
      <c r="O263" s="264"/>
      <c r="P263" s="264"/>
      <c r="Q263" s="263"/>
      <c r="R263" s="263"/>
      <c r="S263" s="263"/>
      <c r="T263" s="263"/>
      <c r="U263" s="263"/>
      <c r="V263" s="109"/>
      <c r="W263" s="263"/>
      <c r="X263" s="263"/>
      <c r="Y263" s="263"/>
      <c r="Z263" s="263"/>
      <c r="AA263" s="263"/>
      <c r="AB263" s="109"/>
      <c r="AC263" s="109"/>
      <c r="AD263" s="109"/>
      <c r="AE263" s="109"/>
      <c r="AF263" s="109"/>
      <c r="AG263" s="109"/>
      <c r="AH263" s="109"/>
      <c r="AI263" s="109"/>
    </row>
    <row r="264" spans="1:35">
      <c r="A264" s="109"/>
      <c r="B264" s="263"/>
      <c r="C264" s="263"/>
      <c r="D264" s="263"/>
      <c r="E264" s="109"/>
      <c r="F264" s="109"/>
      <c r="G264" s="48"/>
      <c r="H264" s="264"/>
      <c r="I264" s="265"/>
      <c r="J264" s="265"/>
      <c r="K264" s="264"/>
      <c r="L264" s="265"/>
      <c r="M264" s="264"/>
      <c r="N264" s="264"/>
      <c r="O264" s="264"/>
      <c r="P264" s="264"/>
      <c r="Q264" s="263"/>
      <c r="R264" s="263"/>
      <c r="S264" s="263"/>
      <c r="T264" s="263"/>
      <c r="U264" s="263"/>
      <c r="V264" s="109"/>
      <c r="W264" s="263"/>
      <c r="X264" s="263"/>
      <c r="Y264" s="263"/>
      <c r="Z264" s="263"/>
      <c r="AA264" s="263"/>
      <c r="AB264" s="109"/>
      <c r="AC264" s="109"/>
      <c r="AD264" s="109"/>
      <c r="AE264" s="109"/>
      <c r="AF264" s="109"/>
      <c r="AG264" s="109"/>
      <c r="AH264" s="109"/>
      <c r="AI264" s="109"/>
    </row>
    <row r="265" spans="1:35">
      <c r="A265" s="109"/>
      <c r="B265" s="263"/>
      <c r="C265" s="263"/>
      <c r="D265" s="263"/>
      <c r="E265" s="109"/>
      <c r="F265" s="109"/>
      <c r="G265" s="48"/>
      <c r="H265" s="264"/>
      <c r="I265" s="265"/>
      <c r="J265" s="265"/>
      <c r="K265" s="264"/>
      <c r="L265" s="265"/>
      <c r="M265" s="264"/>
      <c r="N265" s="264"/>
      <c r="O265" s="264"/>
      <c r="P265" s="264"/>
      <c r="Q265" s="263"/>
      <c r="R265" s="263"/>
      <c r="S265" s="263"/>
      <c r="T265" s="263"/>
      <c r="U265" s="263"/>
      <c r="V265" s="109"/>
      <c r="W265" s="263"/>
      <c r="X265" s="263"/>
      <c r="Y265" s="263"/>
      <c r="Z265" s="263"/>
      <c r="AA265" s="263"/>
      <c r="AB265" s="109"/>
      <c r="AC265" s="109"/>
      <c r="AD265" s="109"/>
      <c r="AE265" s="109"/>
      <c r="AF265" s="109"/>
      <c r="AG265" s="109"/>
      <c r="AH265" s="109"/>
      <c r="AI265" s="109"/>
    </row>
    <row r="266" spans="1:35">
      <c r="A266" s="109"/>
      <c r="B266" s="263"/>
      <c r="C266" s="263"/>
      <c r="D266" s="263"/>
      <c r="E266" s="109"/>
      <c r="F266" s="109"/>
      <c r="G266" s="48"/>
      <c r="H266" s="264"/>
      <c r="I266" s="265"/>
      <c r="J266" s="265"/>
      <c r="K266" s="264"/>
      <c r="L266" s="265"/>
      <c r="M266" s="264"/>
      <c r="N266" s="264"/>
      <c r="O266" s="264"/>
      <c r="P266" s="264"/>
      <c r="Q266" s="263"/>
      <c r="R266" s="263"/>
      <c r="S266" s="263"/>
      <c r="T266" s="263"/>
      <c r="U266" s="263"/>
      <c r="V266" s="109"/>
      <c r="W266" s="263"/>
      <c r="X266" s="263"/>
      <c r="Y266" s="263"/>
      <c r="Z266" s="263"/>
      <c r="AA266" s="263"/>
      <c r="AB266" s="109"/>
      <c r="AC266" s="109"/>
      <c r="AD266" s="109"/>
      <c r="AE266" s="109"/>
      <c r="AF266" s="109"/>
      <c r="AG266" s="109"/>
      <c r="AH266" s="109"/>
      <c r="AI266" s="109"/>
    </row>
    <row r="267" spans="1:35">
      <c r="A267" s="109"/>
      <c r="B267" s="263"/>
      <c r="C267" s="263"/>
      <c r="D267" s="263"/>
      <c r="E267" s="109"/>
      <c r="F267" s="109"/>
      <c r="G267" s="48"/>
      <c r="H267" s="264"/>
      <c r="I267" s="265"/>
      <c r="J267" s="265"/>
      <c r="K267" s="264"/>
      <c r="L267" s="265"/>
      <c r="M267" s="264"/>
      <c r="N267" s="264"/>
      <c r="O267" s="264"/>
      <c r="P267" s="264"/>
      <c r="Q267" s="263"/>
      <c r="R267" s="263"/>
      <c r="S267" s="263"/>
      <c r="T267" s="263"/>
      <c r="U267" s="263"/>
      <c r="V267" s="109"/>
      <c r="W267" s="263"/>
      <c r="X267" s="263"/>
      <c r="Y267" s="263"/>
      <c r="Z267" s="263"/>
      <c r="AA267" s="263"/>
      <c r="AB267" s="109"/>
      <c r="AC267" s="109"/>
      <c r="AD267" s="109"/>
      <c r="AE267" s="109"/>
      <c r="AF267" s="109"/>
      <c r="AG267" s="109"/>
      <c r="AH267" s="109"/>
      <c r="AI267" s="109"/>
    </row>
    <row r="268" spans="1:35">
      <c r="A268" s="109"/>
      <c r="B268" s="263"/>
      <c r="C268" s="263"/>
      <c r="D268" s="263"/>
      <c r="E268" s="109"/>
      <c r="F268" s="109"/>
      <c r="G268" s="48"/>
      <c r="H268" s="264"/>
      <c r="I268" s="265"/>
      <c r="J268" s="265"/>
      <c r="K268" s="264"/>
      <c r="L268" s="265"/>
      <c r="M268" s="264"/>
      <c r="N268" s="264"/>
      <c r="O268" s="264"/>
      <c r="P268" s="264"/>
      <c r="Q268" s="263"/>
      <c r="R268" s="263"/>
      <c r="S268" s="263"/>
      <c r="T268" s="263"/>
      <c r="U268" s="263"/>
      <c r="V268" s="109"/>
      <c r="W268" s="263"/>
      <c r="X268" s="263"/>
      <c r="Y268" s="263"/>
      <c r="Z268" s="263"/>
      <c r="AA268" s="263"/>
      <c r="AB268" s="109"/>
      <c r="AC268" s="109"/>
      <c r="AD268" s="109"/>
      <c r="AE268" s="109"/>
      <c r="AF268" s="109"/>
      <c r="AG268" s="109"/>
      <c r="AH268" s="109"/>
      <c r="AI268" s="109"/>
    </row>
    <row r="269" spans="1:35">
      <c r="A269" s="109"/>
      <c r="B269" s="263"/>
      <c r="C269" s="263"/>
      <c r="D269" s="263"/>
      <c r="E269" s="109"/>
      <c r="F269" s="109"/>
      <c r="G269" s="48"/>
      <c r="H269" s="264"/>
      <c r="I269" s="265"/>
      <c r="J269" s="265"/>
      <c r="K269" s="264"/>
      <c r="L269" s="265"/>
      <c r="M269" s="264"/>
      <c r="N269" s="264"/>
      <c r="O269" s="264"/>
      <c r="P269" s="264"/>
      <c r="Q269" s="263"/>
      <c r="R269" s="263"/>
      <c r="S269" s="263"/>
      <c r="T269" s="263"/>
      <c r="U269" s="263"/>
      <c r="V269" s="109"/>
      <c r="W269" s="263"/>
      <c r="X269" s="263"/>
      <c r="Y269" s="263"/>
      <c r="Z269" s="263"/>
      <c r="AA269" s="263"/>
      <c r="AB269" s="109"/>
      <c r="AC269" s="109"/>
      <c r="AD269" s="109"/>
      <c r="AE269" s="109"/>
      <c r="AF269" s="109"/>
      <c r="AG269" s="109"/>
      <c r="AH269" s="109"/>
      <c r="AI269" s="109"/>
    </row>
    <row r="270" spans="1:35">
      <c r="A270" s="109"/>
      <c r="B270" s="263"/>
      <c r="C270" s="263"/>
      <c r="D270" s="263"/>
      <c r="E270" s="109"/>
      <c r="F270" s="109"/>
      <c r="G270" s="48"/>
      <c r="H270" s="264"/>
      <c r="I270" s="265"/>
      <c r="J270" s="265"/>
      <c r="K270" s="264"/>
      <c r="L270" s="265"/>
      <c r="M270" s="264"/>
      <c r="N270" s="264"/>
      <c r="O270" s="264"/>
      <c r="P270" s="264"/>
      <c r="Q270" s="263"/>
      <c r="R270" s="263"/>
      <c r="S270" s="263"/>
      <c r="T270" s="263"/>
      <c r="U270" s="263"/>
      <c r="V270" s="109"/>
      <c r="W270" s="263"/>
      <c r="X270" s="263"/>
      <c r="Y270" s="263"/>
      <c r="Z270" s="263"/>
      <c r="AA270" s="263"/>
      <c r="AB270" s="109"/>
      <c r="AC270" s="109"/>
      <c r="AD270" s="109"/>
      <c r="AE270" s="109"/>
      <c r="AF270" s="109"/>
      <c r="AG270" s="109"/>
      <c r="AH270" s="109"/>
      <c r="AI270" s="109"/>
    </row>
    <row r="271" spans="1:35">
      <c r="A271" s="109"/>
      <c r="B271" s="263"/>
      <c r="C271" s="263"/>
      <c r="D271" s="263"/>
      <c r="E271" s="109"/>
      <c r="F271" s="109"/>
      <c r="G271" s="48"/>
      <c r="H271" s="264"/>
      <c r="I271" s="265"/>
      <c r="J271" s="265"/>
      <c r="K271" s="264"/>
      <c r="L271" s="265"/>
      <c r="M271" s="264"/>
      <c r="N271" s="264"/>
      <c r="O271" s="264"/>
      <c r="P271" s="264"/>
      <c r="Q271" s="263"/>
      <c r="R271" s="263"/>
      <c r="S271" s="263"/>
      <c r="T271" s="263"/>
      <c r="U271" s="263"/>
      <c r="V271" s="109"/>
      <c r="W271" s="263"/>
      <c r="X271" s="263"/>
      <c r="Y271" s="263"/>
      <c r="Z271" s="263"/>
      <c r="AA271" s="263"/>
      <c r="AB271" s="109"/>
      <c r="AC271" s="109"/>
      <c r="AD271" s="109"/>
      <c r="AE271" s="109"/>
      <c r="AF271" s="109"/>
      <c r="AG271" s="109"/>
      <c r="AH271" s="109"/>
      <c r="AI271" s="109"/>
    </row>
    <row r="272" spans="1:35">
      <c r="A272" s="109"/>
      <c r="B272" s="263"/>
      <c r="C272" s="263"/>
      <c r="D272" s="263"/>
      <c r="E272" s="109"/>
      <c r="F272" s="109"/>
      <c r="G272" s="48"/>
      <c r="H272" s="264"/>
      <c r="I272" s="265"/>
      <c r="J272" s="265"/>
      <c r="K272" s="264"/>
      <c r="L272" s="265"/>
      <c r="M272" s="264"/>
      <c r="N272" s="264"/>
      <c r="O272" s="264"/>
      <c r="P272" s="264"/>
      <c r="Q272" s="263"/>
      <c r="R272" s="263"/>
      <c r="S272" s="263"/>
      <c r="T272" s="263"/>
      <c r="U272" s="263"/>
      <c r="V272" s="109"/>
      <c r="W272" s="263"/>
      <c r="X272" s="263"/>
      <c r="Y272" s="263"/>
      <c r="Z272" s="263"/>
      <c r="AA272" s="263"/>
      <c r="AB272" s="109"/>
      <c r="AC272" s="109"/>
      <c r="AD272" s="109"/>
      <c r="AE272" s="109"/>
      <c r="AF272" s="109"/>
      <c r="AG272" s="109"/>
      <c r="AH272" s="109"/>
      <c r="AI272" s="109"/>
    </row>
    <row r="273" spans="1:35">
      <c r="A273" s="109"/>
      <c r="B273" s="263"/>
      <c r="C273" s="263"/>
      <c r="D273" s="263"/>
      <c r="E273" s="109"/>
      <c r="F273" s="109"/>
      <c r="G273" s="48"/>
      <c r="H273" s="264"/>
      <c r="I273" s="265"/>
      <c r="J273" s="265"/>
      <c r="K273" s="264"/>
      <c r="L273" s="265"/>
      <c r="M273" s="264"/>
      <c r="N273" s="264"/>
      <c r="O273" s="264"/>
      <c r="P273" s="264"/>
      <c r="Q273" s="263"/>
      <c r="R273" s="263"/>
      <c r="S273" s="263"/>
      <c r="T273" s="263"/>
      <c r="U273" s="263"/>
      <c r="V273" s="109"/>
      <c r="W273" s="263"/>
      <c r="X273" s="263"/>
      <c r="Y273" s="263"/>
      <c r="Z273" s="263"/>
      <c r="AA273" s="263"/>
      <c r="AB273" s="109"/>
      <c r="AC273" s="109"/>
      <c r="AD273" s="109"/>
      <c r="AE273" s="109"/>
      <c r="AF273" s="109"/>
      <c r="AG273" s="109"/>
      <c r="AH273" s="109"/>
      <c r="AI273" s="109"/>
    </row>
    <row r="274" spans="1:35">
      <c r="A274" s="109"/>
      <c r="B274" s="263"/>
      <c r="C274" s="263"/>
      <c r="D274" s="263"/>
      <c r="E274" s="109"/>
      <c r="F274" s="109"/>
      <c r="G274" s="48"/>
      <c r="H274" s="264"/>
      <c r="I274" s="265"/>
      <c r="J274" s="265"/>
      <c r="K274" s="264"/>
      <c r="L274" s="265"/>
      <c r="M274" s="264"/>
      <c r="N274" s="264"/>
      <c r="O274" s="264"/>
      <c r="P274" s="264"/>
      <c r="Q274" s="263"/>
      <c r="R274" s="263"/>
      <c r="S274" s="263"/>
      <c r="T274" s="263"/>
      <c r="U274" s="263"/>
      <c r="V274" s="109"/>
      <c r="W274" s="263"/>
      <c r="X274" s="263"/>
      <c r="Y274" s="263"/>
      <c r="Z274" s="263"/>
      <c r="AA274" s="263"/>
      <c r="AB274" s="109"/>
      <c r="AC274" s="109"/>
      <c r="AD274" s="109"/>
      <c r="AE274" s="109"/>
      <c r="AF274" s="109"/>
      <c r="AG274" s="109"/>
      <c r="AH274" s="109"/>
      <c r="AI274" s="109"/>
    </row>
    <row r="275" spans="1:35">
      <c r="A275" s="109"/>
      <c r="B275" s="263"/>
      <c r="C275" s="263"/>
      <c r="D275" s="263"/>
      <c r="E275" s="109"/>
      <c r="F275" s="109"/>
      <c r="G275" s="48"/>
      <c r="H275" s="264"/>
      <c r="I275" s="265"/>
      <c r="J275" s="265"/>
      <c r="K275" s="264"/>
      <c r="L275" s="265"/>
      <c r="M275" s="264"/>
      <c r="N275" s="264"/>
      <c r="O275" s="264"/>
      <c r="P275" s="264"/>
      <c r="Q275" s="263"/>
      <c r="R275" s="263"/>
      <c r="S275" s="263"/>
      <c r="T275" s="263"/>
      <c r="U275" s="263"/>
      <c r="V275" s="109"/>
      <c r="W275" s="263"/>
      <c r="X275" s="263"/>
      <c r="Y275" s="263"/>
      <c r="Z275" s="263"/>
      <c r="AA275" s="263"/>
      <c r="AB275" s="109"/>
      <c r="AC275" s="109"/>
      <c r="AD275" s="109"/>
      <c r="AE275" s="109"/>
      <c r="AF275" s="109"/>
      <c r="AG275" s="109"/>
      <c r="AH275" s="109"/>
      <c r="AI275" s="109"/>
    </row>
    <row r="276" spans="1:35">
      <c r="A276" s="109"/>
      <c r="B276" s="263"/>
      <c r="C276" s="263"/>
      <c r="D276" s="263"/>
      <c r="E276" s="109"/>
      <c r="F276" s="109"/>
      <c r="G276" s="48"/>
      <c r="H276" s="264"/>
      <c r="I276" s="265"/>
      <c r="J276" s="265"/>
      <c r="K276" s="264"/>
      <c r="L276" s="265"/>
      <c r="M276" s="264"/>
      <c r="N276" s="264"/>
      <c r="O276" s="264"/>
      <c r="P276" s="264"/>
      <c r="Q276" s="263"/>
      <c r="R276" s="263"/>
      <c r="S276" s="263"/>
      <c r="T276" s="263"/>
      <c r="U276" s="263"/>
      <c r="V276" s="109"/>
      <c r="W276" s="263"/>
      <c r="X276" s="263"/>
      <c r="Y276" s="263"/>
      <c r="Z276" s="263"/>
      <c r="AA276" s="263"/>
      <c r="AB276" s="109"/>
      <c r="AC276" s="109"/>
      <c r="AD276" s="109"/>
      <c r="AE276" s="109"/>
      <c r="AF276" s="109"/>
      <c r="AG276" s="109"/>
      <c r="AH276" s="109"/>
      <c r="AI276" s="109"/>
    </row>
    <row r="277" spans="1:35">
      <c r="A277" s="109"/>
      <c r="B277" s="263"/>
      <c r="C277" s="263"/>
      <c r="D277" s="263"/>
      <c r="E277" s="109"/>
      <c r="F277" s="109"/>
      <c r="G277" s="48"/>
      <c r="H277" s="264"/>
      <c r="I277" s="265"/>
      <c r="J277" s="265"/>
      <c r="K277" s="264"/>
      <c r="L277" s="265"/>
      <c r="M277" s="264"/>
      <c r="N277" s="264"/>
      <c r="O277" s="264"/>
      <c r="P277" s="264"/>
      <c r="Q277" s="263"/>
      <c r="R277" s="263"/>
      <c r="S277" s="263"/>
      <c r="T277" s="263"/>
      <c r="U277" s="263"/>
      <c r="V277" s="109"/>
      <c r="W277" s="263"/>
      <c r="X277" s="263"/>
      <c r="Y277" s="263"/>
      <c r="Z277" s="263"/>
      <c r="AA277" s="263"/>
      <c r="AB277" s="109"/>
      <c r="AC277" s="109"/>
      <c r="AD277" s="109"/>
      <c r="AE277" s="109"/>
      <c r="AF277" s="109"/>
      <c r="AG277" s="109"/>
      <c r="AH277" s="109"/>
      <c r="AI277" s="109"/>
    </row>
    <row r="278" spans="1:35">
      <c r="A278" s="109"/>
      <c r="B278" s="263"/>
      <c r="C278" s="263"/>
      <c r="D278" s="263"/>
      <c r="E278" s="109"/>
      <c r="F278" s="109"/>
      <c r="G278" s="48"/>
      <c r="H278" s="264"/>
      <c r="I278" s="265"/>
      <c r="J278" s="265"/>
      <c r="K278" s="264"/>
      <c r="L278" s="265"/>
      <c r="M278" s="264"/>
      <c r="N278" s="264"/>
      <c r="O278" s="264"/>
      <c r="P278" s="264"/>
      <c r="Q278" s="263"/>
      <c r="R278" s="263"/>
      <c r="S278" s="263"/>
      <c r="T278" s="263"/>
      <c r="U278" s="263"/>
      <c r="V278" s="109"/>
      <c r="W278" s="263"/>
      <c r="X278" s="263"/>
      <c r="Y278" s="263"/>
      <c r="Z278" s="263"/>
      <c r="AA278" s="263"/>
      <c r="AB278" s="109"/>
      <c r="AC278" s="109"/>
      <c r="AD278" s="109"/>
      <c r="AE278" s="109"/>
      <c r="AF278" s="109"/>
      <c r="AG278" s="109"/>
      <c r="AH278" s="109"/>
      <c r="AI278" s="109"/>
    </row>
    <row r="279" spans="1:35">
      <c r="A279" s="109"/>
      <c r="B279" s="263"/>
      <c r="C279" s="263"/>
      <c r="D279" s="263"/>
      <c r="E279" s="109"/>
      <c r="F279" s="109"/>
      <c r="G279" s="48"/>
      <c r="H279" s="264"/>
      <c r="I279" s="265"/>
      <c r="J279" s="265"/>
      <c r="K279" s="264"/>
      <c r="L279" s="265"/>
      <c r="M279" s="264"/>
      <c r="N279" s="264"/>
      <c r="O279" s="264"/>
      <c r="P279" s="264"/>
      <c r="Q279" s="263"/>
      <c r="R279" s="263"/>
      <c r="S279" s="263"/>
      <c r="T279" s="263"/>
      <c r="U279" s="263"/>
      <c r="V279" s="109"/>
      <c r="W279" s="263"/>
      <c r="X279" s="263"/>
      <c r="Y279" s="263"/>
      <c r="Z279" s="263"/>
      <c r="AA279" s="263"/>
      <c r="AB279" s="109"/>
      <c r="AC279" s="109"/>
      <c r="AD279" s="109"/>
      <c r="AE279" s="109"/>
      <c r="AF279" s="109"/>
      <c r="AG279" s="109"/>
      <c r="AH279" s="109"/>
      <c r="AI279" s="109"/>
    </row>
    <row r="280" spans="1:35">
      <c r="A280" s="109"/>
      <c r="B280" s="263"/>
      <c r="C280" s="263"/>
      <c r="D280" s="263"/>
      <c r="E280" s="109"/>
      <c r="F280" s="109"/>
      <c r="G280" s="48"/>
      <c r="H280" s="264"/>
      <c r="I280" s="265"/>
      <c r="J280" s="265"/>
      <c r="K280" s="264"/>
      <c r="L280" s="265"/>
      <c r="M280" s="264"/>
      <c r="N280" s="264"/>
      <c r="O280" s="264"/>
      <c r="P280" s="264"/>
      <c r="Q280" s="263"/>
      <c r="R280" s="263"/>
      <c r="S280" s="263"/>
      <c r="T280" s="263"/>
      <c r="U280" s="263"/>
      <c r="V280" s="109"/>
      <c r="W280" s="263"/>
      <c r="X280" s="263"/>
      <c r="Y280" s="263"/>
      <c r="Z280" s="263"/>
      <c r="AA280" s="263"/>
      <c r="AB280" s="109"/>
      <c r="AC280" s="109"/>
      <c r="AD280" s="109"/>
      <c r="AE280" s="109"/>
      <c r="AF280" s="109"/>
      <c r="AG280" s="109"/>
      <c r="AH280" s="109"/>
      <c r="AI280" s="109"/>
    </row>
    <row r="281" spans="1:35">
      <c r="A281" s="109"/>
      <c r="B281" s="263"/>
      <c r="C281" s="263"/>
      <c r="D281" s="263"/>
      <c r="E281" s="109"/>
      <c r="F281" s="109"/>
      <c r="G281" s="48"/>
      <c r="H281" s="264"/>
      <c r="I281" s="265"/>
      <c r="J281" s="265"/>
      <c r="K281" s="264"/>
      <c r="L281" s="265"/>
      <c r="M281" s="264"/>
      <c r="N281" s="264"/>
      <c r="O281" s="264"/>
      <c r="P281" s="264"/>
      <c r="Q281" s="263"/>
      <c r="R281" s="263"/>
      <c r="S281" s="263"/>
      <c r="T281" s="263"/>
      <c r="U281" s="263"/>
      <c r="V281" s="109"/>
      <c r="W281" s="263"/>
      <c r="X281" s="263"/>
      <c r="Y281" s="263"/>
      <c r="Z281" s="263"/>
      <c r="AA281" s="263"/>
      <c r="AB281" s="109"/>
      <c r="AC281" s="109"/>
      <c r="AD281" s="109"/>
      <c r="AE281" s="109"/>
      <c r="AF281" s="109"/>
      <c r="AG281" s="109"/>
      <c r="AH281" s="109"/>
      <c r="AI281" s="109"/>
    </row>
    <row r="282" spans="1:35">
      <c r="A282" s="109"/>
      <c r="B282" s="263"/>
      <c r="C282" s="263"/>
      <c r="D282" s="263"/>
      <c r="E282" s="109"/>
      <c r="F282" s="109"/>
      <c r="G282" s="48"/>
      <c r="H282" s="264"/>
      <c r="I282" s="265"/>
      <c r="J282" s="265"/>
      <c r="K282" s="264"/>
      <c r="L282" s="265"/>
      <c r="M282" s="264"/>
      <c r="N282" s="264"/>
      <c r="O282" s="264"/>
      <c r="P282" s="264"/>
      <c r="Q282" s="263"/>
      <c r="R282" s="263"/>
      <c r="S282" s="263"/>
      <c r="T282" s="263"/>
      <c r="U282" s="263"/>
      <c r="V282" s="109"/>
      <c r="W282" s="263"/>
      <c r="X282" s="263"/>
      <c r="Y282" s="263"/>
      <c r="Z282" s="263"/>
      <c r="AA282" s="263"/>
      <c r="AB282" s="109"/>
      <c r="AC282" s="109"/>
      <c r="AD282" s="109"/>
      <c r="AE282" s="109"/>
      <c r="AF282" s="109"/>
      <c r="AG282" s="109"/>
      <c r="AH282" s="109"/>
      <c r="AI282" s="109"/>
    </row>
    <row r="283" spans="1:35">
      <c r="A283" s="109"/>
      <c r="B283" s="263"/>
      <c r="C283" s="263"/>
      <c r="D283" s="263"/>
      <c r="E283" s="109"/>
      <c r="F283" s="109"/>
      <c r="G283" s="48"/>
      <c r="H283" s="264"/>
      <c r="I283" s="265"/>
      <c r="J283" s="265"/>
      <c r="K283" s="264"/>
      <c r="L283" s="265"/>
      <c r="M283" s="264"/>
      <c r="N283" s="264"/>
      <c r="O283" s="264"/>
      <c r="P283" s="264"/>
      <c r="Q283" s="263"/>
      <c r="R283" s="263"/>
      <c r="S283" s="263"/>
      <c r="T283" s="263"/>
      <c r="U283" s="263"/>
      <c r="V283" s="109"/>
      <c r="W283" s="263"/>
      <c r="X283" s="263"/>
      <c r="Y283" s="263"/>
      <c r="Z283" s="263"/>
      <c r="AA283" s="263"/>
      <c r="AB283" s="109"/>
      <c r="AC283" s="109"/>
      <c r="AD283" s="109"/>
      <c r="AE283" s="109"/>
      <c r="AF283" s="109"/>
      <c r="AG283" s="109"/>
      <c r="AH283" s="109"/>
      <c r="AI283" s="109"/>
    </row>
    <row r="284" spans="1:35">
      <c r="A284" s="109"/>
      <c r="B284" s="263"/>
      <c r="C284" s="263"/>
      <c r="D284" s="263"/>
      <c r="E284" s="109"/>
      <c r="F284" s="109"/>
      <c r="G284" s="48"/>
      <c r="H284" s="264"/>
      <c r="I284" s="265"/>
      <c r="J284" s="265"/>
      <c r="K284" s="264"/>
      <c r="L284" s="265"/>
      <c r="M284" s="264"/>
      <c r="N284" s="264"/>
      <c r="O284" s="264"/>
      <c r="P284" s="264"/>
      <c r="Q284" s="263"/>
      <c r="R284" s="263"/>
      <c r="S284" s="263"/>
      <c r="T284" s="263"/>
      <c r="U284" s="263"/>
      <c r="V284" s="109"/>
      <c r="W284" s="263"/>
      <c r="X284" s="263"/>
      <c r="Y284" s="263"/>
      <c r="Z284" s="263"/>
      <c r="AA284" s="263"/>
      <c r="AB284" s="109"/>
      <c r="AC284" s="109"/>
      <c r="AD284" s="109"/>
      <c r="AE284" s="109"/>
      <c r="AF284" s="109"/>
      <c r="AG284" s="109"/>
      <c r="AH284" s="109"/>
      <c r="AI284" s="109"/>
    </row>
    <row r="285" spans="1:35">
      <c r="A285" s="109"/>
      <c r="B285" s="263"/>
      <c r="C285" s="263"/>
      <c r="D285" s="263"/>
      <c r="E285" s="109"/>
      <c r="F285" s="109"/>
      <c r="G285" s="48"/>
      <c r="H285" s="264"/>
      <c r="I285" s="265"/>
      <c r="J285" s="265"/>
      <c r="K285" s="264"/>
      <c r="L285" s="265"/>
      <c r="M285" s="264"/>
      <c r="N285" s="264"/>
      <c r="O285" s="264"/>
      <c r="P285" s="264"/>
      <c r="Q285" s="263"/>
      <c r="R285" s="263"/>
      <c r="S285" s="263"/>
      <c r="T285" s="263"/>
      <c r="U285" s="263"/>
      <c r="V285" s="109"/>
      <c r="W285" s="263"/>
      <c r="X285" s="263"/>
      <c r="Y285" s="263"/>
      <c r="Z285" s="263"/>
      <c r="AA285" s="263"/>
      <c r="AB285" s="109"/>
      <c r="AC285" s="109"/>
      <c r="AD285" s="109"/>
      <c r="AE285" s="109"/>
      <c r="AF285" s="109"/>
      <c r="AG285" s="109"/>
      <c r="AH285" s="109"/>
      <c r="AI285" s="109"/>
    </row>
    <row r="286" spans="1:35">
      <c r="A286" s="109"/>
      <c r="B286" s="263"/>
      <c r="C286" s="263"/>
      <c r="D286" s="263"/>
      <c r="E286" s="109"/>
      <c r="F286" s="109"/>
      <c r="G286" s="48"/>
      <c r="H286" s="264"/>
      <c r="I286" s="265"/>
      <c r="J286" s="265"/>
      <c r="K286" s="264"/>
      <c r="L286" s="265"/>
      <c r="M286" s="264"/>
      <c r="N286" s="264"/>
      <c r="O286" s="264"/>
      <c r="P286" s="264"/>
      <c r="Q286" s="263"/>
      <c r="R286" s="263"/>
      <c r="S286" s="263"/>
      <c r="T286" s="263"/>
      <c r="U286" s="263"/>
      <c r="V286" s="109"/>
      <c r="W286" s="263"/>
      <c r="X286" s="263"/>
      <c r="Y286" s="263"/>
      <c r="Z286" s="263"/>
      <c r="AA286" s="263"/>
      <c r="AB286" s="109"/>
      <c r="AC286" s="109"/>
      <c r="AD286" s="109"/>
      <c r="AE286" s="109"/>
      <c r="AF286" s="109"/>
      <c r="AG286" s="109"/>
      <c r="AH286" s="109"/>
      <c r="AI286" s="109"/>
    </row>
    <row r="287" spans="1:35">
      <c r="A287" s="109"/>
      <c r="B287" s="263"/>
      <c r="C287" s="263"/>
      <c r="D287" s="263"/>
      <c r="E287" s="109"/>
      <c r="F287" s="109"/>
      <c r="G287" s="48"/>
      <c r="H287" s="264"/>
      <c r="I287" s="265"/>
      <c r="J287" s="265"/>
      <c r="K287" s="264"/>
      <c r="L287" s="265"/>
      <c r="M287" s="264"/>
      <c r="N287" s="264"/>
      <c r="O287" s="264"/>
      <c r="P287" s="264"/>
      <c r="Q287" s="263"/>
      <c r="R287" s="263"/>
      <c r="S287" s="263"/>
      <c r="T287" s="263"/>
      <c r="U287" s="263"/>
      <c r="V287" s="109"/>
      <c r="W287" s="263"/>
      <c r="X287" s="263"/>
      <c r="Y287" s="263"/>
      <c r="Z287" s="263"/>
      <c r="AA287" s="263"/>
      <c r="AB287" s="109"/>
      <c r="AC287" s="109"/>
      <c r="AD287" s="109"/>
      <c r="AE287" s="109"/>
      <c r="AF287" s="109"/>
      <c r="AG287" s="109"/>
      <c r="AH287" s="109"/>
      <c r="AI287" s="109"/>
    </row>
    <row r="288" spans="1:35">
      <c r="A288" s="109"/>
      <c r="B288" s="263"/>
      <c r="C288" s="263"/>
      <c r="D288" s="263"/>
      <c r="E288" s="109"/>
      <c r="F288" s="109"/>
      <c r="G288" s="48"/>
      <c r="H288" s="264"/>
      <c r="I288" s="265"/>
      <c r="J288" s="265"/>
      <c r="K288" s="264"/>
      <c r="L288" s="265"/>
      <c r="M288" s="264"/>
      <c r="N288" s="264"/>
      <c r="O288" s="264"/>
      <c r="P288" s="264"/>
      <c r="Q288" s="263"/>
      <c r="R288" s="263"/>
      <c r="S288" s="263"/>
      <c r="T288" s="263"/>
      <c r="U288" s="263"/>
      <c r="V288" s="109"/>
      <c r="W288" s="263"/>
      <c r="X288" s="263"/>
      <c r="Y288" s="263"/>
      <c r="Z288" s="263"/>
      <c r="AA288" s="263"/>
      <c r="AB288" s="109"/>
      <c r="AC288" s="109"/>
      <c r="AD288" s="109"/>
      <c r="AE288" s="109"/>
      <c r="AF288" s="109"/>
      <c r="AG288" s="109"/>
      <c r="AH288" s="109"/>
      <c r="AI288" s="109"/>
    </row>
    <row r="289" spans="1:35">
      <c r="A289" s="109"/>
      <c r="B289" s="263"/>
      <c r="C289" s="263"/>
      <c r="D289" s="263"/>
      <c r="E289" s="109"/>
      <c r="F289" s="109"/>
      <c r="G289" s="48"/>
      <c r="H289" s="264"/>
      <c r="I289" s="265"/>
      <c r="J289" s="265"/>
      <c r="K289" s="264"/>
      <c r="L289" s="265"/>
      <c r="M289" s="264"/>
      <c r="N289" s="264"/>
      <c r="O289" s="264"/>
      <c r="P289" s="264"/>
      <c r="Q289" s="263"/>
      <c r="R289" s="263"/>
      <c r="S289" s="263"/>
      <c r="T289" s="263"/>
      <c r="U289" s="263"/>
      <c r="V289" s="109"/>
      <c r="W289" s="263"/>
      <c r="X289" s="263"/>
      <c r="Y289" s="263"/>
      <c r="Z289" s="263"/>
      <c r="AA289" s="263"/>
      <c r="AB289" s="109"/>
      <c r="AC289" s="109"/>
      <c r="AD289" s="109"/>
      <c r="AE289" s="109"/>
      <c r="AF289" s="109"/>
      <c r="AG289" s="109"/>
      <c r="AH289" s="109"/>
      <c r="AI289" s="109"/>
    </row>
    <row r="290" spans="1:35">
      <c r="A290" s="109"/>
      <c r="B290" s="263"/>
      <c r="C290" s="263"/>
      <c r="D290" s="263"/>
      <c r="E290" s="109"/>
      <c r="F290" s="109"/>
      <c r="G290" s="48"/>
      <c r="H290" s="264"/>
      <c r="I290" s="265"/>
      <c r="J290" s="265"/>
      <c r="K290" s="264"/>
      <c r="L290" s="265"/>
      <c r="M290" s="264"/>
      <c r="N290" s="264"/>
      <c r="O290" s="264"/>
      <c r="P290" s="264"/>
      <c r="Q290" s="263"/>
      <c r="R290" s="263"/>
      <c r="S290" s="263"/>
      <c r="T290" s="263"/>
      <c r="U290" s="263"/>
      <c r="V290" s="109"/>
      <c r="W290" s="263"/>
      <c r="X290" s="263"/>
      <c r="Y290" s="263"/>
      <c r="Z290" s="263"/>
      <c r="AA290" s="263"/>
      <c r="AB290" s="109"/>
      <c r="AC290" s="109"/>
      <c r="AD290" s="109"/>
      <c r="AE290" s="109"/>
      <c r="AF290" s="109"/>
      <c r="AG290" s="109"/>
      <c r="AH290" s="109"/>
      <c r="AI290" s="109"/>
    </row>
    <row r="291" spans="1:35">
      <c r="A291" s="109"/>
      <c r="B291" s="263"/>
      <c r="C291" s="263"/>
      <c r="D291" s="263"/>
      <c r="E291" s="109"/>
      <c r="F291" s="109"/>
      <c r="G291" s="48"/>
      <c r="H291" s="264"/>
      <c r="I291" s="265"/>
      <c r="J291" s="265"/>
      <c r="K291" s="264"/>
      <c r="L291" s="265"/>
      <c r="M291" s="264"/>
      <c r="N291" s="264"/>
      <c r="O291" s="264"/>
      <c r="P291" s="264"/>
      <c r="Q291" s="263"/>
      <c r="R291" s="263"/>
      <c r="S291" s="263"/>
      <c r="T291" s="263"/>
      <c r="U291" s="263"/>
      <c r="V291" s="109"/>
      <c r="W291" s="263"/>
      <c r="X291" s="263"/>
      <c r="Y291" s="263"/>
      <c r="Z291" s="263"/>
      <c r="AA291" s="263"/>
      <c r="AB291" s="109"/>
      <c r="AC291" s="109"/>
      <c r="AD291" s="109"/>
      <c r="AE291" s="109"/>
      <c r="AF291" s="109"/>
      <c r="AG291" s="109"/>
      <c r="AH291" s="109"/>
      <c r="AI291" s="109"/>
    </row>
    <row r="292" spans="1:35">
      <c r="A292" s="109"/>
      <c r="B292" s="263"/>
      <c r="C292" s="263"/>
      <c r="D292" s="263"/>
      <c r="E292" s="109"/>
      <c r="F292" s="109"/>
      <c r="G292" s="48"/>
      <c r="H292" s="264"/>
      <c r="I292" s="265"/>
      <c r="J292" s="265"/>
      <c r="K292" s="264"/>
      <c r="L292" s="265"/>
      <c r="M292" s="264"/>
      <c r="N292" s="264"/>
      <c r="O292" s="264"/>
      <c r="P292" s="264"/>
      <c r="Q292" s="263"/>
      <c r="R292" s="263"/>
      <c r="S292" s="263"/>
      <c r="T292" s="263"/>
      <c r="U292" s="263"/>
      <c r="V292" s="109"/>
      <c r="W292" s="263"/>
      <c r="X292" s="263"/>
      <c r="Y292" s="263"/>
      <c r="Z292" s="263"/>
      <c r="AA292" s="263"/>
      <c r="AB292" s="109"/>
      <c r="AC292" s="109"/>
      <c r="AD292" s="109"/>
      <c r="AE292" s="109"/>
      <c r="AF292" s="109"/>
      <c r="AG292" s="109"/>
      <c r="AH292" s="109"/>
      <c r="AI292" s="109"/>
    </row>
    <row r="293" spans="1:35">
      <c r="A293" s="109"/>
      <c r="B293" s="263"/>
      <c r="C293" s="263"/>
      <c r="D293" s="263"/>
      <c r="E293" s="109"/>
      <c r="F293" s="109"/>
      <c r="G293" s="48"/>
      <c r="H293" s="264"/>
      <c r="I293" s="265"/>
      <c r="J293" s="265"/>
      <c r="K293" s="264"/>
      <c r="L293" s="265"/>
      <c r="M293" s="264"/>
      <c r="N293" s="264"/>
      <c r="O293" s="264"/>
      <c r="P293" s="264"/>
      <c r="Q293" s="263"/>
      <c r="R293" s="263"/>
      <c r="S293" s="263"/>
      <c r="T293" s="263"/>
      <c r="U293" s="263"/>
      <c r="V293" s="109"/>
      <c r="W293" s="263"/>
      <c r="X293" s="263"/>
      <c r="Y293" s="263"/>
      <c r="Z293" s="263"/>
      <c r="AA293" s="263"/>
      <c r="AB293" s="109"/>
      <c r="AC293" s="109"/>
      <c r="AD293" s="109"/>
      <c r="AE293" s="109"/>
      <c r="AF293" s="109"/>
      <c r="AG293" s="109"/>
      <c r="AH293" s="109"/>
      <c r="AI293" s="109"/>
    </row>
    <row r="294" spans="1:35">
      <c r="A294" s="109"/>
      <c r="B294" s="263"/>
      <c r="C294" s="263"/>
      <c r="D294" s="263"/>
      <c r="E294" s="109"/>
      <c r="F294" s="109"/>
      <c r="G294" s="48"/>
      <c r="H294" s="264"/>
      <c r="I294" s="265"/>
      <c r="J294" s="265"/>
      <c r="K294" s="264"/>
      <c r="L294" s="265"/>
      <c r="M294" s="264"/>
      <c r="N294" s="264"/>
      <c r="O294" s="264"/>
      <c r="P294" s="264"/>
      <c r="Q294" s="263"/>
      <c r="R294" s="263"/>
      <c r="S294" s="263"/>
      <c r="T294" s="263"/>
      <c r="U294" s="263"/>
      <c r="V294" s="109"/>
      <c r="W294" s="263"/>
      <c r="X294" s="263"/>
      <c r="Y294" s="263"/>
      <c r="Z294" s="263"/>
      <c r="AA294" s="263"/>
      <c r="AB294" s="109"/>
      <c r="AC294" s="109"/>
      <c r="AD294" s="109"/>
      <c r="AE294" s="109"/>
      <c r="AF294" s="109"/>
      <c r="AG294" s="109"/>
      <c r="AH294" s="109"/>
      <c r="AI294" s="109"/>
    </row>
    <row r="295" spans="1:35">
      <c r="A295" s="109"/>
      <c r="B295" s="263"/>
      <c r="C295" s="263"/>
      <c r="D295" s="263"/>
      <c r="E295" s="109"/>
      <c r="F295" s="109"/>
      <c r="G295" s="48"/>
      <c r="H295" s="264"/>
      <c r="I295" s="265"/>
      <c r="J295" s="265"/>
      <c r="K295" s="264"/>
      <c r="L295" s="265"/>
      <c r="M295" s="264"/>
      <c r="N295" s="264"/>
      <c r="O295" s="264"/>
      <c r="P295" s="264"/>
      <c r="Q295" s="263"/>
      <c r="R295" s="263"/>
      <c r="S295" s="263"/>
      <c r="T295" s="263"/>
      <c r="U295" s="263"/>
      <c r="V295" s="109"/>
      <c r="W295" s="263"/>
      <c r="X295" s="263"/>
      <c r="Y295" s="263"/>
      <c r="Z295" s="263"/>
      <c r="AA295" s="263"/>
      <c r="AB295" s="109"/>
      <c r="AC295" s="109"/>
      <c r="AD295" s="109"/>
      <c r="AE295" s="109"/>
      <c r="AF295" s="109"/>
      <c r="AG295" s="109"/>
      <c r="AH295" s="109"/>
      <c r="AI295" s="109"/>
    </row>
    <row r="296" spans="1:35">
      <c r="A296" s="109"/>
      <c r="B296" s="263"/>
      <c r="C296" s="263"/>
      <c r="D296" s="263"/>
      <c r="E296" s="109"/>
      <c r="F296" s="109"/>
      <c r="G296" s="48"/>
      <c r="H296" s="264"/>
      <c r="I296" s="265"/>
      <c r="J296" s="265"/>
      <c r="K296" s="264"/>
      <c r="L296" s="265"/>
      <c r="M296" s="264"/>
      <c r="N296" s="264"/>
      <c r="O296" s="264"/>
      <c r="P296" s="264"/>
      <c r="Q296" s="263"/>
      <c r="R296" s="263"/>
      <c r="S296" s="263"/>
      <c r="T296" s="263"/>
      <c r="U296" s="263"/>
      <c r="V296" s="109"/>
      <c r="W296" s="263"/>
      <c r="X296" s="263"/>
      <c r="Y296" s="263"/>
      <c r="Z296" s="263"/>
      <c r="AA296" s="263"/>
      <c r="AB296" s="109"/>
      <c r="AC296" s="109"/>
      <c r="AD296" s="109"/>
      <c r="AE296" s="109"/>
      <c r="AF296" s="109"/>
      <c r="AG296" s="109"/>
      <c r="AH296" s="109"/>
      <c r="AI296" s="109"/>
    </row>
    <row r="297" spans="1:35">
      <c r="A297" s="109"/>
      <c r="B297" s="263"/>
      <c r="C297" s="263"/>
      <c r="D297" s="263"/>
      <c r="E297" s="109"/>
      <c r="F297" s="109"/>
      <c r="G297" s="48"/>
      <c r="H297" s="264"/>
      <c r="I297" s="265"/>
      <c r="J297" s="265"/>
      <c r="K297" s="264"/>
      <c r="L297" s="265"/>
      <c r="M297" s="264"/>
      <c r="N297" s="264"/>
      <c r="O297" s="264"/>
      <c r="P297" s="264"/>
      <c r="Q297" s="263"/>
      <c r="R297" s="263"/>
      <c r="S297" s="263"/>
      <c r="T297" s="263"/>
      <c r="U297" s="263"/>
      <c r="V297" s="109"/>
      <c r="W297" s="263"/>
      <c r="X297" s="263"/>
      <c r="Y297" s="263"/>
      <c r="Z297" s="263"/>
      <c r="AA297" s="263"/>
      <c r="AB297" s="109"/>
      <c r="AC297" s="109"/>
      <c r="AD297" s="109"/>
      <c r="AE297" s="109"/>
      <c r="AF297" s="109"/>
      <c r="AG297" s="109"/>
      <c r="AH297" s="109"/>
      <c r="AI297" s="109"/>
    </row>
    <row r="298" spans="1:35">
      <c r="A298" s="109"/>
      <c r="B298" s="263"/>
      <c r="C298" s="263"/>
      <c r="D298" s="263"/>
      <c r="E298" s="109"/>
      <c r="F298" s="109"/>
      <c r="G298" s="48"/>
      <c r="H298" s="264"/>
      <c r="I298" s="265"/>
      <c r="J298" s="265"/>
      <c r="K298" s="264"/>
      <c r="L298" s="265"/>
      <c r="M298" s="264"/>
      <c r="N298" s="264"/>
      <c r="O298" s="264"/>
      <c r="P298" s="264"/>
      <c r="Q298" s="263"/>
      <c r="R298" s="263"/>
      <c r="S298" s="263"/>
      <c r="T298" s="263"/>
      <c r="U298" s="263"/>
      <c r="V298" s="109"/>
      <c r="W298" s="263"/>
      <c r="X298" s="263"/>
      <c r="Y298" s="263"/>
      <c r="Z298" s="263"/>
      <c r="AA298" s="263"/>
      <c r="AB298" s="109"/>
      <c r="AC298" s="109"/>
      <c r="AD298" s="109"/>
      <c r="AE298" s="109"/>
      <c r="AF298" s="109"/>
      <c r="AG298" s="109"/>
      <c r="AH298" s="109"/>
      <c r="AI298" s="109"/>
    </row>
    <row r="299" spans="1:35">
      <c r="A299" s="109"/>
      <c r="B299" s="263"/>
      <c r="C299" s="263"/>
      <c r="D299" s="263"/>
      <c r="E299" s="109"/>
      <c r="F299" s="109"/>
      <c r="G299" s="48"/>
      <c r="H299" s="264"/>
      <c r="I299" s="265"/>
      <c r="J299" s="265"/>
      <c r="K299" s="264"/>
      <c r="L299" s="265"/>
      <c r="M299" s="264"/>
      <c r="N299" s="264"/>
      <c r="O299" s="264"/>
      <c r="P299" s="264"/>
      <c r="Q299" s="263"/>
      <c r="R299" s="263"/>
      <c r="S299" s="263"/>
      <c r="T299" s="263"/>
      <c r="U299" s="263"/>
      <c r="V299" s="109"/>
      <c r="W299" s="263"/>
      <c r="X299" s="263"/>
      <c r="Y299" s="263"/>
      <c r="Z299" s="263"/>
      <c r="AA299" s="263"/>
      <c r="AB299" s="109"/>
      <c r="AC299" s="109"/>
      <c r="AD299" s="109"/>
      <c r="AE299" s="109"/>
      <c r="AF299" s="109"/>
      <c r="AG299" s="109"/>
      <c r="AH299" s="109"/>
      <c r="AI299" s="109"/>
    </row>
    <row r="300" spans="1:35">
      <c r="A300" s="109"/>
      <c r="B300" s="263"/>
      <c r="C300" s="263"/>
      <c r="D300" s="263"/>
      <c r="E300" s="109"/>
      <c r="F300" s="109"/>
      <c r="G300" s="48"/>
      <c r="H300" s="264"/>
      <c r="I300" s="265"/>
      <c r="J300" s="265"/>
      <c r="K300" s="264"/>
      <c r="L300" s="265"/>
      <c r="M300" s="264"/>
      <c r="N300" s="264"/>
      <c r="O300" s="264"/>
      <c r="P300" s="264"/>
      <c r="Q300" s="263"/>
      <c r="R300" s="263"/>
      <c r="S300" s="263"/>
      <c r="T300" s="263"/>
      <c r="U300" s="263"/>
      <c r="V300" s="109"/>
      <c r="W300" s="263"/>
      <c r="X300" s="263"/>
      <c r="Y300" s="263"/>
      <c r="Z300" s="263"/>
      <c r="AA300" s="263"/>
      <c r="AB300" s="109"/>
      <c r="AC300" s="109"/>
      <c r="AD300" s="109"/>
      <c r="AE300" s="109"/>
      <c r="AF300" s="109"/>
      <c r="AG300" s="109"/>
      <c r="AH300" s="109"/>
      <c r="AI300" s="109"/>
    </row>
    <row r="301" spans="1:35">
      <c r="A301" s="109"/>
      <c r="B301" s="263"/>
      <c r="C301" s="263"/>
      <c r="D301" s="263"/>
      <c r="E301" s="109"/>
      <c r="F301" s="109"/>
      <c r="G301" s="48"/>
      <c r="H301" s="264"/>
      <c r="I301" s="265"/>
      <c r="J301" s="265"/>
      <c r="K301" s="264"/>
      <c r="L301" s="265"/>
      <c r="M301" s="264"/>
      <c r="N301" s="264"/>
      <c r="O301" s="264"/>
      <c r="P301" s="264"/>
      <c r="Q301" s="263"/>
      <c r="R301" s="263"/>
      <c r="S301" s="263"/>
      <c r="T301" s="263"/>
      <c r="U301" s="263"/>
      <c r="V301" s="109"/>
      <c r="W301" s="263"/>
      <c r="X301" s="263"/>
      <c r="Y301" s="263"/>
      <c r="Z301" s="263"/>
      <c r="AA301" s="263"/>
      <c r="AB301" s="109"/>
      <c r="AC301" s="109"/>
      <c r="AD301" s="109"/>
      <c r="AE301" s="109"/>
      <c r="AF301" s="109"/>
      <c r="AG301" s="109"/>
      <c r="AH301" s="109"/>
      <c r="AI301" s="109"/>
    </row>
    <row r="302" spans="1:35">
      <c r="A302" s="109"/>
      <c r="B302" s="263"/>
      <c r="C302" s="263"/>
      <c r="D302" s="263"/>
      <c r="E302" s="109"/>
      <c r="F302" s="109"/>
      <c r="G302" s="48"/>
      <c r="H302" s="264"/>
      <c r="I302" s="265"/>
      <c r="J302" s="265"/>
      <c r="K302" s="264"/>
      <c r="L302" s="265"/>
      <c r="M302" s="264"/>
      <c r="N302" s="264"/>
      <c r="O302" s="264"/>
      <c r="P302" s="264"/>
      <c r="Q302" s="263"/>
      <c r="R302" s="263"/>
      <c r="S302" s="263"/>
      <c r="T302" s="263"/>
      <c r="U302" s="263"/>
      <c r="V302" s="109"/>
      <c r="W302" s="263"/>
      <c r="X302" s="263"/>
      <c r="Y302" s="263"/>
      <c r="Z302" s="263"/>
      <c r="AA302" s="263"/>
      <c r="AB302" s="109"/>
      <c r="AC302" s="109"/>
      <c r="AD302" s="109"/>
      <c r="AE302" s="109"/>
      <c r="AF302" s="109"/>
      <c r="AG302" s="109"/>
      <c r="AH302" s="109"/>
      <c r="AI302" s="109"/>
    </row>
    <row r="303" spans="1:35">
      <c r="A303" s="109"/>
      <c r="B303" s="263"/>
      <c r="C303" s="263"/>
      <c r="D303" s="263"/>
      <c r="E303" s="109"/>
      <c r="F303" s="109"/>
      <c r="G303" s="48"/>
      <c r="H303" s="264"/>
      <c r="I303" s="265"/>
      <c r="J303" s="265"/>
      <c r="K303" s="264"/>
      <c r="L303" s="265"/>
      <c r="M303" s="264"/>
      <c r="N303" s="264"/>
      <c r="O303" s="264"/>
      <c r="P303" s="264"/>
      <c r="Q303" s="263"/>
      <c r="R303" s="263"/>
      <c r="S303" s="263"/>
      <c r="T303" s="263"/>
      <c r="U303" s="263"/>
      <c r="V303" s="109"/>
      <c r="W303" s="263"/>
      <c r="X303" s="263"/>
      <c r="Y303" s="263"/>
      <c r="Z303" s="263"/>
      <c r="AA303" s="263"/>
      <c r="AB303" s="109"/>
      <c r="AC303" s="109"/>
      <c r="AD303" s="109"/>
      <c r="AE303" s="109"/>
      <c r="AF303" s="109"/>
      <c r="AG303" s="109"/>
      <c r="AH303" s="109"/>
      <c r="AI303" s="109"/>
    </row>
    <row r="304" spans="1:35">
      <c r="A304" s="109"/>
      <c r="B304" s="263"/>
      <c r="C304" s="263"/>
      <c r="D304" s="263"/>
      <c r="E304" s="109"/>
      <c r="F304" s="109"/>
      <c r="G304" s="48"/>
      <c r="H304" s="264"/>
      <c r="I304" s="265"/>
      <c r="J304" s="265"/>
      <c r="K304" s="264"/>
      <c r="L304" s="265"/>
      <c r="M304" s="264"/>
      <c r="N304" s="264"/>
      <c r="O304" s="264"/>
      <c r="P304" s="264"/>
      <c r="Q304" s="263"/>
      <c r="R304" s="263"/>
      <c r="S304" s="263"/>
      <c r="T304" s="263"/>
      <c r="U304" s="263"/>
      <c r="V304" s="109"/>
      <c r="W304" s="263"/>
      <c r="X304" s="263"/>
      <c r="Y304" s="263"/>
      <c r="Z304" s="263"/>
      <c r="AA304" s="263"/>
      <c r="AB304" s="109"/>
      <c r="AC304" s="109"/>
      <c r="AD304" s="109"/>
      <c r="AE304" s="109"/>
      <c r="AF304" s="109"/>
      <c r="AG304" s="109"/>
      <c r="AH304" s="109"/>
      <c r="AI304" s="109"/>
    </row>
    <row r="305" spans="1:35">
      <c r="A305" s="109"/>
      <c r="B305" s="263"/>
      <c r="C305" s="263"/>
      <c r="D305" s="263"/>
      <c r="E305" s="109"/>
      <c r="F305" s="109"/>
      <c r="G305" s="48"/>
      <c r="H305" s="264"/>
      <c r="I305" s="265"/>
      <c r="J305" s="265"/>
      <c r="K305" s="264"/>
      <c r="L305" s="265"/>
      <c r="M305" s="264"/>
      <c r="N305" s="264"/>
      <c r="O305" s="264"/>
      <c r="P305" s="264"/>
      <c r="Q305" s="263"/>
      <c r="R305" s="263"/>
      <c r="S305" s="263"/>
      <c r="T305" s="263"/>
      <c r="U305" s="263"/>
      <c r="V305" s="109"/>
      <c r="W305" s="263"/>
      <c r="X305" s="263"/>
      <c r="Y305" s="263"/>
      <c r="Z305" s="263"/>
      <c r="AA305" s="263"/>
      <c r="AB305" s="109"/>
      <c r="AC305" s="109"/>
      <c r="AD305" s="109"/>
      <c r="AE305" s="109"/>
      <c r="AF305" s="109"/>
      <c r="AG305" s="109"/>
      <c r="AH305" s="109"/>
      <c r="AI305" s="109"/>
    </row>
    <row r="306" spans="1:35">
      <c r="A306" s="109"/>
      <c r="B306" s="263"/>
      <c r="C306" s="263"/>
      <c r="D306" s="263"/>
      <c r="E306" s="109"/>
      <c r="F306" s="109"/>
      <c r="G306" s="48"/>
      <c r="H306" s="264"/>
      <c r="I306" s="265"/>
      <c r="J306" s="265"/>
      <c r="K306" s="264"/>
      <c r="L306" s="265"/>
      <c r="M306" s="264"/>
      <c r="N306" s="264"/>
      <c r="O306" s="264"/>
      <c r="P306" s="264"/>
      <c r="Q306" s="263"/>
      <c r="R306" s="263"/>
      <c r="S306" s="263"/>
      <c r="T306" s="263"/>
      <c r="U306" s="263"/>
      <c r="V306" s="109"/>
      <c r="W306" s="263"/>
      <c r="X306" s="263"/>
      <c r="Y306" s="263"/>
      <c r="Z306" s="263"/>
      <c r="AA306" s="263"/>
      <c r="AB306" s="109"/>
      <c r="AC306" s="109"/>
      <c r="AD306" s="109"/>
      <c r="AE306" s="109"/>
      <c r="AF306" s="109"/>
      <c r="AG306" s="109"/>
      <c r="AH306" s="109"/>
      <c r="AI306" s="109"/>
    </row>
    <row r="307" spans="1:35">
      <c r="A307" s="109"/>
      <c r="B307" s="263"/>
      <c r="C307" s="263"/>
      <c r="D307" s="263"/>
      <c r="E307" s="109"/>
      <c r="F307" s="109"/>
      <c r="G307" s="48"/>
      <c r="H307" s="264"/>
      <c r="I307" s="265"/>
      <c r="J307" s="265"/>
      <c r="K307" s="264"/>
      <c r="L307" s="265"/>
      <c r="M307" s="264"/>
      <c r="N307" s="264"/>
      <c r="O307" s="264"/>
      <c r="P307" s="264"/>
      <c r="Q307" s="263"/>
      <c r="R307" s="263"/>
      <c r="S307" s="263"/>
      <c r="T307" s="263"/>
      <c r="U307" s="263"/>
      <c r="V307" s="109"/>
      <c r="W307" s="263"/>
      <c r="X307" s="263"/>
      <c r="Y307" s="263"/>
      <c r="Z307" s="263"/>
      <c r="AA307" s="263"/>
      <c r="AB307" s="109"/>
      <c r="AC307" s="109"/>
      <c r="AD307" s="109"/>
      <c r="AE307" s="109"/>
      <c r="AF307" s="109"/>
      <c r="AG307" s="109"/>
      <c r="AH307" s="109"/>
      <c r="AI307" s="109"/>
    </row>
    <row r="308" spans="1:35">
      <c r="A308" s="109"/>
      <c r="B308" s="263"/>
      <c r="C308" s="263"/>
      <c r="D308" s="263"/>
      <c r="E308" s="109"/>
      <c r="F308" s="109"/>
      <c r="G308" s="48"/>
      <c r="H308" s="264"/>
      <c r="I308" s="265"/>
      <c r="J308" s="265"/>
      <c r="K308" s="264"/>
      <c r="L308" s="265"/>
      <c r="M308" s="264"/>
      <c r="N308" s="264"/>
      <c r="O308" s="264"/>
      <c r="P308" s="264"/>
      <c r="Q308" s="263"/>
      <c r="R308" s="263"/>
      <c r="S308" s="263"/>
      <c r="T308" s="263"/>
      <c r="U308" s="263"/>
      <c r="V308" s="109"/>
      <c r="W308" s="263"/>
      <c r="X308" s="263"/>
      <c r="Y308" s="263"/>
      <c r="Z308" s="263"/>
      <c r="AA308" s="263"/>
      <c r="AB308" s="109"/>
      <c r="AC308" s="109"/>
      <c r="AD308" s="109"/>
      <c r="AE308" s="109"/>
      <c r="AF308" s="109"/>
      <c r="AG308" s="109"/>
      <c r="AH308" s="109"/>
      <c r="AI308" s="109"/>
    </row>
    <row r="309" spans="1:35">
      <c r="A309" s="109"/>
      <c r="B309" s="263"/>
      <c r="C309" s="263"/>
      <c r="D309" s="263"/>
      <c r="E309" s="109"/>
      <c r="F309" s="109"/>
      <c r="G309" s="48"/>
      <c r="H309" s="264"/>
      <c r="I309" s="265"/>
      <c r="J309" s="265"/>
      <c r="K309" s="264"/>
      <c r="L309" s="265"/>
      <c r="M309" s="264"/>
      <c r="N309" s="264"/>
      <c r="O309" s="264"/>
      <c r="P309" s="264"/>
      <c r="Q309" s="263"/>
      <c r="R309" s="263"/>
      <c r="S309" s="263"/>
      <c r="T309" s="263"/>
      <c r="U309" s="263"/>
      <c r="V309" s="109"/>
      <c r="W309" s="263"/>
      <c r="X309" s="263"/>
      <c r="Y309" s="263"/>
      <c r="Z309" s="263"/>
      <c r="AA309" s="263"/>
      <c r="AB309" s="109"/>
      <c r="AC309" s="109"/>
      <c r="AD309" s="109"/>
      <c r="AE309" s="109"/>
      <c r="AF309" s="109"/>
      <c r="AG309" s="109"/>
      <c r="AH309" s="109"/>
      <c r="AI309" s="109"/>
    </row>
    <row r="310" spans="1:35">
      <c r="A310" s="109"/>
      <c r="B310" s="263"/>
      <c r="C310" s="263"/>
      <c r="D310" s="263"/>
      <c r="E310" s="109"/>
      <c r="F310" s="109"/>
      <c r="G310" s="48"/>
      <c r="H310" s="264"/>
      <c r="I310" s="265"/>
      <c r="J310" s="265"/>
      <c r="K310" s="264"/>
      <c r="L310" s="265"/>
      <c r="M310" s="264"/>
      <c r="N310" s="264"/>
      <c r="O310" s="264"/>
      <c r="P310" s="264"/>
      <c r="Q310" s="263"/>
      <c r="R310" s="263"/>
      <c r="S310" s="263"/>
      <c r="T310" s="263"/>
      <c r="U310" s="263"/>
      <c r="V310" s="109"/>
      <c r="W310" s="263"/>
      <c r="X310" s="263"/>
      <c r="Y310" s="263"/>
      <c r="Z310" s="263"/>
      <c r="AA310" s="263"/>
      <c r="AB310" s="109"/>
      <c r="AC310" s="109"/>
      <c r="AD310" s="109"/>
      <c r="AE310" s="109"/>
      <c r="AF310" s="109"/>
      <c r="AG310" s="109"/>
      <c r="AH310" s="109"/>
      <c r="AI310" s="109"/>
    </row>
    <row r="311" spans="1:35">
      <c r="A311" s="109"/>
      <c r="B311" s="263"/>
      <c r="C311" s="263"/>
      <c r="D311" s="263"/>
      <c r="E311" s="109"/>
      <c r="F311" s="109"/>
      <c r="G311" s="48"/>
      <c r="H311" s="264"/>
      <c r="I311" s="265"/>
      <c r="J311" s="265"/>
      <c r="K311" s="264"/>
      <c r="L311" s="265"/>
      <c r="M311" s="264"/>
      <c r="N311" s="264"/>
      <c r="O311" s="264"/>
      <c r="P311" s="264"/>
      <c r="Q311" s="263"/>
      <c r="R311" s="263"/>
      <c r="S311" s="263"/>
      <c r="T311" s="263"/>
      <c r="U311" s="263"/>
      <c r="V311" s="109"/>
      <c r="W311" s="263"/>
      <c r="X311" s="263"/>
      <c r="Y311" s="263"/>
      <c r="Z311" s="263"/>
      <c r="AA311" s="263"/>
      <c r="AB311" s="109"/>
      <c r="AC311" s="109"/>
      <c r="AD311" s="109"/>
      <c r="AE311" s="109"/>
      <c r="AF311" s="109"/>
      <c r="AG311" s="109"/>
      <c r="AH311" s="109"/>
      <c r="AI311" s="109"/>
    </row>
    <row r="312" spans="1:35">
      <c r="A312" s="109"/>
      <c r="B312" s="263"/>
      <c r="C312" s="263"/>
      <c r="D312" s="263"/>
      <c r="E312" s="109"/>
      <c r="F312" s="109"/>
      <c r="G312" s="48"/>
      <c r="H312" s="264"/>
      <c r="I312" s="265"/>
      <c r="J312" s="265"/>
      <c r="K312" s="264"/>
      <c r="L312" s="265"/>
      <c r="M312" s="264"/>
      <c r="N312" s="264"/>
      <c r="O312" s="264"/>
      <c r="P312" s="264"/>
      <c r="Q312" s="263"/>
      <c r="R312" s="263"/>
      <c r="S312" s="263"/>
      <c r="T312" s="263"/>
      <c r="U312" s="263"/>
      <c r="V312" s="109"/>
      <c r="W312" s="263"/>
      <c r="X312" s="263"/>
      <c r="Y312" s="263"/>
      <c r="Z312" s="263"/>
      <c r="AA312" s="263"/>
      <c r="AB312" s="109"/>
      <c r="AC312" s="109"/>
      <c r="AD312" s="109"/>
      <c r="AE312" s="109"/>
      <c r="AF312" s="109"/>
      <c r="AG312" s="109"/>
      <c r="AH312" s="109"/>
      <c r="AI312" s="109"/>
    </row>
    <row r="313" spans="1:35">
      <c r="A313" s="109"/>
      <c r="B313" s="263"/>
      <c r="C313" s="263"/>
      <c r="D313" s="263"/>
      <c r="E313" s="109"/>
      <c r="F313" s="109"/>
      <c r="G313" s="48"/>
      <c r="H313" s="264"/>
      <c r="I313" s="265"/>
      <c r="J313" s="265"/>
      <c r="K313" s="264"/>
      <c r="L313" s="265"/>
      <c r="M313" s="264"/>
      <c r="N313" s="264"/>
      <c r="O313" s="264"/>
      <c r="P313" s="264"/>
      <c r="Q313" s="263"/>
      <c r="R313" s="263"/>
      <c r="S313" s="263"/>
      <c r="T313" s="263"/>
      <c r="U313" s="263"/>
      <c r="V313" s="109"/>
      <c r="W313" s="263"/>
      <c r="X313" s="263"/>
      <c r="Y313" s="263"/>
      <c r="Z313" s="263"/>
      <c r="AA313" s="263"/>
      <c r="AB313" s="109"/>
      <c r="AC313" s="109"/>
      <c r="AD313" s="109"/>
      <c r="AE313" s="109"/>
      <c r="AF313" s="109"/>
      <c r="AG313" s="109"/>
      <c r="AH313" s="109"/>
      <c r="AI313" s="109"/>
    </row>
    <row r="314" spans="1:35">
      <c r="A314" s="109"/>
      <c r="B314" s="263"/>
      <c r="C314" s="263"/>
      <c r="D314" s="263"/>
      <c r="E314" s="109"/>
      <c r="F314" s="109"/>
      <c r="G314" s="48"/>
      <c r="H314" s="264"/>
      <c r="I314" s="265"/>
      <c r="J314" s="265"/>
      <c r="K314" s="264"/>
      <c r="L314" s="265"/>
      <c r="M314" s="264"/>
      <c r="N314" s="264"/>
      <c r="O314" s="264"/>
      <c r="P314" s="264"/>
      <c r="Q314" s="263"/>
      <c r="R314" s="263"/>
      <c r="S314" s="263"/>
      <c r="T314" s="263"/>
      <c r="U314" s="263"/>
      <c r="V314" s="109"/>
      <c r="W314" s="263"/>
      <c r="X314" s="263"/>
      <c r="Y314" s="263"/>
      <c r="Z314" s="263"/>
      <c r="AA314" s="263"/>
      <c r="AB314" s="109"/>
      <c r="AC314" s="109"/>
      <c r="AD314" s="109"/>
      <c r="AE314" s="109"/>
      <c r="AF314" s="109"/>
      <c r="AG314" s="109"/>
      <c r="AH314" s="109"/>
      <c r="AI314" s="109"/>
    </row>
    <row r="315" spans="1:35">
      <c r="A315" s="109"/>
      <c r="B315" s="263"/>
      <c r="C315" s="263"/>
      <c r="D315" s="263"/>
      <c r="E315" s="109"/>
      <c r="F315" s="109"/>
      <c r="G315" s="48"/>
      <c r="H315" s="264"/>
      <c r="I315" s="265"/>
      <c r="J315" s="265"/>
      <c r="K315" s="264"/>
      <c r="L315" s="265"/>
      <c r="M315" s="264"/>
      <c r="N315" s="264"/>
      <c r="O315" s="264"/>
      <c r="P315" s="264"/>
      <c r="Q315" s="263"/>
      <c r="R315" s="263"/>
      <c r="S315" s="263"/>
      <c r="T315" s="263"/>
      <c r="U315" s="263"/>
      <c r="V315" s="109"/>
      <c r="W315" s="263"/>
      <c r="X315" s="263"/>
      <c r="Y315" s="263"/>
      <c r="Z315" s="263"/>
      <c r="AA315" s="263"/>
      <c r="AB315" s="109"/>
      <c r="AC315" s="109"/>
      <c r="AD315" s="109"/>
      <c r="AE315" s="109"/>
      <c r="AF315" s="109"/>
      <c r="AG315" s="109"/>
      <c r="AH315" s="109"/>
      <c r="AI315" s="109"/>
    </row>
    <row r="316" spans="1:35">
      <c r="A316" s="109"/>
      <c r="B316" s="263"/>
      <c r="C316" s="263"/>
      <c r="D316" s="263"/>
      <c r="E316" s="109"/>
      <c r="F316" s="109"/>
      <c r="G316" s="48"/>
      <c r="H316" s="264"/>
      <c r="I316" s="265"/>
      <c r="J316" s="265"/>
      <c r="K316" s="264"/>
      <c r="L316" s="265"/>
      <c r="M316" s="264"/>
      <c r="N316" s="264"/>
      <c r="O316" s="264"/>
      <c r="P316" s="264"/>
      <c r="Q316" s="263"/>
      <c r="R316" s="263"/>
      <c r="S316" s="263"/>
      <c r="T316" s="263"/>
      <c r="U316" s="263"/>
      <c r="V316" s="109"/>
      <c r="W316" s="263"/>
      <c r="X316" s="263"/>
      <c r="Y316" s="263"/>
      <c r="Z316" s="263"/>
      <c r="AA316" s="263"/>
      <c r="AB316" s="109"/>
      <c r="AC316" s="109"/>
      <c r="AD316" s="109"/>
      <c r="AE316" s="109"/>
      <c r="AF316" s="109"/>
      <c r="AG316" s="109"/>
      <c r="AH316" s="109"/>
      <c r="AI316" s="109"/>
    </row>
    <row r="317" spans="1:35">
      <c r="A317" s="109"/>
      <c r="B317" s="263"/>
      <c r="C317" s="263"/>
      <c r="D317" s="263"/>
      <c r="E317" s="109"/>
      <c r="F317" s="109"/>
      <c r="G317" s="48"/>
      <c r="H317" s="264"/>
      <c r="I317" s="265"/>
      <c r="J317" s="265"/>
      <c r="K317" s="264"/>
      <c r="L317" s="265"/>
      <c r="M317" s="264"/>
      <c r="N317" s="264"/>
      <c r="O317" s="264"/>
      <c r="P317" s="264"/>
      <c r="Q317" s="263"/>
      <c r="R317" s="263"/>
      <c r="S317" s="263"/>
      <c r="T317" s="263"/>
      <c r="U317" s="263"/>
      <c r="V317" s="109"/>
      <c r="W317" s="263"/>
      <c r="X317" s="263"/>
      <c r="Y317" s="263"/>
      <c r="Z317" s="263"/>
      <c r="AA317" s="263"/>
      <c r="AB317" s="109"/>
      <c r="AC317" s="109"/>
      <c r="AD317" s="109"/>
      <c r="AE317" s="109"/>
      <c r="AF317" s="109"/>
      <c r="AG317" s="109"/>
      <c r="AH317" s="109"/>
      <c r="AI317" s="109"/>
    </row>
    <row r="318" spans="1:35">
      <c r="A318" s="109"/>
      <c r="B318" s="263"/>
      <c r="C318" s="263"/>
      <c r="D318" s="263"/>
      <c r="E318" s="109"/>
      <c r="F318" s="109"/>
      <c r="G318" s="48"/>
      <c r="H318" s="264"/>
      <c r="I318" s="265"/>
      <c r="J318" s="265"/>
      <c r="K318" s="264"/>
      <c r="L318" s="265"/>
      <c r="M318" s="264"/>
      <c r="N318" s="264"/>
      <c r="O318" s="264"/>
      <c r="P318" s="264"/>
      <c r="Q318" s="263"/>
      <c r="R318" s="263"/>
      <c r="S318" s="263"/>
      <c r="T318" s="263"/>
      <c r="U318" s="263"/>
      <c r="V318" s="109"/>
      <c r="W318" s="263"/>
      <c r="X318" s="263"/>
      <c r="Y318" s="263"/>
      <c r="Z318" s="263"/>
      <c r="AA318" s="263"/>
      <c r="AB318" s="109"/>
      <c r="AC318" s="109"/>
      <c r="AD318" s="109"/>
      <c r="AE318" s="109"/>
      <c r="AF318" s="109"/>
      <c r="AG318" s="109"/>
      <c r="AH318" s="109"/>
      <c r="AI318" s="109"/>
    </row>
    <row r="319" spans="1:35">
      <c r="A319" s="109"/>
      <c r="B319" s="263"/>
      <c r="C319" s="263"/>
      <c r="D319" s="263"/>
      <c r="E319" s="109"/>
      <c r="F319" s="109"/>
      <c r="G319" s="48"/>
      <c r="H319" s="264"/>
      <c r="I319" s="265"/>
      <c r="J319" s="265"/>
      <c r="K319" s="264"/>
      <c r="L319" s="265"/>
      <c r="M319" s="264"/>
      <c r="N319" s="264"/>
      <c r="O319" s="264"/>
      <c r="P319" s="264"/>
      <c r="Q319" s="263"/>
      <c r="R319" s="263"/>
      <c r="S319" s="263"/>
      <c r="T319" s="263"/>
      <c r="U319" s="263"/>
      <c r="V319" s="109"/>
      <c r="W319" s="263"/>
      <c r="X319" s="263"/>
      <c r="Y319" s="263"/>
      <c r="Z319" s="263"/>
      <c r="AA319" s="263"/>
      <c r="AB319" s="109"/>
      <c r="AC319" s="109"/>
      <c r="AD319" s="109"/>
      <c r="AE319" s="109"/>
      <c r="AF319" s="109"/>
      <c r="AG319" s="109"/>
      <c r="AH319" s="109"/>
      <c r="AI319" s="109"/>
    </row>
    <row r="320" spans="1:35">
      <c r="A320" s="109"/>
      <c r="B320" s="263"/>
      <c r="C320" s="263"/>
      <c r="D320" s="263"/>
      <c r="E320" s="109"/>
      <c r="F320" s="109"/>
      <c r="G320" s="48"/>
      <c r="H320" s="264"/>
      <c r="I320" s="265"/>
      <c r="J320" s="265"/>
      <c r="K320" s="264"/>
      <c r="L320" s="265"/>
      <c r="M320" s="264"/>
      <c r="N320" s="264"/>
      <c r="O320" s="264"/>
      <c r="P320" s="264"/>
      <c r="Q320" s="263"/>
      <c r="R320" s="263"/>
      <c r="S320" s="263"/>
      <c r="T320" s="263"/>
      <c r="U320" s="263"/>
      <c r="V320" s="109"/>
      <c r="W320" s="263"/>
      <c r="X320" s="263"/>
      <c r="Y320" s="263"/>
      <c r="Z320" s="263"/>
      <c r="AA320" s="263"/>
      <c r="AB320" s="109"/>
      <c r="AC320" s="109"/>
      <c r="AD320" s="109"/>
      <c r="AE320" s="109"/>
      <c r="AF320" s="109"/>
      <c r="AG320" s="109"/>
      <c r="AH320" s="109"/>
      <c r="AI320" s="109"/>
    </row>
    <row r="321" spans="1:35">
      <c r="A321" s="109"/>
      <c r="B321" s="263"/>
      <c r="C321" s="263"/>
      <c r="D321" s="263"/>
      <c r="E321" s="109"/>
      <c r="F321" s="109"/>
      <c r="G321" s="48"/>
      <c r="H321" s="264"/>
      <c r="I321" s="265"/>
      <c r="J321" s="265"/>
      <c r="K321" s="264"/>
      <c r="L321" s="265"/>
      <c r="M321" s="264"/>
      <c r="N321" s="264"/>
      <c r="O321" s="264"/>
      <c r="P321" s="264"/>
      <c r="Q321" s="263"/>
      <c r="R321" s="263"/>
      <c r="S321" s="263"/>
      <c r="T321" s="263"/>
      <c r="U321" s="263"/>
      <c r="V321" s="109"/>
      <c r="W321" s="263"/>
      <c r="X321" s="263"/>
      <c r="Y321" s="263"/>
      <c r="Z321" s="263"/>
      <c r="AA321" s="263"/>
      <c r="AB321" s="109"/>
      <c r="AC321" s="109"/>
      <c r="AD321" s="109"/>
      <c r="AE321" s="109"/>
      <c r="AF321" s="109"/>
      <c r="AG321" s="109"/>
      <c r="AH321" s="109"/>
      <c r="AI321" s="109"/>
    </row>
    <row r="322" spans="1:35">
      <c r="A322" s="109"/>
      <c r="B322" s="263"/>
      <c r="C322" s="263"/>
      <c r="D322" s="263"/>
      <c r="E322" s="109"/>
      <c r="F322" s="109"/>
      <c r="G322" s="48"/>
      <c r="H322" s="264"/>
      <c r="I322" s="265"/>
      <c r="J322" s="265"/>
      <c r="K322" s="264"/>
      <c r="L322" s="265"/>
      <c r="M322" s="264"/>
      <c r="N322" s="264"/>
      <c r="O322" s="264"/>
      <c r="P322" s="264"/>
      <c r="Q322" s="263"/>
      <c r="R322" s="263"/>
      <c r="S322" s="263"/>
      <c r="T322" s="263"/>
      <c r="U322" s="263"/>
      <c r="V322" s="109"/>
      <c r="W322" s="263"/>
      <c r="X322" s="263"/>
      <c r="Y322" s="263"/>
      <c r="Z322" s="263"/>
      <c r="AA322" s="263"/>
      <c r="AB322" s="109"/>
      <c r="AC322" s="109"/>
      <c r="AD322" s="109"/>
      <c r="AE322" s="109"/>
      <c r="AF322" s="109"/>
      <c r="AG322" s="109"/>
      <c r="AH322" s="109"/>
      <c r="AI322" s="109"/>
    </row>
    <row r="323" spans="1:35">
      <c r="A323" s="109"/>
      <c r="B323" s="263"/>
      <c r="C323" s="263"/>
      <c r="D323" s="263"/>
      <c r="E323" s="109"/>
      <c r="F323" s="109"/>
      <c r="G323" s="48"/>
      <c r="H323" s="264"/>
      <c r="I323" s="265"/>
      <c r="J323" s="265"/>
      <c r="K323" s="264"/>
      <c r="L323" s="265"/>
      <c r="M323" s="264"/>
      <c r="N323" s="264"/>
      <c r="O323" s="264"/>
      <c r="P323" s="264"/>
      <c r="Q323" s="263"/>
      <c r="R323" s="263"/>
      <c r="S323" s="263"/>
      <c r="T323" s="263"/>
      <c r="U323" s="263"/>
      <c r="V323" s="109"/>
      <c r="W323" s="263"/>
      <c r="X323" s="263"/>
      <c r="Y323" s="263"/>
      <c r="Z323" s="263"/>
      <c r="AA323" s="263"/>
      <c r="AB323" s="109"/>
      <c r="AC323" s="109"/>
      <c r="AD323" s="109"/>
      <c r="AE323" s="109"/>
      <c r="AF323" s="109"/>
      <c r="AG323" s="109"/>
      <c r="AH323" s="109"/>
      <c r="AI323" s="109"/>
    </row>
    <row r="324" spans="1:35">
      <c r="A324" s="109"/>
      <c r="B324" s="263"/>
      <c r="C324" s="263"/>
      <c r="D324" s="263"/>
      <c r="E324" s="109"/>
      <c r="F324" s="109"/>
      <c r="G324" s="48"/>
      <c r="H324" s="264"/>
      <c r="I324" s="265"/>
      <c r="J324" s="265"/>
      <c r="K324" s="264"/>
      <c r="L324" s="265"/>
      <c r="M324" s="264"/>
      <c r="N324" s="264"/>
      <c r="O324" s="264"/>
      <c r="P324" s="264"/>
      <c r="Q324" s="263"/>
      <c r="R324" s="263"/>
      <c r="S324" s="263"/>
      <c r="T324" s="263"/>
      <c r="U324" s="263"/>
      <c r="V324" s="109"/>
      <c r="W324" s="263"/>
      <c r="X324" s="263"/>
      <c r="Y324" s="263"/>
      <c r="Z324" s="263"/>
      <c r="AA324" s="263"/>
      <c r="AB324" s="109"/>
      <c r="AC324" s="109"/>
      <c r="AD324" s="109"/>
      <c r="AE324" s="109"/>
      <c r="AF324" s="109"/>
      <c r="AG324" s="109"/>
      <c r="AH324" s="109"/>
      <c r="AI324" s="109"/>
    </row>
    <row r="325" spans="1:35">
      <c r="A325" s="109"/>
      <c r="B325" s="263"/>
      <c r="C325" s="263"/>
      <c r="D325" s="263"/>
      <c r="E325" s="109"/>
      <c r="F325" s="109"/>
      <c r="G325" s="48"/>
      <c r="H325" s="264"/>
      <c r="I325" s="265"/>
      <c r="J325" s="265"/>
      <c r="K325" s="264"/>
      <c r="L325" s="265"/>
      <c r="M325" s="264"/>
      <c r="N325" s="264"/>
      <c r="O325" s="264"/>
      <c r="P325" s="264"/>
      <c r="Q325" s="263"/>
      <c r="R325" s="263"/>
      <c r="S325" s="263"/>
      <c r="T325" s="263"/>
      <c r="U325" s="263"/>
      <c r="V325" s="109"/>
      <c r="W325" s="263"/>
      <c r="X325" s="263"/>
      <c r="Y325" s="263"/>
      <c r="Z325" s="263"/>
      <c r="AA325" s="263"/>
      <c r="AB325" s="109"/>
      <c r="AC325" s="109"/>
      <c r="AD325" s="109"/>
      <c r="AE325" s="109"/>
      <c r="AF325" s="109"/>
      <c r="AG325" s="109"/>
      <c r="AH325" s="109"/>
      <c r="AI325" s="109"/>
    </row>
    <row r="326" spans="1:35">
      <c r="A326" s="109"/>
      <c r="B326" s="263"/>
      <c r="C326" s="263"/>
      <c r="D326" s="263"/>
      <c r="E326" s="109"/>
      <c r="F326" s="109"/>
      <c r="G326" s="48"/>
      <c r="H326" s="264"/>
      <c r="I326" s="265"/>
      <c r="J326" s="265"/>
      <c r="K326" s="264"/>
      <c r="L326" s="265"/>
      <c r="M326" s="264"/>
      <c r="N326" s="264"/>
      <c r="O326" s="264"/>
      <c r="P326" s="264"/>
      <c r="Q326" s="263"/>
      <c r="R326" s="263"/>
      <c r="S326" s="263"/>
      <c r="T326" s="263"/>
      <c r="U326" s="263"/>
      <c r="V326" s="109"/>
      <c r="W326" s="263"/>
      <c r="X326" s="263"/>
      <c r="Y326" s="263"/>
      <c r="Z326" s="263"/>
      <c r="AA326" s="263"/>
      <c r="AB326" s="109"/>
      <c r="AC326" s="109"/>
      <c r="AD326" s="109"/>
      <c r="AE326" s="109"/>
      <c r="AF326" s="109"/>
      <c r="AG326" s="109"/>
      <c r="AH326" s="109"/>
      <c r="AI326" s="109"/>
    </row>
    <row r="327" spans="1:35">
      <c r="A327" s="109"/>
      <c r="B327" s="263"/>
      <c r="C327" s="263"/>
      <c r="D327" s="263"/>
      <c r="E327" s="109"/>
      <c r="F327" s="109"/>
      <c r="G327" s="48"/>
      <c r="H327" s="264"/>
      <c r="I327" s="265"/>
      <c r="J327" s="265"/>
      <c r="K327" s="264"/>
      <c r="L327" s="265"/>
      <c r="M327" s="264"/>
      <c r="N327" s="264"/>
      <c r="O327" s="264"/>
      <c r="P327" s="264"/>
      <c r="Q327" s="263"/>
      <c r="R327" s="263"/>
      <c r="S327" s="263"/>
      <c r="T327" s="263"/>
      <c r="U327" s="263"/>
      <c r="V327" s="109"/>
      <c r="W327" s="263"/>
      <c r="X327" s="263"/>
      <c r="Y327" s="263"/>
      <c r="Z327" s="263"/>
      <c r="AA327" s="263"/>
      <c r="AB327" s="109"/>
      <c r="AC327" s="109"/>
      <c r="AD327" s="109"/>
      <c r="AE327" s="109"/>
      <c r="AF327" s="109"/>
      <c r="AG327" s="109"/>
      <c r="AH327" s="109"/>
      <c r="AI327" s="109"/>
    </row>
    <row r="328" spans="1:35">
      <c r="A328" s="109"/>
      <c r="B328" s="263"/>
      <c r="C328" s="263"/>
      <c r="D328" s="263"/>
      <c r="E328" s="109"/>
      <c r="F328" s="109"/>
      <c r="G328" s="48"/>
      <c r="H328" s="264"/>
      <c r="I328" s="265"/>
      <c r="J328" s="265"/>
      <c r="K328" s="264"/>
      <c r="L328" s="265"/>
      <c r="M328" s="264"/>
      <c r="N328" s="264"/>
      <c r="O328" s="264"/>
      <c r="P328" s="264"/>
      <c r="Q328" s="263"/>
      <c r="R328" s="263"/>
      <c r="S328" s="263"/>
      <c r="T328" s="263"/>
      <c r="U328" s="263"/>
      <c r="V328" s="109"/>
      <c r="W328" s="263"/>
      <c r="X328" s="263"/>
      <c r="Y328" s="263"/>
      <c r="Z328" s="263"/>
      <c r="AA328" s="263"/>
      <c r="AB328" s="109"/>
      <c r="AC328" s="109"/>
      <c r="AD328" s="109"/>
      <c r="AE328" s="109"/>
      <c r="AF328" s="109"/>
      <c r="AG328" s="109"/>
      <c r="AH328" s="109"/>
      <c r="AI328" s="109"/>
    </row>
    <row r="329" spans="1:35">
      <c r="A329" s="109"/>
      <c r="B329" s="263"/>
      <c r="C329" s="263"/>
      <c r="D329" s="263"/>
      <c r="E329" s="109"/>
      <c r="F329" s="109"/>
      <c r="G329" s="48"/>
      <c r="H329" s="264"/>
      <c r="I329" s="265"/>
      <c r="J329" s="265"/>
      <c r="K329" s="264"/>
      <c r="L329" s="265"/>
      <c r="M329" s="264"/>
      <c r="N329" s="264"/>
      <c r="O329" s="264"/>
      <c r="P329" s="264"/>
      <c r="Q329" s="263"/>
      <c r="R329" s="263"/>
      <c r="S329" s="263"/>
      <c r="T329" s="263"/>
      <c r="U329" s="263"/>
      <c r="V329" s="109"/>
      <c r="W329" s="263"/>
      <c r="X329" s="263"/>
      <c r="Y329" s="263"/>
      <c r="Z329" s="263"/>
      <c r="AA329" s="263"/>
      <c r="AB329" s="109"/>
      <c r="AC329" s="109"/>
      <c r="AD329" s="109"/>
      <c r="AE329" s="109"/>
      <c r="AF329" s="109"/>
      <c r="AG329" s="109"/>
      <c r="AH329" s="109"/>
      <c r="AI329" s="109"/>
    </row>
    <row r="330" spans="1:35">
      <c r="A330" s="109"/>
      <c r="B330" s="263"/>
      <c r="C330" s="263"/>
      <c r="D330" s="263"/>
      <c r="E330" s="109"/>
      <c r="F330" s="109"/>
      <c r="G330" s="48"/>
      <c r="H330" s="264"/>
      <c r="I330" s="265"/>
      <c r="J330" s="265"/>
      <c r="K330" s="264"/>
      <c r="L330" s="265"/>
      <c r="M330" s="264"/>
      <c r="N330" s="264"/>
      <c r="O330" s="264"/>
      <c r="P330" s="264"/>
      <c r="Q330" s="263"/>
      <c r="R330" s="263"/>
      <c r="S330" s="263"/>
      <c r="T330" s="263"/>
      <c r="U330" s="263"/>
      <c r="V330" s="109"/>
      <c r="W330" s="263"/>
      <c r="X330" s="263"/>
      <c r="Y330" s="263"/>
      <c r="Z330" s="263"/>
      <c r="AA330" s="263"/>
      <c r="AB330" s="109"/>
      <c r="AC330" s="109"/>
      <c r="AD330" s="109"/>
      <c r="AE330" s="109"/>
      <c r="AF330" s="109"/>
      <c r="AG330" s="109"/>
      <c r="AH330" s="109"/>
      <c r="AI330" s="109"/>
    </row>
    <row r="331" spans="1:35">
      <c r="A331" s="109"/>
      <c r="B331" s="263"/>
      <c r="C331" s="263"/>
      <c r="D331" s="263"/>
      <c r="E331" s="109"/>
      <c r="F331" s="109"/>
      <c r="G331" s="48"/>
      <c r="H331" s="264"/>
      <c r="I331" s="265"/>
      <c r="J331" s="265"/>
      <c r="K331" s="264"/>
      <c r="L331" s="265"/>
      <c r="M331" s="264"/>
      <c r="N331" s="264"/>
      <c r="O331" s="264"/>
      <c r="P331" s="264"/>
      <c r="Q331" s="263"/>
      <c r="R331" s="263"/>
      <c r="S331" s="263"/>
      <c r="T331" s="263"/>
      <c r="U331" s="263"/>
      <c r="V331" s="109"/>
      <c r="W331" s="263"/>
      <c r="X331" s="263"/>
      <c r="Y331" s="263"/>
      <c r="Z331" s="263"/>
      <c r="AA331" s="263"/>
      <c r="AB331" s="109"/>
      <c r="AC331" s="109"/>
      <c r="AD331" s="109"/>
      <c r="AE331" s="109"/>
      <c r="AF331" s="109"/>
      <c r="AG331" s="109"/>
      <c r="AH331" s="109"/>
      <c r="AI331" s="109"/>
    </row>
    <row r="332" spans="1:35">
      <c r="A332" s="109"/>
      <c r="B332" s="263"/>
      <c r="C332" s="263"/>
      <c r="D332" s="263"/>
      <c r="E332" s="109"/>
      <c r="F332" s="109"/>
      <c r="G332" s="48"/>
      <c r="H332" s="264"/>
      <c r="I332" s="265"/>
      <c r="J332" s="265"/>
      <c r="K332" s="264"/>
      <c r="L332" s="265"/>
      <c r="M332" s="264"/>
      <c r="N332" s="264"/>
      <c r="O332" s="264"/>
      <c r="P332" s="264"/>
      <c r="Q332" s="263"/>
      <c r="R332" s="263"/>
      <c r="S332" s="263"/>
      <c r="T332" s="263"/>
      <c r="U332" s="263"/>
      <c r="V332" s="109"/>
      <c r="W332" s="263"/>
      <c r="X332" s="263"/>
      <c r="Y332" s="263"/>
      <c r="Z332" s="263"/>
      <c r="AA332" s="263"/>
      <c r="AB332" s="109"/>
      <c r="AC332" s="109"/>
      <c r="AD332" s="109"/>
      <c r="AE332" s="109"/>
      <c r="AF332" s="109"/>
      <c r="AG332" s="109"/>
      <c r="AH332" s="109"/>
      <c r="AI332" s="109"/>
    </row>
    <row r="333" spans="1:35">
      <c r="A333" s="109"/>
      <c r="B333" s="263"/>
      <c r="C333" s="263"/>
      <c r="D333" s="263"/>
      <c r="E333" s="109"/>
      <c r="F333" s="109"/>
      <c r="G333" s="48"/>
      <c r="H333" s="264"/>
      <c r="I333" s="265"/>
      <c r="J333" s="265"/>
      <c r="K333" s="264"/>
      <c r="L333" s="265"/>
      <c r="M333" s="264"/>
      <c r="N333" s="264"/>
      <c r="O333" s="264"/>
      <c r="P333" s="264"/>
      <c r="Q333" s="263"/>
      <c r="R333" s="263"/>
      <c r="S333" s="263"/>
      <c r="T333" s="263"/>
      <c r="U333" s="263"/>
      <c r="V333" s="109"/>
      <c r="W333" s="263"/>
      <c r="X333" s="263"/>
      <c r="Y333" s="263"/>
      <c r="Z333" s="263"/>
      <c r="AA333" s="263"/>
      <c r="AB333" s="109"/>
      <c r="AC333" s="109"/>
      <c r="AD333" s="109"/>
      <c r="AE333" s="109"/>
      <c r="AF333" s="109"/>
      <c r="AG333" s="109"/>
      <c r="AH333" s="109"/>
      <c r="AI333" s="109"/>
    </row>
    <row r="334" spans="1:35">
      <c r="A334" s="109"/>
      <c r="B334" s="263"/>
      <c r="C334" s="263"/>
      <c r="D334" s="263"/>
      <c r="E334" s="109"/>
      <c r="F334" s="109"/>
      <c r="G334" s="48"/>
      <c r="H334" s="264"/>
      <c r="I334" s="265"/>
      <c r="J334" s="265"/>
      <c r="K334" s="264"/>
      <c r="L334" s="265"/>
      <c r="M334" s="264"/>
      <c r="N334" s="264"/>
      <c r="O334" s="264"/>
      <c r="P334" s="264"/>
      <c r="Q334" s="263"/>
      <c r="R334" s="263"/>
      <c r="S334" s="263"/>
      <c r="T334" s="263"/>
      <c r="U334" s="263"/>
      <c r="V334" s="109"/>
      <c r="W334" s="263"/>
      <c r="X334" s="263"/>
      <c r="Y334" s="263"/>
      <c r="Z334" s="263"/>
      <c r="AA334" s="263"/>
      <c r="AB334" s="109"/>
      <c r="AC334" s="109"/>
      <c r="AD334" s="109"/>
      <c r="AE334" s="109"/>
      <c r="AF334" s="109"/>
      <c r="AG334" s="109"/>
      <c r="AH334" s="109"/>
      <c r="AI334" s="109"/>
    </row>
    <row r="335" spans="1:35">
      <c r="A335" s="109"/>
      <c r="B335" s="263"/>
      <c r="C335" s="263"/>
      <c r="D335" s="263"/>
      <c r="E335" s="109"/>
      <c r="F335" s="109"/>
      <c r="G335" s="48"/>
      <c r="H335" s="264"/>
      <c r="I335" s="265"/>
      <c r="J335" s="265"/>
      <c r="K335" s="264"/>
      <c r="L335" s="265"/>
      <c r="M335" s="264"/>
      <c r="N335" s="264"/>
      <c r="O335" s="264"/>
      <c r="P335" s="264"/>
      <c r="Q335" s="263"/>
      <c r="R335" s="263"/>
      <c r="S335" s="263"/>
      <c r="T335" s="263"/>
      <c r="U335" s="263"/>
      <c r="V335" s="109"/>
      <c r="W335" s="263"/>
      <c r="X335" s="263"/>
      <c r="Y335" s="263"/>
      <c r="Z335" s="263"/>
      <c r="AA335" s="263"/>
      <c r="AB335" s="109"/>
      <c r="AC335" s="109"/>
      <c r="AD335" s="109"/>
      <c r="AE335" s="109"/>
      <c r="AF335" s="109"/>
      <c r="AG335" s="109"/>
      <c r="AH335" s="109"/>
      <c r="AI335" s="109"/>
    </row>
    <row r="336" spans="1:35">
      <c r="A336" s="109"/>
      <c r="B336" s="263"/>
      <c r="C336" s="263"/>
      <c r="D336" s="263"/>
      <c r="E336" s="109"/>
      <c r="F336" s="109"/>
      <c r="G336" s="48"/>
      <c r="H336" s="264"/>
      <c r="I336" s="265"/>
      <c r="J336" s="265"/>
      <c r="K336" s="264"/>
      <c r="L336" s="265"/>
      <c r="M336" s="264"/>
      <c r="N336" s="264"/>
      <c r="O336" s="264"/>
      <c r="P336" s="264"/>
      <c r="Q336" s="263"/>
      <c r="R336" s="263"/>
      <c r="S336" s="263"/>
      <c r="T336" s="263"/>
      <c r="U336" s="263"/>
      <c r="V336" s="109"/>
      <c r="W336" s="263"/>
      <c r="X336" s="263"/>
      <c r="Y336" s="263"/>
      <c r="Z336" s="263"/>
      <c r="AA336" s="263"/>
      <c r="AB336" s="109"/>
      <c r="AC336" s="109"/>
      <c r="AD336" s="109"/>
      <c r="AE336" s="109"/>
      <c r="AF336" s="109"/>
      <c r="AG336" s="109"/>
      <c r="AH336" s="109"/>
      <c r="AI336" s="109"/>
    </row>
    <row r="337" spans="1:35">
      <c r="A337" s="109"/>
      <c r="B337" s="263"/>
      <c r="C337" s="263"/>
      <c r="D337" s="263"/>
      <c r="E337" s="109"/>
      <c r="F337" s="109"/>
      <c r="G337" s="48"/>
      <c r="H337" s="264"/>
      <c r="I337" s="265"/>
      <c r="J337" s="265"/>
      <c r="K337" s="264"/>
      <c r="L337" s="265"/>
      <c r="M337" s="264"/>
      <c r="N337" s="264"/>
      <c r="O337" s="264"/>
      <c r="P337" s="264"/>
      <c r="Q337" s="263"/>
      <c r="R337" s="263"/>
      <c r="S337" s="263"/>
      <c r="T337" s="263"/>
      <c r="U337" s="263"/>
      <c r="V337" s="109"/>
      <c r="W337" s="263"/>
      <c r="X337" s="263"/>
      <c r="Y337" s="263"/>
      <c r="Z337" s="263"/>
      <c r="AA337" s="263"/>
      <c r="AB337" s="109"/>
      <c r="AC337" s="109"/>
      <c r="AD337" s="109"/>
      <c r="AE337" s="109"/>
      <c r="AF337" s="109"/>
      <c r="AG337" s="109"/>
      <c r="AH337" s="109"/>
      <c r="AI337" s="109"/>
    </row>
    <row r="338" spans="1:35">
      <c r="A338" s="109"/>
      <c r="B338" s="263"/>
      <c r="C338" s="263"/>
      <c r="D338" s="263"/>
      <c r="E338" s="109"/>
      <c r="F338" s="109"/>
      <c r="G338" s="48"/>
      <c r="H338" s="264"/>
      <c r="I338" s="265"/>
      <c r="J338" s="265"/>
      <c r="K338" s="264"/>
      <c r="L338" s="265"/>
      <c r="M338" s="264"/>
      <c r="N338" s="264"/>
      <c r="O338" s="264"/>
      <c r="P338" s="264"/>
      <c r="Q338" s="263"/>
      <c r="R338" s="263"/>
      <c r="S338" s="263"/>
      <c r="T338" s="263"/>
      <c r="U338" s="263"/>
      <c r="V338" s="109"/>
      <c r="W338" s="263"/>
      <c r="X338" s="263"/>
      <c r="Y338" s="263"/>
      <c r="Z338" s="263"/>
      <c r="AA338" s="263"/>
      <c r="AB338" s="109"/>
      <c r="AC338" s="109"/>
      <c r="AD338" s="109"/>
      <c r="AE338" s="109"/>
      <c r="AF338" s="109"/>
      <c r="AG338" s="109"/>
      <c r="AH338" s="109"/>
      <c r="AI338" s="109"/>
    </row>
    <row r="339" spans="1:35">
      <c r="A339" s="109"/>
      <c r="B339" s="263"/>
      <c r="C339" s="263"/>
      <c r="D339" s="263"/>
      <c r="E339" s="109"/>
      <c r="F339" s="109"/>
      <c r="G339" s="48"/>
      <c r="H339" s="264"/>
      <c r="I339" s="265"/>
      <c r="J339" s="265"/>
      <c r="K339" s="264"/>
      <c r="L339" s="265"/>
      <c r="M339" s="264"/>
      <c r="N339" s="264"/>
      <c r="O339" s="264"/>
      <c r="P339" s="264"/>
      <c r="Q339" s="263"/>
      <c r="R339" s="263"/>
      <c r="S339" s="263"/>
      <c r="T339" s="263"/>
      <c r="U339" s="263"/>
      <c r="V339" s="109"/>
      <c r="W339" s="263"/>
      <c r="X339" s="263"/>
      <c r="Y339" s="263"/>
      <c r="Z339" s="263"/>
      <c r="AA339" s="263"/>
      <c r="AB339" s="109"/>
      <c r="AC339" s="109"/>
      <c r="AD339" s="109"/>
      <c r="AE339" s="109"/>
      <c r="AF339" s="109"/>
      <c r="AG339" s="109"/>
      <c r="AH339" s="109"/>
      <c r="AI339" s="109"/>
    </row>
    <row r="340" spans="1:35">
      <c r="A340" s="109"/>
      <c r="B340" s="263"/>
      <c r="C340" s="263"/>
      <c r="D340" s="263"/>
      <c r="E340" s="109"/>
      <c r="F340" s="109"/>
      <c r="G340" s="48"/>
      <c r="H340" s="264"/>
      <c r="I340" s="265"/>
      <c r="J340" s="265"/>
      <c r="K340" s="264"/>
      <c r="L340" s="265"/>
      <c r="M340" s="264"/>
      <c r="N340" s="264"/>
      <c r="O340" s="264"/>
      <c r="P340" s="264"/>
      <c r="Q340" s="263"/>
      <c r="R340" s="263"/>
      <c r="S340" s="263"/>
      <c r="T340" s="263"/>
      <c r="U340" s="263"/>
      <c r="V340" s="109"/>
      <c r="W340" s="263"/>
      <c r="X340" s="263"/>
      <c r="Y340" s="263"/>
      <c r="Z340" s="263"/>
      <c r="AA340" s="263"/>
      <c r="AB340" s="109"/>
      <c r="AC340" s="109"/>
      <c r="AD340" s="109"/>
      <c r="AE340" s="109"/>
      <c r="AF340" s="109"/>
      <c r="AG340" s="109"/>
      <c r="AH340" s="109"/>
      <c r="AI340" s="109"/>
    </row>
    <row r="341" spans="1:35">
      <c r="A341" s="109"/>
      <c r="B341" s="263"/>
      <c r="C341" s="263"/>
      <c r="D341" s="263"/>
      <c r="E341" s="109"/>
      <c r="F341" s="109"/>
      <c r="G341" s="48"/>
      <c r="H341" s="264"/>
      <c r="I341" s="265"/>
      <c r="J341" s="265"/>
      <c r="K341" s="264"/>
      <c r="L341" s="265"/>
      <c r="M341" s="264"/>
      <c r="N341" s="264"/>
      <c r="O341" s="264"/>
      <c r="P341" s="264"/>
      <c r="Q341" s="263"/>
      <c r="R341" s="263"/>
      <c r="S341" s="263"/>
      <c r="T341" s="263"/>
      <c r="U341" s="263"/>
      <c r="V341" s="109"/>
      <c r="W341" s="263"/>
      <c r="X341" s="263"/>
      <c r="Y341" s="263"/>
      <c r="Z341" s="263"/>
      <c r="AA341" s="263"/>
      <c r="AB341" s="109"/>
      <c r="AC341" s="109"/>
      <c r="AD341" s="109"/>
      <c r="AE341" s="109"/>
      <c r="AF341" s="109"/>
      <c r="AG341" s="109"/>
      <c r="AH341" s="109"/>
      <c r="AI341" s="109"/>
    </row>
    <row r="342" spans="1:35">
      <c r="A342" s="109"/>
      <c r="B342" s="263"/>
      <c r="C342" s="263"/>
      <c r="D342" s="263"/>
      <c r="E342" s="109"/>
      <c r="F342" s="109"/>
      <c r="G342" s="48"/>
      <c r="H342" s="264"/>
      <c r="I342" s="265"/>
      <c r="J342" s="265"/>
      <c r="K342" s="264"/>
      <c r="L342" s="265"/>
      <c r="M342" s="264"/>
      <c r="N342" s="264"/>
      <c r="O342" s="264"/>
      <c r="P342" s="264"/>
      <c r="Q342" s="263"/>
      <c r="R342" s="263"/>
      <c r="S342" s="263"/>
      <c r="T342" s="263"/>
      <c r="U342" s="263"/>
      <c r="V342" s="109"/>
      <c r="W342" s="263"/>
      <c r="X342" s="263"/>
      <c r="Y342" s="263"/>
      <c r="Z342" s="263"/>
      <c r="AA342" s="263"/>
      <c r="AB342" s="109"/>
      <c r="AC342" s="109"/>
      <c r="AD342" s="109"/>
      <c r="AE342" s="109"/>
      <c r="AF342" s="109"/>
      <c r="AG342" s="109"/>
      <c r="AH342" s="109"/>
      <c r="AI342" s="109"/>
    </row>
    <row r="343" spans="1:35">
      <c r="A343" s="109"/>
      <c r="B343" s="263"/>
      <c r="C343" s="263"/>
      <c r="D343" s="263"/>
      <c r="E343" s="109"/>
      <c r="F343" s="109"/>
      <c r="G343" s="48"/>
      <c r="H343" s="264"/>
      <c r="I343" s="265"/>
      <c r="J343" s="265"/>
      <c r="K343" s="264"/>
      <c r="L343" s="265"/>
      <c r="M343" s="264"/>
      <c r="N343" s="264"/>
      <c r="O343" s="264"/>
      <c r="P343" s="264"/>
      <c r="Q343" s="263"/>
      <c r="R343" s="263"/>
      <c r="S343" s="263"/>
      <c r="T343" s="263"/>
      <c r="U343" s="263"/>
      <c r="V343" s="109"/>
      <c r="W343" s="263"/>
      <c r="X343" s="263"/>
      <c r="Y343" s="263"/>
      <c r="Z343" s="263"/>
      <c r="AA343" s="263"/>
      <c r="AB343" s="109"/>
      <c r="AC343" s="109"/>
      <c r="AD343" s="109"/>
      <c r="AE343" s="109"/>
      <c r="AF343" s="109"/>
      <c r="AG343" s="109"/>
      <c r="AH343" s="109"/>
      <c r="AI343" s="109"/>
    </row>
    <row r="344" spans="1:35">
      <c r="A344" s="109"/>
      <c r="B344" s="263"/>
      <c r="C344" s="263"/>
      <c r="D344" s="263"/>
      <c r="E344" s="109"/>
      <c r="F344" s="109"/>
      <c r="G344" s="48"/>
      <c r="H344" s="264"/>
      <c r="I344" s="265"/>
      <c r="J344" s="265"/>
      <c r="K344" s="264"/>
      <c r="L344" s="265"/>
      <c r="M344" s="264"/>
      <c r="N344" s="264"/>
      <c r="O344" s="264"/>
      <c r="P344" s="264"/>
      <c r="Q344" s="263"/>
      <c r="R344" s="263"/>
      <c r="S344" s="263"/>
      <c r="T344" s="263"/>
      <c r="U344" s="263"/>
      <c r="V344" s="109"/>
      <c r="W344" s="263"/>
      <c r="X344" s="263"/>
      <c r="Y344" s="263"/>
      <c r="Z344" s="263"/>
      <c r="AA344" s="263"/>
      <c r="AB344" s="109"/>
      <c r="AC344" s="109"/>
      <c r="AD344" s="109"/>
      <c r="AE344" s="109"/>
      <c r="AF344" s="109"/>
      <c r="AG344" s="109"/>
      <c r="AH344" s="109"/>
      <c r="AI344" s="109"/>
    </row>
    <row r="345" spans="1:35">
      <c r="A345" s="109"/>
      <c r="B345" s="263"/>
      <c r="C345" s="263"/>
      <c r="D345" s="263"/>
      <c r="E345" s="109"/>
      <c r="F345" s="109"/>
      <c r="G345" s="48"/>
      <c r="H345" s="264"/>
      <c r="I345" s="265"/>
      <c r="J345" s="265"/>
      <c r="K345" s="264"/>
      <c r="L345" s="265"/>
      <c r="M345" s="264"/>
      <c r="N345" s="264"/>
      <c r="O345" s="264"/>
      <c r="P345" s="264"/>
      <c r="Q345" s="263"/>
      <c r="R345" s="263"/>
      <c r="S345" s="263"/>
      <c r="T345" s="263"/>
      <c r="U345" s="263"/>
      <c r="V345" s="109"/>
      <c r="W345" s="263"/>
      <c r="X345" s="263"/>
      <c r="Y345" s="263"/>
      <c r="Z345" s="263"/>
      <c r="AA345" s="263"/>
      <c r="AB345" s="109"/>
      <c r="AC345" s="109"/>
      <c r="AD345" s="109"/>
      <c r="AE345" s="109"/>
      <c r="AF345" s="109"/>
      <c r="AG345" s="109"/>
      <c r="AH345" s="109"/>
      <c r="AI345" s="109"/>
    </row>
    <row r="346" spans="1:35">
      <c r="A346" s="109"/>
      <c r="B346" s="263"/>
      <c r="C346" s="263"/>
      <c r="D346" s="263"/>
      <c r="E346" s="109"/>
      <c r="F346" s="109"/>
      <c r="G346" s="48"/>
      <c r="H346" s="264"/>
      <c r="I346" s="265"/>
      <c r="J346" s="265"/>
      <c r="K346" s="264"/>
      <c r="L346" s="265"/>
      <c r="M346" s="264"/>
      <c r="N346" s="264"/>
      <c r="O346" s="264"/>
      <c r="P346" s="264"/>
      <c r="Q346" s="263"/>
      <c r="R346" s="263"/>
      <c r="S346" s="263"/>
      <c r="T346" s="263"/>
      <c r="U346" s="263"/>
      <c r="V346" s="109"/>
      <c r="W346" s="263"/>
      <c r="X346" s="263"/>
      <c r="Y346" s="263"/>
      <c r="Z346" s="263"/>
      <c r="AA346" s="263"/>
      <c r="AB346" s="109"/>
      <c r="AC346" s="109"/>
      <c r="AD346" s="109"/>
      <c r="AE346" s="109"/>
      <c r="AF346" s="109"/>
      <c r="AG346" s="109"/>
      <c r="AH346" s="109"/>
      <c r="AI346" s="109"/>
    </row>
    <row r="347" spans="1:35">
      <c r="A347" s="109"/>
      <c r="B347" s="263"/>
      <c r="C347" s="263"/>
      <c r="D347" s="263"/>
      <c r="E347" s="109"/>
      <c r="F347" s="109"/>
      <c r="G347" s="48"/>
      <c r="H347" s="264"/>
      <c r="I347" s="265"/>
      <c r="J347" s="265"/>
      <c r="K347" s="264"/>
      <c r="L347" s="265"/>
      <c r="M347" s="264"/>
      <c r="N347" s="264"/>
      <c r="O347" s="264"/>
      <c r="P347" s="264"/>
      <c r="Q347" s="263"/>
      <c r="R347" s="263"/>
      <c r="S347" s="263"/>
      <c r="T347" s="263"/>
      <c r="U347" s="263"/>
      <c r="V347" s="109"/>
      <c r="W347" s="263"/>
      <c r="X347" s="263"/>
      <c r="Y347" s="263"/>
      <c r="Z347" s="263"/>
      <c r="AA347" s="263"/>
      <c r="AB347" s="109"/>
      <c r="AC347" s="109"/>
      <c r="AD347" s="109"/>
      <c r="AE347" s="109"/>
      <c r="AF347" s="109"/>
      <c r="AG347" s="109"/>
      <c r="AH347" s="109"/>
      <c r="AI347" s="109"/>
    </row>
    <row r="348" spans="1:35">
      <c r="A348" s="109"/>
      <c r="B348" s="263"/>
      <c r="C348" s="263"/>
      <c r="D348" s="263"/>
      <c r="E348" s="109"/>
      <c r="F348" s="109"/>
      <c r="G348" s="48"/>
      <c r="H348" s="264"/>
      <c r="I348" s="265"/>
      <c r="J348" s="265"/>
      <c r="K348" s="264"/>
      <c r="L348" s="265"/>
      <c r="M348" s="264"/>
      <c r="N348" s="264"/>
      <c r="O348" s="264"/>
      <c r="P348" s="264"/>
      <c r="Q348" s="263"/>
      <c r="R348" s="263"/>
      <c r="S348" s="263"/>
      <c r="T348" s="263"/>
      <c r="U348" s="263"/>
      <c r="V348" s="109"/>
      <c r="W348" s="263"/>
      <c r="X348" s="263"/>
      <c r="Y348" s="263"/>
      <c r="Z348" s="263"/>
      <c r="AA348" s="263"/>
      <c r="AB348" s="109"/>
      <c r="AC348" s="109"/>
      <c r="AD348" s="109"/>
      <c r="AE348" s="109"/>
      <c r="AF348" s="109"/>
      <c r="AG348" s="109"/>
      <c r="AH348" s="109"/>
      <c r="AI348" s="109"/>
    </row>
    <row r="349" spans="1:35">
      <c r="A349" s="109"/>
      <c r="B349" s="263"/>
      <c r="C349" s="263"/>
      <c r="D349" s="263"/>
      <c r="E349" s="109"/>
      <c r="F349" s="109"/>
      <c r="G349" s="48"/>
      <c r="H349" s="264"/>
      <c r="I349" s="265"/>
      <c r="J349" s="265"/>
      <c r="K349" s="264"/>
      <c r="L349" s="265"/>
      <c r="M349" s="264"/>
      <c r="N349" s="264"/>
      <c r="O349" s="264"/>
      <c r="P349" s="264"/>
      <c r="Q349" s="263"/>
      <c r="R349" s="263"/>
      <c r="S349" s="263"/>
      <c r="T349" s="263"/>
      <c r="U349" s="263"/>
      <c r="V349" s="109"/>
      <c r="W349" s="263"/>
      <c r="X349" s="263"/>
      <c r="Y349" s="263"/>
      <c r="Z349" s="263"/>
      <c r="AA349" s="263"/>
      <c r="AB349" s="109"/>
      <c r="AC349" s="109"/>
      <c r="AD349" s="109"/>
      <c r="AE349" s="109"/>
      <c r="AF349" s="109"/>
      <c r="AG349" s="109"/>
      <c r="AH349" s="109"/>
      <c r="AI349" s="109"/>
    </row>
    <row r="350" spans="1:35">
      <c r="A350" s="109"/>
      <c r="B350" s="263"/>
      <c r="C350" s="263"/>
      <c r="D350" s="263"/>
      <c r="E350" s="109"/>
      <c r="F350" s="109"/>
      <c r="G350" s="48"/>
      <c r="H350" s="264"/>
      <c r="I350" s="265"/>
      <c r="J350" s="265"/>
      <c r="K350" s="264"/>
      <c r="L350" s="265"/>
      <c r="M350" s="264"/>
      <c r="N350" s="264"/>
      <c r="O350" s="264"/>
      <c r="P350" s="264"/>
      <c r="Q350" s="263"/>
      <c r="R350" s="263"/>
      <c r="S350" s="263"/>
      <c r="T350" s="263"/>
      <c r="U350" s="263"/>
      <c r="V350" s="109"/>
      <c r="W350" s="263"/>
      <c r="X350" s="263"/>
      <c r="Y350" s="263"/>
      <c r="Z350" s="263"/>
      <c r="AA350" s="263"/>
      <c r="AB350" s="109"/>
      <c r="AC350" s="109"/>
      <c r="AD350" s="109"/>
      <c r="AE350" s="109"/>
      <c r="AF350" s="109"/>
      <c r="AG350" s="109"/>
      <c r="AH350" s="109"/>
      <c r="AI350" s="109"/>
    </row>
    <row r="351" spans="1:35">
      <c r="A351" s="109"/>
      <c r="B351" s="263"/>
      <c r="C351" s="263"/>
      <c r="D351" s="263"/>
      <c r="E351" s="109"/>
      <c r="F351" s="109"/>
      <c r="G351" s="48"/>
      <c r="H351" s="264"/>
      <c r="I351" s="265"/>
      <c r="J351" s="265"/>
      <c r="K351" s="264"/>
      <c r="L351" s="265"/>
      <c r="M351" s="264"/>
      <c r="N351" s="264"/>
      <c r="O351" s="264"/>
      <c r="P351" s="264"/>
      <c r="Q351" s="263"/>
      <c r="R351" s="263"/>
      <c r="S351" s="263"/>
      <c r="T351" s="263"/>
      <c r="U351" s="263"/>
      <c r="V351" s="109"/>
      <c r="W351" s="263"/>
      <c r="X351" s="263"/>
      <c r="Y351" s="263"/>
      <c r="Z351" s="263"/>
      <c r="AA351" s="263"/>
      <c r="AB351" s="109"/>
      <c r="AC351" s="109"/>
      <c r="AD351" s="109"/>
      <c r="AE351" s="109"/>
      <c r="AF351" s="109"/>
      <c r="AG351" s="109"/>
      <c r="AH351" s="109"/>
      <c r="AI351" s="109"/>
    </row>
    <row r="352" spans="1:35">
      <c r="A352" s="109"/>
      <c r="B352" s="263"/>
      <c r="C352" s="263"/>
      <c r="D352" s="263"/>
      <c r="E352" s="109"/>
      <c r="F352" s="109"/>
      <c r="G352" s="48"/>
      <c r="H352" s="264"/>
      <c r="I352" s="265"/>
      <c r="J352" s="265"/>
      <c r="K352" s="264"/>
      <c r="L352" s="265"/>
      <c r="M352" s="264"/>
      <c r="N352" s="264"/>
      <c r="O352" s="264"/>
      <c r="P352" s="264"/>
      <c r="Q352" s="263"/>
      <c r="R352" s="263"/>
      <c r="S352" s="263"/>
      <c r="T352" s="263"/>
      <c r="U352" s="263"/>
      <c r="V352" s="109"/>
      <c r="W352" s="263"/>
      <c r="X352" s="263"/>
      <c r="Y352" s="263"/>
      <c r="Z352" s="263"/>
      <c r="AA352" s="263"/>
      <c r="AB352" s="109"/>
      <c r="AC352" s="109"/>
      <c r="AD352" s="109"/>
      <c r="AE352" s="109"/>
      <c r="AF352" s="109"/>
      <c r="AG352" s="109"/>
      <c r="AH352" s="109"/>
      <c r="AI352" s="109"/>
    </row>
    <row r="353" spans="1:35">
      <c r="A353" s="109"/>
      <c r="B353" s="263"/>
      <c r="C353" s="263"/>
      <c r="D353" s="263"/>
      <c r="E353" s="109"/>
      <c r="F353" s="109"/>
      <c r="G353" s="48"/>
      <c r="H353" s="264"/>
      <c r="I353" s="265"/>
      <c r="J353" s="265"/>
      <c r="K353" s="264"/>
      <c r="L353" s="265"/>
      <c r="M353" s="264"/>
      <c r="N353" s="264"/>
      <c r="O353" s="264"/>
      <c r="P353" s="264"/>
      <c r="Q353" s="263"/>
      <c r="R353" s="263"/>
      <c r="S353" s="263"/>
      <c r="T353" s="263"/>
      <c r="U353" s="263"/>
      <c r="V353" s="109"/>
      <c r="W353" s="263"/>
      <c r="X353" s="263"/>
      <c r="Y353" s="263"/>
      <c r="Z353" s="263"/>
      <c r="AA353" s="263"/>
      <c r="AB353" s="109"/>
      <c r="AC353" s="109"/>
      <c r="AD353" s="109"/>
      <c r="AE353" s="109"/>
      <c r="AF353" s="109"/>
      <c r="AG353" s="109"/>
      <c r="AH353" s="109"/>
      <c r="AI353" s="109"/>
    </row>
    <row r="354" spans="1:35">
      <c r="A354" s="109"/>
      <c r="B354" s="263"/>
      <c r="C354" s="263"/>
      <c r="D354" s="263"/>
      <c r="E354" s="109"/>
      <c r="F354" s="109"/>
      <c r="G354" s="48"/>
      <c r="H354" s="264"/>
      <c r="I354" s="265"/>
      <c r="J354" s="265"/>
      <c r="K354" s="264"/>
      <c r="L354" s="265"/>
      <c r="M354" s="264"/>
      <c r="N354" s="264"/>
      <c r="O354" s="264"/>
      <c r="P354" s="264"/>
      <c r="Q354" s="263"/>
      <c r="R354" s="263"/>
      <c r="S354" s="263"/>
      <c r="T354" s="263"/>
      <c r="U354" s="263"/>
      <c r="V354" s="109"/>
      <c r="W354" s="263"/>
      <c r="X354" s="263"/>
      <c r="Y354" s="263"/>
      <c r="Z354" s="263"/>
      <c r="AA354" s="263"/>
      <c r="AB354" s="109"/>
      <c r="AC354" s="109"/>
      <c r="AD354" s="109"/>
      <c r="AE354" s="109"/>
      <c r="AF354" s="109"/>
      <c r="AG354" s="109"/>
      <c r="AH354" s="109"/>
      <c r="AI354" s="109"/>
    </row>
    <row r="355" spans="1:35">
      <c r="A355" s="109"/>
      <c r="B355" s="263"/>
      <c r="C355" s="263"/>
      <c r="D355" s="263"/>
      <c r="E355" s="109"/>
      <c r="F355" s="109"/>
      <c r="G355" s="48"/>
      <c r="H355" s="264"/>
      <c r="I355" s="265"/>
      <c r="J355" s="265"/>
      <c r="K355" s="264"/>
      <c r="L355" s="265"/>
      <c r="M355" s="264"/>
      <c r="N355" s="264"/>
      <c r="O355" s="264"/>
      <c r="P355" s="264"/>
      <c r="Q355" s="263"/>
      <c r="R355" s="263"/>
      <c r="S355" s="263"/>
      <c r="T355" s="263"/>
      <c r="U355" s="263"/>
      <c r="V355" s="109"/>
      <c r="W355" s="263"/>
      <c r="X355" s="263"/>
      <c r="Y355" s="263"/>
      <c r="Z355" s="263"/>
      <c r="AA355" s="263"/>
      <c r="AB355" s="109"/>
      <c r="AC355" s="109"/>
      <c r="AD355" s="109"/>
      <c r="AE355" s="109"/>
      <c r="AF355" s="109"/>
      <c r="AG355" s="109"/>
      <c r="AH355" s="109"/>
      <c r="AI355" s="109"/>
    </row>
    <row r="356" spans="1:35">
      <c r="A356" s="109"/>
      <c r="B356" s="263"/>
      <c r="C356" s="263"/>
      <c r="D356" s="263"/>
      <c r="E356" s="109"/>
      <c r="F356" s="109"/>
      <c r="G356" s="48"/>
      <c r="H356" s="264"/>
      <c r="I356" s="265"/>
      <c r="J356" s="265"/>
      <c r="K356" s="264"/>
      <c r="L356" s="265"/>
      <c r="M356" s="264"/>
      <c r="N356" s="264"/>
      <c r="O356" s="264"/>
      <c r="P356" s="264"/>
      <c r="Q356" s="263"/>
      <c r="R356" s="263"/>
      <c r="S356" s="263"/>
      <c r="T356" s="263"/>
      <c r="U356" s="263"/>
      <c r="V356" s="109"/>
      <c r="W356" s="263"/>
      <c r="X356" s="263"/>
      <c r="Y356" s="263"/>
      <c r="Z356" s="263"/>
      <c r="AA356" s="263"/>
      <c r="AB356" s="109"/>
      <c r="AC356" s="109"/>
      <c r="AD356" s="109"/>
      <c r="AE356" s="109"/>
      <c r="AF356" s="109"/>
      <c r="AG356" s="109"/>
      <c r="AH356" s="109"/>
      <c r="AI356" s="109"/>
    </row>
    <row r="357" spans="1:35">
      <c r="A357" s="109"/>
      <c r="B357" s="263"/>
      <c r="C357" s="263"/>
      <c r="D357" s="263"/>
      <c r="E357" s="109"/>
      <c r="F357" s="109"/>
      <c r="G357" s="48"/>
      <c r="H357" s="264"/>
      <c r="I357" s="265"/>
      <c r="J357" s="265"/>
      <c r="K357" s="264"/>
      <c r="L357" s="265"/>
      <c r="M357" s="264"/>
      <c r="N357" s="264"/>
      <c r="O357" s="264"/>
      <c r="P357" s="264"/>
      <c r="Q357" s="263"/>
      <c r="R357" s="263"/>
      <c r="S357" s="263"/>
      <c r="T357" s="263"/>
      <c r="U357" s="263"/>
      <c r="V357" s="109"/>
      <c r="W357" s="263"/>
      <c r="X357" s="263"/>
      <c r="Y357" s="263"/>
      <c r="Z357" s="263"/>
      <c r="AA357" s="263"/>
      <c r="AB357" s="109"/>
      <c r="AC357" s="109"/>
      <c r="AD357" s="109"/>
      <c r="AE357" s="109"/>
      <c r="AF357" s="109"/>
      <c r="AG357" s="109"/>
      <c r="AH357" s="109"/>
      <c r="AI357" s="109"/>
    </row>
    <row r="358" spans="1:35">
      <c r="A358" s="109"/>
      <c r="B358" s="263"/>
      <c r="C358" s="263"/>
      <c r="D358" s="263"/>
      <c r="E358" s="109"/>
      <c r="F358" s="109"/>
      <c r="G358" s="48"/>
      <c r="H358" s="264"/>
      <c r="I358" s="265"/>
      <c r="J358" s="265"/>
      <c r="K358" s="264"/>
      <c r="L358" s="265"/>
      <c r="M358" s="264"/>
      <c r="N358" s="264"/>
      <c r="O358" s="264"/>
      <c r="P358" s="264"/>
      <c r="Q358" s="263"/>
      <c r="R358" s="263"/>
      <c r="S358" s="263"/>
      <c r="T358" s="263"/>
      <c r="U358" s="263"/>
      <c r="V358" s="109"/>
      <c r="W358" s="263"/>
      <c r="X358" s="263"/>
      <c r="Y358" s="263"/>
      <c r="Z358" s="263"/>
      <c r="AA358" s="263"/>
      <c r="AB358" s="109"/>
      <c r="AC358" s="109"/>
      <c r="AD358" s="109"/>
      <c r="AE358" s="109"/>
      <c r="AF358" s="109"/>
      <c r="AG358" s="109"/>
      <c r="AH358" s="109"/>
      <c r="AI358" s="109"/>
    </row>
    <row r="359" spans="1:35">
      <c r="A359" s="109"/>
      <c r="B359" s="263"/>
      <c r="C359" s="263"/>
      <c r="D359" s="263"/>
      <c r="E359" s="109"/>
      <c r="F359" s="109"/>
      <c r="G359" s="48"/>
      <c r="H359" s="264"/>
      <c r="I359" s="265"/>
      <c r="J359" s="265"/>
      <c r="K359" s="264"/>
      <c r="L359" s="265"/>
      <c r="M359" s="264"/>
      <c r="N359" s="264"/>
      <c r="O359" s="264"/>
      <c r="P359" s="264"/>
      <c r="Q359" s="263"/>
      <c r="R359" s="263"/>
      <c r="S359" s="263"/>
      <c r="T359" s="263"/>
      <c r="U359" s="263"/>
      <c r="V359" s="109"/>
      <c r="W359" s="263"/>
      <c r="X359" s="263"/>
      <c r="Y359" s="263"/>
      <c r="Z359" s="263"/>
      <c r="AA359" s="263"/>
      <c r="AB359" s="109"/>
      <c r="AC359" s="109"/>
      <c r="AD359" s="109"/>
      <c r="AE359" s="109"/>
      <c r="AF359" s="109"/>
      <c r="AG359" s="109"/>
      <c r="AH359" s="109"/>
      <c r="AI359" s="109"/>
    </row>
    <row r="360" spans="1:35">
      <c r="A360" s="109"/>
      <c r="B360" s="263"/>
      <c r="C360" s="263"/>
      <c r="D360" s="263"/>
      <c r="E360" s="109"/>
      <c r="F360" s="109"/>
      <c r="G360" s="48"/>
      <c r="H360" s="264"/>
      <c r="I360" s="265"/>
      <c r="J360" s="265"/>
      <c r="K360" s="264"/>
      <c r="L360" s="265"/>
      <c r="M360" s="264"/>
      <c r="N360" s="264"/>
      <c r="O360" s="264"/>
      <c r="P360" s="264"/>
      <c r="Q360" s="263"/>
      <c r="R360" s="263"/>
      <c r="S360" s="263"/>
      <c r="T360" s="263"/>
      <c r="U360" s="263"/>
      <c r="V360" s="109"/>
      <c r="W360" s="263"/>
      <c r="X360" s="263"/>
      <c r="Y360" s="263"/>
      <c r="Z360" s="263"/>
      <c r="AA360" s="263"/>
      <c r="AB360" s="109"/>
      <c r="AC360" s="109"/>
      <c r="AD360" s="109"/>
      <c r="AE360" s="109"/>
      <c r="AF360" s="109"/>
      <c r="AG360" s="109"/>
      <c r="AH360" s="109"/>
      <c r="AI360" s="109"/>
    </row>
    <row r="361" spans="1:35">
      <c r="A361" s="109"/>
      <c r="B361" s="263"/>
      <c r="C361" s="263"/>
      <c r="D361" s="263"/>
      <c r="E361" s="109"/>
      <c r="F361" s="109"/>
      <c r="G361" s="48"/>
      <c r="H361" s="264"/>
      <c r="I361" s="265"/>
      <c r="J361" s="265"/>
      <c r="K361" s="264"/>
      <c r="L361" s="265"/>
      <c r="M361" s="264"/>
      <c r="N361" s="264"/>
      <c r="O361" s="264"/>
      <c r="P361" s="264"/>
      <c r="Q361" s="263"/>
      <c r="R361" s="263"/>
      <c r="S361" s="263"/>
      <c r="T361" s="263"/>
      <c r="U361" s="263"/>
      <c r="V361" s="109"/>
      <c r="W361" s="263"/>
      <c r="X361" s="263"/>
      <c r="Y361" s="263"/>
      <c r="Z361" s="263"/>
      <c r="AA361" s="263"/>
      <c r="AB361" s="109"/>
      <c r="AC361" s="109"/>
      <c r="AD361" s="109"/>
      <c r="AE361" s="109"/>
      <c r="AF361" s="109"/>
      <c r="AG361" s="109"/>
      <c r="AH361" s="109"/>
      <c r="AI361" s="109"/>
    </row>
    <row r="362" spans="1:35">
      <c r="A362" s="109"/>
      <c r="B362" s="263"/>
      <c r="C362" s="263"/>
      <c r="D362" s="263"/>
      <c r="E362" s="109"/>
      <c r="F362" s="109"/>
      <c r="G362" s="48"/>
      <c r="H362" s="264"/>
      <c r="I362" s="265"/>
      <c r="J362" s="265"/>
      <c r="K362" s="264"/>
      <c r="L362" s="265"/>
      <c r="M362" s="264"/>
      <c r="N362" s="264"/>
      <c r="O362" s="264"/>
      <c r="P362" s="264"/>
      <c r="Q362" s="263"/>
      <c r="R362" s="263"/>
      <c r="S362" s="263"/>
      <c r="T362" s="263"/>
      <c r="U362" s="263"/>
      <c r="V362" s="109"/>
      <c r="W362" s="263"/>
      <c r="X362" s="263"/>
      <c r="Y362" s="263"/>
      <c r="Z362" s="263"/>
      <c r="AA362" s="263"/>
      <c r="AB362" s="109"/>
      <c r="AC362" s="109"/>
      <c r="AD362" s="109"/>
      <c r="AE362" s="109"/>
      <c r="AF362" s="109"/>
      <c r="AG362" s="109"/>
      <c r="AH362" s="109"/>
      <c r="AI362" s="109"/>
    </row>
    <row r="363" spans="1:35">
      <c r="A363" s="109"/>
      <c r="B363" s="263"/>
      <c r="C363" s="263"/>
      <c r="D363" s="263"/>
      <c r="E363" s="109"/>
      <c r="F363" s="109"/>
      <c r="G363" s="48"/>
      <c r="H363" s="264"/>
      <c r="I363" s="265"/>
      <c r="J363" s="265"/>
      <c r="K363" s="264"/>
      <c r="L363" s="265"/>
      <c r="M363" s="264"/>
      <c r="N363" s="264"/>
      <c r="O363" s="264"/>
      <c r="P363" s="264"/>
      <c r="Q363" s="263"/>
      <c r="R363" s="263"/>
      <c r="S363" s="263"/>
      <c r="T363" s="263"/>
      <c r="U363" s="263"/>
      <c r="V363" s="109"/>
      <c r="W363" s="263"/>
      <c r="X363" s="263"/>
      <c r="Y363" s="263"/>
      <c r="Z363" s="263"/>
      <c r="AA363" s="263"/>
      <c r="AB363" s="109"/>
      <c r="AC363" s="109"/>
      <c r="AD363" s="109"/>
      <c r="AE363" s="109"/>
      <c r="AF363" s="109"/>
      <c r="AG363" s="109"/>
      <c r="AH363" s="109"/>
      <c r="AI363" s="109"/>
    </row>
    <row r="364" spans="1:35">
      <c r="A364" s="109"/>
      <c r="B364" s="263"/>
      <c r="C364" s="263"/>
      <c r="D364" s="263"/>
      <c r="E364" s="109"/>
      <c r="F364" s="109"/>
      <c r="G364" s="48"/>
      <c r="H364" s="264"/>
      <c r="I364" s="265"/>
      <c r="J364" s="265"/>
      <c r="K364" s="264"/>
      <c r="L364" s="265"/>
      <c r="M364" s="264"/>
      <c r="N364" s="264"/>
      <c r="O364" s="264"/>
      <c r="P364" s="264"/>
      <c r="Q364" s="263"/>
      <c r="R364" s="263"/>
      <c r="S364" s="263"/>
      <c r="T364" s="263"/>
      <c r="U364" s="263"/>
      <c r="V364" s="109"/>
      <c r="W364" s="263"/>
      <c r="X364" s="263"/>
      <c r="Y364" s="263"/>
      <c r="Z364" s="263"/>
      <c r="AA364" s="263"/>
      <c r="AB364" s="109"/>
      <c r="AC364" s="109"/>
      <c r="AD364" s="109"/>
      <c r="AE364" s="109"/>
      <c r="AF364" s="109"/>
      <c r="AG364" s="109"/>
      <c r="AH364" s="109"/>
      <c r="AI364" s="109"/>
    </row>
    <row r="365" spans="1:35">
      <c r="A365" s="109"/>
      <c r="B365" s="263"/>
      <c r="C365" s="263"/>
      <c r="D365" s="263"/>
      <c r="E365" s="109"/>
      <c r="F365" s="109"/>
      <c r="G365" s="48"/>
      <c r="H365" s="264"/>
      <c r="I365" s="265"/>
      <c r="J365" s="265"/>
      <c r="K365" s="264"/>
      <c r="L365" s="265"/>
      <c r="M365" s="264"/>
      <c r="N365" s="264"/>
      <c r="O365" s="264"/>
      <c r="P365" s="264"/>
      <c r="Q365" s="263"/>
      <c r="R365" s="263"/>
      <c r="S365" s="263"/>
      <c r="T365" s="263"/>
      <c r="U365" s="263"/>
      <c r="V365" s="109"/>
      <c r="W365" s="263"/>
      <c r="X365" s="263"/>
      <c r="Y365" s="263"/>
      <c r="Z365" s="263"/>
      <c r="AA365" s="263"/>
      <c r="AB365" s="109"/>
      <c r="AC365" s="109"/>
      <c r="AD365" s="109"/>
      <c r="AE365" s="109"/>
      <c r="AF365" s="109"/>
      <c r="AG365" s="109"/>
      <c r="AH365" s="109"/>
      <c r="AI365" s="109"/>
    </row>
    <row r="366" spans="1:35">
      <c r="A366" s="109"/>
      <c r="B366" s="263"/>
      <c r="C366" s="263"/>
      <c r="D366" s="263"/>
      <c r="E366" s="109"/>
      <c r="F366" s="109"/>
      <c r="G366" s="48"/>
      <c r="H366" s="264"/>
      <c r="I366" s="265"/>
      <c r="J366" s="265"/>
      <c r="K366" s="264"/>
      <c r="L366" s="265"/>
      <c r="M366" s="264"/>
      <c r="N366" s="264"/>
      <c r="O366" s="264"/>
      <c r="P366" s="264"/>
      <c r="Q366" s="263"/>
      <c r="R366" s="263"/>
      <c r="S366" s="263"/>
      <c r="T366" s="263"/>
      <c r="U366" s="263"/>
      <c r="V366" s="109"/>
      <c r="W366" s="263"/>
      <c r="X366" s="263"/>
      <c r="Y366" s="263"/>
      <c r="Z366" s="263"/>
      <c r="AA366" s="263"/>
      <c r="AB366" s="109"/>
      <c r="AC366" s="109"/>
      <c r="AD366" s="109"/>
      <c r="AE366" s="109"/>
      <c r="AF366" s="109"/>
      <c r="AG366" s="109"/>
      <c r="AH366" s="109"/>
      <c r="AI366" s="109"/>
    </row>
    <row r="367" spans="1:35">
      <c r="A367" s="109"/>
      <c r="B367" s="263"/>
      <c r="C367" s="263"/>
      <c r="D367" s="263"/>
      <c r="E367" s="109"/>
      <c r="F367" s="109"/>
      <c r="G367" s="48"/>
      <c r="H367" s="264"/>
      <c r="I367" s="265"/>
      <c r="J367" s="265"/>
      <c r="K367" s="264"/>
      <c r="L367" s="265"/>
      <c r="M367" s="264"/>
      <c r="N367" s="264"/>
      <c r="O367" s="264"/>
      <c r="P367" s="264"/>
      <c r="Q367" s="263"/>
      <c r="R367" s="263"/>
      <c r="S367" s="263"/>
      <c r="T367" s="263"/>
      <c r="U367" s="263"/>
      <c r="V367" s="109"/>
      <c r="W367" s="263"/>
      <c r="X367" s="263"/>
      <c r="Y367" s="263"/>
      <c r="Z367" s="263"/>
      <c r="AA367" s="263"/>
      <c r="AB367" s="109"/>
      <c r="AC367" s="109"/>
      <c r="AD367" s="109"/>
      <c r="AE367" s="109"/>
      <c r="AF367" s="109"/>
      <c r="AG367" s="109"/>
      <c r="AH367" s="109"/>
      <c r="AI367" s="109"/>
    </row>
    <row r="368" spans="1:35">
      <c r="A368" s="109"/>
      <c r="B368" s="263"/>
      <c r="C368" s="263"/>
      <c r="D368" s="263"/>
      <c r="E368" s="109"/>
      <c r="F368" s="109"/>
      <c r="G368" s="48"/>
      <c r="H368" s="264"/>
      <c r="I368" s="265"/>
      <c r="J368" s="265"/>
      <c r="K368" s="264"/>
      <c r="L368" s="265"/>
      <c r="M368" s="264"/>
      <c r="N368" s="264"/>
      <c r="O368" s="264"/>
      <c r="P368" s="264"/>
      <c r="Q368" s="263"/>
      <c r="R368" s="263"/>
      <c r="S368" s="263"/>
      <c r="T368" s="263"/>
      <c r="U368" s="263"/>
      <c r="V368" s="109"/>
      <c r="W368" s="263"/>
      <c r="X368" s="263"/>
      <c r="Y368" s="263"/>
      <c r="Z368" s="263"/>
      <c r="AA368" s="263"/>
      <c r="AB368" s="109"/>
      <c r="AC368" s="109"/>
      <c r="AD368" s="109"/>
      <c r="AE368" s="109"/>
      <c r="AF368" s="109"/>
      <c r="AG368" s="109"/>
      <c r="AH368" s="109"/>
      <c r="AI368" s="109"/>
    </row>
    <row r="369" spans="1:35">
      <c r="A369" s="109"/>
      <c r="B369" s="263"/>
      <c r="C369" s="263"/>
      <c r="D369" s="263"/>
      <c r="E369" s="109"/>
      <c r="F369" s="109"/>
      <c r="G369" s="48"/>
      <c r="H369" s="264"/>
      <c r="I369" s="265"/>
      <c r="J369" s="265"/>
      <c r="K369" s="264"/>
      <c r="L369" s="265"/>
      <c r="M369" s="264"/>
      <c r="N369" s="264"/>
      <c r="O369" s="264"/>
      <c r="P369" s="264"/>
      <c r="Q369" s="263"/>
      <c r="R369" s="263"/>
      <c r="S369" s="263"/>
      <c r="T369" s="263"/>
      <c r="U369" s="263"/>
      <c r="V369" s="109"/>
      <c r="W369" s="263"/>
      <c r="X369" s="263"/>
      <c r="Y369" s="263"/>
      <c r="Z369" s="263"/>
      <c r="AA369" s="263"/>
      <c r="AB369" s="109"/>
      <c r="AC369" s="109"/>
      <c r="AD369" s="109"/>
      <c r="AE369" s="109"/>
      <c r="AF369" s="109"/>
      <c r="AG369" s="109"/>
      <c r="AH369" s="109"/>
      <c r="AI369" s="109"/>
    </row>
    <row r="370" spans="1:35">
      <c r="A370" s="109"/>
      <c r="B370" s="263"/>
      <c r="C370" s="263"/>
      <c r="D370" s="263"/>
      <c r="E370" s="109"/>
      <c r="F370" s="109"/>
      <c r="G370" s="48"/>
      <c r="H370" s="264"/>
      <c r="I370" s="265"/>
      <c r="J370" s="265"/>
      <c r="K370" s="264"/>
      <c r="L370" s="265"/>
      <c r="M370" s="264"/>
      <c r="N370" s="264"/>
      <c r="O370" s="264"/>
      <c r="P370" s="264"/>
      <c r="Q370" s="263"/>
      <c r="R370" s="263"/>
      <c r="S370" s="263"/>
      <c r="T370" s="263"/>
      <c r="U370" s="263"/>
      <c r="V370" s="109"/>
      <c r="W370" s="263"/>
      <c r="X370" s="263"/>
      <c r="Y370" s="263"/>
      <c r="Z370" s="263"/>
      <c r="AA370" s="263"/>
      <c r="AB370" s="109"/>
      <c r="AC370" s="109"/>
      <c r="AD370" s="109"/>
      <c r="AE370" s="109"/>
      <c r="AF370" s="109"/>
      <c r="AG370" s="109"/>
      <c r="AH370" s="109"/>
      <c r="AI370" s="109"/>
    </row>
    <row r="371" spans="1:35">
      <c r="A371" s="109"/>
      <c r="B371" s="263"/>
      <c r="C371" s="263"/>
      <c r="D371" s="263"/>
      <c r="E371" s="109"/>
      <c r="F371" s="109"/>
      <c r="G371" s="48"/>
      <c r="H371" s="264"/>
      <c r="I371" s="265"/>
      <c r="J371" s="265"/>
      <c r="K371" s="264"/>
      <c r="L371" s="265"/>
      <c r="M371" s="264"/>
      <c r="N371" s="264"/>
      <c r="O371" s="264"/>
      <c r="P371" s="264"/>
      <c r="Q371" s="263"/>
      <c r="R371" s="263"/>
      <c r="S371" s="263"/>
      <c r="T371" s="263"/>
      <c r="U371" s="263"/>
      <c r="V371" s="109"/>
      <c r="W371" s="263"/>
      <c r="X371" s="263"/>
      <c r="Y371" s="263"/>
      <c r="Z371" s="263"/>
      <c r="AA371" s="263"/>
      <c r="AB371" s="109"/>
      <c r="AC371" s="109"/>
      <c r="AD371" s="109"/>
      <c r="AE371" s="109"/>
      <c r="AF371" s="109"/>
      <c r="AG371" s="109"/>
      <c r="AH371" s="109"/>
      <c r="AI371" s="109"/>
    </row>
    <row r="372" spans="1:35">
      <c r="A372" s="109"/>
      <c r="B372" s="263"/>
      <c r="C372" s="263"/>
      <c r="D372" s="263"/>
      <c r="E372" s="109"/>
      <c r="F372" s="109"/>
      <c r="G372" s="48"/>
      <c r="H372" s="264"/>
      <c r="I372" s="265"/>
      <c r="J372" s="265"/>
      <c r="K372" s="264"/>
      <c r="L372" s="265"/>
      <c r="M372" s="264"/>
      <c r="N372" s="264"/>
      <c r="O372" s="264"/>
      <c r="P372" s="264"/>
      <c r="Q372" s="263"/>
      <c r="R372" s="263"/>
      <c r="S372" s="263"/>
      <c r="T372" s="263"/>
      <c r="U372" s="263"/>
      <c r="V372" s="109"/>
      <c r="W372" s="263"/>
      <c r="X372" s="263"/>
      <c r="Y372" s="263"/>
      <c r="Z372" s="263"/>
      <c r="AA372" s="263"/>
      <c r="AB372" s="109"/>
      <c r="AC372" s="109"/>
      <c r="AD372" s="109"/>
      <c r="AE372" s="109"/>
      <c r="AF372" s="109"/>
      <c r="AG372" s="109"/>
      <c r="AH372" s="109"/>
      <c r="AI372" s="109"/>
    </row>
    <row r="373" spans="1:35">
      <c r="A373" s="109"/>
      <c r="B373" s="263"/>
      <c r="C373" s="263"/>
      <c r="D373" s="263"/>
      <c r="E373" s="109"/>
      <c r="F373" s="109"/>
      <c r="G373" s="48"/>
      <c r="H373" s="264"/>
      <c r="I373" s="265"/>
      <c r="J373" s="265"/>
      <c r="K373" s="264"/>
      <c r="L373" s="265"/>
      <c r="M373" s="264"/>
      <c r="N373" s="264"/>
      <c r="O373" s="264"/>
      <c r="P373" s="264"/>
      <c r="Q373" s="263"/>
      <c r="R373" s="263"/>
      <c r="S373" s="263"/>
      <c r="T373" s="263"/>
      <c r="U373" s="263"/>
      <c r="V373" s="109"/>
      <c r="W373" s="263"/>
      <c r="X373" s="263"/>
      <c r="Y373" s="263"/>
      <c r="Z373" s="263"/>
      <c r="AA373" s="263"/>
      <c r="AB373" s="109"/>
      <c r="AC373" s="109"/>
      <c r="AD373" s="109"/>
      <c r="AE373" s="109"/>
      <c r="AF373" s="109"/>
      <c r="AG373" s="109"/>
      <c r="AH373" s="109"/>
      <c r="AI373" s="109"/>
    </row>
    <row r="374" spans="1:35">
      <c r="A374" s="109"/>
      <c r="B374" s="263"/>
      <c r="C374" s="263"/>
      <c r="D374" s="263"/>
      <c r="E374" s="109"/>
      <c r="F374" s="109"/>
      <c r="G374" s="48"/>
      <c r="H374" s="264"/>
      <c r="I374" s="265"/>
      <c r="J374" s="265"/>
      <c r="K374" s="264"/>
      <c r="L374" s="265"/>
      <c r="M374" s="264"/>
      <c r="N374" s="264"/>
      <c r="O374" s="264"/>
      <c r="P374" s="264"/>
      <c r="Q374" s="263"/>
      <c r="R374" s="263"/>
      <c r="S374" s="263"/>
      <c r="T374" s="263"/>
      <c r="U374" s="263"/>
      <c r="V374" s="109"/>
      <c r="W374" s="263"/>
      <c r="X374" s="263"/>
      <c r="Y374" s="263"/>
      <c r="Z374" s="263"/>
      <c r="AA374" s="263"/>
      <c r="AB374" s="109"/>
      <c r="AC374" s="109"/>
      <c r="AD374" s="109"/>
      <c r="AE374" s="109"/>
      <c r="AF374" s="109"/>
      <c r="AG374" s="109"/>
      <c r="AH374" s="109"/>
      <c r="AI374" s="109"/>
    </row>
    <row r="375" spans="1:35">
      <c r="A375" s="109"/>
      <c r="B375" s="263"/>
      <c r="C375" s="263"/>
      <c r="D375" s="263"/>
      <c r="E375" s="109"/>
      <c r="F375" s="109"/>
      <c r="G375" s="48"/>
      <c r="H375" s="264"/>
      <c r="I375" s="265"/>
      <c r="J375" s="265"/>
      <c r="K375" s="264"/>
      <c r="L375" s="265"/>
      <c r="M375" s="264"/>
      <c r="N375" s="264"/>
      <c r="O375" s="264"/>
      <c r="P375" s="264"/>
      <c r="Q375" s="263"/>
      <c r="R375" s="263"/>
      <c r="S375" s="263"/>
      <c r="T375" s="263"/>
      <c r="U375" s="263"/>
      <c r="V375" s="109"/>
      <c r="W375" s="263"/>
      <c r="X375" s="263"/>
      <c r="Y375" s="263"/>
      <c r="Z375" s="263"/>
      <c r="AA375" s="263"/>
      <c r="AB375" s="109"/>
      <c r="AC375" s="109"/>
      <c r="AD375" s="109"/>
      <c r="AE375" s="109"/>
      <c r="AF375" s="109"/>
      <c r="AG375" s="109"/>
      <c r="AH375" s="109"/>
      <c r="AI375" s="109"/>
    </row>
    <row r="376" spans="1:35">
      <c r="A376" s="109"/>
      <c r="B376" s="263"/>
      <c r="C376" s="263"/>
      <c r="D376" s="263"/>
      <c r="E376" s="109"/>
      <c r="F376" s="109"/>
      <c r="G376" s="48"/>
      <c r="H376" s="264"/>
      <c r="I376" s="265"/>
      <c r="J376" s="265"/>
      <c r="K376" s="264"/>
      <c r="L376" s="265"/>
      <c r="M376" s="264"/>
      <c r="N376" s="264"/>
      <c r="O376" s="264"/>
      <c r="P376" s="264"/>
      <c r="Q376" s="263"/>
      <c r="R376" s="263"/>
      <c r="S376" s="263"/>
      <c r="T376" s="263"/>
      <c r="U376" s="263"/>
      <c r="V376" s="109"/>
      <c r="W376" s="263"/>
      <c r="X376" s="263"/>
      <c r="Y376" s="263"/>
      <c r="Z376" s="263"/>
      <c r="AA376" s="263"/>
      <c r="AB376" s="109"/>
      <c r="AC376" s="109"/>
      <c r="AD376" s="109"/>
      <c r="AE376" s="109"/>
      <c r="AF376" s="109"/>
      <c r="AG376" s="109"/>
      <c r="AH376" s="109"/>
      <c r="AI376" s="109"/>
    </row>
    <row r="377" spans="1:35">
      <c r="A377" s="109"/>
      <c r="B377" s="263"/>
      <c r="C377" s="263"/>
      <c r="D377" s="263"/>
      <c r="E377" s="109"/>
      <c r="F377" s="109"/>
      <c r="G377" s="48"/>
      <c r="H377" s="264"/>
      <c r="I377" s="265"/>
      <c r="J377" s="265"/>
      <c r="K377" s="264"/>
      <c r="L377" s="265"/>
      <c r="M377" s="264"/>
      <c r="N377" s="264"/>
      <c r="O377" s="264"/>
      <c r="P377" s="264"/>
      <c r="Q377" s="263"/>
      <c r="R377" s="263"/>
      <c r="S377" s="263"/>
      <c r="T377" s="263"/>
      <c r="U377" s="263"/>
      <c r="V377" s="109"/>
      <c r="W377" s="263"/>
      <c r="X377" s="263"/>
      <c r="Y377" s="263"/>
      <c r="Z377" s="263"/>
      <c r="AA377" s="263"/>
      <c r="AB377" s="109"/>
      <c r="AC377" s="109"/>
      <c r="AD377" s="109"/>
      <c r="AE377" s="109"/>
      <c r="AF377" s="109"/>
      <c r="AG377" s="109"/>
      <c r="AH377" s="109"/>
      <c r="AI377" s="109"/>
    </row>
    <row r="378" spans="1:35">
      <c r="A378" s="109"/>
      <c r="B378" s="263"/>
      <c r="C378" s="263"/>
      <c r="D378" s="263"/>
      <c r="E378" s="109"/>
      <c r="F378" s="109"/>
      <c r="G378" s="48"/>
      <c r="H378" s="264"/>
      <c r="I378" s="265"/>
      <c r="J378" s="265"/>
      <c r="K378" s="264"/>
      <c r="L378" s="265"/>
      <c r="M378" s="264"/>
      <c r="N378" s="264"/>
      <c r="O378" s="264"/>
      <c r="P378" s="264"/>
      <c r="Q378" s="263"/>
      <c r="R378" s="263"/>
      <c r="S378" s="263"/>
      <c r="T378" s="263"/>
      <c r="U378" s="263"/>
      <c r="V378" s="109"/>
      <c r="W378" s="263"/>
      <c r="X378" s="263"/>
      <c r="Y378" s="263"/>
      <c r="Z378" s="263"/>
      <c r="AA378" s="263"/>
      <c r="AB378" s="109"/>
      <c r="AC378" s="109"/>
      <c r="AD378" s="109"/>
      <c r="AE378" s="109"/>
      <c r="AF378" s="109"/>
      <c r="AG378" s="109"/>
      <c r="AH378" s="109"/>
      <c r="AI378" s="109"/>
    </row>
    <row r="379" spans="1:35">
      <c r="A379" s="109"/>
      <c r="B379" s="263"/>
      <c r="C379" s="263"/>
      <c r="D379" s="263"/>
      <c r="E379" s="109"/>
      <c r="F379" s="109"/>
      <c r="G379" s="48"/>
      <c r="H379" s="264"/>
      <c r="I379" s="265"/>
      <c r="J379" s="265"/>
      <c r="K379" s="264"/>
      <c r="L379" s="265"/>
      <c r="M379" s="264"/>
      <c r="N379" s="264"/>
      <c r="O379" s="264"/>
      <c r="P379" s="264"/>
      <c r="Q379" s="263"/>
      <c r="R379" s="263"/>
      <c r="S379" s="263"/>
      <c r="T379" s="263"/>
      <c r="U379" s="263"/>
      <c r="V379" s="109"/>
      <c r="W379" s="263"/>
      <c r="X379" s="263"/>
      <c r="Y379" s="263"/>
      <c r="Z379" s="263"/>
      <c r="AA379" s="263"/>
      <c r="AB379" s="109"/>
      <c r="AC379" s="109"/>
      <c r="AD379" s="109"/>
      <c r="AE379" s="109"/>
      <c r="AF379" s="109"/>
      <c r="AG379" s="109"/>
      <c r="AH379" s="109"/>
      <c r="AI379" s="109"/>
    </row>
    <row r="380" spans="1:35">
      <c r="A380" s="109"/>
      <c r="B380" s="263"/>
      <c r="C380" s="263"/>
      <c r="D380" s="263"/>
      <c r="E380" s="109"/>
      <c r="F380" s="109"/>
      <c r="G380" s="48"/>
      <c r="H380" s="264"/>
      <c r="I380" s="265"/>
      <c r="J380" s="265"/>
      <c r="K380" s="264"/>
      <c r="L380" s="265"/>
      <c r="M380" s="264"/>
      <c r="N380" s="264"/>
      <c r="O380" s="264"/>
      <c r="P380" s="264"/>
      <c r="Q380" s="263"/>
      <c r="R380" s="263"/>
      <c r="S380" s="263"/>
      <c r="T380" s="263"/>
      <c r="U380" s="263"/>
      <c r="V380" s="109"/>
      <c r="W380" s="263"/>
      <c r="X380" s="263"/>
      <c r="Y380" s="263"/>
      <c r="Z380" s="263"/>
      <c r="AA380" s="263"/>
      <c r="AB380" s="109"/>
      <c r="AC380" s="109"/>
      <c r="AD380" s="109"/>
      <c r="AE380" s="109"/>
      <c r="AF380" s="109"/>
      <c r="AG380" s="109"/>
      <c r="AH380" s="109"/>
      <c r="AI380" s="109"/>
    </row>
    <row r="381" spans="1:35">
      <c r="A381" s="109"/>
      <c r="B381" s="263"/>
      <c r="C381" s="263"/>
      <c r="D381" s="263"/>
      <c r="E381" s="109"/>
      <c r="F381" s="109"/>
      <c r="G381" s="48"/>
      <c r="H381" s="264"/>
      <c r="I381" s="265"/>
      <c r="J381" s="265"/>
      <c r="K381" s="264"/>
      <c r="L381" s="265"/>
      <c r="M381" s="264"/>
      <c r="N381" s="264"/>
      <c r="O381" s="264"/>
      <c r="P381" s="264"/>
      <c r="Q381" s="263"/>
      <c r="R381" s="263"/>
      <c r="S381" s="263"/>
      <c r="T381" s="263"/>
      <c r="U381" s="263"/>
      <c r="V381" s="109"/>
      <c r="W381" s="263"/>
      <c r="X381" s="263"/>
      <c r="Y381" s="263"/>
      <c r="Z381" s="263"/>
      <c r="AA381" s="263"/>
      <c r="AB381" s="109"/>
      <c r="AC381" s="109"/>
      <c r="AD381" s="109"/>
      <c r="AE381" s="109"/>
      <c r="AF381" s="109"/>
      <c r="AG381" s="109"/>
      <c r="AH381" s="109"/>
      <c r="AI381" s="109"/>
    </row>
    <row r="382" spans="1:35">
      <c r="A382" s="109"/>
      <c r="B382" s="263"/>
      <c r="C382" s="263"/>
      <c r="D382" s="263"/>
      <c r="E382" s="109"/>
      <c r="F382" s="109"/>
      <c r="G382" s="48"/>
      <c r="H382" s="264"/>
      <c r="I382" s="265"/>
      <c r="J382" s="265"/>
      <c r="K382" s="264"/>
      <c r="L382" s="265"/>
      <c r="M382" s="264"/>
      <c r="N382" s="264"/>
      <c r="O382" s="264"/>
      <c r="P382" s="264"/>
      <c r="Q382" s="263"/>
      <c r="R382" s="263"/>
      <c r="S382" s="263"/>
      <c r="T382" s="263"/>
      <c r="U382" s="263"/>
      <c r="V382" s="109"/>
      <c r="W382" s="263"/>
      <c r="X382" s="263"/>
      <c r="Y382" s="263"/>
      <c r="Z382" s="263"/>
      <c r="AA382" s="263"/>
      <c r="AB382" s="109"/>
      <c r="AC382" s="109"/>
      <c r="AD382" s="109"/>
      <c r="AE382" s="109"/>
      <c r="AF382" s="109"/>
      <c r="AG382" s="109"/>
      <c r="AH382" s="109"/>
      <c r="AI382" s="109"/>
    </row>
    <row r="383" spans="1:35">
      <c r="A383" s="109"/>
      <c r="B383" s="263"/>
      <c r="C383" s="263"/>
      <c r="D383" s="263"/>
      <c r="E383" s="109"/>
      <c r="F383" s="109"/>
      <c r="G383" s="48"/>
      <c r="H383" s="264"/>
      <c r="I383" s="265"/>
      <c r="J383" s="265"/>
      <c r="K383" s="264"/>
      <c r="L383" s="265"/>
      <c r="M383" s="264"/>
      <c r="N383" s="264"/>
      <c r="O383" s="264"/>
      <c r="P383" s="264"/>
      <c r="Q383" s="263"/>
      <c r="R383" s="263"/>
      <c r="S383" s="263"/>
      <c r="T383" s="263"/>
      <c r="U383" s="263"/>
      <c r="V383" s="109"/>
      <c r="W383" s="263"/>
      <c r="X383" s="263"/>
      <c r="Y383" s="263"/>
      <c r="Z383" s="263"/>
      <c r="AA383" s="263"/>
      <c r="AB383" s="109"/>
      <c r="AC383" s="109"/>
      <c r="AD383" s="109"/>
      <c r="AE383" s="109"/>
      <c r="AF383" s="109"/>
      <c r="AG383" s="109"/>
      <c r="AH383" s="109"/>
      <c r="AI383" s="109"/>
    </row>
    <row r="384" spans="1:35">
      <c r="A384" s="109"/>
      <c r="B384" s="263"/>
      <c r="C384" s="263"/>
      <c r="D384" s="263"/>
      <c r="E384" s="109"/>
      <c r="F384" s="109"/>
      <c r="G384" s="48"/>
      <c r="H384" s="264"/>
      <c r="I384" s="265"/>
      <c r="J384" s="265"/>
      <c r="K384" s="264"/>
      <c r="L384" s="265"/>
      <c r="M384" s="264"/>
      <c r="N384" s="264"/>
      <c r="O384" s="264"/>
      <c r="P384" s="264"/>
      <c r="Q384" s="263"/>
      <c r="R384" s="263"/>
      <c r="S384" s="263"/>
      <c r="T384" s="263"/>
      <c r="U384" s="263"/>
      <c r="V384" s="109"/>
      <c r="W384" s="263"/>
      <c r="X384" s="263"/>
      <c r="Y384" s="263"/>
      <c r="Z384" s="263"/>
      <c r="AA384" s="263"/>
      <c r="AB384" s="109"/>
      <c r="AC384" s="109"/>
      <c r="AD384" s="109"/>
      <c r="AE384" s="109"/>
      <c r="AF384" s="109"/>
      <c r="AG384" s="109"/>
      <c r="AH384" s="109"/>
      <c r="AI384" s="109"/>
    </row>
    <row r="385" spans="1:35">
      <c r="A385" s="109"/>
      <c r="B385" s="263"/>
      <c r="C385" s="263"/>
      <c r="D385" s="263"/>
      <c r="E385" s="109"/>
      <c r="F385" s="109"/>
      <c r="G385" s="48"/>
      <c r="H385" s="264"/>
      <c r="I385" s="265"/>
      <c r="J385" s="265"/>
      <c r="K385" s="264"/>
      <c r="L385" s="265"/>
      <c r="M385" s="264"/>
      <c r="N385" s="264"/>
      <c r="O385" s="264"/>
      <c r="P385" s="264"/>
      <c r="Q385" s="263"/>
      <c r="R385" s="263"/>
      <c r="S385" s="263"/>
      <c r="T385" s="263"/>
      <c r="U385" s="263"/>
      <c r="V385" s="109"/>
      <c r="W385" s="263"/>
      <c r="X385" s="263"/>
      <c r="Y385" s="263"/>
      <c r="Z385" s="263"/>
      <c r="AA385" s="263"/>
      <c r="AB385" s="109"/>
      <c r="AC385" s="109"/>
      <c r="AD385" s="109"/>
      <c r="AE385" s="109"/>
      <c r="AF385" s="109"/>
      <c r="AG385" s="109"/>
      <c r="AH385" s="109"/>
      <c r="AI385" s="109"/>
    </row>
    <row r="386" spans="1:35">
      <c r="A386" s="109"/>
      <c r="B386" s="263"/>
      <c r="C386" s="263"/>
      <c r="D386" s="263"/>
      <c r="E386" s="109"/>
      <c r="F386" s="109"/>
      <c r="G386" s="48"/>
      <c r="H386" s="264"/>
      <c r="I386" s="265"/>
      <c r="J386" s="265"/>
      <c r="K386" s="264"/>
      <c r="L386" s="265"/>
      <c r="M386" s="264"/>
      <c r="N386" s="264"/>
      <c r="O386" s="264"/>
      <c r="P386" s="264"/>
      <c r="Q386" s="263"/>
      <c r="R386" s="263"/>
      <c r="S386" s="263"/>
      <c r="T386" s="263"/>
      <c r="U386" s="263"/>
      <c r="V386" s="109"/>
      <c r="W386" s="263"/>
      <c r="X386" s="263"/>
      <c r="Y386" s="263"/>
      <c r="Z386" s="263"/>
      <c r="AA386" s="263"/>
      <c r="AB386" s="109"/>
      <c r="AC386" s="109"/>
      <c r="AD386" s="109"/>
      <c r="AE386" s="109"/>
      <c r="AF386" s="109"/>
      <c r="AG386" s="109"/>
      <c r="AH386" s="109"/>
      <c r="AI386" s="109"/>
    </row>
    <row r="387" spans="1:35">
      <c r="A387" s="109"/>
      <c r="B387" s="263"/>
      <c r="C387" s="263"/>
      <c r="D387" s="263"/>
      <c r="E387" s="109"/>
      <c r="F387" s="109"/>
      <c r="G387" s="48"/>
      <c r="H387" s="264"/>
      <c r="I387" s="265"/>
      <c r="J387" s="265"/>
      <c r="K387" s="264"/>
      <c r="L387" s="265"/>
      <c r="M387" s="264"/>
      <c r="N387" s="264"/>
      <c r="O387" s="264"/>
      <c r="P387" s="264"/>
      <c r="Q387" s="263"/>
      <c r="R387" s="263"/>
      <c r="S387" s="263"/>
      <c r="T387" s="263"/>
      <c r="U387" s="263"/>
      <c r="V387" s="109"/>
      <c r="W387" s="263"/>
      <c r="X387" s="263"/>
      <c r="Y387" s="263"/>
      <c r="Z387" s="263"/>
      <c r="AA387" s="263"/>
      <c r="AB387" s="109"/>
      <c r="AC387" s="109"/>
      <c r="AD387" s="109"/>
      <c r="AE387" s="109"/>
      <c r="AF387" s="109"/>
      <c r="AG387" s="109"/>
      <c r="AH387" s="109"/>
      <c r="AI387" s="109"/>
    </row>
    <row r="388" spans="1:35">
      <c r="A388" s="109"/>
      <c r="B388" s="263"/>
      <c r="C388" s="263"/>
      <c r="D388" s="263"/>
      <c r="E388" s="109"/>
      <c r="F388" s="109"/>
      <c r="G388" s="48"/>
      <c r="H388" s="264"/>
      <c r="I388" s="265"/>
      <c r="J388" s="265"/>
      <c r="K388" s="264"/>
      <c r="L388" s="265"/>
      <c r="M388" s="264"/>
      <c r="N388" s="264"/>
      <c r="O388" s="264"/>
      <c r="P388" s="264"/>
      <c r="Q388" s="263"/>
      <c r="R388" s="263"/>
      <c r="S388" s="263"/>
      <c r="T388" s="263"/>
      <c r="U388" s="263"/>
      <c r="V388" s="109"/>
      <c r="W388" s="263"/>
      <c r="X388" s="263"/>
      <c r="Y388" s="263"/>
      <c r="Z388" s="263"/>
      <c r="AA388" s="263"/>
      <c r="AB388" s="109"/>
      <c r="AC388" s="109"/>
      <c r="AD388" s="109"/>
      <c r="AE388" s="109"/>
      <c r="AF388" s="109"/>
      <c r="AG388" s="109"/>
      <c r="AH388" s="109"/>
      <c r="AI388" s="109"/>
    </row>
    <row r="389" spans="1:35">
      <c r="A389" s="109"/>
      <c r="B389" s="263"/>
      <c r="C389" s="263"/>
      <c r="D389" s="263"/>
      <c r="E389" s="109"/>
      <c r="F389" s="109"/>
      <c r="G389" s="48"/>
      <c r="H389" s="264"/>
      <c r="I389" s="265"/>
      <c r="J389" s="265"/>
      <c r="K389" s="264"/>
      <c r="L389" s="265"/>
      <c r="M389" s="264"/>
      <c r="N389" s="264"/>
      <c r="O389" s="264"/>
      <c r="P389" s="264"/>
      <c r="Q389" s="263"/>
      <c r="R389" s="263"/>
      <c r="S389" s="263"/>
      <c r="T389" s="263"/>
      <c r="U389" s="263"/>
      <c r="V389" s="109"/>
      <c r="W389" s="263"/>
      <c r="X389" s="263"/>
      <c r="Y389" s="263"/>
      <c r="Z389" s="263"/>
      <c r="AA389" s="263"/>
      <c r="AB389" s="109"/>
      <c r="AC389" s="109"/>
      <c r="AD389" s="109"/>
      <c r="AE389" s="109"/>
      <c r="AF389" s="109"/>
      <c r="AG389" s="109"/>
      <c r="AH389" s="109"/>
      <c r="AI389" s="109"/>
    </row>
    <row r="390" spans="1:35">
      <c r="A390" s="109"/>
      <c r="B390" s="263"/>
      <c r="C390" s="263"/>
      <c r="D390" s="263"/>
      <c r="E390" s="109"/>
      <c r="F390" s="109"/>
      <c r="G390" s="48"/>
      <c r="H390" s="264"/>
      <c r="I390" s="265"/>
      <c r="J390" s="265"/>
      <c r="K390" s="264"/>
      <c r="L390" s="265"/>
      <c r="M390" s="264"/>
      <c r="N390" s="264"/>
      <c r="O390" s="264"/>
      <c r="P390" s="264"/>
      <c r="Q390" s="263"/>
      <c r="R390" s="263"/>
      <c r="S390" s="263"/>
      <c r="T390" s="263"/>
      <c r="U390" s="263"/>
      <c r="V390" s="109"/>
      <c r="W390" s="263"/>
      <c r="X390" s="263"/>
      <c r="Y390" s="263"/>
      <c r="Z390" s="263"/>
      <c r="AA390" s="263"/>
      <c r="AB390" s="109"/>
      <c r="AC390" s="109"/>
      <c r="AD390" s="109"/>
      <c r="AE390" s="109"/>
      <c r="AF390" s="109"/>
      <c r="AG390" s="109"/>
      <c r="AH390" s="109"/>
      <c r="AI390" s="109"/>
    </row>
    <row r="391" spans="1:35">
      <c r="A391" s="109"/>
      <c r="B391" s="263"/>
      <c r="C391" s="263"/>
      <c r="D391" s="263"/>
      <c r="E391" s="109"/>
      <c r="F391" s="109"/>
      <c r="G391" s="48"/>
      <c r="H391" s="264"/>
      <c r="I391" s="265"/>
      <c r="J391" s="265"/>
      <c r="K391" s="264"/>
      <c r="L391" s="265"/>
      <c r="M391" s="264"/>
      <c r="N391" s="264"/>
      <c r="O391" s="264"/>
      <c r="P391" s="264"/>
      <c r="Q391" s="263"/>
      <c r="R391" s="263"/>
      <c r="S391" s="263"/>
      <c r="T391" s="263"/>
      <c r="U391" s="263"/>
      <c r="V391" s="109"/>
      <c r="W391" s="263"/>
      <c r="X391" s="263"/>
      <c r="Y391" s="263"/>
      <c r="Z391" s="263"/>
      <c r="AA391" s="263"/>
      <c r="AB391" s="109"/>
      <c r="AC391" s="109"/>
      <c r="AD391" s="109"/>
      <c r="AE391" s="109"/>
      <c r="AF391" s="109"/>
      <c r="AG391" s="109"/>
      <c r="AH391" s="109"/>
      <c r="AI391" s="109"/>
    </row>
    <row r="392" spans="1:35">
      <c r="A392" s="109"/>
      <c r="B392" s="263"/>
      <c r="C392" s="263"/>
      <c r="D392" s="263"/>
      <c r="E392" s="109"/>
      <c r="F392" s="109"/>
      <c r="G392" s="48"/>
      <c r="H392" s="264"/>
      <c r="I392" s="265"/>
      <c r="J392" s="265"/>
      <c r="K392" s="264"/>
      <c r="L392" s="265"/>
      <c r="M392" s="264"/>
      <c r="N392" s="264"/>
      <c r="O392" s="264"/>
      <c r="P392" s="264"/>
      <c r="Q392" s="263"/>
      <c r="R392" s="263"/>
      <c r="S392" s="263"/>
      <c r="T392" s="263"/>
      <c r="U392" s="263"/>
      <c r="V392" s="109"/>
      <c r="W392" s="263"/>
      <c r="X392" s="263"/>
      <c r="Y392" s="263"/>
      <c r="Z392" s="263"/>
      <c r="AA392" s="263"/>
      <c r="AB392" s="109"/>
      <c r="AC392" s="109"/>
      <c r="AD392" s="109"/>
      <c r="AE392" s="109"/>
      <c r="AF392" s="109"/>
      <c r="AG392" s="109"/>
      <c r="AH392" s="109"/>
      <c r="AI392" s="109"/>
    </row>
    <row r="393" spans="1:35">
      <c r="A393" s="109"/>
      <c r="B393" s="263"/>
      <c r="C393" s="263"/>
      <c r="D393" s="263"/>
      <c r="E393" s="109"/>
      <c r="F393" s="109"/>
      <c r="G393" s="48"/>
      <c r="H393" s="264"/>
      <c r="I393" s="265"/>
      <c r="J393" s="265"/>
      <c r="K393" s="264"/>
      <c r="L393" s="265"/>
      <c r="M393" s="264"/>
      <c r="N393" s="264"/>
      <c r="O393" s="264"/>
      <c r="P393" s="264"/>
      <c r="Q393" s="263"/>
      <c r="R393" s="263"/>
      <c r="S393" s="263"/>
      <c r="T393" s="263"/>
      <c r="U393" s="263"/>
      <c r="V393" s="109"/>
      <c r="W393" s="263"/>
      <c r="X393" s="263"/>
      <c r="Y393" s="263"/>
      <c r="Z393" s="263"/>
      <c r="AA393" s="263"/>
      <c r="AB393" s="109"/>
      <c r="AC393" s="109"/>
      <c r="AD393" s="109"/>
      <c r="AE393" s="109"/>
      <c r="AF393" s="109"/>
      <c r="AG393" s="109"/>
      <c r="AH393" s="109"/>
      <c r="AI393" s="109"/>
    </row>
    <row r="394" spans="1:35">
      <c r="A394" s="109"/>
      <c r="B394" s="263"/>
      <c r="C394" s="263"/>
      <c r="D394" s="263"/>
      <c r="E394" s="109"/>
      <c r="F394" s="109"/>
      <c r="G394" s="48"/>
      <c r="H394" s="264"/>
      <c r="I394" s="265"/>
      <c r="J394" s="265"/>
      <c r="K394" s="264"/>
      <c r="L394" s="265"/>
      <c r="M394" s="264"/>
      <c r="N394" s="264"/>
      <c r="O394" s="264"/>
      <c r="P394" s="264"/>
      <c r="Q394" s="263"/>
      <c r="R394" s="263"/>
      <c r="S394" s="263"/>
      <c r="T394" s="263"/>
      <c r="U394" s="263"/>
      <c r="V394" s="109"/>
      <c r="W394" s="263"/>
      <c r="X394" s="263"/>
      <c r="Y394" s="263"/>
      <c r="Z394" s="263"/>
      <c r="AA394" s="263"/>
      <c r="AB394" s="109"/>
      <c r="AC394" s="109"/>
      <c r="AD394" s="109"/>
      <c r="AE394" s="109"/>
      <c r="AF394" s="109"/>
      <c r="AG394" s="109"/>
      <c r="AH394" s="109"/>
      <c r="AI394" s="109"/>
    </row>
    <row r="395" spans="1:35">
      <c r="A395" s="109"/>
      <c r="B395" s="263"/>
      <c r="C395" s="263"/>
      <c r="D395" s="263"/>
      <c r="E395" s="109"/>
      <c r="F395" s="109"/>
      <c r="G395" s="48"/>
      <c r="H395" s="264"/>
      <c r="I395" s="265"/>
      <c r="J395" s="265"/>
      <c r="K395" s="264"/>
      <c r="L395" s="265"/>
      <c r="M395" s="264"/>
      <c r="N395" s="264"/>
      <c r="O395" s="264"/>
      <c r="P395" s="264"/>
      <c r="Q395" s="263"/>
      <c r="R395" s="263"/>
      <c r="S395" s="263"/>
      <c r="T395" s="263"/>
      <c r="U395" s="263"/>
      <c r="V395" s="109"/>
      <c r="W395" s="263"/>
      <c r="X395" s="263"/>
      <c r="Y395" s="263"/>
      <c r="Z395" s="263"/>
      <c r="AA395" s="263"/>
      <c r="AB395" s="109"/>
      <c r="AC395" s="109"/>
      <c r="AD395" s="109"/>
      <c r="AE395" s="109"/>
      <c r="AF395" s="109"/>
      <c r="AG395" s="109"/>
      <c r="AH395" s="109"/>
      <c r="AI395" s="109"/>
    </row>
    <row r="396" spans="1:35">
      <c r="A396" s="109"/>
      <c r="B396" s="263"/>
      <c r="C396" s="263"/>
      <c r="D396" s="263"/>
      <c r="E396" s="109"/>
      <c r="F396" s="109"/>
      <c r="G396" s="48"/>
      <c r="H396" s="264"/>
      <c r="I396" s="265"/>
      <c r="J396" s="265"/>
      <c r="K396" s="264"/>
      <c r="L396" s="265"/>
      <c r="M396" s="264"/>
      <c r="N396" s="264"/>
      <c r="O396" s="264"/>
      <c r="P396" s="264"/>
      <c r="Q396" s="263"/>
      <c r="R396" s="263"/>
      <c r="S396" s="263"/>
      <c r="T396" s="263"/>
      <c r="U396" s="263"/>
      <c r="V396" s="109"/>
      <c r="W396" s="263"/>
      <c r="X396" s="263"/>
      <c r="Y396" s="263"/>
      <c r="Z396" s="263"/>
      <c r="AA396" s="263"/>
      <c r="AB396" s="109"/>
      <c r="AC396" s="109"/>
      <c r="AD396" s="109"/>
      <c r="AE396" s="109"/>
      <c r="AF396" s="109"/>
      <c r="AG396" s="109"/>
      <c r="AH396" s="109"/>
      <c r="AI396" s="109"/>
    </row>
    <row r="397" spans="1:35">
      <c r="A397" s="109"/>
      <c r="B397" s="263"/>
      <c r="C397" s="263"/>
      <c r="D397" s="263"/>
      <c r="E397" s="109"/>
      <c r="F397" s="109"/>
      <c r="G397" s="48"/>
      <c r="H397" s="264"/>
      <c r="I397" s="265"/>
      <c r="J397" s="265"/>
      <c r="K397" s="264"/>
      <c r="L397" s="265"/>
      <c r="M397" s="264"/>
      <c r="N397" s="264"/>
      <c r="O397" s="264"/>
      <c r="P397" s="264"/>
      <c r="Q397" s="263"/>
      <c r="R397" s="263"/>
      <c r="S397" s="263"/>
      <c r="T397" s="263"/>
      <c r="U397" s="263"/>
      <c r="V397" s="109"/>
      <c r="W397" s="263"/>
      <c r="X397" s="263"/>
      <c r="Y397" s="263"/>
      <c r="Z397" s="263"/>
      <c r="AA397" s="263"/>
      <c r="AB397" s="109"/>
      <c r="AC397" s="109"/>
      <c r="AD397" s="109"/>
      <c r="AE397" s="109"/>
      <c r="AF397" s="109"/>
      <c r="AG397" s="109"/>
      <c r="AH397" s="109"/>
      <c r="AI397" s="109"/>
    </row>
    <row r="398" spans="1:35">
      <c r="A398" s="109"/>
      <c r="B398" s="263"/>
      <c r="C398" s="263"/>
      <c r="D398" s="263"/>
      <c r="E398" s="109"/>
      <c r="F398" s="109"/>
      <c r="G398" s="48"/>
      <c r="H398" s="264"/>
      <c r="I398" s="265"/>
      <c r="J398" s="265"/>
      <c r="K398" s="264"/>
      <c r="L398" s="265"/>
      <c r="M398" s="264"/>
      <c r="N398" s="264"/>
      <c r="O398" s="264"/>
      <c r="P398" s="264"/>
      <c r="Q398" s="263"/>
      <c r="R398" s="263"/>
      <c r="S398" s="263"/>
      <c r="T398" s="263"/>
      <c r="U398" s="263"/>
      <c r="V398" s="109"/>
      <c r="W398" s="263"/>
      <c r="X398" s="263"/>
      <c r="Y398" s="263"/>
      <c r="Z398" s="263"/>
      <c r="AA398" s="263"/>
      <c r="AB398" s="109"/>
      <c r="AC398" s="109"/>
      <c r="AD398" s="109"/>
      <c r="AE398" s="109"/>
      <c r="AF398" s="109"/>
      <c r="AG398" s="109"/>
      <c r="AH398" s="109"/>
      <c r="AI398" s="109"/>
    </row>
    <row r="399" spans="1:35">
      <c r="A399" s="109"/>
      <c r="B399" s="263"/>
      <c r="C399" s="263"/>
      <c r="D399" s="263"/>
      <c r="E399" s="109"/>
      <c r="F399" s="109"/>
      <c r="G399" s="48"/>
      <c r="H399" s="264"/>
      <c r="I399" s="265"/>
      <c r="J399" s="265"/>
      <c r="K399" s="264"/>
      <c r="L399" s="265"/>
      <c r="M399" s="264"/>
      <c r="N399" s="264"/>
      <c r="O399" s="264"/>
      <c r="P399" s="264"/>
      <c r="Q399" s="263"/>
      <c r="R399" s="263"/>
      <c r="S399" s="263"/>
      <c r="T399" s="263"/>
      <c r="U399" s="263"/>
      <c r="V399" s="109"/>
      <c r="W399" s="263"/>
      <c r="X399" s="263"/>
      <c r="Y399" s="263"/>
      <c r="Z399" s="263"/>
      <c r="AA399" s="263"/>
      <c r="AB399" s="109"/>
      <c r="AC399" s="109"/>
      <c r="AD399" s="109"/>
      <c r="AE399" s="109"/>
      <c r="AF399" s="109"/>
      <c r="AG399" s="109"/>
      <c r="AH399" s="109"/>
      <c r="AI399" s="109"/>
    </row>
    <row r="400" spans="1:35">
      <c r="A400" s="109"/>
      <c r="B400" s="263"/>
      <c r="C400" s="263"/>
      <c r="D400" s="263"/>
      <c r="E400" s="109"/>
      <c r="F400" s="109"/>
      <c r="G400" s="48"/>
      <c r="H400" s="264"/>
      <c r="I400" s="265"/>
      <c r="J400" s="265"/>
      <c r="K400" s="264"/>
      <c r="L400" s="265"/>
      <c r="M400" s="264"/>
      <c r="N400" s="264"/>
      <c r="O400" s="264"/>
      <c r="P400" s="264"/>
      <c r="Q400" s="263"/>
      <c r="R400" s="263"/>
      <c r="S400" s="263"/>
      <c r="T400" s="263"/>
      <c r="U400" s="263"/>
      <c r="V400" s="109"/>
      <c r="W400" s="263"/>
      <c r="X400" s="263"/>
      <c r="Y400" s="263"/>
      <c r="Z400" s="263"/>
      <c r="AA400" s="263"/>
      <c r="AB400" s="109"/>
      <c r="AC400" s="109"/>
      <c r="AD400" s="109"/>
      <c r="AE400" s="109"/>
      <c r="AF400" s="109"/>
      <c r="AG400" s="109"/>
      <c r="AH400" s="109"/>
      <c r="AI400" s="109"/>
    </row>
    <row r="401" spans="1:35">
      <c r="A401" s="109"/>
      <c r="B401" s="263"/>
      <c r="C401" s="263"/>
      <c r="D401" s="263"/>
      <c r="E401" s="109"/>
      <c r="F401" s="109"/>
      <c r="G401" s="48"/>
      <c r="H401" s="264"/>
      <c r="I401" s="265"/>
      <c r="J401" s="265"/>
      <c r="K401" s="264"/>
      <c r="L401" s="265"/>
      <c r="M401" s="264"/>
      <c r="N401" s="264"/>
      <c r="O401" s="264"/>
      <c r="P401" s="264"/>
      <c r="Q401" s="263"/>
      <c r="R401" s="263"/>
      <c r="S401" s="263"/>
      <c r="T401" s="263"/>
      <c r="U401" s="263"/>
      <c r="V401" s="109"/>
      <c r="W401" s="263"/>
      <c r="X401" s="263"/>
      <c r="Y401" s="263"/>
      <c r="Z401" s="263"/>
      <c r="AA401" s="263"/>
      <c r="AB401" s="109"/>
      <c r="AC401" s="109"/>
      <c r="AD401" s="109"/>
      <c r="AE401" s="109"/>
      <c r="AF401" s="109"/>
      <c r="AG401" s="109"/>
      <c r="AH401" s="109"/>
      <c r="AI401" s="109"/>
    </row>
    <row r="402" spans="1:35">
      <c r="A402" s="109"/>
      <c r="B402" s="263"/>
      <c r="C402" s="263"/>
      <c r="D402" s="263"/>
      <c r="E402" s="109"/>
      <c r="F402" s="109"/>
      <c r="G402" s="48"/>
      <c r="H402" s="264"/>
      <c r="I402" s="265"/>
      <c r="J402" s="265"/>
      <c r="K402" s="264"/>
      <c r="L402" s="265"/>
      <c r="M402" s="264"/>
      <c r="N402" s="264"/>
      <c r="O402" s="264"/>
      <c r="P402" s="264"/>
      <c r="Q402" s="263"/>
      <c r="R402" s="263"/>
      <c r="S402" s="263"/>
      <c r="T402" s="263"/>
      <c r="U402" s="263"/>
      <c r="V402" s="109"/>
      <c r="W402" s="263"/>
      <c r="X402" s="263"/>
      <c r="Y402" s="263"/>
      <c r="Z402" s="263"/>
      <c r="AA402" s="263"/>
      <c r="AB402" s="109"/>
      <c r="AC402" s="109"/>
      <c r="AD402" s="109"/>
      <c r="AE402" s="109"/>
      <c r="AF402" s="109"/>
      <c r="AG402" s="109"/>
      <c r="AH402" s="109"/>
      <c r="AI402" s="109"/>
    </row>
    <row r="403" spans="1:35">
      <c r="A403" s="109"/>
      <c r="B403" s="263"/>
      <c r="C403" s="263"/>
      <c r="D403" s="263"/>
      <c r="E403" s="109"/>
      <c r="F403" s="109"/>
      <c r="G403" s="48"/>
      <c r="H403" s="264"/>
      <c r="I403" s="265"/>
      <c r="J403" s="265"/>
      <c r="K403" s="264"/>
      <c r="L403" s="265"/>
      <c r="M403" s="264"/>
      <c r="N403" s="264"/>
      <c r="O403" s="264"/>
      <c r="P403" s="264"/>
      <c r="Q403" s="263"/>
      <c r="R403" s="263"/>
      <c r="S403" s="263"/>
      <c r="T403" s="263"/>
      <c r="U403" s="263"/>
      <c r="V403" s="109"/>
      <c r="W403" s="263"/>
      <c r="X403" s="263"/>
      <c r="Y403" s="263"/>
      <c r="Z403" s="263"/>
      <c r="AA403" s="263"/>
      <c r="AB403" s="109"/>
      <c r="AC403" s="109"/>
      <c r="AD403" s="109"/>
      <c r="AE403" s="109"/>
      <c r="AF403" s="109"/>
      <c r="AG403" s="109"/>
      <c r="AH403" s="109"/>
      <c r="AI403" s="109"/>
    </row>
    <row r="404" spans="1:35">
      <c r="A404" s="109"/>
      <c r="B404" s="263"/>
      <c r="C404" s="263"/>
      <c r="D404" s="263"/>
      <c r="E404" s="109"/>
      <c r="F404" s="109"/>
      <c r="G404" s="48"/>
      <c r="H404" s="264"/>
      <c r="I404" s="265"/>
      <c r="J404" s="265"/>
      <c r="K404" s="264"/>
      <c r="L404" s="265"/>
      <c r="M404" s="264"/>
      <c r="N404" s="264"/>
      <c r="O404" s="264"/>
      <c r="P404" s="264"/>
      <c r="Q404" s="263"/>
      <c r="R404" s="263"/>
      <c r="S404" s="263"/>
      <c r="T404" s="263"/>
      <c r="U404" s="263"/>
      <c r="V404" s="109"/>
      <c r="W404" s="263"/>
      <c r="X404" s="263"/>
      <c r="Y404" s="263"/>
      <c r="Z404" s="263"/>
      <c r="AA404" s="263"/>
      <c r="AB404" s="109"/>
      <c r="AC404" s="109"/>
      <c r="AD404" s="109"/>
      <c r="AE404" s="109"/>
      <c r="AF404" s="109"/>
      <c r="AG404" s="109"/>
      <c r="AH404" s="109"/>
      <c r="AI404" s="109"/>
    </row>
    <row r="405" spans="1:35">
      <c r="A405" s="109"/>
      <c r="B405" s="263"/>
      <c r="C405" s="263"/>
      <c r="D405" s="263"/>
      <c r="E405" s="109"/>
      <c r="F405" s="109"/>
      <c r="G405" s="48"/>
      <c r="H405" s="264"/>
      <c r="I405" s="265"/>
      <c r="J405" s="265"/>
      <c r="K405" s="264"/>
      <c r="L405" s="265"/>
      <c r="M405" s="264"/>
      <c r="N405" s="264"/>
      <c r="O405" s="264"/>
      <c r="P405" s="264"/>
      <c r="Q405" s="263"/>
      <c r="R405" s="263"/>
      <c r="S405" s="263"/>
      <c r="T405" s="263"/>
      <c r="U405" s="263"/>
      <c r="V405" s="109"/>
      <c r="W405" s="263"/>
      <c r="X405" s="263"/>
      <c r="Y405" s="263"/>
      <c r="Z405" s="263"/>
      <c r="AA405" s="263"/>
      <c r="AB405" s="109"/>
      <c r="AC405" s="109"/>
      <c r="AD405" s="109"/>
      <c r="AE405" s="109"/>
      <c r="AF405" s="109"/>
      <c r="AG405" s="109"/>
      <c r="AH405" s="109"/>
      <c r="AI405" s="109"/>
    </row>
    <row r="406" spans="1:35">
      <c r="A406" s="109"/>
      <c r="B406" s="263"/>
      <c r="C406" s="263"/>
      <c r="D406" s="263"/>
      <c r="E406" s="109"/>
      <c r="F406" s="109"/>
      <c r="G406" s="48"/>
      <c r="H406" s="264"/>
      <c r="I406" s="265"/>
      <c r="J406" s="265"/>
      <c r="K406" s="264"/>
      <c r="L406" s="265"/>
      <c r="M406" s="264"/>
      <c r="N406" s="264"/>
      <c r="O406" s="264"/>
      <c r="P406" s="264"/>
      <c r="Q406" s="263"/>
      <c r="R406" s="263"/>
      <c r="S406" s="263"/>
      <c r="T406" s="263"/>
      <c r="U406" s="263"/>
      <c r="V406" s="109"/>
      <c r="W406" s="263"/>
      <c r="X406" s="263"/>
      <c r="Y406" s="263"/>
      <c r="Z406" s="263"/>
      <c r="AA406" s="263"/>
      <c r="AB406" s="109"/>
      <c r="AC406" s="109"/>
      <c r="AD406" s="109"/>
      <c r="AE406" s="109"/>
      <c r="AF406" s="109"/>
      <c r="AG406" s="109"/>
      <c r="AH406" s="109"/>
      <c r="AI406" s="109"/>
    </row>
    <row r="407" spans="1:35">
      <c r="A407" s="109"/>
      <c r="B407" s="263"/>
      <c r="C407" s="263"/>
      <c r="D407" s="263"/>
      <c r="E407" s="109"/>
      <c r="F407" s="109"/>
      <c r="G407" s="48"/>
      <c r="H407" s="264"/>
      <c r="I407" s="265"/>
      <c r="J407" s="265"/>
      <c r="K407" s="264"/>
      <c r="L407" s="265"/>
      <c r="M407" s="264"/>
      <c r="N407" s="264"/>
      <c r="O407" s="264"/>
      <c r="P407" s="264"/>
      <c r="Q407" s="263"/>
      <c r="R407" s="263"/>
      <c r="S407" s="263"/>
      <c r="T407" s="263"/>
      <c r="U407" s="263"/>
      <c r="V407" s="109"/>
      <c r="W407" s="263"/>
      <c r="X407" s="263"/>
      <c r="Y407" s="263"/>
      <c r="Z407" s="263"/>
      <c r="AA407" s="263"/>
      <c r="AB407" s="109"/>
      <c r="AC407" s="109"/>
      <c r="AD407" s="109"/>
      <c r="AE407" s="109"/>
      <c r="AF407" s="109"/>
      <c r="AG407" s="109"/>
      <c r="AH407" s="109"/>
      <c r="AI407" s="109"/>
    </row>
    <row r="408" spans="1:35">
      <c r="A408" s="109"/>
      <c r="B408" s="263"/>
      <c r="C408" s="263"/>
      <c r="D408" s="263"/>
      <c r="E408" s="109"/>
      <c r="F408" s="109"/>
      <c r="G408" s="48"/>
      <c r="H408" s="264"/>
      <c r="I408" s="265"/>
      <c r="J408" s="265"/>
      <c r="K408" s="264"/>
      <c r="L408" s="265"/>
      <c r="M408" s="264"/>
      <c r="N408" s="264"/>
      <c r="O408" s="264"/>
      <c r="P408" s="264"/>
      <c r="Q408" s="263"/>
      <c r="R408" s="263"/>
      <c r="S408" s="263"/>
      <c r="T408" s="263"/>
      <c r="U408" s="263"/>
      <c r="V408" s="109"/>
      <c r="W408" s="263"/>
      <c r="X408" s="263"/>
      <c r="Y408" s="263"/>
      <c r="Z408" s="263"/>
      <c r="AA408" s="263"/>
      <c r="AB408" s="109"/>
      <c r="AC408" s="109"/>
      <c r="AD408" s="109"/>
      <c r="AE408" s="109"/>
      <c r="AF408" s="109"/>
      <c r="AG408" s="109"/>
      <c r="AH408" s="109"/>
      <c r="AI408" s="109"/>
    </row>
    <row r="409" spans="1:35">
      <c r="A409" s="109"/>
      <c r="B409" s="263"/>
      <c r="C409" s="263"/>
      <c r="D409" s="263"/>
      <c r="E409" s="109"/>
      <c r="F409" s="109"/>
      <c r="G409" s="48"/>
      <c r="H409" s="264"/>
      <c r="I409" s="265"/>
      <c r="J409" s="265"/>
      <c r="K409" s="264"/>
      <c r="L409" s="265"/>
      <c r="M409" s="264"/>
      <c r="N409" s="264"/>
      <c r="O409" s="264"/>
      <c r="P409" s="264"/>
      <c r="Q409" s="263"/>
      <c r="R409" s="263"/>
      <c r="S409" s="263"/>
      <c r="T409" s="263"/>
      <c r="U409" s="263"/>
      <c r="V409" s="109"/>
      <c r="W409" s="263"/>
      <c r="X409" s="263"/>
      <c r="Y409" s="263"/>
      <c r="Z409" s="263"/>
      <c r="AA409" s="263"/>
      <c r="AB409" s="109"/>
      <c r="AC409" s="109"/>
      <c r="AD409" s="109"/>
      <c r="AE409" s="109"/>
      <c r="AF409" s="109"/>
      <c r="AG409" s="109"/>
      <c r="AH409" s="109"/>
      <c r="AI409" s="109"/>
    </row>
    <row r="410" spans="1:35">
      <c r="A410" s="109"/>
      <c r="B410" s="263"/>
      <c r="C410" s="263"/>
      <c r="D410" s="263"/>
      <c r="E410" s="109"/>
      <c r="F410" s="109"/>
      <c r="G410" s="48"/>
      <c r="H410" s="264"/>
      <c r="I410" s="265"/>
      <c r="J410" s="265"/>
      <c r="K410" s="264"/>
      <c r="L410" s="265"/>
      <c r="M410" s="264"/>
      <c r="N410" s="264"/>
      <c r="O410" s="264"/>
      <c r="P410" s="264"/>
      <c r="Q410" s="263"/>
      <c r="R410" s="263"/>
      <c r="S410" s="263"/>
      <c r="T410" s="263"/>
      <c r="U410" s="263"/>
      <c r="V410" s="109"/>
      <c r="W410" s="263"/>
      <c r="X410" s="263"/>
      <c r="Y410" s="263"/>
      <c r="Z410" s="263"/>
      <c r="AA410" s="263"/>
      <c r="AB410" s="109"/>
      <c r="AC410" s="109"/>
      <c r="AD410" s="109"/>
      <c r="AE410" s="109"/>
      <c r="AF410" s="109"/>
      <c r="AG410" s="109"/>
      <c r="AH410" s="109"/>
      <c r="AI410" s="109"/>
    </row>
    <row r="411" spans="1:35">
      <c r="A411" s="109"/>
      <c r="B411" s="263"/>
      <c r="C411" s="263"/>
      <c r="D411" s="263"/>
      <c r="E411" s="109"/>
      <c r="F411" s="109"/>
      <c r="G411" s="48"/>
      <c r="H411" s="264"/>
      <c r="I411" s="265"/>
      <c r="J411" s="265"/>
      <c r="K411" s="264"/>
      <c r="L411" s="265"/>
      <c r="M411" s="264"/>
      <c r="N411" s="264"/>
      <c r="O411" s="264"/>
      <c r="P411" s="264"/>
      <c r="Q411" s="263"/>
      <c r="R411" s="263"/>
      <c r="S411" s="263"/>
      <c r="T411" s="263"/>
      <c r="U411" s="263"/>
      <c r="V411" s="109"/>
      <c r="W411" s="263"/>
      <c r="X411" s="263"/>
      <c r="Y411" s="263"/>
      <c r="Z411" s="263"/>
      <c r="AA411" s="263"/>
      <c r="AB411" s="109"/>
      <c r="AC411" s="109"/>
      <c r="AD411" s="109"/>
      <c r="AE411" s="109"/>
      <c r="AF411" s="109"/>
      <c r="AG411" s="109"/>
      <c r="AH411" s="109"/>
      <c r="AI411" s="109"/>
    </row>
    <row r="412" spans="1:35">
      <c r="A412" s="109"/>
      <c r="B412" s="263"/>
      <c r="C412" s="263"/>
      <c r="D412" s="263"/>
      <c r="E412" s="109"/>
      <c r="F412" s="109"/>
      <c r="G412" s="48"/>
      <c r="H412" s="264"/>
      <c r="I412" s="265"/>
      <c r="J412" s="265"/>
      <c r="K412" s="264"/>
      <c r="L412" s="265"/>
      <c r="M412" s="264"/>
      <c r="N412" s="264"/>
      <c r="O412" s="264"/>
      <c r="P412" s="264"/>
      <c r="Q412" s="263"/>
      <c r="R412" s="263"/>
      <c r="S412" s="263"/>
      <c r="T412" s="263"/>
      <c r="U412" s="263"/>
      <c r="V412" s="109"/>
      <c r="W412" s="263"/>
      <c r="X412" s="263"/>
      <c r="Y412" s="263"/>
      <c r="Z412" s="263"/>
      <c r="AA412" s="263"/>
      <c r="AB412" s="109"/>
      <c r="AC412" s="109"/>
      <c r="AD412" s="109"/>
      <c r="AE412" s="109"/>
      <c r="AF412" s="109"/>
      <c r="AG412" s="109"/>
      <c r="AH412" s="109"/>
      <c r="AI412" s="109"/>
    </row>
    <row r="413" spans="1:35">
      <c r="A413" s="109"/>
      <c r="B413" s="263"/>
      <c r="C413" s="263"/>
      <c r="D413" s="263"/>
      <c r="E413" s="109"/>
      <c r="F413" s="109"/>
      <c r="G413" s="48"/>
      <c r="H413" s="264"/>
      <c r="I413" s="265"/>
      <c r="J413" s="265"/>
      <c r="K413" s="264"/>
      <c r="L413" s="265"/>
      <c r="M413" s="264"/>
      <c r="N413" s="264"/>
      <c r="O413" s="264"/>
      <c r="P413" s="264"/>
      <c r="Q413" s="263"/>
      <c r="R413" s="263"/>
      <c r="S413" s="263"/>
      <c r="T413" s="263"/>
      <c r="U413" s="263"/>
      <c r="V413" s="109"/>
      <c r="W413" s="263"/>
      <c r="X413" s="263"/>
      <c r="Y413" s="263"/>
      <c r="Z413" s="263"/>
      <c r="AA413" s="263"/>
      <c r="AB413" s="109"/>
      <c r="AC413" s="109"/>
      <c r="AD413" s="109"/>
      <c r="AE413" s="109"/>
      <c r="AF413" s="109"/>
      <c r="AG413" s="109"/>
      <c r="AH413" s="109"/>
      <c r="AI413" s="109"/>
    </row>
    <row r="414" spans="1:35">
      <c r="A414" s="109"/>
      <c r="B414" s="263"/>
      <c r="C414" s="263"/>
      <c r="D414" s="263"/>
      <c r="E414" s="109"/>
      <c r="F414" s="109"/>
      <c r="G414" s="48"/>
      <c r="H414" s="264"/>
      <c r="I414" s="265"/>
      <c r="J414" s="265"/>
      <c r="K414" s="264"/>
      <c r="L414" s="265"/>
      <c r="M414" s="264"/>
      <c r="N414" s="264"/>
      <c r="O414" s="264"/>
      <c r="P414" s="264"/>
      <c r="Q414" s="263"/>
      <c r="R414" s="263"/>
      <c r="S414" s="263"/>
      <c r="T414" s="263"/>
      <c r="U414" s="263"/>
      <c r="V414" s="109"/>
      <c r="W414" s="263"/>
      <c r="X414" s="263"/>
      <c r="Y414" s="263"/>
      <c r="Z414" s="263"/>
      <c r="AA414" s="263"/>
      <c r="AB414" s="109"/>
      <c r="AC414" s="109"/>
      <c r="AD414" s="109"/>
      <c r="AE414" s="109"/>
      <c r="AF414" s="109"/>
      <c r="AG414" s="109"/>
      <c r="AH414" s="109"/>
      <c r="AI414" s="109"/>
    </row>
    <row r="415" spans="1:35">
      <c r="A415" s="109"/>
      <c r="B415" s="263"/>
      <c r="C415" s="263"/>
      <c r="D415" s="263"/>
      <c r="E415" s="109"/>
      <c r="F415" s="109"/>
      <c r="G415" s="48"/>
      <c r="H415" s="264"/>
      <c r="I415" s="265"/>
      <c r="J415" s="265"/>
      <c r="K415" s="264"/>
      <c r="L415" s="265"/>
      <c r="M415" s="264"/>
      <c r="N415" s="264"/>
      <c r="O415" s="264"/>
      <c r="P415" s="264"/>
      <c r="Q415" s="263"/>
      <c r="R415" s="263"/>
      <c r="S415" s="263"/>
      <c r="T415" s="263"/>
      <c r="U415" s="263"/>
      <c r="V415" s="109"/>
      <c r="W415" s="263"/>
      <c r="X415" s="263"/>
      <c r="Y415" s="263"/>
      <c r="Z415" s="263"/>
      <c r="AA415" s="263"/>
      <c r="AB415" s="109"/>
      <c r="AC415" s="109"/>
      <c r="AD415" s="109"/>
      <c r="AE415" s="109"/>
      <c r="AF415" s="109"/>
      <c r="AG415" s="109"/>
      <c r="AH415" s="109"/>
      <c r="AI415" s="109"/>
    </row>
    <row r="416" spans="1:35">
      <c r="A416" s="109"/>
      <c r="B416" s="263"/>
      <c r="C416" s="263"/>
      <c r="D416" s="263"/>
      <c r="E416" s="109"/>
      <c r="F416" s="109"/>
      <c r="G416" s="48"/>
      <c r="H416" s="264"/>
      <c r="I416" s="265"/>
      <c r="J416" s="265"/>
      <c r="K416" s="264"/>
      <c r="L416" s="265"/>
      <c r="M416" s="264"/>
      <c r="N416" s="264"/>
      <c r="O416" s="264"/>
      <c r="P416" s="264"/>
      <c r="Q416" s="263"/>
      <c r="R416" s="263"/>
      <c r="S416" s="263"/>
      <c r="T416" s="263"/>
      <c r="U416" s="263"/>
      <c r="V416" s="109"/>
      <c r="W416" s="263"/>
      <c r="X416" s="263"/>
      <c r="Y416" s="263"/>
      <c r="Z416" s="263"/>
      <c r="AA416" s="263"/>
      <c r="AB416" s="109"/>
      <c r="AC416" s="109"/>
      <c r="AD416" s="109"/>
      <c r="AE416" s="109"/>
      <c r="AF416" s="109"/>
      <c r="AG416" s="109"/>
      <c r="AH416" s="109"/>
      <c r="AI416" s="109"/>
    </row>
    <row r="417" spans="1:35">
      <c r="A417" s="109"/>
      <c r="B417" s="263"/>
      <c r="C417" s="263"/>
      <c r="D417" s="263"/>
      <c r="E417" s="109"/>
      <c r="F417" s="109"/>
      <c r="G417" s="48"/>
      <c r="H417" s="264"/>
      <c r="I417" s="265"/>
      <c r="J417" s="265"/>
      <c r="K417" s="264"/>
      <c r="L417" s="265"/>
      <c r="M417" s="264"/>
      <c r="N417" s="264"/>
      <c r="O417" s="264"/>
      <c r="P417" s="264"/>
      <c r="Q417" s="263"/>
      <c r="R417" s="263"/>
      <c r="S417" s="263"/>
      <c r="T417" s="263"/>
      <c r="U417" s="263"/>
      <c r="V417" s="109"/>
      <c r="W417" s="263"/>
      <c r="X417" s="263"/>
      <c r="Y417" s="263"/>
      <c r="Z417" s="263"/>
      <c r="AA417" s="263"/>
      <c r="AB417" s="109"/>
      <c r="AC417" s="109"/>
      <c r="AD417" s="109"/>
      <c r="AE417" s="109"/>
      <c r="AF417" s="109"/>
      <c r="AG417" s="109"/>
      <c r="AH417" s="109"/>
      <c r="AI417" s="109"/>
    </row>
    <row r="418" spans="1:35">
      <c r="A418" s="109"/>
      <c r="B418" s="263"/>
      <c r="C418" s="263"/>
      <c r="D418" s="263"/>
      <c r="E418" s="109"/>
      <c r="F418" s="109"/>
      <c r="G418" s="48"/>
      <c r="H418" s="264"/>
      <c r="I418" s="265"/>
      <c r="J418" s="265"/>
      <c r="K418" s="264"/>
      <c r="L418" s="265"/>
      <c r="M418" s="264"/>
      <c r="N418" s="264"/>
      <c r="O418" s="264"/>
      <c r="P418" s="264"/>
      <c r="Q418" s="263"/>
      <c r="R418" s="263"/>
      <c r="S418" s="263"/>
      <c r="T418" s="263"/>
      <c r="U418" s="263"/>
      <c r="V418" s="109"/>
      <c r="W418" s="263"/>
      <c r="X418" s="263"/>
      <c r="Y418" s="263"/>
      <c r="Z418" s="263"/>
      <c r="AA418" s="263"/>
      <c r="AB418" s="109"/>
      <c r="AC418" s="109"/>
      <c r="AD418" s="109"/>
      <c r="AE418" s="109"/>
      <c r="AF418" s="109"/>
      <c r="AG418" s="109"/>
      <c r="AH418" s="109"/>
      <c r="AI418" s="109"/>
    </row>
    <row r="419" spans="1:35">
      <c r="A419" s="109"/>
      <c r="B419" s="263"/>
      <c r="C419" s="263"/>
      <c r="D419" s="263"/>
      <c r="E419" s="109"/>
      <c r="F419" s="109"/>
      <c r="G419" s="48"/>
      <c r="H419" s="264"/>
      <c r="I419" s="265"/>
      <c r="J419" s="265"/>
      <c r="K419" s="264"/>
      <c r="L419" s="265"/>
      <c r="M419" s="264"/>
      <c r="N419" s="264"/>
      <c r="O419" s="264"/>
      <c r="P419" s="264"/>
      <c r="Q419" s="263"/>
      <c r="R419" s="263"/>
      <c r="S419" s="263"/>
      <c r="T419" s="263"/>
      <c r="U419" s="263"/>
      <c r="V419" s="109"/>
      <c r="W419" s="263"/>
      <c r="X419" s="263"/>
      <c r="Y419" s="263"/>
      <c r="Z419" s="263"/>
      <c r="AA419" s="263"/>
      <c r="AB419" s="109"/>
      <c r="AC419" s="109"/>
      <c r="AD419" s="109"/>
      <c r="AE419" s="109"/>
      <c r="AF419" s="109"/>
      <c r="AG419" s="109"/>
      <c r="AH419" s="109"/>
      <c r="AI419" s="109"/>
    </row>
    <row r="420" spans="1:35">
      <c r="A420" s="109"/>
      <c r="B420" s="263"/>
      <c r="C420" s="263"/>
      <c r="D420" s="263"/>
      <c r="E420" s="109"/>
      <c r="F420" s="109"/>
      <c r="G420" s="48"/>
      <c r="H420" s="264"/>
      <c r="I420" s="265"/>
      <c r="J420" s="265"/>
      <c r="K420" s="264"/>
      <c r="L420" s="265"/>
      <c r="M420" s="264"/>
      <c r="N420" s="264"/>
      <c r="O420" s="264"/>
      <c r="P420" s="264"/>
      <c r="Q420" s="263"/>
      <c r="R420" s="263"/>
      <c r="S420" s="263"/>
      <c r="T420" s="263"/>
      <c r="U420" s="263"/>
      <c r="V420" s="109"/>
      <c r="W420" s="263"/>
      <c r="X420" s="263"/>
      <c r="Y420" s="263"/>
      <c r="Z420" s="263"/>
      <c r="AA420" s="263"/>
      <c r="AB420" s="109"/>
      <c r="AC420" s="109"/>
      <c r="AD420" s="109"/>
      <c r="AE420" s="109"/>
      <c r="AF420" s="109"/>
      <c r="AG420" s="109"/>
      <c r="AH420" s="109"/>
      <c r="AI420" s="109"/>
    </row>
    <row r="421" spans="1:35">
      <c r="A421" s="109"/>
      <c r="B421" s="263"/>
      <c r="C421" s="263"/>
      <c r="D421" s="263"/>
      <c r="E421" s="109"/>
      <c r="F421" s="109"/>
      <c r="G421" s="48"/>
      <c r="H421" s="264"/>
      <c r="I421" s="265"/>
      <c r="J421" s="265"/>
      <c r="K421" s="264"/>
      <c r="L421" s="265"/>
      <c r="M421" s="264"/>
      <c r="N421" s="264"/>
      <c r="O421" s="264"/>
      <c r="P421" s="264"/>
      <c r="Q421" s="263"/>
      <c r="R421" s="263"/>
      <c r="S421" s="263"/>
      <c r="T421" s="263"/>
      <c r="U421" s="263"/>
      <c r="V421" s="109"/>
      <c r="W421" s="263"/>
      <c r="X421" s="263"/>
      <c r="Y421" s="263"/>
      <c r="Z421" s="263"/>
      <c r="AA421" s="263"/>
      <c r="AB421" s="109"/>
      <c r="AC421" s="109"/>
      <c r="AD421" s="109"/>
      <c r="AE421" s="109"/>
      <c r="AF421" s="109"/>
      <c r="AG421" s="109"/>
      <c r="AH421" s="109"/>
      <c r="AI421" s="109"/>
    </row>
    <row r="422" spans="1:35">
      <c r="A422" s="109"/>
      <c r="B422" s="263"/>
      <c r="C422" s="263"/>
      <c r="D422" s="263"/>
      <c r="E422" s="109"/>
      <c r="F422" s="109"/>
      <c r="G422" s="48"/>
      <c r="H422" s="264"/>
      <c r="I422" s="265"/>
      <c r="J422" s="265"/>
      <c r="K422" s="264"/>
      <c r="L422" s="265"/>
      <c r="M422" s="264"/>
      <c r="N422" s="264"/>
      <c r="O422" s="264"/>
      <c r="P422" s="264"/>
      <c r="Q422" s="263"/>
      <c r="R422" s="263"/>
      <c r="S422" s="263"/>
      <c r="T422" s="263"/>
      <c r="U422" s="263"/>
      <c r="V422" s="109"/>
      <c r="W422" s="263"/>
      <c r="X422" s="263"/>
      <c r="Y422" s="263"/>
      <c r="Z422" s="263"/>
      <c r="AA422" s="263"/>
      <c r="AB422" s="109"/>
      <c r="AC422" s="109"/>
      <c r="AD422" s="109"/>
      <c r="AE422" s="109"/>
      <c r="AF422" s="109"/>
      <c r="AG422" s="109"/>
      <c r="AH422" s="109"/>
      <c r="AI422" s="109"/>
    </row>
    <row r="423" spans="1:35">
      <c r="A423" s="109"/>
      <c r="B423" s="263"/>
      <c r="C423" s="263"/>
      <c r="D423" s="263"/>
      <c r="E423" s="109"/>
      <c r="F423" s="109"/>
      <c r="G423" s="48"/>
      <c r="H423" s="264"/>
      <c r="I423" s="265"/>
      <c r="J423" s="265"/>
      <c r="K423" s="264"/>
      <c r="L423" s="265"/>
      <c r="M423" s="264"/>
      <c r="N423" s="264"/>
      <c r="O423" s="264"/>
      <c r="P423" s="264"/>
      <c r="Q423" s="263"/>
      <c r="R423" s="263"/>
      <c r="S423" s="263"/>
      <c r="T423" s="263"/>
      <c r="U423" s="263"/>
      <c r="V423" s="109"/>
      <c r="W423" s="263"/>
      <c r="X423" s="263"/>
      <c r="Y423" s="263"/>
      <c r="Z423" s="263"/>
      <c r="AA423" s="263"/>
      <c r="AB423" s="109"/>
      <c r="AC423" s="109"/>
      <c r="AD423" s="109"/>
      <c r="AE423" s="109"/>
      <c r="AF423" s="109"/>
      <c r="AG423" s="109"/>
      <c r="AH423" s="109"/>
      <c r="AI423" s="109"/>
    </row>
    <row r="424" spans="1:35">
      <c r="A424" s="109"/>
      <c r="B424" s="263"/>
      <c r="C424" s="263"/>
      <c r="D424" s="263"/>
      <c r="E424" s="109"/>
      <c r="F424" s="109"/>
      <c r="G424" s="48"/>
      <c r="H424" s="264"/>
      <c r="I424" s="265"/>
      <c r="J424" s="265"/>
      <c r="K424" s="264"/>
      <c r="L424" s="265"/>
      <c r="M424" s="264"/>
      <c r="N424" s="264"/>
      <c r="O424" s="264"/>
      <c r="P424" s="264"/>
      <c r="Q424" s="263"/>
      <c r="R424" s="263"/>
      <c r="S424" s="263"/>
      <c r="T424" s="263"/>
      <c r="U424" s="263"/>
      <c r="V424" s="109"/>
      <c r="W424" s="263"/>
      <c r="X424" s="263"/>
      <c r="Y424" s="263"/>
      <c r="Z424" s="263"/>
      <c r="AA424" s="263"/>
      <c r="AB424" s="109"/>
      <c r="AC424" s="109"/>
      <c r="AD424" s="109"/>
      <c r="AE424" s="109"/>
      <c r="AF424" s="109"/>
      <c r="AG424" s="109"/>
      <c r="AH424" s="109"/>
      <c r="AI424" s="109"/>
    </row>
    <row r="425" spans="1:35">
      <c r="A425" s="109"/>
      <c r="B425" s="263"/>
      <c r="C425" s="263"/>
      <c r="D425" s="263"/>
      <c r="E425" s="109"/>
      <c r="F425" s="109"/>
      <c r="G425" s="48"/>
      <c r="H425" s="264"/>
      <c r="I425" s="265"/>
      <c r="J425" s="265"/>
      <c r="K425" s="264"/>
      <c r="L425" s="265"/>
      <c r="M425" s="264"/>
      <c r="N425" s="264"/>
      <c r="O425" s="264"/>
      <c r="P425" s="264"/>
      <c r="Q425" s="263"/>
      <c r="R425" s="263"/>
      <c r="S425" s="263"/>
      <c r="T425" s="263"/>
      <c r="U425" s="263"/>
      <c r="V425" s="109"/>
      <c r="W425" s="263"/>
      <c r="X425" s="263"/>
      <c r="Y425" s="263"/>
      <c r="Z425" s="263"/>
      <c r="AA425" s="263"/>
      <c r="AB425" s="109"/>
      <c r="AC425" s="109"/>
      <c r="AD425" s="109"/>
      <c r="AE425" s="109"/>
      <c r="AF425" s="109"/>
      <c r="AG425" s="109"/>
      <c r="AH425" s="109"/>
      <c r="AI425" s="109"/>
    </row>
    <row r="426" spans="1:35">
      <c r="A426" s="109"/>
      <c r="B426" s="263"/>
      <c r="C426" s="263"/>
      <c r="D426" s="263"/>
      <c r="E426" s="109"/>
      <c r="F426" s="109"/>
      <c r="G426" s="48"/>
      <c r="H426" s="264"/>
      <c r="I426" s="265"/>
      <c r="J426" s="265"/>
      <c r="K426" s="264"/>
      <c r="L426" s="265"/>
      <c r="M426" s="264"/>
      <c r="N426" s="264"/>
      <c r="O426" s="264"/>
      <c r="P426" s="264"/>
      <c r="Q426" s="263"/>
      <c r="R426" s="263"/>
      <c r="S426" s="263"/>
      <c r="T426" s="263"/>
      <c r="U426" s="263"/>
      <c r="V426" s="109"/>
      <c r="W426" s="263"/>
      <c r="X426" s="263"/>
      <c r="Y426" s="263"/>
      <c r="Z426" s="263"/>
      <c r="AA426" s="263"/>
      <c r="AB426" s="109"/>
      <c r="AC426" s="109"/>
      <c r="AD426" s="109"/>
      <c r="AE426" s="109"/>
      <c r="AF426" s="109"/>
      <c r="AG426" s="109"/>
      <c r="AH426" s="109"/>
      <c r="AI426" s="109"/>
    </row>
    <row r="427" spans="1:35">
      <c r="A427" s="109"/>
      <c r="B427" s="263"/>
      <c r="C427" s="263"/>
      <c r="D427" s="263"/>
      <c r="E427" s="109"/>
      <c r="F427" s="109"/>
      <c r="G427" s="48"/>
      <c r="H427" s="264"/>
      <c r="I427" s="265"/>
      <c r="J427" s="265"/>
      <c r="K427" s="264"/>
      <c r="L427" s="265"/>
      <c r="M427" s="264"/>
      <c r="N427" s="264"/>
      <c r="O427" s="264"/>
      <c r="P427" s="264"/>
      <c r="Q427" s="263"/>
      <c r="R427" s="263"/>
      <c r="S427" s="263"/>
      <c r="T427" s="263"/>
      <c r="U427" s="263"/>
      <c r="V427" s="109"/>
      <c r="W427" s="263"/>
      <c r="X427" s="263"/>
      <c r="Y427" s="263"/>
      <c r="Z427" s="263"/>
      <c r="AA427" s="263"/>
      <c r="AB427" s="109"/>
      <c r="AC427" s="109"/>
      <c r="AD427" s="109"/>
      <c r="AE427" s="109"/>
      <c r="AF427" s="109"/>
      <c r="AG427" s="109"/>
      <c r="AH427" s="109"/>
      <c r="AI427" s="109"/>
    </row>
    <row r="428" spans="1:35">
      <c r="A428" s="109"/>
      <c r="B428" s="263"/>
      <c r="C428" s="263"/>
      <c r="D428" s="263"/>
      <c r="E428" s="109"/>
      <c r="F428" s="109"/>
      <c r="G428" s="48"/>
      <c r="H428" s="264"/>
      <c r="I428" s="265"/>
      <c r="J428" s="265"/>
      <c r="K428" s="264"/>
      <c r="L428" s="265"/>
      <c r="M428" s="264"/>
      <c r="N428" s="264"/>
      <c r="O428" s="264"/>
      <c r="P428" s="264"/>
      <c r="Q428" s="263"/>
      <c r="R428" s="263"/>
      <c r="S428" s="263"/>
      <c r="T428" s="263"/>
      <c r="U428" s="263"/>
      <c r="V428" s="109"/>
      <c r="W428" s="263"/>
      <c r="X428" s="263"/>
      <c r="Y428" s="263"/>
      <c r="Z428" s="263"/>
      <c r="AA428" s="263"/>
      <c r="AB428" s="109"/>
      <c r="AC428" s="109"/>
      <c r="AD428" s="109"/>
      <c r="AE428" s="109"/>
      <c r="AF428" s="109"/>
      <c r="AG428" s="109"/>
      <c r="AH428" s="109"/>
      <c r="AI428" s="109"/>
    </row>
    <row r="429" spans="1:35">
      <c r="A429" s="109"/>
      <c r="B429" s="263"/>
      <c r="C429" s="263"/>
      <c r="D429" s="263"/>
      <c r="E429" s="109"/>
      <c r="F429" s="109"/>
      <c r="G429" s="48"/>
      <c r="H429" s="264"/>
      <c r="I429" s="265"/>
      <c r="J429" s="265"/>
      <c r="K429" s="264"/>
      <c r="L429" s="265"/>
      <c r="M429" s="264"/>
      <c r="N429" s="264"/>
      <c r="O429" s="264"/>
      <c r="P429" s="264"/>
      <c r="Q429" s="263"/>
      <c r="R429" s="263"/>
      <c r="S429" s="263"/>
      <c r="T429" s="263"/>
      <c r="U429" s="263"/>
      <c r="V429" s="109"/>
      <c r="W429" s="263"/>
      <c r="X429" s="263"/>
      <c r="Y429" s="263"/>
      <c r="Z429" s="263"/>
      <c r="AA429" s="263"/>
      <c r="AB429" s="109"/>
      <c r="AC429" s="109"/>
      <c r="AD429" s="109"/>
      <c r="AE429" s="109"/>
      <c r="AF429" s="109"/>
      <c r="AG429" s="109"/>
      <c r="AH429" s="109"/>
      <c r="AI429" s="109"/>
    </row>
    <row r="430" spans="1:35">
      <c r="A430" s="109"/>
      <c r="B430" s="263"/>
      <c r="C430" s="263"/>
      <c r="D430" s="263"/>
      <c r="E430" s="109"/>
      <c r="F430" s="109"/>
      <c r="G430" s="48"/>
      <c r="H430" s="264"/>
      <c r="I430" s="265"/>
      <c r="J430" s="265"/>
      <c r="K430" s="264"/>
      <c r="L430" s="265"/>
      <c r="M430" s="264"/>
      <c r="N430" s="264"/>
      <c r="O430" s="264"/>
      <c r="P430" s="264"/>
      <c r="Q430" s="263"/>
      <c r="R430" s="263"/>
      <c r="S430" s="263"/>
      <c r="T430" s="263"/>
      <c r="U430" s="263"/>
      <c r="V430" s="109"/>
      <c r="W430" s="263"/>
      <c r="X430" s="263"/>
      <c r="Y430" s="263"/>
      <c r="Z430" s="263"/>
      <c r="AA430" s="263"/>
      <c r="AB430" s="109"/>
      <c r="AC430" s="109"/>
      <c r="AD430" s="109"/>
      <c r="AE430" s="109"/>
      <c r="AF430" s="109"/>
      <c r="AG430" s="109"/>
      <c r="AH430" s="109"/>
      <c r="AI430" s="109"/>
    </row>
    <row r="431" spans="1:35">
      <c r="A431" s="109"/>
      <c r="B431" s="263"/>
      <c r="C431" s="263"/>
      <c r="D431" s="263"/>
      <c r="E431" s="109"/>
      <c r="F431" s="109"/>
      <c r="G431" s="48"/>
      <c r="H431" s="264"/>
      <c r="I431" s="265"/>
      <c r="J431" s="265"/>
      <c r="K431" s="264"/>
      <c r="L431" s="265"/>
      <c r="M431" s="264"/>
      <c r="N431" s="264"/>
      <c r="O431" s="264"/>
      <c r="P431" s="264"/>
      <c r="Q431" s="263"/>
      <c r="R431" s="263"/>
      <c r="S431" s="263"/>
      <c r="T431" s="263"/>
      <c r="U431" s="263"/>
      <c r="V431" s="109"/>
      <c r="W431" s="263"/>
      <c r="X431" s="263"/>
      <c r="Y431" s="263"/>
      <c r="Z431" s="263"/>
      <c r="AA431" s="263"/>
      <c r="AB431" s="109"/>
      <c r="AC431" s="109"/>
      <c r="AD431" s="109"/>
      <c r="AE431" s="109"/>
      <c r="AF431" s="109"/>
      <c r="AG431" s="109"/>
      <c r="AH431" s="109"/>
      <c r="AI431" s="109"/>
    </row>
    <row r="432" spans="1:35">
      <c r="A432" s="109"/>
      <c r="B432" s="263"/>
      <c r="C432" s="263"/>
      <c r="D432" s="263"/>
      <c r="E432" s="109"/>
      <c r="F432" s="109"/>
      <c r="G432" s="48"/>
      <c r="H432" s="264"/>
      <c r="I432" s="265"/>
      <c r="J432" s="265"/>
      <c r="K432" s="264"/>
      <c r="L432" s="265"/>
      <c r="M432" s="264"/>
      <c r="N432" s="264"/>
      <c r="O432" s="264"/>
      <c r="P432" s="264"/>
      <c r="Q432" s="263"/>
      <c r="R432" s="263"/>
      <c r="S432" s="263"/>
      <c r="T432" s="263"/>
      <c r="U432" s="263"/>
      <c r="V432" s="109"/>
      <c r="W432" s="263"/>
      <c r="X432" s="263"/>
      <c r="Y432" s="263"/>
      <c r="Z432" s="263"/>
      <c r="AA432" s="263"/>
      <c r="AB432" s="109"/>
      <c r="AC432" s="109"/>
      <c r="AD432" s="109"/>
      <c r="AE432" s="109"/>
      <c r="AF432" s="109"/>
      <c r="AG432" s="109"/>
      <c r="AH432" s="109"/>
      <c r="AI432" s="109"/>
    </row>
    <row r="433" spans="1:35">
      <c r="A433" s="109"/>
      <c r="B433" s="263"/>
      <c r="C433" s="263"/>
      <c r="D433" s="263"/>
      <c r="E433" s="109"/>
      <c r="F433" s="109"/>
      <c r="G433" s="48"/>
      <c r="H433" s="264"/>
      <c r="I433" s="265"/>
      <c r="J433" s="265"/>
      <c r="K433" s="264"/>
      <c r="L433" s="265"/>
      <c r="M433" s="264"/>
      <c r="N433" s="264"/>
      <c r="O433" s="264"/>
      <c r="P433" s="264"/>
      <c r="Q433" s="263"/>
      <c r="R433" s="263"/>
      <c r="S433" s="263"/>
      <c r="T433" s="263"/>
      <c r="U433" s="263"/>
      <c r="V433" s="109"/>
      <c r="W433" s="263"/>
      <c r="X433" s="263"/>
      <c r="Y433" s="263"/>
      <c r="Z433" s="263"/>
      <c r="AA433" s="263"/>
      <c r="AB433" s="109"/>
      <c r="AC433" s="109"/>
      <c r="AD433" s="109"/>
      <c r="AE433" s="109"/>
      <c r="AF433" s="109"/>
      <c r="AG433" s="109"/>
      <c r="AH433" s="109"/>
      <c r="AI433" s="109"/>
    </row>
    <row r="434" spans="1:35">
      <c r="A434" s="109"/>
      <c r="B434" s="263"/>
      <c r="C434" s="263"/>
      <c r="D434" s="263"/>
      <c r="E434" s="109"/>
      <c r="F434" s="109"/>
      <c r="G434" s="48"/>
      <c r="H434" s="264"/>
      <c r="I434" s="265"/>
      <c r="J434" s="265"/>
      <c r="K434" s="264"/>
      <c r="L434" s="265"/>
      <c r="M434" s="264"/>
      <c r="N434" s="264"/>
      <c r="O434" s="264"/>
      <c r="P434" s="264"/>
      <c r="Q434" s="263"/>
      <c r="R434" s="263"/>
      <c r="S434" s="263"/>
      <c r="T434" s="263"/>
      <c r="U434" s="263"/>
      <c r="V434" s="109"/>
      <c r="W434" s="263"/>
      <c r="X434" s="263"/>
      <c r="Y434" s="263"/>
      <c r="Z434" s="263"/>
      <c r="AA434" s="263"/>
      <c r="AB434" s="109"/>
      <c r="AC434" s="109"/>
      <c r="AD434" s="109"/>
      <c r="AE434" s="109"/>
      <c r="AF434" s="109"/>
      <c r="AG434" s="109"/>
      <c r="AH434" s="109"/>
      <c r="AI434" s="109"/>
    </row>
    <row r="435" spans="1:35">
      <c r="A435" s="109"/>
      <c r="B435" s="263"/>
      <c r="C435" s="263"/>
      <c r="D435" s="263"/>
      <c r="E435" s="109"/>
      <c r="F435" s="109"/>
      <c r="G435" s="48"/>
      <c r="H435" s="264"/>
      <c r="I435" s="265"/>
      <c r="J435" s="265"/>
      <c r="K435" s="264"/>
      <c r="L435" s="265"/>
      <c r="M435" s="264"/>
      <c r="N435" s="264"/>
      <c r="O435" s="264"/>
      <c r="P435" s="264"/>
      <c r="Q435" s="263"/>
      <c r="R435" s="263"/>
      <c r="S435" s="263"/>
      <c r="T435" s="263"/>
      <c r="U435" s="263"/>
      <c r="V435" s="109"/>
      <c r="W435" s="263"/>
      <c r="X435" s="263"/>
      <c r="Y435" s="263"/>
      <c r="Z435" s="263"/>
      <c r="AA435" s="263"/>
      <c r="AB435" s="109"/>
      <c r="AC435" s="109"/>
      <c r="AD435" s="109"/>
      <c r="AE435" s="109"/>
      <c r="AF435" s="109"/>
      <c r="AG435" s="109"/>
      <c r="AH435" s="109"/>
      <c r="AI435" s="109"/>
    </row>
    <row r="436" spans="1:35">
      <c r="A436" s="109"/>
      <c r="B436" s="263"/>
      <c r="C436" s="263"/>
      <c r="D436" s="263"/>
      <c r="E436" s="109"/>
      <c r="F436" s="109"/>
      <c r="G436" s="48"/>
      <c r="H436" s="264"/>
      <c r="I436" s="265"/>
      <c r="J436" s="265"/>
      <c r="K436" s="264"/>
      <c r="L436" s="265"/>
      <c r="M436" s="264"/>
      <c r="N436" s="264"/>
      <c r="O436" s="264"/>
      <c r="P436" s="264"/>
      <c r="Q436" s="263"/>
      <c r="R436" s="263"/>
      <c r="S436" s="263"/>
      <c r="T436" s="263"/>
      <c r="U436" s="263"/>
      <c r="V436" s="109"/>
      <c r="W436" s="263"/>
      <c r="X436" s="263"/>
      <c r="Y436" s="263"/>
      <c r="Z436" s="263"/>
      <c r="AA436" s="263"/>
      <c r="AB436" s="109"/>
      <c r="AC436" s="109"/>
      <c r="AD436" s="109"/>
      <c r="AE436" s="109"/>
      <c r="AF436" s="109"/>
      <c r="AG436" s="109"/>
      <c r="AH436" s="109"/>
      <c r="AI436" s="109"/>
    </row>
    <row r="437" spans="1:35">
      <c r="A437" s="109"/>
      <c r="B437" s="263"/>
      <c r="C437" s="263"/>
      <c r="D437" s="263"/>
      <c r="E437" s="109"/>
      <c r="F437" s="109"/>
      <c r="G437" s="48"/>
      <c r="H437" s="264"/>
      <c r="I437" s="265"/>
      <c r="J437" s="265"/>
      <c r="K437" s="264"/>
      <c r="L437" s="265"/>
      <c r="M437" s="264"/>
      <c r="N437" s="264"/>
      <c r="O437" s="264"/>
      <c r="P437" s="264"/>
      <c r="Q437" s="263"/>
      <c r="R437" s="263"/>
      <c r="S437" s="263"/>
      <c r="T437" s="263"/>
      <c r="U437" s="263"/>
      <c r="V437" s="109"/>
      <c r="W437" s="263"/>
      <c r="X437" s="263"/>
      <c r="Y437" s="263"/>
      <c r="Z437" s="263"/>
      <c r="AA437" s="263"/>
      <c r="AB437" s="109"/>
      <c r="AC437" s="109"/>
      <c r="AD437" s="109"/>
      <c r="AE437" s="109"/>
      <c r="AF437" s="109"/>
      <c r="AG437" s="109"/>
      <c r="AH437" s="109"/>
      <c r="AI437" s="109"/>
    </row>
    <row r="438" spans="1:35">
      <c r="A438" s="109"/>
      <c r="B438" s="263"/>
      <c r="C438" s="263"/>
      <c r="D438" s="263"/>
      <c r="E438" s="109"/>
      <c r="F438" s="109"/>
      <c r="G438" s="48"/>
      <c r="H438" s="264"/>
      <c r="I438" s="265"/>
      <c r="J438" s="265"/>
      <c r="K438" s="264"/>
      <c r="L438" s="265"/>
      <c r="M438" s="264"/>
      <c r="N438" s="264"/>
      <c r="O438" s="264"/>
      <c r="P438" s="264"/>
      <c r="Q438" s="263"/>
      <c r="R438" s="263"/>
      <c r="S438" s="263"/>
      <c r="T438" s="263"/>
      <c r="U438" s="263"/>
      <c r="V438" s="109"/>
      <c r="W438" s="263"/>
      <c r="X438" s="263"/>
      <c r="Y438" s="263"/>
      <c r="Z438" s="263"/>
      <c r="AA438" s="263"/>
      <c r="AB438" s="109"/>
      <c r="AC438" s="109"/>
      <c r="AD438" s="109"/>
      <c r="AE438" s="109"/>
      <c r="AF438" s="109"/>
      <c r="AG438" s="109"/>
      <c r="AH438" s="109"/>
      <c r="AI438" s="109"/>
    </row>
    <row r="439" spans="1:35">
      <c r="A439" s="109"/>
      <c r="B439" s="263"/>
      <c r="C439" s="263"/>
      <c r="D439" s="263"/>
      <c r="E439" s="109"/>
      <c r="F439" s="109"/>
      <c r="G439" s="48"/>
      <c r="H439" s="264"/>
      <c r="I439" s="265"/>
      <c r="J439" s="265"/>
      <c r="K439" s="264"/>
      <c r="L439" s="265"/>
      <c r="M439" s="264"/>
      <c r="N439" s="264"/>
      <c r="O439" s="264"/>
      <c r="P439" s="264"/>
      <c r="Q439" s="263"/>
      <c r="R439" s="263"/>
      <c r="S439" s="263"/>
      <c r="T439" s="263"/>
      <c r="U439" s="263"/>
      <c r="V439" s="109"/>
      <c r="W439" s="263"/>
      <c r="X439" s="263"/>
      <c r="Y439" s="263"/>
      <c r="Z439" s="263"/>
      <c r="AA439" s="263"/>
      <c r="AB439" s="109"/>
      <c r="AC439" s="109"/>
      <c r="AD439" s="109"/>
      <c r="AE439" s="109"/>
      <c r="AF439" s="109"/>
      <c r="AG439" s="109"/>
      <c r="AH439" s="109"/>
      <c r="AI439" s="109"/>
    </row>
    <row r="440" spans="1:35">
      <c r="A440" s="109"/>
      <c r="B440" s="263"/>
      <c r="C440" s="263"/>
      <c r="D440" s="263"/>
      <c r="E440" s="109"/>
      <c r="F440" s="109"/>
      <c r="G440" s="48"/>
      <c r="H440" s="264"/>
      <c r="I440" s="265"/>
      <c r="J440" s="265"/>
      <c r="K440" s="264"/>
      <c r="L440" s="265"/>
      <c r="M440" s="264"/>
      <c r="N440" s="264"/>
      <c r="O440" s="264"/>
      <c r="P440" s="264"/>
      <c r="Q440" s="263"/>
      <c r="R440" s="263"/>
      <c r="S440" s="263"/>
      <c r="T440" s="263"/>
      <c r="U440" s="263"/>
      <c r="V440" s="109"/>
      <c r="W440" s="263"/>
      <c r="X440" s="263"/>
      <c r="Y440" s="263"/>
      <c r="Z440" s="263"/>
      <c r="AA440" s="263"/>
      <c r="AB440" s="109"/>
      <c r="AC440" s="109"/>
      <c r="AD440" s="109"/>
      <c r="AE440" s="109"/>
      <c r="AF440" s="109"/>
      <c r="AG440" s="109"/>
      <c r="AH440" s="109"/>
      <c r="AI440" s="109"/>
    </row>
    <row r="441" spans="1:35">
      <c r="A441" s="109"/>
      <c r="B441" s="263"/>
      <c r="C441" s="263"/>
      <c r="D441" s="263"/>
      <c r="E441" s="109"/>
      <c r="F441" s="109"/>
      <c r="G441" s="48"/>
      <c r="H441" s="264"/>
      <c r="I441" s="265"/>
      <c r="J441" s="265"/>
      <c r="K441" s="264"/>
      <c r="L441" s="265"/>
      <c r="M441" s="264"/>
      <c r="N441" s="264"/>
      <c r="O441" s="264"/>
      <c r="P441" s="264"/>
      <c r="Q441" s="263"/>
      <c r="R441" s="263"/>
      <c r="S441" s="263"/>
      <c r="T441" s="263"/>
      <c r="U441" s="263"/>
      <c r="V441" s="109"/>
      <c r="W441" s="263"/>
      <c r="X441" s="263"/>
      <c r="Y441" s="263"/>
      <c r="Z441" s="263"/>
      <c r="AA441" s="263"/>
      <c r="AB441" s="109"/>
      <c r="AC441" s="109"/>
      <c r="AD441" s="109"/>
      <c r="AE441" s="109"/>
      <c r="AF441" s="109"/>
      <c r="AG441" s="109"/>
      <c r="AH441" s="109"/>
      <c r="AI441" s="109"/>
    </row>
    <row r="442" spans="1:35">
      <c r="A442" s="109"/>
      <c r="B442" s="263"/>
      <c r="C442" s="263"/>
      <c r="D442" s="263"/>
      <c r="E442" s="109"/>
      <c r="F442" s="109"/>
      <c r="G442" s="48"/>
      <c r="H442" s="264"/>
      <c r="I442" s="265"/>
      <c r="J442" s="265"/>
      <c r="K442" s="264"/>
      <c r="L442" s="265"/>
      <c r="M442" s="264"/>
      <c r="N442" s="264"/>
      <c r="O442" s="264"/>
      <c r="P442" s="264"/>
      <c r="Q442" s="263"/>
      <c r="R442" s="263"/>
      <c r="S442" s="263"/>
      <c r="T442" s="263"/>
      <c r="U442" s="263"/>
      <c r="V442" s="109"/>
      <c r="W442" s="263"/>
      <c r="X442" s="263"/>
      <c r="Y442" s="263"/>
      <c r="Z442" s="263"/>
      <c r="AA442" s="263"/>
      <c r="AB442" s="109"/>
      <c r="AC442" s="109"/>
      <c r="AD442" s="109"/>
      <c r="AE442" s="109"/>
      <c r="AF442" s="109"/>
      <c r="AG442" s="109"/>
      <c r="AH442" s="109"/>
      <c r="AI442" s="109"/>
    </row>
    <row r="443" spans="1:35">
      <c r="A443" s="109"/>
      <c r="B443" s="263"/>
      <c r="C443" s="263"/>
      <c r="D443" s="263"/>
      <c r="E443" s="109"/>
      <c r="F443" s="109"/>
      <c r="G443" s="48"/>
      <c r="H443" s="264"/>
      <c r="I443" s="265"/>
      <c r="J443" s="265"/>
      <c r="K443" s="264"/>
      <c r="L443" s="265"/>
      <c r="M443" s="264"/>
      <c r="N443" s="264"/>
      <c r="O443" s="264"/>
      <c r="P443" s="264"/>
      <c r="Q443" s="263"/>
      <c r="R443" s="263"/>
      <c r="S443" s="263"/>
      <c r="T443" s="263"/>
      <c r="U443" s="263"/>
      <c r="V443" s="109"/>
      <c r="W443" s="263"/>
      <c r="X443" s="263"/>
      <c r="Y443" s="263"/>
      <c r="Z443" s="263"/>
      <c r="AA443" s="263"/>
      <c r="AB443" s="109"/>
      <c r="AC443" s="109"/>
      <c r="AD443" s="109"/>
      <c r="AE443" s="109"/>
      <c r="AF443" s="109"/>
      <c r="AG443" s="109"/>
      <c r="AH443" s="109"/>
      <c r="AI443" s="109"/>
    </row>
    <row r="444" spans="1:35">
      <c r="A444" s="109"/>
      <c r="B444" s="263"/>
      <c r="C444" s="263"/>
      <c r="D444" s="263"/>
      <c r="E444" s="109"/>
      <c r="F444" s="109"/>
      <c r="G444" s="48"/>
      <c r="H444" s="264"/>
      <c r="I444" s="265"/>
      <c r="J444" s="265"/>
      <c r="K444" s="264"/>
      <c r="L444" s="265"/>
      <c r="M444" s="264"/>
      <c r="N444" s="264"/>
      <c r="O444" s="264"/>
      <c r="P444" s="264"/>
      <c r="Q444" s="263"/>
      <c r="R444" s="263"/>
      <c r="S444" s="263"/>
      <c r="T444" s="263"/>
      <c r="U444" s="263"/>
      <c r="V444" s="109"/>
      <c r="W444" s="263"/>
      <c r="X444" s="263"/>
      <c r="Y444" s="263"/>
      <c r="Z444" s="263"/>
      <c r="AA444" s="263"/>
      <c r="AB444" s="109"/>
      <c r="AC444" s="109"/>
      <c r="AD444" s="109"/>
      <c r="AE444" s="109"/>
      <c r="AF444" s="109"/>
      <c r="AG444" s="109"/>
      <c r="AH444" s="109"/>
      <c r="AI444" s="109"/>
    </row>
    <row r="445" spans="1:35">
      <c r="A445" s="109"/>
      <c r="B445" s="263"/>
      <c r="C445" s="263"/>
      <c r="D445" s="263"/>
      <c r="E445" s="109"/>
      <c r="F445" s="109"/>
      <c r="G445" s="48"/>
      <c r="H445" s="264"/>
      <c r="I445" s="265"/>
      <c r="J445" s="265"/>
      <c r="K445" s="264"/>
      <c r="L445" s="265"/>
      <c r="M445" s="264"/>
      <c r="N445" s="264"/>
      <c r="O445" s="264"/>
      <c r="P445" s="264"/>
      <c r="Q445" s="263"/>
      <c r="R445" s="263"/>
      <c r="S445" s="263"/>
      <c r="T445" s="263"/>
      <c r="U445" s="263"/>
      <c r="V445" s="109"/>
      <c r="W445" s="263"/>
      <c r="X445" s="263"/>
      <c r="Y445" s="263"/>
      <c r="Z445" s="263"/>
      <c r="AA445" s="263"/>
      <c r="AB445" s="109"/>
      <c r="AC445" s="109"/>
      <c r="AD445" s="109"/>
      <c r="AE445" s="109"/>
      <c r="AF445" s="109"/>
      <c r="AG445" s="109"/>
      <c r="AH445" s="109"/>
      <c r="AI445" s="109"/>
    </row>
    <row r="446" spans="1:35">
      <c r="A446" s="109"/>
      <c r="B446" s="263"/>
      <c r="C446" s="263"/>
      <c r="D446" s="263"/>
      <c r="E446" s="109"/>
      <c r="F446" s="109"/>
      <c r="G446" s="48"/>
      <c r="H446" s="264"/>
      <c r="I446" s="265"/>
      <c r="J446" s="265"/>
      <c r="K446" s="264"/>
      <c r="L446" s="265"/>
      <c r="M446" s="264"/>
      <c r="N446" s="264"/>
      <c r="O446" s="264"/>
      <c r="P446" s="264"/>
      <c r="Q446" s="263"/>
      <c r="R446" s="263"/>
      <c r="S446" s="263"/>
      <c r="T446" s="263"/>
      <c r="U446" s="263"/>
      <c r="V446" s="109"/>
      <c r="W446" s="263"/>
      <c r="X446" s="263"/>
      <c r="Y446" s="263"/>
      <c r="Z446" s="263"/>
      <c r="AA446" s="263"/>
      <c r="AB446" s="109"/>
      <c r="AC446" s="109"/>
      <c r="AD446" s="109"/>
      <c r="AE446" s="109"/>
      <c r="AF446" s="109"/>
      <c r="AG446" s="109"/>
      <c r="AH446" s="109"/>
      <c r="AI446" s="109"/>
    </row>
    <row r="447" spans="1:35">
      <c r="A447" s="109"/>
      <c r="B447" s="263"/>
      <c r="C447" s="263"/>
      <c r="D447" s="263"/>
      <c r="E447" s="109"/>
      <c r="F447" s="109"/>
      <c r="G447" s="48"/>
      <c r="H447" s="264"/>
      <c r="I447" s="265"/>
      <c r="J447" s="265"/>
      <c r="K447" s="264"/>
      <c r="L447" s="265"/>
      <c r="M447" s="264"/>
      <c r="N447" s="264"/>
      <c r="O447" s="264"/>
      <c r="P447" s="264"/>
      <c r="Q447" s="263"/>
      <c r="R447" s="263"/>
      <c r="S447" s="263"/>
      <c r="T447" s="263"/>
      <c r="U447" s="263"/>
      <c r="V447" s="109"/>
      <c r="W447" s="263"/>
      <c r="X447" s="263"/>
      <c r="Y447" s="263"/>
      <c r="Z447" s="263"/>
      <c r="AA447" s="263"/>
      <c r="AB447" s="109"/>
      <c r="AC447" s="109"/>
      <c r="AD447" s="109"/>
      <c r="AE447" s="109"/>
      <c r="AF447" s="109"/>
      <c r="AG447" s="109"/>
      <c r="AH447" s="109"/>
      <c r="AI447" s="109"/>
    </row>
    <row r="448" spans="1:35">
      <c r="A448" s="109"/>
      <c r="B448" s="263"/>
      <c r="C448" s="263"/>
      <c r="D448" s="263"/>
      <c r="E448" s="109"/>
      <c r="F448" s="109"/>
      <c r="G448" s="48"/>
      <c r="H448" s="264"/>
      <c r="I448" s="265"/>
      <c r="J448" s="265"/>
      <c r="K448" s="264"/>
      <c r="L448" s="265"/>
      <c r="M448" s="264"/>
      <c r="N448" s="264"/>
      <c r="O448" s="264"/>
      <c r="P448" s="264"/>
      <c r="Q448" s="263"/>
      <c r="R448" s="263"/>
      <c r="S448" s="263"/>
      <c r="T448" s="263"/>
      <c r="U448" s="263"/>
      <c r="V448" s="109"/>
      <c r="W448" s="263"/>
      <c r="X448" s="263"/>
      <c r="Y448" s="263"/>
      <c r="Z448" s="263"/>
      <c r="AA448" s="263"/>
      <c r="AB448" s="109"/>
      <c r="AC448" s="109"/>
      <c r="AD448" s="109"/>
      <c r="AE448" s="109"/>
      <c r="AF448" s="109"/>
      <c r="AG448" s="109"/>
      <c r="AH448" s="109"/>
      <c r="AI448" s="109"/>
    </row>
    <row r="449" spans="1:35">
      <c r="A449" s="109"/>
      <c r="B449" s="263"/>
      <c r="C449" s="263"/>
      <c r="D449" s="263"/>
      <c r="E449" s="109"/>
      <c r="F449" s="109"/>
      <c r="G449" s="48"/>
      <c r="H449" s="264"/>
      <c r="I449" s="265"/>
      <c r="J449" s="265"/>
      <c r="K449" s="264"/>
      <c r="L449" s="265"/>
      <c r="M449" s="264"/>
      <c r="N449" s="264"/>
      <c r="O449" s="264"/>
      <c r="P449" s="264"/>
      <c r="Q449" s="263"/>
      <c r="R449" s="263"/>
      <c r="S449" s="263"/>
      <c r="T449" s="263"/>
      <c r="U449" s="263"/>
      <c r="V449" s="109"/>
      <c r="W449" s="263"/>
      <c r="X449" s="263"/>
      <c r="Y449" s="263"/>
      <c r="Z449" s="263"/>
      <c r="AA449" s="263"/>
      <c r="AB449" s="109"/>
      <c r="AC449" s="109"/>
      <c r="AD449" s="109"/>
      <c r="AE449" s="109"/>
      <c r="AF449" s="109"/>
      <c r="AG449" s="109"/>
      <c r="AH449" s="109"/>
      <c r="AI449" s="109"/>
    </row>
    <row r="450" spans="1:35">
      <c r="A450" s="109"/>
      <c r="B450" s="263"/>
      <c r="C450" s="263"/>
      <c r="D450" s="263"/>
      <c r="E450" s="109"/>
      <c r="F450" s="109"/>
      <c r="G450" s="48"/>
      <c r="H450" s="264"/>
      <c r="I450" s="265"/>
      <c r="J450" s="265"/>
      <c r="K450" s="264"/>
      <c r="L450" s="265"/>
      <c r="M450" s="264"/>
      <c r="N450" s="264"/>
      <c r="O450" s="264"/>
      <c r="P450" s="264"/>
      <c r="Q450" s="263"/>
      <c r="R450" s="263"/>
      <c r="S450" s="263"/>
      <c r="T450" s="263"/>
      <c r="U450" s="263"/>
      <c r="V450" s="109"/>
      <c r="W450" s="263"/>
      <c r="X450" s="263"/>
      <c r="Y450" s="263"/>
      <c r="Z450" s="263"/>
      <c r="AA450" s="263"/>
      <c r="AB450" s="109"/>
      <c r="AC450" s="109"/>
      <c r="AD450" s="109"/>
      <c r="AE450" s="109"/>
      <c r="AF450" s="109"/>
      <c r="AG450" s="109"/>
      <c r="AH450" s="109"/>
      <c r="AI450" s="109"/>
    </row>
    <row r="451" spans="1:35">
      <c r="A451" s="109"/>
      <c r="B451" s="263"/>
      <c r="C451" s="263"/>
      <c r="D451" s="263"/>
      <c r="E451" s="109"/>
      <c r="F451" s="109"/>
      <c r="G451" s="48"/>
      <c r="H451" s="264"/>
      <c r="I451" s="265"/>
      <c r="J451" s="265"/>
      <c r="K451" s="264"/>
      <c r="L451" s="265"/>
      <c r="M451" s="264"/>
      <c r="N451" s="264"/>
      <c r="O451" s="264"/>
      <c r="P451" s="264"/>
      <c r="Q451" s="263"/>
      <c r="R451" s="263"/>
      <c r="S451" s="263"/>
      <c r="T451" s="263"/>
      <c r="U451" s="263"/>
      <c r="V451" s="109"/>
      <c r="W451" s="263"/>
      <c r="X451" s="263"/>
      <c r="Y451" s="263"/>
      <c r="Z451" s="263"/>
      <c r="AA451" s="263"/>
      <c r="AB451" s="109"/>
      <c r="AC451" s="109"/>
      <c r="AD451" s="109"/>
      <c r="AE451" s="109"/>
      <c r="AF451" s="109"/>
      <c r="AG451" s="109"/>
      <c r="AH451" s="109"/>
      <c r="AI451" s="109"/>
    </row>
    <row r="452" spans="1:35">
      <c r="A452" s="109"/>
      <c r="B452" s="263"/>
      <c r="C452" s="263"/>
      <c r="D452" s="263"/>
      <c r="E452" s="109"/>
      <c r="F452" s="109"/>
      <c r="G452" s="48"/>
      <c r="H452" s="264"/>
      <c r="I452" s="265"/>
      <c r="J452" s="265"/>
      <c r="K452" s="264"/>
      <c r="L452" s="265"/>
      <c r="M452" s="264"/>
      <c r="N452" s="264"/>
      <c r="O452" s="264"/>
      <c r="P452" s="264"/>
      <c r="Q452" s="263"/>
      <c r="R452" s="263"/>
      <c r="S452" s="263"/>
      <c r="T452" s="263"/>
      <c r="U452" s="263"/>
      <c r="V452" s="109"/>
      <c r="W452" s="263"/>
      <c r="X452" s="263"/>
      <c r="Y452" s="263"/>
      <c r="Z452" s="263"/>
      <c r="AA452" s="263"/>
      <c r="AB452" s="109"/>
      <c r="AC452" s="109"/>
      <c r="AD452" s="109"/>
      <c r="AE452" s="109"/>
      <c r="AF452" s="109"/>
      <c r="AG452" s="109"/>
      <c r="AH452" s="109"/>
      <c r="AI452" s="109"/>
    </row>
    <row r="453" spans="1:35">
      <c r="A453" s="109"/>
      <c r="B453" s="263"/>
      <c r="C453" s="263"/>
      <c r="D453" s="263"/>
      <c r="E453" s="109"/>
      <c r="F453" s="109"/>
      <c r="G453" s="48"/>
      <c r="H453" s="264"/>
      <c r="I453" s="265"/>
      <c r="J453" s="265"/>
      <c r="K453" s="264"/>
      <c r="L453" s="265"/>
      <c r="M453" s="264"/>
      <c r="N453" s="264"/>
      <c r="O453" s="264"/>
      <c r="P453" s="264"/>
      <c r="Q453" s="263"/>
      <c r="R453" s="263"/>
      <c r="S453" s="263"/>
      <c r="T453" s="263"/>
      <c r="U453" s="263"/>
      <c r="V453" s="109"/>
      <c r="W453" s="263"/>
      <c r="X453" s="263"/>
      <c r="Y453" s="263"/>
      <c r="Z453" s="263"/>
      <c r="AA453" s="263"/>
      <c r="AB453" s="109"/>
      <c r="AC453" s="109"/>
      <c r="AD453" s="109"/>
      <c r="AE453" s="109"/>
      <c r="AF453" s="109"/>
      <c r="AG453" s="109"/>
      <c r="AH453" s="109"/>
      <c r="AI453" s="109"/>
    </row>
    <row r="454" spans="1:35">
      <c r="A454" s="109"/>
      <c r="B454" s="263"/>
      <c r="C454" s="263"/>
      <c r="D454" s="263"/>
      <c r="E454" s="109"/>
      <c r="F454" s="109"/>
      <c r="G454" s="48"/>
      <c r="H454" s="264"/>
      <c r="I454" s="265"/>
      <c r="J454" s="265"/>
      <c r="K454" s="264"/>
      <c r="L454" s="265"/>
      <c r="M454" s="264"/>
      <c r="N454" s="264"/>
      <c r="O454" s="264"/>
      <c r="P454" s="264"/>
      <c r="Q454" s="263"/>
      <c r="R454" s="263"/>
      <c r="S454" s="263"/>
      <c r="T454" s="263"/>
      <c r="U454" s="263"/>
      <c r="V454" s="109"/>
      <c r="W454" s="263"/>
      <c r="X454" s="263"/>
      <c r="Y454" s="263"/>
      <c r="Z454" s="263"/>
      <c r="AA454" s="263"/>
      <c r="AB454" s="109"/>
      <c r="AC454" s="109"/>
      <c r="AD454" s="109"/>
      <c r="AE454" s="109"/>
      <c r="AF454" s="109"/>
      <c r="AG454" s="109"/>
      <c r="AH454" s="109"/>
      <c r="AI454" s="109"/>
    </row>
    <row r="455" spans="1:35">
      <c r="A455" s="109"/>
      <c r="B455" s="263"/>
      <c r="C455" s="263"/>
      <c r="D455" s="263"/>
      <c r="E455" s="109"/>
      <c r="F455" s="109"/>
      <c r="G455" s="48"/>
      <c r="H455" s="264"/>
      <c r="I455" s="265"/>
      <c r="J455" s="265"/>
      <c r="K455" s="264"/>
      <c r="L455" s="265"/>
      <c r="M455" s="264"/>
      <c r="N455" s="264"/>
      <c r="O455" s="264"/>
      <c r="P455" s="264"/>
      <c r="Q455" s="263"/>
      <c r="R455" s="263"/>
      <c r="S455" s="263"/>
      <c r="T455" s="263"/>
      <c r="U455" s="263"/>
      <c r="V455" s="109"/>
      <c r="W455" s="263"/>
      <c r="X455" s="263"/>
      <c r="Y455" s="263"/>
      <c r="Z455" s="263"/>
      <c r="AA455" s="263"/>
      <c r="AB455" s="109"/>
      <c r="AC455" s="109"/>
      <c r="AD455" s="109"/>
      <c r="AE455" s="109"/>
      <c r="AF455" s="109"/>
      <c r="AG455" s="109"/>
      <c r="AH455" s="109"/>
      <c r="AI455" s="109"/>
    </row>
    <row r="456" spans="1:35">
      <c r="A456" s="109"/>
      <c r="B456" s="263"/>
      <c r="C456" s="263"/>
      <c r="D456" s="263"/>
      <c r="E456" s="109"/>
      <c r="F456" s="109"/>
      <c r="G456" s="48"/>
      <c r="H456" s="264"/>
      <c r="I456" s="265"/>
      <c r="J456" s="265"/>
      <c r="K456" s="264"/>
      <c r="L456" s="265"/>
      <c r="M456" s="264"/>
      <c r="N456" s="264"/>
      <c r="O456" s="264"/>
      <c r="P456" s="264"/>
      <c r="Q456" s="263"/>
      <c r="R456" s="263"/>
      <c r="S456" s="263"/>
      <c r="T456" s="263"/>
      <c r="U456" s="263"/>
      <c r="V456" s="109"/>
      <c r="W456" s="263"/>
      <c r="X456" s="263"/>
      <c r="Y456" s="263"/>
      <c r="Z456" s="263"/>
      <c r="AA456" s="263"/>
      <c r="AB456" s="109"/>
      <c r="AC456" s="109"/>
      <c r="AD456" s="109"/>
      <c r="AE456" s="109"/>
      <c r="AF456" s="109"/>
      <c r="AG456" s="109"/>
      <c r="AH456" s="109"/>
      <c r="AI456" s="109"/>
    </row>
    <row r="457" spans="1:35">
      <c r="A457" s="109"/>
      <c r="B457" s="263"/>
      <c r="C457" s="263"/>
      <c r="D457" s="263"/>
      <c r="E457" s="109"/>
      <c r="F457" s="109"/>
      <c r="G457" s="48"/>
      <c r="H457" s="264"/>
      <c r="I457" s="265"/>
      <c r="J457" s="265"/>
      <c r="K457" s="264"/>
      <c r="L457" s="265"/>
      <c r="M457" s="264"/>
      <c r="N457" s="264"/>
      <c r="O457" s="264"/>
      <c r="P457" s="264"/>
      <c r="Q457" s="263"/>
      <c r="R457" s="263"/>
      <c r="S457" s="263"/>
      <c r="T457" s="263"/>
      <c r="U457" s="263"/>
      <c r="V457" s="109"/>
      <c r="W457" s="263"/>
      <c r="X457" s="263"/>
      <c r="Y457" s="263"/>
      <c r="Z457" s="263"/>
      <c r="AA457" s="263"/>
      <c r="AB457" s="109"/>
      <c r="AC457" s="109"/>
      <c r="AD457" s="109"/>
      <c r="AE457" s="109"/>
      <c r="AF457" s="109"/>
      <c r="AG457" s="109"/>
      <c r="AH457" s="109"/>
      <c r="AI457" s="109"/>
    </row>
    <row r="458" spans="1:35">
      <c r="A458" s="109"/>
      <c r="B458" s="263"/>
      <c r="C458" s="263"/>
      <c r="D458" s="263"/>
      <c r="E458" s="109"/>
      <c r="F458" s="109"/>
      <c r="G458" s="48"/>
      <c r="H458" s="264"/>
      <c r="I458" s="265"/>
      <c r="J458" s="265"/>
      <c r="K458" s="264"/>
      <c r="L458" s="265"/>
      <c r="M458" s="264"/>
      <c r="N458" s="264"/>
      <c r="O458" s="264"/>
      <c r="P458" s="264"/>
      <c r="Q458" s="263"/>
      <c r="R458" s="263"/>
      <c r="S458" s="263"/>
      <c r="T458" s="263"/>
      <c r="U458" s="263"/>
      <c r="V458" s="109"/>
      <c r="W458" s="263"/>
      <c r="X458" s="263"/>
      <c r="Y458" s="263"/>
      <c r="Z458" s="263"/>
      <c r="AA458" s="263"/>
      <c r="AB458" s="109"/>
      <c r="AC458" s="109"/>
      <c r="AD458" s="109"/>
      <c r="AE458" s="109"/>
      <c r="AF458" s="109"/>
      <c r="AG458" s="109"/>
      <c r="AH458" s="109"/>
      <c r="AI458" s="109"/>
    </row>
    <row r="459" spans="1:35">
      <c r="A459" s="109"/>
      <c r="B459" s="263"/>
      <c r="C459" s="263"/>
      <c r="D459" s="263"/>
      <c r="E459" s="109"/>
      <c r="F459" s="109"/>
      <c r="G459" s="48"/>
      <c r="H459" s="264"/>
      <c r="I459" s="265"/>
      <c r="J459" s="265"/>
      <c r="K459" s="264"/>
      <c r="L459" s="265"/>
      <c r="M459" s="264"/>
      <c r="N459" s="264"/>
      <c r="O459" s="264"/>
      <c r="P459" s="264"/>
      <c r="Q459" s="263"/>
      <c r="R459" s="263"/>
      <c r="S459" s="263"/>
      <c r="T459" s="263"/>
      <c r="U459" s="263"/>
      <c r="V459" s="109"/>
      <c r="W459" s="263"/>
      <c r="X459" s="263"/>
      <c r="Y459" s="263"/>
      <c r="Z459" s="263"/>
      <c r="AA459" s="263"/>
      <c r="AB459" s="109"/>
      <c r="AC459" s="109"/>
      <c r="AD459" s="109"/>
      <c r="AE459" s="109"/>
      <c r="AF459" s="109"/>
      <c r="AG459" s="109"/>
      <c r="AH459" s="109"/>
      <c r="AI459" s="109"/>
    </row>
    <row r="460" spans="1:35">
      <c r="A460" s="109"/>
      <c r="B460" s="263"/>
      <c r="C460" s="263"/>
      <c r="D460" s="263"/>
      <c r="E460" s="109"/>
      <c r="F460" s="109"/>
      <c r="G460" s="48"/>
      <c r="H460" s="264"/>
      <c r="I460" s="265"/>
      <c r="J460" s="265"/>
      <c r="K460" s="264"/>
      <c r="L460" s="265"/>
      <c r="M460" s="264"/>
      <c r="N460" s="264"/>
      <c r="O460" s="264"/>
      <c r="P460" s="264"/>
      <c r="Q460" s="263"/>
      <c r="R460" s="263"/>
      <c r="S460" s="263"/>
      <c r="T460" s="263"/>
      <c r="U460" s="263"/>
      <c r="V460" s="109"/>
      <c r="W460" s="263"/>
      <c r="X460" s="263"/>
      <c r="Y460" s="263"/>
      <c r="Z460" s="263"/>
      <c r="AA460" s="263"/>
      <c r="AB460" s="109"/>
      <c r="AC460" s="109"/>
      <c r="AD460" s="109"/>
      <c r="AE460" s="109"/>
      <c r="AF460" s="109"/>
      <c r="AG460" s="109"/>
      <c r="AH460" s="109"/>
      <c r="AI460" s="109"/>
    </row>
    <row r="461" spans="1:35">
      <c r="A461" s="109"/>
      <c r="B461" s="263"/>
      <c r="C461" s="263"/>
      <c r="D461" s="263"/>
      <c r="E461" s="109"/>
      <c r="F461" s="109"/>
      <c r="G461" s="48"/>
      <c r="H461" s="264"/>
      <c r="I461" s="265"/>
      <c r="J461" s="265"/>
      <c r="K461" s="264"/>
      <c r="L461" s="265"/>
      <c r="M461" s="264"/>
      <c r="N461" s="264"/>
      <c r="O461" s="264"/>
      <c r="P461" s="264"/>
      <c r="Q461" s="263"/>
      <c r="R461" s="263"/>
      <c r="S461" s="263"/>
      <c r="T461" s="263"/>
      <c r="U461" s="263"/>
      <c r="V461" s="109"/>
      <c r="W461" s="263"/>
      <c r="X461" s="263"/>
      <c r="Y461" s="263"/>
      <c r="Z461" s="263"/>
      <c r="AA461" s="263"/>
      <c r="AB461" s="109"/>
      <c r="AC461" s="109"/>
      <c r="AD461" s="109"/>
      <c r="AE461" s="109"/>
      <c r="AF461" s="109"/>
      <c r="AG461" s="109"/>
      <c r="AH461" s="109"/>
      <c r="AI461" s="109"/>
    </row>
    <row r="462" spans="1:35">
      <c r="A462" s="109"/>
      <c r="B462" s="263"/>
      <c r="C462" s="263"/>
      <c r="D462" s="263"/>
      <c r="E462" s="109"/>
      <c r="F462" s="109"/>
      <c r="G462" s="48"/>
      <c r="H462" s="264"/>
      <c r="I462" s="265"/>
      <c r="J462" s="265"/>
      <c r="K462" s="264"/>
      <c r="L462" s="265"/>
      <c r="M462" s="264"/>
      <c r="N462" s="264"/>
      <c r="O462" s="264"/>
      <c r="P462" s="264"/>
      <c r="Q462" s="263"/>
      <c r="R462" s="263"/>
      <c r="S462" s="263"/>
      <c r="T462" s="263"/>
      <c r="U462" s="263"/>
      <c r="V462" s="109"/>
      <c r="W462" s="263"/>
      <c r="X462" s="263"/>
      <c r="Y462" s="263"/>
      <c r="Z462" s="263"/>
      <c r="AA462" s="263"/>
      <c r="AB462" s="109"/>
      <c r="AC462" s="109"/>
      <c r="AD462" s="109"/>
      <c r="AE462" s="109"/>
      <c r="AF462" s="109"/>
      <c r="AG462" s="109"/>
      <c r="AH462" s="109"/>
      <c r="AI462" s="109"/>
    </row>
    <row r="463" spans="1:35">
      <c r="A463" s="109"/>
      <c r="B463" s="263"/>
      <c r="C463" s="263"/>
      <c r="D463" s="263"/>
      <c r="E463" s="109"/>
      <c r="F463" s="109"/>
      <c r="G463" s="48"/>
      <c r="H463" s="264"/>
      <c r="I463" s="265"/>
      <c r="J463" s="265"/>
      <c r="K463" s="264"/>
      <c r="L463" s="265"/>
      <c r="M463" s="264"/>
      <c r="N463" s="264"/>
      <c r="O463" s="264"/>
      <c r="P463" s="264"/>
      <c r="Q463" s="263"/>
      <c r="R463" s="263"/>
      <c r="S463" s="263"/>
      <c r="T463" s="263"/>
      <c r="U463" s="263"/>
      <c r="V463" s="109"/>
      <c r="W463" s="263"/>
      <c r="X463" s="263"/>
      <c r="Y463" s="263"/>
      <c r="Z463" s="263"/>
      <c r="AA463" s="263"/>
      <c r="AB463" s="109"/>
      <c r="AC463" s="109"/>
      <c r="AD463" s="109"/>
      <c r="AE463" s="109"/>
      <c r="AF463" s="109"/>
      <c r="AG463" s="109"/>
      <c r="AH463" s="109"/>
      <c r="AI463" s="109"/>
    </row>
    <row r="464" spans="1:35">
      <c r="A464" s="109"/>
      <c r="B464" s="263"/>
      <c r="C464" s="263"/>
      <c r="D464" s="263"/>
      <c r="E464" s="109"/>
      <c r="F464" s="109"/>
      <c r="G464" s="48"/>
      <c r="H464" s="264"/>
      <c r="I464" s="265"/>
      <c r="J464" s="265"/>
      <c r="K464" s="264"/>
      <c r="L464" s="265"/>
      <c r="M464" s="264"/>
      <c r="N464" s="264"/>
      <c r="O464" s="264"/>
      <c r="P464" s="264"/>
      <c r="Q464" s="263"/>
      <c r="R464" s="263"/>
      <c r="S464" s="263"/>
      <c r="T464" s="263"/>
      <c r="U464" s="263"/>
      <c r="V464" s="109"/>
      <c r="W464" s="263"/>
      <c r="X464" s="263"/>
      <c r="Y464" s="263"/>
      <c r="Z464" s="263"/>
      <c r="AA464" s="263"/>
      <c r="AB464" s="109"/>
      <c r="AC464" s="109"/>
      <c r="AD464" s="109"/>
      <c r="AE464" s="109"/>
      <c r="AF464" s="109"/>
      <c r="AG464" s="109"/>
      <c r="AH464" s="109"/>
      <c r="AI464" s="109"/>
    </row>
    <row r="465" spans="1:35">
      <c r="A465" s="109"/>
      <c r="B465" s="263"/>
      <c r="C465" s="263"/>
      <c r="D465" s="263"/>
      <c r="E465" s="109"/>
      <c r="F465" s="109"/>
      <c r="G465" s="48"/>
      <c r="H465" s="264"/>
      <c r="I465" s="265"/>
      <c r="J465" s="265"/>
      <c r="K465" s="264"/>
      <c r="L465" s="265"/>
      <c r="M465" s="264"/>
      <c r="N465" s="264"/>
      <c r="O465" s="264"/>
      <c r="P465" s="264"/>
      <c r="Q465" s="263"/>
      <c r="R465" s="263"/>
      <c r="S465" s="263"/>
      <c r="T465" s="263"/>
      <c r="U465" s="263"/>
      <c r="V465" s="109"/>
      <c r="W465" s="263"/>
      <c r="X465" s="263"/>
      <c r="Y465" s="263"/>
      <c r="Z465" s="263"/>
      <c r="AA465" s="263"/>
      <c r="AB465" s="109"/>
      <c r="AC465" s="109"/>
      <c r="AD465" s="109"/>
      <c r="AE465" s="109"/>
      <c r="AF465" s="109"/>
      <c r="AG465" s="109"/>
      <c r="AH465" s="109"/>
      <c r="AI465" s="109"/>
    </row>
    <row r="466" spans="1:35">
      <c r="A466" s="109"/>
      <c r="B466" s="263"/>
      <c r="C466" s="263"/>
      <c r="D466" s="263"/>
      <c r="E466" s="109"/>
      <c r="F466" s="109"/>
      <c r="G466" s="48"/>
      <c r="H466" s="264"/>
      <c r="I466" s="265"/>
      <c r="J466" s="265"/>
      <c r="K466" s="264"/>
      <c r="L466" s="265"/>
      <c r="M466" s="264"/>
      <c r="N466" s="264"/>
      <c r="O466" s="264"/>
      <c r="P466" s="264"/>
      <c r="Q466" s="263"/>
      <c r="R466" s="263"/>
      <c r="S466" s="263"/>
      <c r="T466" s="263"/>
      <c r="U466" s="263"/>
      <c r="V466" s="109"/>
      <c r="W466" s="263"/>
      <c r="X466" s="263"/>
      <c r="Y466" s="263"/>
      <c r="Z466" s="263"/>
      <c r="AA466" s="263"/>
      <c r="AB466" s="109"/>
      <c r="AC466" s="109"/>
      <c r="AD466" s="109"/>
      <c r="AE466" s="109"/>
      <c r="AF466" s="109"/>
      <c r="AG466" s="109"/>
      <c r="AH466" s="109"/>
      <c r="AI466" s="109"/>
    </row>
    <row r="467" spans="1:35">
      <c r="A467" s="109"/>
      <c r="B467" s="263"/>
      <c r="C467" s="263"/>
      <c r="D467" s="263"/>
      <c r="E467" s="109"/>
      <c r="F467" s="109"/>
      <c r="G467" s="48"/>
      <c r="H467" s="264"/>
      <c r="I467" s="265"/>
      <c r="J467" s="265"/>
      <c r="K467" s="264"/>
      <c r="L467" s="265"/>
      <c r="M467" s="264"/>
      <c r="N467" s="264"/>
      <c r="O467" s="264"/>
      <c r="P467" s="264"/>
      <c r="Q467" s="263"/>
      <c r="R467" s="263"/>
      <c r="S467" s="263"/>
      <c r="T467" s="263"/>
      <c r="U467" s="263"/>
      <c r="V467" s="109"/>
      <c r="W467" s="263"/>
      <c r="X467" s="263"/>
      <c r="Y467" s="263"/>
      <c r="Z467" s="263"/>
      <c r="AA467" s="263"/>
      <c r="AB467" s="109"/>
      <c r="AC467" s="109"/>
      <c r="AD467" s="109"/>
      <c r="AE467" s="109"/>
      <c r="AF467" s="109"/>
      <c r="AG467" s="109"/>
      <c r="AH467" s="109"/>
      <c r="AI467" s="109"/>
    </row>
    <row r="468" spans="1:35">
      <c r="A468" s="109"/>
      <c r="B468" s="263"/>
      <c r="C468" s="263"/>
      <c r="D468" s="263"/>
      <c r="E468" s="109"/>
      <c r="F468" s="109"/>
      <c r="G468" s="48"/>
      <c r="H468" s="264"/>
      <c r="I468" s="265"/>
      <c r="J468" s="265"/>
      <c r="K468" s="264"/>
      <c r="L468" s="265"/>
      <c r="M468" s="264"/>
      <c r="N468" s="264"/>
      <c r="O468" s="264"/>
      <c r="P468" s="264"/>
      <c r="Q468" s="263"/>
      <c r="R468" s="263"/>
      <c r="S468" s="263"/>
      <c r="T468" s="263"/>
      <c r="U468" s="263"/>
      <c r="V468" s="109"/>
      <c r="W468" s="263"/>
      <c r="X468" s="263"/>
      <c r="Y468" s="263"/>
      <c r="Z468" s="263"/>
      <c r="AA468" s="263"/>
      <c r="AB468" s="109"/>
      <c r="AC468" s="109"/>
      <c r="AD468" s="109"/>
      <c r="AE468" s="109"/>
      <c r="AF468" s="109"/>
      <c r="AG468" s="109"/>
      <c r="AH468" s="109"/>
      <c r="AI468" s="109"/>
    </row>
    <row r="469" spans="1:35">
      <c r="A469" s="109"/>
      <c r="B469" s="263"/>
      <c r="C469" s="263"/>
      <c r="D469" s="263"/>
      <c r="E469" s="109"/>
      <c r="F469" s="109"/>
      <c r="G469" s="48"/>
      <c r="H469" s="264"/>
      <c r="I469" s="265"/>
      <c r="J469" s="265"/>
      <c r="K469" s="264"/>
      <c r="L469" s="265"/>
      <c r="M469" s="264"/>
      <c r="N469" s="264"/>
      <c r="O469" s="264"/>
      <c r="P469" s="264"/>
      <c r="Q469" s="263"/>
      <c r="R469" s="263"/>
      <c r="S469" s="263"/>
      <c r="T469" s="263"/>
      <c r="U469" s="263"/>
      <c r="V469" s="109"/>
      <c r="W469" s="263"/>
      <c r="X469" s="263"/>
      <c r="Y469" s="263"/>
      <c r="Z469" s="263"/>
      <c r="AA469" s="263"/>
      <c r="AB469" s="109"/>
      <c r="AC469" s="109"/>
      <c r="AD469" s="109"/>
      <c r="AE469" s="109"/>
      <c r="AF469" s="109"/>
      <c r="AG469" s="109"/>
      <c r="AH469" s="109"/>
      <c r="AI469" s="109"/>
    </row>
    <row r="470" spans="1:35">
      <c r="A470" s="109"/>
      <c r="B470" s="263"/>
      <c r="C470" s="263"/>
      <c r="D470" s="263"/>
      <c r="E470" s="109"/>
      <c r="F470" s="109"/>
      <c r="G470" s="48"/>
      <c r="H470" s="264"/>
      <c r="I470" s="265"/>
      <c r="J470" s="265"/>
      <c r="K470" s="264"/>
      <c r="L470" s="265"/>
      <c r="M470" s="264"/>
      <c r="N470" s="264"/>
      <c r="O470" s="264"/>
      <c r="P470" s="264"/>
      <c r="Q470" s="263"/>
      <c r="R470" s="263"/>
      <c r="S470" s="263"/>
      <c r="T470" s="263"/>
      <c r="U470" s="263"/>
      <c r="V470" s="109"/>
      <c r="W470" s="263"/>
      <c r="X470" s="263"/>
      <c r="Y470" s="263"/>
      <c r="Z470" s="263"/>
      <c r="AA470" s="263"/>
      <c r="AB470" s="109"/>
      <c r="AC470" s="109"/>
      <c r="AD470" s="109"/>
      <c r="AE470" s="109"/>
      <c r="AF470" s="109"/>
      <c r="AG470" s="109"/>
      <c r="AH470" s="109"/>
      <c r="AI470" s="109"/>
    </row>
    <row r="471" spans="1:35">
      <c r="A471" s="109"/>
      <c r="B471" s="263"/>
      <c r="C471" s="263"/>
      <c r="D471" s="263"/>
      <c r="E471" s="109"/>
      <c r="F471" s="109"/>
      <c r="G471" s="48"/>
      <c r="H471" s="264"/>
      <c r="I471" s="265"/>
      <c r="J471" s="265"/>
      <c r="K471" s="264"/>
      <c r="L471" s="265"/>
      <c r="M471" s="264"/>
      <c r="N471" s="264"/>
      <c r="O471" s="264"/>
      <c r="P471" s="264"/>
      <c r="Q471" s="263"/>
      <c r="R471" s="263"/>
      <c r="S471" s="263"/>
      <c r="T471" s="263"/>
      <c r="U471" s="263"/>
      <c r="V471" s="109"/>
      <c r="W471" s="263"/>
      <c r="X471" s="263"/>
      <c r="Y471" s="263"/>
      <c r="Z471" s="263"/>
      <c r="AA471" s="263"/>
      <c r="AB471" s="109"/>
      <c r="AC471" s="109"/>
      <c r="AD471" s="109"/>
      <c r="AE471" s="109"/>
      <c r="AF471" s="109"/>
      <c r="AG471" s="109"/>
      <c r="AH471" s="109"/>
      <c r="AI471" s="109"/>
    </row>
    <row r="472" spans="1:35">
      <c r="A472" s="109"/>
      <c r="B472" s="263"/>
      <c r="C472" s="263"/>
      <c r="D472" s="263"/>
      <c r="E472" s="109"/>
      <c r="F472" s="109"/>
      <c r="G472" s="48"/>
      <c r="H472" s="264"/>
      <c r="I472" s="265"/>
      <c r="J472" s="265"/>
      <c r="K472" s="264"/>
      <c r="L472" s="265"/>
      <c r="M472" s="264"/>
      <c r="N472" s="264"/>
      <c r="O472" s="264"/>
      <c r="P472" s="264"/>
      <c r="Q472" s="263"/>
      <c r="R472" s="263"/>
      <c r="S472" s="263"/>
      <c r="T472" s="263"/>
      <c r="U472" s="263"/>
      <c r="V472" s="109"/>
      <c r="W472" s="263"/>
      <c r="X472" s="263"/>
      <c r="Y472" s="263"/>
      <c r="Z472" s="263"/>
      <c r="AA472" s="263"/>
      <c r="AB472" s="109"/>
      <c r="AC472" s="109"/>
      <c r="AD472" s="109"/>
      <c r="AE472" s="109"/>
      <c r="AF472" s="109"/>
      <c r="AG472" s="109"/>
      <c r="AH472" s="109"/>
      <c r="AI472" s="109"/>
    </row>
    <row r="473" spans="1:35">
      <c r="A473" s="109"/>
      <c r="B473" s="263"/>
      <c r="C473" s="263"/>
      <c r="D473" s="263"/>
      <c r="E473" s="109"/>
      <c r="F473" s="109"/>
      <c r="G473" s="48"/>
      <c r="H473" s="264"/>
      <c r="I473" s="265"/>
      <c r="J473" s="265"/>
      <c r="K473" s="264"/>
      <c r="L473" s="265"/>
      <c r="M473" s="264"/>
      <c r="N473" s="264"/>
      <c r="O473" s="264"/>
      <c r="P473" s="264"/>
      <c r="Q473" s="263"/>
      <c r="R473" s="263"/>
      <c r="S473" s="263"/>
      <c r="T473" s="263"/>
      <c r="U473" s="263"/>
      <c r="V473" s="109"/>
      <c r="W473" s="263"/>
      <c r="X473" s="263"/>
      <c r="Y473" s="263"/>
      <c r="Z473" s="263"/>
      <c r="AA473" s="263"/>
      <c r="AB473" s="109"/>
      <c r="AC473" s="109"/>
      <c r="AD473" s="109"/>
      <c r="AE473" s="109"/>
      <c r="AF473" s="109"/>
      <c r="AG473" s="109"/>
      <c r="AH473" s="109"/>
      <c r="AI473" s="109"/>
    </row>
    <row r="474" spans="1:35">
      <c r="A474" s="109"/>
      <c r="B474" s="263"/>
      <c r="C474" s="263"/>
      <c r="D474" s="263"/>
      <c r="E474" s="109"/>
      <c r="F474" s="109"/>
      <c r="G474" s="48"/>
      <c r="H474" s="264"/>
      <c r="I474" s="265"/>
      <c r="J474" s="265"/>
      <c r="K474" s="264"/>
      <c r="L474" s="265"/>
      <c r="M474" s="264"/>
      <c r="N474" s="264"/>
      <c r="O474" s="264"/>
      <c r="P474" s="264"/>
      <c r="Q474" s="263"/>
      <c r="R474" s="263"/>
      <c r="S474" s="263"/>
      <c r="T474" s="263"/>
      <c r="U474" s="263"/>
      <c r="V474" s="109"/>
      <c r="W474" s="263"/>
      <c r="X474" s="263"/>
      <c r="Y474" s="263"/>
      <c r="Z474" s="263"/>
      <c r="AA474" s="263"/>
      <c r="AB474" s="109"/>
      <c r="AC474" s="109"/>
      <c r="AD474" s="109"/>
      <c r="AE474" s="109"/>
      <c r="AF474" s="109"/>
      <c r="AG474" s="109"/>
      <c r="AH474" s="109"/>
      <c r="AI474" s="109"/>
    </row>
    <row r="475" spans="1:35">
      <c r="A475" s="109"/>
      <c r="B475" s="263"/>
      <c r="C475" s="263"/>
      <c r="D475" s="263"/>
      <c r="E475" s="109"/>
      <c r="F475" s="109"/>
      <c r="G475" s="48"/>
      <c r="H475" s="264"/>
      <c r="I475" s="265"/>
      <c r="J475" s="265"/>
      <c r="K475" s="264"/>
      <c r="L475" s="265"/>
      <c r="M475" s="264"/>
      <c r="N475" s="264"/>
      <c r="O475" s="264"/>
      <c r="P475" s="264"/>
      <c r="Q475" s="263"/>
      <c r="R475" s="263"/>
      <c r="S475" s="263"/>
      <c r="T475" s="263"/>
      <c r="U475" s="263"/>
      <c r="V475" s="109"/>
      <c r="W475" s="263"/>
      <c r="X475" s="263"/>
      <c r="Y475" s="263"/>
      <c r="Z475" s="263"/>
      <c r="AA475" s="263"/>
      <c r="AB475" s="109"/>
      <c r="AC475" s="109"/>
      <c r="AD475" s="109"/>
      <c r="AE475" s="109"/>
      <c r="AF475" s="109"/>
      <c r="AG475" s="109"/>
      <c r="AH475" s="109"/>
      <c r="AI475" s="109"/>
    </row>
    <row r="476" spans="1:35">
      <c r="A476" s="109"/>
      <c r="B476" s="263"/>
      <c r="C476" s="263"/>
      <c r="D476" s="263"/>
      <c r="E476" s="109"/>
      <c r="F476" s="109"/>
      <c r="G476" s="48"/>
      <c r="H476" s="264"/>
      <c r="I476" s="265"/>
      <c r="J476" s="265"/>
      <c r="K476" s="264"/>
      <c r="L476" s="265"/>
      <c r="M476" s="264"/>
      <c r="N476" s="264"/>
      <c r="O476" s="264"/>
      <c r="P476" s="264"/>
      <c r="Q476" s="263"/>
      <c r="R476" s="263"/>
      <c r="S476" s="263"/>
      <c r="T476" s="263"/>
      <c r="U476" s="263"/>
      <c r="V476" s="109"/>
      <c r="W476" s="263"/>
      <c r="X476" s="263"/>
      <c r="Y476" s="263"/>
      <c r="Z476" s="263"/>
      <c r="AA476" s="263"/>
      <c r="AB476" s="109"/>
      <c r="AC476" s="109"/>
      <c r="AD476" s="109"/>
      <c r="AE476" s="109"/>
      <c r="AF476" s="109"/>
      <c r="AG476" s="109"/>
      <c r="AH476" s="109"/>
      <c r="AI476" s="109"/>
    </row>
    <row r="477" spans="1:35">
      <c r="A477" s="109"/>
      <c r="B477" s="263"/>
      <c r="C477" s="263"/>
      <c r="D477" s="263"/>
      <c r="E477" s="109"/>
      <c r="F477" s="109"/>
      <c r="G477" s="48"/>
      <c r="H477" s="264"/>
      <c r="I477" s="265"/>
      <c r="J477" s="265"/>
      <c r="K477" s="264"/>
      <c r="L477" s="265"/>
      <c r="M477" s="264"/>
      <c r="N477" s="264"/>
      <c r="O477" s="264"/>
      <c r="P477" s="264"/>
      <c r="Q477" s="263"/>
      <c r="R477" s="263"/>
      <c r="S477" s="263"/>
      <c r="T477" s="263"/>
      <c r="U477" s="263"/>
      <c r="V477" s="109"/>
      <c r="W477" s="263"/>
      <c r="X477" s="263"/>
      <c r="Y477" s="263"/>
      <c r="Z477" s="263"/>
      <c r="AA477" s="263"/>
      <c r="AB477" s="109"/>
      <c r="AC477" s="109"/>
      <c r="AD477" s="109"/>
      <c r="AE477" s="109"/>
      <c r="AF477" s="109"/>
      <c r="AG477" s="109"/>
      <c r="AH477" s="109"/>
      <c r="AI477" s="109"/>
    </row>
    <row r="478" spans="1:35">
      <c r="A478" s="109"/>
      <c r="B478" s="263"/>
      <c r="C478" s="263"/>
      <c r="D478" s="263"/>
      <c r="E478" s="109"/>
      <c r="F478" s="109"/>
      <c r="G478" s="48"/>
      <c r="H478" s="264"/>
      <c r="I478" s="265"/>
      <c r="J478" s="265"/>
      <c r="K478" s="264"/>
      <c r="L478" s="265"/>
      <c r="M478" s="264"/>
      <c r="N478" s="264"/>
      <c r="O478" s="264"/>
      <c r="P478" s="264"/>
      <c r="Q478" s="263"/>
      <c r="R478" s="263"/>
      <c r="S478" s="263"/>
      <c r="T478" s="263"/>
      <c r="U478" s="263"/>
      <c r="V478" s="109"/>
      <c r="W478" s="263"/>
      <c r="X478" s="263"/>
      <c r="Y478" s="263"/>
      <c r="Z478" s="263"/>
      <c r="AA478" s="263"/>
      <c r="AB478" s="109"/>
      <c r="AC478" s="109"/>
      <c r="AD478" s="109"/>
      <c r="AE478" s="109"/>
      <c r="AF478" s="109"/>
      <c r="AG478" s="109"/>
      <c r="AH478" s="109"/>
      <c r="AI478" s="109"/>
    </row>
    <row r="479" spans="1:35">
      <c r="A479" s="109"/>
      <c r="B479" s="263"/>
      <c r="C479" s="263"/>
      <c r="D479" s="263"/>
      <c r="E479" s="109"/>
      <c r="F479" s="109"/>
      <c r="G479" s="48"/>
      <c r="H479" s="264"/>
      <c r="I479" s="265"/>
      <c r="J479" s="265"/>
      <c r="K479" s="264"/>
      <c r="L479" s="265"/>
      <c r="M479" s="264"/>
      <c r="N479" s="264"/>
      <c r="O479" s="264"/>
      <c r="P479" s="264"/>
      <c r="Q479" s="263"/>
      <c r="R479" s="263"/>
      <c r="S479" s="263"/>
      <c r="T479" s="263"/>
      <c r="U479" s="263"/>
      <c r="V479" s="109"/>
      <c r="W479" s="263"/>
      <c r="X479" s="263"/>
      <c r="Y479" s="263"/>
      <c r="Z479" s="263"/>
      <c r="AA479" s="263"/>
      <c r="AB479" s="109"/>
      <c r="AC479" s="109"/>
      <c r="AD479" s="109"/>
      <c r="AE479" s="109"/>
      <c r="AF479" s="109"/>
      <c r="AG479" s="109"/>
      <c r="AH479" s="109"/>
      <c r="AI479" s="109"/>
    </row>
    <row r="480" spans="1:35">
      <c r="A480" s="109"/>
      <c r="B480" s="263"/>
      <c r="C480" s="263"/>
      <c r="D480" s="263"/>
      <c r="E480" s="109"/>
      <c r="F480" s="109"/>
      <c r="G480" s="48"/>
      <c r="H480" s="264"/>
      <c r="I480" s="265"/>
      <c r="J480" s="265"/>
      <c r="K480" s="264"/>
      <c r="L480" s="265"/>
      <c r="M480" s="264"/>
      <c r="N480" s="264"/>
      <c r="O480" s="264"/>
      <c r="P480" s="264"/>
      <c r="Q480" s="263"/>
      <c r="R480" s="263"/>
      <c r="S480" s="263"/>
      <c r="T480" s="263"/>
      <c r="U480" s="263"/>
      <c r="V480" s="109"/>
      <c r="W480" s="263"/>
      <c r="X480" s="263"/>
      <c r="Y480" s="263"/>
      <c r="Z480" s="263"/>
      <c r="AA480" s="263"/>
      <c r="AB480" s="109"/>
      <c r="AC480" s="109"/>
      <c r="AD480" s="109"/>
      <c r="AE480" s="109"/>
      <c r="AF480" s="109"/>
      <c r="AG480" s="109"/>
      <c r="AH480" s="109"/>
      <c r="AI480" s="109"/>
    </row>
    <row r="481" spans="1:35">
      <c r="A481" s="109"/>
      <c r="B481" s="263"/>
      <c r="C481" s="263"/>
      <c r="D481" s="263"/>
      <c r="E481" s="109"/>
      <c r="F481" s="109"/>
      <c r="G481" s="48"/>
      <c r="H481" s="264"/>
      <c r="I481" s="265"/>
      <c r="J481" s="265"/>
      <c r="K481" s="264"/>
      <c r="L481" s="265"/>
      <c r="M481" s="264"/>
      <c r="N481" s="264"/>
      <c r="O481" s="264"/>
      <c r="P481" s="264"/>
      <c r="Q481" s="263"/>
      <c r="R481" s="263"/>
      <c r="S481" s="263"/>
      <c r="T481" s="263"/>
      <c r="U481" s="263"/>
      <c r="V481" s="109"/>
      <c r="W481" s="263"/>
      <c r="X481" s="263"/>
      <c r="Y481" s="263"/>
      <c r="Z481" s="263"/>
      <c r="AA481" s="263"/>
      <c r="AB481" s="109"/>
      <c r="AC481" s="109"/>
      <c r="AD481" s="109"/>
      <c r="AE481" s="109"/>
      <c r="AF481" s="109"/>
      <c r="AG481" s="109"/>
      <c r="AH481" s="109"/>
      <c r="AI481" s="109"/>
    </row>
    <row r="482" spans="1:35">
      <c r="A482" s="109"/>
      <c r="B482" s="263"/>
      <c r="C482" s="263"/>
      <c r="D482" s="263"/>
      <c r="E482" s="109"/>
      <c r="F482" s="109"/>
      <c r="G482" s="48"/>
      <c r="H482" s="264"/>
      <c r="I482" s="265"/>
      <c r="J482" s="265"/>
      <c r="K482" s="264"/>
      <c r="L482" s="265"/>
      <c r="M482" s="264"/>
      <c r="N482" s="264"/>
      <c r="O482" s="264"/>
      <c r="P482" s="264"/>
      <c r="Q482" s="263"/>
      <c r="R482" s="263"/>
      <c r="S482" s="263"/>
      <c r="T482" s="263"/>
      <c r="U482" s="263"/>
      <c r="V482" s="109"/>
      <c r="W482" s="263"/>
      <c r="X482" s="263"/>
      <c r="Y482" s="263"/>
      <c r="Z482" s="263"/>
      <c r="AA482" s="263"/>
      <c r="AB482" s="109"/>
      <c r="AC482" s="109"/>
      <c r="AD482" s="109"/>
      <c r="AE482" s="109"/>
      <c r="AF482" s="109"/>
      <c r="AG482" s="109"/>
      <c r="AH482" s="109"/>
      <c r="AI482" s="109"/>
    </row>
    <row r="483" spans="1:35">
      <c r="A483" s="109"/>
      <c r="B483" s="263"/>
      <c r="C483" s="263"/>
      <c r="D483" s="263"/>
      <c r="E483" s="109"/>
      <c r="F483" s="109"/>
      <c r="G483" s="48"/>
      <c r="H483" s="264"/>
      <c r="I483" s="265"/>
      <c r="J483" s="265"/>
      <c r="K483" s="264"/>
      <c r="L483" s="265"/>
      <c r="M483" s="264"/>
      <c r="N483" s="264"/>
      <c r="O483" s="264"/>
      <c r="P483" s="264"/>
      <c r="Q483" s="263"/>
      <c r="R483" s="263"/>
      <c r="S483" s="263"/>
      <c r="T483" s="263"/>
      <c r="U483" s="263"/>
      <c r="V483" s="109"/>
      <c r="W483" s="263"/>
      <c r="X483" s="263"/>
      <c r="Y483" s="263"/>
      <c r="Z483" s="263"/>
      <c r="AA483" s="263"/>
      <c r="AB483" s="109"/>
      <c r="AC483" s="109"/>
      <c r="AD483" s="109"/>
      <c r="AE483" s="109"/>
      <c r="AF483" s="109"/>
      <c r="AG483" s="109"/>
      <c r="AH483" s="109"/>
      <c r="AI483" s="109"/>
    </row>
    <row r="484" spans="1:35">
      <c r="A484" s="109"/>
      <c r="B484" s="263"/>
      <c r="C484" s="263"/>
      <c r="D484" s="263"/>
      <c r="E484" s="109"/>
      <c r="F484" s="109"/>
      <c r="G484" s="48"/>
      <c r="H484" s="264"/>
      <c r="I484" s="265"/>
      <c r="J484" s="265"/>
      <c r="K484" s="264"/>
      <c r="L484" s="265"/>
      <c r="M484" s="264"/>
      <c r="N484" s="264"/>
      <c r="O484" s="264"/>
      <c r="P484" s="264"/>
      <c r="Q484" s="263"/>
      <c r="R484" s="263"/>
      <c r="S484" s="263"/>
      <c r="T484" s="263"/>
      <c r="U484" s="263"/>
      <c r="V484" s="109"/>
      <c r="W484" s="263"/>
      <c r="X484" s="263"/>
      <c r="Y484" s="263"/>
      <c r="Z484" s="263"/>
      <c r="AA484" s="263"/>
      <c r="AB484" s="109"/>
      <c r="AC484" s="109"/>
      <c r="AD484" s="109"/>
      <c r="AE484" s="109"/>
      <c r="AF484" s="109"/>
      <c r="AG484" s="109"/>
      <c r="AH484" s="109"/>
      <c r="AI484" s="109"/>
    </row>
    <row r="485" spans="1:35">
      <c r="A485" s="109"/>
      <c r="B485" s="263"/>
      <c r="C485" s="263"/>
      <c r="D485" s="263"/>
      <c r="E485" s="109"/>
      <c r="F485" s="109"/>
      <c r="G485" s="48"/>
      <c r="H485" s="264"/>
      <c r="I485" s="265"/>
      <c r="J485" s="265"/>
      <c r="K485" s="264"/>
      <c r="L485" s="265"/>
      <c r="M485" s="264"/>
      <c r="N485" s="264"/>
      <c r="O485" s="264"/>
      <c r="P485" s="264"/>
      <c r="Q485" s="263"/>
      <c r="R485" s="263"/>
      <c r="S485" s="263"/>
      <c r="T485" s="263"/>
      <c r="U485" s="263"/>
      <c r="V485" s="109"/>
      <c r="W485" s="263"/>
      <c r="X485" s="263"/>
      <c r="Y485" s="263"/>
      <c r="Z485" s="263"/>
      <c r="AA485" s="263"/>
      <c r="AB485" s="109"/>
      <c r="AC485" s="109"/>
      <c r="AD485" s="109"/>
      <c r="AE485" s="109"/>
      <c r="AF485" s="109"/>
      <c r="AG485" s="109"/>
      <c r="AH485" s="109"/>
      <c r="AI485" s="109"/>
    </row>
    <row r="486" spans="1:35">
      <c r="A486" s="109"/>
      <c r="B486" s="263"/>
      <c r="C486" s="263"/>
      <c r="D486" s="263"/>
      <c r="E486" s="109"/>
      <c r="F486" s="109"/>
      <c r="G486" s="48"/>
      <c r="H486" s="264"/>
      <c r="I486" s="265"/>
      <c r="J486" s="265"/>
      <c r="K486" s="264"/>
      <c r="L486" s="265"/>
      <c r="M486" s="264"/>
      <c r="N486" s="264"/>
      <c r="O486" s="264"/>
      <c r="P486" s="264"/>
      <c r="Q486" s="263"/>
      <c r="R486" s="263"/>
      <c r="S486" s="263"/>
      <c r="T486" s="263"/>
      <c r="U486" s="263"/>
      <c r="V486" s="109"/>
      <c r="W486" s="263"/>
      <c r="X486" s="263"/>
      <c r="Y486" s="263"/>
      <c r="Z486" s="263"/>
      <c r="AA486" s="263"/>
      <c r="AB486" s="109"/>
      <c r="AC486" s="109"/>
      <c r="AD486" s="109"/>
      <c r="AE486" s="109"/>
      <c r="AF486" s="109"/>
      <c r="AG486" s="109"/>
      <c r="AH486" s="109"/>
      <c r="AI486" s="109"/>
    </row>
    <row r="487" spans="1:35">
      <c r="A487" s="109"/>
      <c r="B487" s="263"/>
      <c r="C487" s="263"/>
      <c r="D487" s="263"/>
      <c r="E487" s="109"/>
      <c r="F487" s="109"/>
      <c r="G487" s="48"/>
      <c r="H487" s="264"/>
      <c r="I487" s="265"/>
      <c r="J487" s="265"/>
      <c r="K487" s="264"/>
      <c r="L487" s="265"/>
      <c r="M487" s="264"/>
      <c r="N487" s="264"/>
      <c r="O487" s="264"/>
      <c r="P487" s="264"/>
      <c r="Q487" s="263"/>
      <c r="R487" s="263"/>
      <c r="S487" s="263"/>
      <c r="T487" s="263"/>
      <c r="U487" s="263"/>
      <c r="V487" s="109"/>
      <c r="W487" s="263"/>
      <c r="X487" s="263"/>
      <c r="Y487" s="263"/>
      <c r="Z487" s="263"/>
      <c r="AA487" s="263"/>
      <c r="AB487" s="109"/>
      <c r="AC487" s="109"/>
      <c r="AD487" s="109"/>
      <c r="AE487" s="109"/>
      <c r="AF487" s="109"/>
      <c r="AG487" s="109"/>
      <c r="AH487" s="109"/>
      <c r="AI487" s="109"/>
    </row>
    <row r="488" spans="1:35">
      <c r="A488" s="109"/>
      <c r="B488" s="263"/>
      <c r="C488" s="263"/>
      <c r="D488" s="263"/>
      <c r="E488" s="109"/>
      <c r="F488" s="109"/>
      <c r="G488" s="48"/>
      <c r="H488" s="264"/>
      <c r="I488" s="265"/>
      <c r="J488" s="265"/>
      <c r="K488" s="264"/>
      <c r="L488" s="265"/>
      <c r="M488" s="264"/>
      <c r="N488" s="264"/>
      <c r="O488" s="264"/>
      <c r="P488" s="264"/>
      <c r="Q488" s="263"/>
      <c r="R488" s="263"/>
      <c r="S488" s="263"/>
      <c r="T488" s="263"/>
      <c r="U488" s="263"/>
      <c r="V488" s="109"/>
      <c r="W488" s="263"/>
      <c r="X488" s="263"/>
      <c r="Y488" s="263"/>
      <c r="Z488" s="263"/>
      <c r="AA488" s="263"/>
      <c r="AB488" s="109"/>
      <c r="AC488" s="109"/>
      <c r="AD488" s="109"/>
      <c r="AE488" s="109"/>
      <c r="AF488" s="109"/>
      <c r="AG488" s="109"/>
      <c r="AH488" s="109"/>
      <c r="AI488" s="109"/>
    </row>
    <row r="489" spans="1:35">
      <c r="A489" s="109"/>
      <c r="B489" s="263"/>
      <c r="C489" s="263"/>
      <c r="D489" s="263"/>
      <c r="E489" s="109"/>
      <c r="F489" s="109"/>
      <c r="G489" s="48"/>
      <c r="H489" s="264"/>
      <c r="I489" s="265"/>
      <c r="J489" s="265"/>
      <c r="K489" s="264"/>
      <c r="L489" s="265"/>
      <c r="M489" s="264"/>
      <c r="N489" s="264"/>
      <c r="O489" s="264"/>
      <c r="P489" s="264"/>
      <c r="Q489" s="263"/>
      <c r="R489" s="263"/>
      <c r="S489" s="263"/>
      <c r="T489" s="263"/>
      <c r="U489" s="263"/>
      <c r="V489" s="109"/>
      <c r="W489" s="263"/>
      <c r="X489" s="263"/>
      <c r="Y489" s="263"/>
      <c r="Z489" s="263"/>
      <c r="AA489" s="263"/>
      <c r="AB489" s="109"/>
      <c r="AC489" s="109"/>
      <c r="AD489" s="109"/>
      <c r="AE489" s="109"/>
      <c r="AF489" s="109"/>
      <c r="AG489" s="109"/>
      <c r="AH489" s="109"/>
      <c r="AI489" s="109"/>
    </row>
    <row r="490" spans="1:35">
      <c r="A490" s="109"/>
      <c r="B490" s="263"/>
      <c r="C490" s="263"/>
      <c r="D490" s="263"/>
      <c r="E490" s="109"/>
      <c r="F490" s="109"/>
      <c r="G490" s="48"/>
      <c r="H490" s="264"/>
      <c r="I490" s="265"/>
      <c r="J490" s="265"/>
      <c r="K490" s="264"/>
      <c r="L490" s="265"/>
      <c r="M490" s="264"/>
      <c r="N490" s="264"/>
      <c r="O490" s="264"/>
      <c r="P490" s="264"/>
      <c r="Q490" s="263"/>
      <c r="R490" s="263"/>
      <c r="S490" s="263"/>
      <c r="T490" s="263"/>
      <c r="U490" s="263"/>
      <c r="V490" s="109"/>
      <c r="W490" s="263"/>
      <c r="X490" s="263"/>
      <c r="Y490" s="263"/>
      <c r="Z490" s="263"/>
      <c r="AA490" s="263"/>
      <c r="AB490" s="109"/>
      <c r="AC490" s="109"/>
      <c r="AD490" s="109"/>
      <c r="AE490" s="109"/>
      <c r="AF490" s="109"/>
      <c r="AG490" s="109"/>
      <c r="AH490" s="109"/>
      <c r="AI490" s="109"/>
    </row>
    <row r="491" spans="1:35">
      <c r="A491" s="109"/>
      <c r="B491" s="263"/>
      <c r="C491" s="263"/>
      <c r="D491" s="263"/>
      <c r="E491" s="109"/>
      <c r="F491" s="109"/>
      <c r="G491" s="48"/>
      <c r="H491" s="264"/>
      <c r="I491" s="265"/>
      <c r="J491" s="265"/>
      <c r="K491" s="264"/>
      <c r="L491" s="265"/>
      <c r="M491" s="264"/>
      <c r="N491" s="264"/>
      <c r="O491" s="264"/>
      <c r="P491" s="264"/>
      <c r="Q491" s="263"/>
      <c r="R491" s="263"/>
      <c r="S491" s="263"/>
      <c r="T491" s="263"/>
      <c r="U491" s="263"/>
      <c r="V491" s="109"/>
      <c r="W491" s="263"/>
      <c r="X491" s="263"/>
      <c r="Y491" s="263"/>
      <c r="Z491" s="263"/>
      <c r="AA491" s="263"/>
      <c r="AB491" s="109"/>
      <c r="AC491" s="109"/>
      <c r="AD491" s="109"/>
      <c r="AE491" s="109"/>
      <c r="AF491" s="109"/>
      <c r="AG491" s="109"/>
      <c r="AH491" s="109"/>
      <c r="AI491" s="109"/>
    </row>
    <row r="492" spans="1:35">
      <c r="A492" s="109"/>
      <c r="B492" s="263"/>
      <c r="C492" s="263"/>
      <c r="D492" s="263"/>
      <c r="E492" s="109"/>
      <c r="F492" s="109"/>
      <c r="G492" s="48"/>
      <c r="H492" s="264"/>
      <c r="I492" s="265"/>
      <c r="J492" s="265"/>
      <c r="K492" s="264"/>
      <c r="L492" s="265"/>
      <c r="M492" s="264"/>
      <c r="N492" s="264"/>
      <c r="O492" s="264"/>
      <c r="P492" s="264"/>
      <c r="Q492" s="263"/>
      <c r="R492" s="263"/>
      <c r="S492" s="263"/>
      <c r="T492" s="263"/>
      <c r="U492" s="263"/>
      <c r="V492" s="109"/>
      <c r="W492" s="263"/>
      <c r="X492" s="263"/>
      <c r="Y492" s="263"/>
      <c r="Z492" s="263"/>
      <c r="AA492" s="263"/>
      <c r="AB492" s="109"/>
      <c r="AC492" s="109"/>
      <c r="AD492" s="109"/>
      <c r="AE492" s="109"/>
      <c r="AF492" s="109"/>
      <c r="AG492" s="109"/>
      <c r="AH492" s="109"/>
      <c r="AI492" s="109"/>
    </row>
    <row r="493" spans="1:35">
      <c r="A493" s="109"/>
      <c r="B493" s="263"/>
      <c r="C493" s="263"/>
      <c r="D493" s="263"/>
      <c r="E493" s="109"/>
      <c r="F493" s="109"/>
      <c r="G493" s="48"/>
      <c r="H493" s="264"/>
      <c r="I493" s="265"/>
      <c r="J493" s="265"/>
      <c r="K493" s="264"/>
      <c r="L493" s="265"/>
      <c r="M493" s="264"/>
      <c r="N493" s="264"/>
      <c r="O493" s="264"/>
      <c r="P493" s="264"/>
      <c r="Q493" s="263"/>
      <c r="R493" s="263"/>
      <c r="S493" s="263"/>
      <c r="T493" s="263"/>
      <c r="U493" s="263"/>
      <c r="V493" s="109"/>
      <c r="W493" s="263"/>
      <c r="X493" s="263"/>
      <c r="Y493" s="263"/>
      <c r="Z493" s="263"/>
      <c r="AA493" s="263"/>
      <c r="AB493" s="109"/>
      <c r="AC493" s="109"/>
      <c r="AD493" s="109"/>
      <c r="AE493" s="109"/>
      <c r="AF493" s="109"/>
      <c r="AG493" s="109"/>
      <c r="AH493" s="109"/>
      <c r="AI493" s="109"/>
    </row>
    <row r="494" spans="1:35">
      <c r="A494" s="109"/>
      <c r="B494" s="263"/>
      <c r="C494" s="263"/>
      <c r="D494" s="263"/>
      <c r="E494" s="109"/>
      <c r="F494" s="109"/>
      <c r="G494" s="48"/>
      <c r="H494" s="264"/>
      <c r="I494" s="265"/>
      <c r="J494" s="265"/>
      <c r="K494" s="264"/>
      <c r="L494" s="265"/>
      <c r="M494" s="264"/>
      <c r="N494" s="264"/>
      <c r="O494" s="264"/>
      <c r="P494" s="264"/>
      <c r="Q494" s="263"/>
      <c r="R494" s="263"/>
      <c r="S494" s="263"/>
      <c r="T494" s="263"/>
      <c r="U494" s="263"/>
      <c r="V494" s="109"/>
      <c r="W494" s="263"/>
      <c r="X494" s="263"/>
      <c r="Y494" s="263"/>
      <c r="Z494" s="263"/>
      <c r="AA494" s="263"/>
      <c r="AB494" s="109"/>
      <c r="AC494" s="109"/>
      <c r="AD494" s="109"/>
      <c r="AE494" s="109"/>
      <c r="AF494" s="109"/>
      <c r="AG494" s="109"/>
      <c r="AH494" s="109"/>
      <c r="AI494" s="109"/>
    </row>
    <row r="495" spans="1:35">
      <c r="A495" s="109"/>
      <c r="B495" s="263"/>
      <c r="C495" s="263"/>
      <c r="D495" s="263"/>
      <c r="E495" s="109"/>
      <c r="F495" s="109"/>
      <c r="G495" s="48"/>
      <c r="H495" s="264"/>
      <c r="I495" s="265"/>
      <c r="J495" s="265"/>
      <c r="K495" s="264"/>
      <c r="L495" s="265"/>
      <c r="M495" s="264"/>
      <c r="N495" s="264"/>
      <c r="O495" s="264"/>
      <c r="P495" s="264"/>
      <c r="Q495" s="263"/>
      <c r="R495" s="263"/>
      <c r="S495" s="263"/>
      <c r="T495" s="263"/>
      <c r="U495" s="263"/>
      <c r="V495" s="109"/>
      <c r="W495" s="263"/>
      <c r="X495" s="263"/>
      <c r="Y495" s="263"/>
      <c r="Z495" s="263"/>
      <c r="AA495" s="263"/>
      <c r="AB495" s="109"/>
      <c r="AC495" s="109"/>
      <c r="AD495" s="109"/>
      <c r="AE495" s="109"/>
      <c r="AF495" s="109"/>
      <c r="AG495" s="109"/>
      <c r="AH495" s="109"/>
      <c r="AI495" s="109"/>
    </row>
    <row r="496" spans="1:35">
      <c r="A496" s="109"/>
      <c r="B496" s="263"/>
      <c r="C496" s="263"/>
      <c r="D496" s="263"/>
      <c r="E496" s="109"/>
      <c r="F496" s="109"/>
      <c r="G496" s="48"/>
      <c r="H496" s="264"/>
      <c r="I496" s="265"/>
      <c r="J496" s="265"/>
      <c r="K496" s="264"/>
      <c r="L496" s="265"/>
      <c r="M496" s="264"/>
      <c r="N496" s="264"/>
      <c r="O496" s="264"/>
      <c r="P496" s="264"/>
      <c r="Q496" s="263"/>
      <c r="R496" s="263"/>
      <c r="S496" s="263"/>
      <c r="T496" s="263"/>
      <c r="U496" s="263"/>
      <c r="V496" s="109"/>
      <c r="W496" s="263"/>
      <c r="X496" s="263"/>
      <c r="Y496" s="263"/>
      <c r="Z496" s="263"/>
      <c r="AA496" s="263"/>
      <c r="AB496" s="109"/>
      <c r="AC496" s="109"/>
      <c r="AD496" s="109"/>
      <c r="AE496" s="109"/>
      <c r="AF496" s="109"/>
      <c r="AG496" s="109"/>
      <c r="AH496" s="109"/>
      <c r="AI496" s="109"/>
    </row>
    <row r="497" spans="1:35">
      <c r="A497" s="109"/>
      <c r="B497" s="263"/>
      <c r="C497" s="263"/>
      <c r="D497" s="263"/>
      <c r="E497" s="109"/>
      <c r="F497" s="109"/>
      <c r="G497" s="48"/>
      <c r="H497" s="264"/>
      <c r="I497" s="265"/>
      <c r="J497" s="265"/>
      <c r="K497" s="264"/>
      <c r="L497" s="265"/>
      <c r="M497" s="264"/>
      <c r="N497" s="264"/>
      <c r="O497" s="264"/>
      <c r="P497" s="264"/>
      <c r="Q497" s="263"/>
      <c r="R497" s="263"/>
      <c r="S497" s="263"/>
      <c r="T497" s="263"/>
      <c r="U497" s="263"/>
      <c r="V497" s="109"/>
      <c r="W497" s="263"/>
      <c r="X497" s="263"/>
      <c r="Y497" s="263"/>
      <c r="Z497" s="263"/>
      <c r="AA497" s="263"/>
      <c r="AB497" s="109"/>
      <c r="AC497" s="109"/>
      <c r="AD497" s="109"/>
      <c r="AE497" s="109"/>
      <c r="AF497" s="109"/>
      <c r="AG497" s="109"/>
      <c r="AH497" s="109"/>
      <c r="AI497" s="109"/>
    </row>
    <row r="498" spans="1:35">
      <c r="A498" s="109"/>
      <c r="B498" s="263"/>
      <c r="C498" s="263"/>
      <c r="D498" s="263"/>
      <c r="E498" s="109"/>
      <c r="F498" s="109"/>
      <c r="G498" s="48"/>
      <c r="H498" s="264"/>
      <c r="I498" s="265"/>
      <c r="J498" s="265"/>
      <c r="K498" s="264"/>
      <c r="L498" s="265"/>
      <c r="M498" s="264"/>
      <c r="N498" s="264"/>
      <c r="O498" s="264"/>
      <c r="P498" s="264"/>
      <c r="Q498" s="263"/>
      <c r="R498" s="263"/>
      <c r="S498" s="263"/>
      <c r="T498" s="263"/>
      <c r="U498" s="263"/>
      <c r="V498" s="109"/>
      <c r="W498" s="263"/>
      <c r="X498" s="263"/>
      <c r="Y498" s="263"/>
      <c r="Z498" s="263"/>
      <c r="AA498" s="263"/>
      <c r="AB498" s="109"/>
      <c r="AC498" s="109"/>
      <c r="AD498" s="109"/>
      <c r="AE498" s="109"/>
      <c r="AF498" s="109"/>
      <c r="AG498" s="109"/>
      <c r="AH498" s="109"/>
      <c r="AI498" s="109"/>
    </row>
    <row r="499" spans="1:35">
      <c r="A499" s="109"/>
      <c r="B499" s="263"/>
      <c r="C499" s="263"/>
      <c r="D499" s="263"/>
      <c r="E499" s="109"/>
      <c r="F499" s="109"/>
      <c r="G499" s="48"/>
      <c r="H499" s="264"/>
      <c r="I499" s="265"/>
      <c r="J499" s="265"/>
      <c r="K499" s="264"/>
      <c r="L499" s="265"/>
      <c r="M499" s="264"/>
      <c r="N499" s="264"/>
      <c r="O499" s="264"/>
      <c r="P499" s="264"/>
      <c r="Q499" s="263"/>
      <c r="R499" s="263"/>
      <c r="S499" s="263"/>
      <c r="T499" s="263"/>
      <c r="U499" s="263"/>
      <c r="V499" s="109"/>
      <c r="W499" s="263"/>
      <c r="X499" s="263"/>
      <c r="Y499" s="263"/>
      <c r="Z499" s="263"/>
      <c r="AA499" s="263"/>
      <c r="AB499" s="109"/>
      <c r="AC499" s="109"/>
      <c r="AD499" s="109"/>
      <c r="AE499" s="109"/>
      <c r="AF499" s="109"/>
      <c r="AG499" s="109"/>
      <c r="AH499" s="109"/>
      <c r="AI499" s="109"/>
    </row>
    <row r="500" spans="1:35">
      <c r="A500" s="109"/>
      <c r="B500" s="263"/>
      <c r="C500" s="263"/>
      <c r="D500" s="263"/>
      <c r="E500" s="109"/>
      <c r="F500" s="109"/>
      <c r="G500" s="48"/>
      <c r="H500" s="264"/>
      <c r="I500" s="265"/>
      <c r="J500" s="265"/>
      <c r="K500" s="264"/>
      <c r="L500" s="265"/>
      <c r="M500" s="264"/>
      <c r="N500" s="264"/>
      <c r="O500" s="264"/>
      <c r="P500" s="264"/>
      <c r="Q500" s="263"/>
      <c r="R500" s="263"/>
      <c r="S500" s="263"/>
      <c r="T500" s="263"/>
      <c r="U500" s="263"/>
      <c r="V500" s="109"/>
      <c r="W500" s="263"/>
      <c r="X500" s="263"/>
      <c r="Y500" s="263"/>
      <c r="Z500" s="263"/>
      <c r="AA500" s="263"/>
      <c r="AB500" s="109"/>
      <c r="AC500" s="109"/>
      <c r="AD500" s="109"/>
      <c r="AE500" s="109"/>
      <c r="AF500" s="109"/>
      <c r="AG500" s="109"/>
      <c r="AH500" s="109"/>
      <c r="AI500" s="109"/>
    </row>
    <row r="501" spans="1:35">
      <c r="A501" s="109"/>
      <c r="B501" s="263"/>
      <c r="C501" s="263"/>
      <c r="D501" s="263"/>
      <c r="E501" s="109"/>
      <c r="F501" s="109"/>
      <c r="G501" s="48"/>
      <c r="H501" s="264"/>
      <c r="I501" s="265"/>
      <c r="J501" s="265"/>
      <c r="K501" s="264"/>
      <c r="L501" s="265"/>
      <c r="M501" s="264"/>
      <c r="N501" s="264"/>
      <c r="O501" s="264"/>
      <c r="P501" s="264"/>
      <c r="Q501" s="263"/>
      <c r="R501" s="263"/>
      <c r="S501" s="263"/>
      <c r="T501" s="263"/>
      <c r="U501" s="263"/>
      <c r="V501" s="109"/>
      <c r="W501" s="263"/>
      <c r="X501" s="263"/>
      <c r="Y501" s="263"/>
      <c r="Z501" s="263"/>
      <c r="AA501" s="263"/>
      <c r="AB501" s="109"/>
      <c r="AC501" s="109"/>
      <c r="AD501" s="109"/>
      <c r="AE501" s="109"/>
      <c r="AF501" s="109"/>
      <c r="AG501" s="109"/>
      <c r="AH501" s="109"/>
      <c r="AI501" s="109"/>
    </row>
    <row r="502" spans="1:35">
      <c r="A502" s="109"/>
      <c r="B502" s="263"/>
      <c r="C502" s="263"/>
      <c r="D502" s="263"/>
      <c r="E502" s="109"/>
      <c r="F502" s="109"/>
      <c r="G502" s="48"/>
      <c r="H502" s="264"/>
      <c r="I502" s="265"/>
      <c r="J502" s="265"/>
      <c r="K502" s="264"/>
      <c r="L502" s="265"/>
      <c r="M502" s="264"/>
      <c r="N502" s="264"/>
      <c r="O502" s="264"/>
      <c r="P502" s="264"/>
      <c r="Q502" s="263"/>
      <c r="R502" s="263"/>
      <c r="S502" s="263"/>
      <c r="T502" s="263"/>
      <c r="U502" s="263"/>
      <c r="V502" s="109"/>
      <c r="W502" s="263"/>
      <c r="X502" s="263"/>
      <c r="Y502" s="263"/>
      <c r="Z502" s="263"/>
      <c r="AA502" s="263"/>
      <c r="AB502" s="109"/>
      <c r="AC502" s="109"/>
      <c r="AD502" s="109"/>
      <c r="AE502" s="109"/>
      <c r="AF502" s="109"/>
      <c r="AG502" s="109"/>
      <c r="AH502" s="109"/>
      <c r="AI502" s="109"/>
    </row>
    <row r="503" spans="1:35">
      <c r="A503" s="109"/>
      <c r="B503" s="263"/>
      <c r="C503" s="263"/>
      <c r="D503" s="263"/>
      <c r="E503" s="109"/>
      <c r="F503" s="109"/>
      <c r="G503" s="48"/>
      <c r="H503" s="264"/>
      <c r="I503" s="265"/>
      <c r="J503" s="265"/>
      <c r="K503" s="264"/>
      <c r="L503" s="265"/>
      <c r="M503" s="264"/>
      <c r="N503" s="264"/>
      <c r="O503" s="264"/>
      <c r="P503" s="264"/>
      <c r="Q503" s="263"/>
      <c r="R503" s="263"/>
      <c r="S503" s="263"/>
      <c r="T503" s="263"/>
      <c r="U503" s="263"/>
      <c r="V503" s="109"/>
      <c r="W503" s="263"/>
      <c r="X503" s="263"/>
      <c r="Y503" s="263"/>
      <c r="Z503" s="263"/>
      <c r="AA503" s="263"/>
      <c r="AB503" s="109"/>
      <c r="AC503" s="109"/>
      <c r="AD503" s="109"/>
      <c r="AE503" s="109"/>
      <c r="AF503" s="109"/>
      <c r="AG503" s="109"/>
      <c r="AH503" s="109"/>
      <c r="AI503" s="109"/>
    </row>
    <row r="504" spans="1:35">
      <c r="A504" s="109"/>
      <c r="B504" s="263"/>
      <c r="C504" s="263"/>
      <c r="D504" s="263"/>
      <c r="E504" s="109"/>
      <c r="F504" s="109"/>
      <c r="G504" s="48"/>
      <c r="H504" s="264"/>
      <c r="I504" s="265"/>
      <c r="J504" s="265"/>
      <c r="K504" s="264"/>
      <c r="L504" s="265"/>
      <c r="M504" s="264"/>
      <c r="N504" s="264"/>
      <c r="O504" s="264"/>
      <c r="P504" s="264"/>
      <c r="Q504" s="263"/>
      <c r="R504" s="263"/>
      <c r="S504" s="263"/>
      <c r="T504" s="263"/>
      <c r="U504" s="263"/>
      <c r="V504" s="109"/>
      <c r="W504" s="263"/>
      <c r="X504" s="263"/>
      <c r="Y504" s="263"/>
      <c r="Z504" s="263"/>
      <c r="AA504" s="263"/>
      <c r="AB504" s="109"/>
      <c r="AC504" s="109"/>
      <c r="AD504" s="109"/>
      <c r="AE504" s="109"/>
      <c r="AF504" s="109"/>
      <c r="AG504" s="109"/>
      <c r="AH504" s="109"/>
      <c r="AI504" s="109"/>
    </row>
    <row r="505" spans="1:35">
      <c r="A505" s="109"/>
      <c r="B505" s="263"/>
      <c r="C505" s="263"/>
      <c r="D505" s="263"/>
      <c r="E505" s="109"/>
      <c r="F505" s="109"/>
      <c r="G505" s="48"/>
      <c r="H505" s="264"/>
      <c r="I505" s="265"/>
      <c r="J505" s="265"/>
      <c r="K505" s="264"/>
      <c r="L505" s="265"/>
      <c r="M505" s="264"/>
      <c r="N505" s="264"/>
      <c r="O505" s="264"/>
      <c r="P505" s="264"/>
      <c r="Q505" s="263"/>
      <c r="R505" s="263"/>
      <c r="S505" s="263"/>
      <c r="T505" s="263"/>
      <c r="U505" s="263"/>
      <c r="V505" s="109"/>
      <c r="W505" s="263"/>
      <c r="X505" s="263"/>
      <c r="Y505" s="263"/>
      <c r="Z505" s="263"/>
      <c r="AA505" s="263"/>
      <c r="AB505" s="109"/>
      <c r="AC505" s="109"/>
      <c r="AD505" s="109"/>
      <c r="AE505" s="109"/>
      <c r="AF505" s="109"/>
      <c r="AG505" s="109"/>
      <c r="AH505" s="109"/>
      <c r="AI505" s="109"/>
    </row>
    <row r="506" spans="1:35">
      <c r="A506" s="109"/>
      <c r="B506" s="263"/>
      <c r="C506" s="263"/>
      <c r="D506" s="263"/>
      <c r="E506" s="109"/>
      <c r="F506" s="109"/>
      <c r="G506" s="48"/>
      <c r="H506" s="264"/>
      <c r="I506" s="265"/>
      <c r="J506" s="265"/>
      <c r="K506" s="264"/>
      <c r="L506" s="265"/>
      <c r="M506" s="264"/>
      <c r="N506" s="264"/>
      <c r="O506" s="264"/>
      <c r="P506" s="264"/>
      <c r="Q506" s="263"/>
      <c r="R506" s="263"/>
      <c r="S506" s="263"/>
      <c r="T506" s="263"/>
      <c r="U506" s="263"/>
      <c r="V506" s="109"/>
      <c r="W506" s="263"/>
      <c r="X506" s="263"/>
      <c r="Y506" s="263"/>
      <c r="Z506" s="263"/>
      <c r="AA506" s="263"/>
      <c r="AB506" s="109"/>
      <c r="AC506" s="109"/>
      <c r="AD506" s="109"/>
      <c r="AE506" s="109"/>
      <c r="AF506" s="109"/>
      <c r="AG506" s="109"/>
      <c r="AH506" s="109"/>
      <c r="AI506" s="109"/>
    </row>
    <row r="507" spans="1:35">
      <c r="A507" s="109"/>
      <c r="B507" s="263"/>
      <c r="C507" s="263"/>
      <c r="D507" s="263"/>
      <c r="E507" s="109"/>
      <c r="F507" s="109"/>
      <c r="G507" s="48"/>
      <c r="H507" s="264"/>
      <c r="I507" s="265"/>
      <c r="J507" s="265"/>
      <c r="K507" s="264"/>
      <c r="L507" s="265"/>
      <c r="M507" s="264"/>
      <c r="N507" s="264"/>
      <c r="O507" s="264"/>
      <c r="P507" s="264"/>
      <c r="Q507" s="263"/>
      <c r="R507" s="263"/>
      <c r="S507" s="263"/>
      <c r="T507" s="263"/>
      <c r="U507" s="263"/>
      <c r="V507" s="109"/>
      <c r="W507" s="263"/>
      <c r="X507" s="263"/>
      <c r="Y507" s="263"/>
      <c r="Z507" s="263"/>
      <c r="AA507" s="263"/>
      <c r="AB507" s="109"/>
      <c r="AC507" s="109"/>
      <c r="AD507" s="109"/>
      <c r="AE507" s="109"/>
      <c r="AF507" s="109"/>
      <c r="AG507" s="109"/>
      <c r="AH507" s="109"/>
      <c r="AI507" s="109"/>
    </row>
    <row r="508" spans="1:35">
      <c r="A508" s="109"/>
      <c r="B508" s="263"/>
      <c r="C508" s="263"/>
      <c r="D508" s="263"/>
      <c r="E508" s="109"/>
      <c r="F508" s="109"/>
      <c r="G508" s="48"/>
      <c r="H508" s="264"/>
      <c r="I508" s="265"/>
      <c r="J508" s="265"/>
      <c r="K508" s="264"/>
      <c r="L508" s="265"/>
      <c r="M508" s="264"/>
      <c r="N508" s="264"/>
      <c r="O508" s="264"/>
      <c r="P508" s="264"/>
      <c r="Q508" s="263"/>
      <c r="R508" s="263"/>
      <c r="S508" s="263"/>
      <c r="T508" s="263"/>
      <c r="U508" s="263"/>
      <c r="V508" s="109"/>
      <c r="W508" s="263"/>
      <c r="X508" s="263"/>
      <c r="Y508" s="263"/>
      <c r="Z508" s="263"/>
      <c r="AA508" s="263"/>
      <c r="AB508" s="109"/>
      <c r="AC508" s="109"/>
      <c r="AD508" s="109"/>
      <c r="AE508" s="109"/>
      <c r="AF508" s="109"/>
      <c r="AG508" s="109"/>
      <c r="AH508" s="109"/>
      <c r="AI508" s="109"/>
    </row>
    <row r="509" spans="1:35">
      <c r="A509" s="109"/>
      <c r="B509" s="263"/>
      <c r="C509" s="263"/>
      <c r="D509" s="263"/>
      <c r="E509" s="109"/>
      <c r="F509" s="109"/>
      <c r="G509" s="48"/>
      <c r="H509" s="264"/>
      <c r="I509" s="265"/>
      <c r="J509" s="265"/>
      <c r="K509" s="264"/>
      <c r="L509" s="265"/>
      <c r="M509" s="264"/>
      <c r="N509" s="264"/>
      <c r="O509" s="264"/>
      <c r="P509" s="264"/>
      <c r="Q509" s="263"/>
      <c r="R509" s="263"/>
      <c r="S509" s="263"/>
      <c r="T509" s="263"/>
      <c r="U509" s="263"/>
      <c r="V509" s="109"/>
      <c r="W509" s="263"/>
      <c r="X509" s="263"/>
      <c r="Y509" s="263"/>
      <c r="Z509" s="263"/>
      <c r="AA509" s="263"/>
      <c r="AB509" s="109"/>
      <c r="AC509" s="109"/>
      <c r="AD509" s="109"/>
      <c r="AE509" s="109"/>
      <c r="AF509" s="109"/>
      <c r="AG509" s="109"/>
      <c r="AH509" s="109"/>
      <c r="AI509" s="109"/>
    </row>
    <row r="510" spans="1:35">
      <c r="A510" s="109"/>
      <c r="B510" s="263"/>
      <c r="C510" s="263"/>
      <c r="D510" s="263"/>
      <c r="E510" s="109"/>
      <c r="F510" s="109"/>
      <c r="G510" s="48"/>
      <c r="H510" s="264"/>
      <c r="I510" s="265"/>
      <c r="J510" s="265"/>
      <c r="K510" s="264"/>
      <c r="L510" s="265"/>
      <c r="M510" s="264"/>
      <c r="N510" s="264"/>
      <c r="O510" s="264"/>
      <c r="P510" s="264"/>
      <c r="Q510" s="263"/>
      <c r="R510" s="263"/>
      <c r="S510" s="263"/>
      <c r="T510" s="263"/>
      <c r="U510" s="263"/>
      <c r="V510" s="109"/>
      <c r="W510" s="263"/>
      <c r="X510" s="263"/>
      <c r="Y510" s="263"/>
      <c r="Z510" s="263"/>
      <c r="AA510" s="263"/>
      <c r="AB510" s="109"/>
      <c r="AC510" s="109"/>
      <c r="AD510" s="109"/>
      <c r="AE510" s="109"/>
      <c r="AF510" s="109"/>
      <c r="AG510" s="109"/>
      <c r="AH510" s="109"/>
      <c r="AI510" s="109"/>
    </row>
    <row r="511" spans="1:35">
      <c r="A511" s="109"/>
      <c r="B511" s="263"/>
      <c r="C511" s="263"/>
      <c r="D511" s="263"/>
      <c r="E511" s="109"/>
      <c r="F511" s="109"/>
      <c r="G511" s="48"/>
      <c r="H511" s="264"/>
      <c r="I511" s="265"/>
      <c r="J511" s="265"/>
      <c r="K511" s="264"/>
      <c r="L511" s="265"/>
      <c r="M511" s="264"/>
      <c r="N511" s="264"/>
      <c r="O511" s="264"/>
      <c r="P511" s="264"/>
      <c r="Q511" s="263"/>
      <c r="R511" s="263"/>
      <c r="S511" s="263"/>
      <c r="T511" s="263"/>
      <c r="U511" s="263"/>
      <c r="V511" s="109"/>
      <c r="W511" s="263"/>
      <c r="X511" s="263"/>
      <c r="Y511" s="263"/>
      <c r="Z511" s="263"/>
      <c r="AA511" s="263"/>
      <c r="AB511" s="109"/>
      <c r="AC511" s="109"/>
      <c r="AD511" s="109"/>
      <c r="AE511" s="109"/>
      <c r="AF511" s="109"/>
      <c r="AG511" s="109"/>
      <c r="AH511" s="109"/>
      <c r="AI511" s="109"/>
    </row>
    <row r="512" spans="1:35">
      <c r="A512" s="109"/>
      <c r="B512" s="263"/>
      <c r="C512" s="263"/>
      <c r="D512" s="263"/>
      <c r="E512" s="109"/>
      <c r="F512" s="109"/>
      <c r="G512" s="48"/>
      <c r="H512" s="264"/>
      <c r="I512" s="265"/>
      <c r="J512" s="265"/>
      <c r="K512" s="264"/>
      <c r="L512" s="265"/>
      <c r="M512" s="264"/>
      <c r="N512" s="264"/>
      <c r="O512" s="264"/>
      <c r="P512" s="264"/>
      <c r="Q512" s="263"/>
      <c r="R512" s="263"/>
      <c r="S512" s="263"/>
      <c r="T512" s="263"/>
      <c r="U512" s="263"/>
      <c r="V512" s="109"/>
      <c r="W512" s="263"/>
      <c r="X512" s="263"/>
      <c r="Y512" s="263"/>
      <c r="Z512" s="263"/>
      <c r="AA512" s="263"/>
      <c r="AB512" s="109"/>
      <c r="AC512" s="109"/>
      <c r="AD512" s="109"/>
      <c r="AE512" s="109"/>
      <c r="AF512" s="109"/>
      <c r="AG512" s="109"/>
      <c r="AH512" s="109"/>
      <c r="AI512" s="109"/>
    </row>
    <row r="513" spans="1:35">
      <c r="A513" s="109"/>
      <c r="B513" s="263"/>
      <c r="C513" s="263"/>
      <c r="D513" s="263"/>
      <c r="E513" s="109"/>
      <c r="F513" s="109"/>
      <c r="G513" s="48"/>
      <c r="H513" s="264"/>
      <c r="I513" s="265"/>
      <c r="J513" s="265"/>
      <c r="K513" s="264"/>
      <c r="L513" s="265"/>
      <c r="M513" s="264"/>
      <c r="N513" s="264"/>
      <c r="O513" s="264"/>
      <c r="P513" s="264"/>
      <c r="Q513" s="263"/>
      <c r="R513" s="263"/>
      <c r="S513" s="263"/>
      <c r="T513" s="263"/>
      <c r="U513" s="263"/>
      <c r="V513" s="109"/>
      <c r="W513" s="263"/>
      <c r="X513" s="263"/>
      <c r="Y513" s="263"/>
      <c r="Z513" s="263"/>
      <c r="AA513" s="263"/>
      <c r="AB513" s="109"/>
      <c r="AC513" s="109"/>
      <c r="AD513" s="109"/>
      <c r="AE513" s="109"/>
      <c r="AF513" s="109"/>
      <c r="AG513" s="109"/>
      <c r="AH513" s="109"/>
      <c r="AI513" s="109"/>
    </row>
    <row r="514" spans="1:35">
      <c r="A514" s="109"/>
      <c r="B514" s="263"/>
      <c r="C514" s="263"/>
      <c r="D514" s="263"/>
      <c r="E514" s="109"/>
      <c r="F514" s="109"/>
      <c r="G514" s="48"/>
      <c r="H514" s="264"/>
      <c r="I514" s="265"/>
      <c r="J514" s="265"/>
      <c r="K514" s="264"/>
      <c r="L514" s="265"/>
      <c r="M514" s="264"/>
      <c r="N514" s="264"/>
      <c r="O514" s="264"/>
      <c r="P514" s="264"/>
      <c r="Q514" s="263"/>
      <c r="R514" s="263"/>
      <c r="S514" s="263"/>
      <c r="T514" s="263"/>
      <c r="U514" s="263"/>
      <c r="V514" s="109"/>
      <c r="W514" s="263"/>
      <c r="X514" s="263"/>
      <c r="Y514" s="263"/>
      <c r="Z514" s="263"/>
      <c r="AA514" s="263"/>
      <c r="AB514" s="109"/>
      <c r="AC514" s="109"/>
      <c r="AD514" s="109"/>
      <c r="AE514" s="109"/>
      <c r="AF514" s="109"/>
      <c r="AG514" s="109"/>
      <c r="AH514" s="109"/>
      <c r="AI514" s="109"/>
    </row>
    <row r="515" spans="1:35">
      <c r="A515" s="109"/>
      <c r="B515" s="263"/>
      <c r="C515" s="263"/>
      <c r="D515" s="263"/>
      <c r="E515" s="109"/>
      <c r="F515" s="109"/>
      <c r="G515" s="48"/>
      <c r="H515" s="264"/>
      <c r="I515" s="265"/>
      <c r="J515" s="265"/>
      <c r="K515" s="264"/>
      <c r="L515" s="265"/>
      <c r="M515" s="264"/>
      <c r="N515" s="264"/>
      <c r="O515" s="264"/>
      <c r="P515" s="264"/>
      <c r="Q515" s="263"/>
      <c r="R515" s="263"/>
      <c r="S515" s="263"/>
      <c r="T515" s="263"/>
      <c r="U515" s="263"/>
      <c r="V515" s="109"/>
      <c r="W515" s="263"/>
      <c r="X515" s="263"/>
      <c r="Y515" s="263"/>
      <c r="Z515" s="263"/>
      <c r="AA515" s="263"/>
      <c r="AB515" s="109"/>
      <c r="AC515" s="109"/>
      <c r="AD515" s="109"/>
      <c r="AE515" s="109"/>
      <c r="AF515" s="109"/>
      <c r="AG515" s="109"/>
      <c r="AH515" s="109"/>
      <c r="AI515" s="109"/>
    </row>
    <row r="516" spans="1:35">
      <c r="A516" s="109"/>
      <c r="B516" s="263"/>
      <c r="C516" s="263"/>
      <c r="D516" s="263"/>
      <c r="E516" s="109"/>
      <c r="F516" s="109"/>
      <c r="G516" s="48"/>
      <c r="H516" s="264"/>
      <c r="I516" s="265"/>
      <c r="J516" s="265"/>
      <c r="K516" s="264"/>
      <c r="L516" s="265"/>
      <c r="M516" s="264"/>
      <c r="N516" s="264"/>
      <c r="O516" s="264"/>
      <c r="P516" s="264"/>
      <c r="Q516" s="263"/>
      <c r="R516" s="263"/>
      <c r="S516" s="263"/>
      <c r="T516" s="263"/>
      <c r="U516" s="263"/>
      <c r="V516" s="109"/>
      <c r="W516" s="263"/>
      <c r="X516" s="263"/>
      <c r="Y516" s="263"/>
      <c r="Z516" s="263"/>
      <c r="AA516" s="263"/>
      <c r="AB516" s="109"/>
      <c r="AC516" s="109"/>
      <c r="AD516" s="109"/>
      <c r="AE516" s="109"/>
      <c r="AF516" s="109"/>
      <c r="AG516" s="109"/>
      <c r="AH516" s="109"/>
      <c r="AI516" s="109"/>
    </row>
    <row r="517" spans="1:35">
      <c r="A517" s="109"/>
      <c r="B517" s="263"/>
      <c r="C517" s="263"/>
      <c r="D517" s="263"/>
      <c r="E517" s="109"/>
      <c r="F517" s="109"/>
      <c r="G517" s="48"/>
      <c r="H517" s="264"/>
      <c r="I517" s="265"/>
      <c r="J517" s="265"/>
      <c r="K517" s="264"/>
      <c r="L517" s="265"/>
      <c r="M517" s="264"/>
      <c r="N517" s="264"/>
      <c r="O517" s="264"/>
      <c r="P517" s="264"/>
      <c r="Q517" s="263"/>
      <c r="R517" s="263"/>
      <c r="S517" s="263"/>
      <c r="T517" s="263"/>
      <c r="U517" s="263"/>
      <c r="V517" s="109"/>
      <c r="W517" s="263"/>
      <c r="X517" s="263"/>
      <c r="Y517" s="263"/>
      <c r="Z517" s="263"/>
      <c r="AA517" s="263"/>
      <c r="AB517" s="109"/>
      <c r="AC517" s="109"/>
      <c r="AD517" s="109"/>
      <c r="AE517" s="109"/>
      <c r="AF517" s="109"/>
      <c r="AG517" s="109"/>
      <c r="AH517" s="109"/>
      <c r="AI517" s="109"/>
    </row>
    <row r="518" spans="1:35">
      <c r="A518" s="109"/>
      <c r="B518" s="263"/>
      <c r="C518" s="263"/>
      <c r="D518" s="263"/>
      <c r="E518" s="109"/>
      <c r="F518" s="109"/>
      <c r="G518" s="48"/>
      <c r="H518" s="264"/>
      <c r="I518" s="265"/>
      <c r="J518" s="265"/>
      <c r="K518" s="264"/>
      <c r="L518" s="265"/>
      <c r="M518" s="264"/>
      <c r="N518" s="264"/>
      <c r="O518" s="264"/>
      <c r="P518" s="264"/>
      <c r="Q518" s="263"/>
      <c r="R518" s="263"/>
      <c r="S518" s="263"/>
      <c r="T518" s="263"/>
      <c r="U518" s="263"/>
      <c r="V518" s="109"/>
      <c r="W518" s="263"/>
      <c r="X518" s="263"/>
      <c r="Y518" s="263"/>
      <c r="Z518" s="263"/>
      <c r="AA518" s="263"/>
      <c r="AB518" s="109"/>
      <c r="AC518" s="109"/>
      <c r="AD518" s="109"/>
      <c r="AE518" s="109"/>
      <c r="AF518" s="109"/>
      <c r="AG518" s="109"/>
      <c r="AH518" s="109"/>
      <c r="AI518" s="109"/>
    </row>
    <row r="519" spans="1:35">
      <c r="A519" s="109"/>
      <c r="B519" s="263"/>
      <c r="C519" s="263"/>
      <c r="D519" s="263"/>
      <c r="E519" s="109"/>
      <c r="F519" s="109"/>
      <c r="G519" s="48"/>
      <c r="H519" s="264"/>
      <c r="I519" s="265"/>
      <c r="J519" s="265"/>
      <c r="K519" s="264"/>
      <c r="L519" s="265"/>
      <c r="M519" s="264"/>
      <c r="N519" s="264"/>
      <c r="O519" s="264"/>
      <c r="P519" s="264"/>
      <c r="Q519" s="263"/>
      <c r="R519" s="263"/>
      <c r="S519" s="263"/>
      <c r="T519" s="263"/>
      <c r="U519" s="263"/>
      <c r="V519" s="109"/>
      <c r="W519" s="263"/>
      <c r="X519" s="263"/>
      <c r="Y519" s="263"/>
      <c r="Z519" s="263"/>
      <c r="AA519" s="263"/>
      <c r="AB519" s="109"/>
      <c r="AC519" s="109"/>
      <c r="AD519" s="109"/>
      <c r="AE519" s="109"/>
      <c r="AF519" s="109"/>
      <c r="AG519" s="109"/>
      <c r="AH519" s="109"/>
      <c r="AI519" s="109"/>
    </row>
    <row r="520" spans="1:35">
      <c r="A520" s="109"/>
      <c r="B520" s="263"/>
      <c r="C520" s="263"/>
      <c r="D520" s="263"/>
      <c r="E520" s="109"/>
      <c r="F520" s="109"/>
      <c r="G520" s="48"/>
      <c r="H520" s="264"/>
      <c r="I520" s="265"/>
      <c r="J520" s="265"/>
      <c r="K520" s="264"/>
      <c r="L520" s="265"/>
      <c r="M520" s="264"/>
      <c r="N520" s="264"/>
      <c r="O520" s="264"/>
      <c r="P520" s="264"/>
      <c r="Q520" s="263"/>
      <c r="R520" s="263"/>
      <c r="S520" s="263"/>
      <c r="T520" s="263"/>
      <c r="U520" s="263"/>
      <c r="V520" s="109"/>
      <c r="W520" s="263"/>
      <c r="X520" s="263"/>
      <c r="Y520" s="263"/>
      <c r="Z520" s="263"/>
      <c r="AA520" s="263"/>
      <c r="AB520" s="109"/>
      <c r="AC520" s="109"/>
      <c r="AD520" s="109"/>
      <c r="AE520" s="109"/>
      <c r="AF520" s="109"/>
      <c r="AG520" s="109"/>
      <c r="AH520" s="109"/>
      <c r="AI520" s="109"/>
    </row>
    <row r="521" spans="1:35">
      <c r="A521" s="109"/>
      <c r="B521" s="263"/>
      <c r="C521" s="263"/>
      <c r="D521" s="263"/>
      <c r="E521" s="109"/>
      <c r="F521" s="109"/>
      <c r="G521" s="48"/>
      <c r="H521" s="264"/>
      <c r="I521" s="265"/>
      <c r="J521" s="265"/>
      <c r="K521" s="264"/>
      <c r="L521" s="265"/>
      <c r="M521" s="264"/>
      <c r="N521" s="264"/>
      <c r="O521" s="264"/>
      <c r="P521" s="264"/>
      <c r="Q521" s="263"/>
      <c r="R521" s="263"/>
      <c r="S521" s="263"/>
      <c r="T521" s="263"/>
      <c r="U521" s="263"/>
      <c r="V521" s="109"/>
      <c r="W521" s="263"/>
      <c r="X521" s="263"/>
      <c r="Y521" s="263"/>
      <c r="Z521" s="263"/>
      <c r="AA521" s="263"/>
      <c r="AB521" s="109"/>
      <c r="AC521" s="109"/>
      <c r="AD521" s="109"/>
      <c r="AE521" s="109"/>
      <c r="AF521" s="109"/>
      <c r="AG521" s="109"/>
      <c r="AH521" s="109"/>
      <c r="AI521" s="109"/>
    </row>
    <row r="522" spans="1:35">
      <c r="A522" s="109"/>
      <c r="B522" s="263"/>
      <c r="C522" s="263"/>
      <c r="D522" s="263"/>
      <c r="E522" s="109"/>
      <c r="F522" s="109"/>
      <c r="G522" s="48"/>
      <c r="H522" s="264"/>
      <c r="I522" s="265"/>
      <c r="J522" s="265"/>
      <c r="K522" s="264"/>
      <c r="L522" s="265"/>
      <c r="M522" s="264"/>
      <c r="N522" s="264"/>
      <c r="O522" s="264"/>
      <c r="P522" s="264"/>
      <c r="Q522" s="263"/>
      <c r="R522" s="263"/>
      <c r="S522" s="263"/>
      <c r="T522" s="263"/>
      <c r="U522" s="263"/>
      <c r="V522" s="109"/>
      <c r="W522" s="263"/>
      <c r="X522" s="263"/>
      <c r="Y522" s="263"/>
      <c r="Z522" s="263"/>
      <c r="AA522" s="263"/>
      <c r="AB522" s="109"/>
      <c r="AC522" s="109"/>
      <c r="AD522" s="109"/>
      <c r="AE522" s="109"/>
      <c r="AF522" s="109"/>
      <c r="AG522" s="109"/>
      <c r="AH522" s="109"/>
      <c r="AI522" s="109"/>
    </row>
    <row r="523" spans="1:35">
      <c r="A523" s="109"/>
      <c r="B523" s="263"/>
      <c r="C523" s="263"/>
      <c r="D523" s="263"/>
      <c r="E523" s="109"/>
      <c r="F523" s="109"/>
      <c r="G523" s="48"/>
      <c r="H523" s="264"/>
      <c r="I523" s="265"/>
      <c r="J523" s="265"/>
      <c r="K523" s="264"/>
      <c r="L523" s="265"/>
      <c r="M523" s="264"/>
      <c r="N523" s="264"/>
      <c r="O523" s="264"/>
      <c r="P523" s="264"/>
      <c r="Q523" s="263"/>
      <c r="R523" s="263"/>
      <c r="S523" s="263"/>
      <c r="T523" s="263"/>
      <c r="U523" s="263"/>
      <c r="V523" s="109"/>
      <c r="W523" s="263"/>
      <c r="X523" s="263"/>
      <c r="Y523" s="263"/>
      <c r="Z523" s="263"/>
      <c r="AA523" s="263"/>
      <c r="AB523" s="109"/>
      <c r="AC523" s="109"/>
      <c r="AD523" s="109"/>
      <c r="AE523" s="109"/>
      <c r="AF523" s="109"/>
      <c r="AG523" s="109"/>
      <c r="AH523" s="109"/>
      <c r="AI523" s="109"/>
    </row>
    <row r="524" spans="1:35">
      <c r="A524" s="109"/>
      <c r="B524" s="263"/>
      <c r="C524" s="263"/>
      <c r="D524" s="263"/>
      <c r="E524" s="109"/>
      <c r="F524" s="109"/>
      <c r="G524" s="48"/>
      <c r="H524" s="264"/>
      <c r="I524" s="265"/>
      <c r="J524" s="265"/>
      <c r="K524" s="264"/>
      <c r="L524" s="265"/>
      <c r="M524" s="264"/>
      <c r="N524" s="264"/>
      <c r="O524" s="264"/>
      <c r="P524" s="264"/>
      <c r="Q524" s="263"/>
      <c r="R524" s="263"/>
      <c r="S524" s="263"/>
      <c r="T524" s="263"/>
      <c r="U524" s="263"/>
      <c r="V524" s="109"/>
      <c r="W524" s="263"/>
      <c r="X524" s="263"/>
      <c r="Y524" s="263"/>
      <c r="Z524" s="263"/>
      <c r="AA524" s="263"/>
      <c r="AB524" s="109"/>
      <c r="AC524" s="109"/>
      <c r="AD524" s="109"/>
      <c r="AE524" s="109"/>
      <c r="AF524" s="109"/>
      <c r="AG524" s="109"/>
      <c r="AH524" s="109"/>
      <c r="AI524" s="109"/>
    </row>
    <row r="525" spans="1:35">
      <c r="A525" s="109"/>
      <c r="B525" s="263"/>
      <c r="C525" s="263"/>
      <c r="D525" s="263"/>
      <c r="E525" s="109"/>
      <c r="F525" s="109"/>
      <c r="G525" s="48"/>
      <c r="H525" s="264"/>
      <c r="I525" s="265"/>
      <c r="J525" s="265"/>
      <c r="K525" s="264"/>
      <c r="L525" s="265"/>
      <c r="M525" s="264"/>
      <c r="N525" s="264"/>
      <c r="O525" s="264"/>
      <c r="P525" s="264"/>
      <c r="Q525" s="263"/>
      <c r="R525" s="263"/>
      <c r="S525" s="263"/>
      <c r="T525" s="263"/>
      <c r="U525" s="263"/>
      <c r="V525" s="109"/>
      <c r="W525" s="263"/>
      <c r="X525" s="263"/>
      <c r="Y525" s="263"/>
      <c r="Z525" s="263"/>
      <c r="AA525" s="263"/>
      <c r="AB525" s="109"/>
      <c r="AC525" s="109"/>
      <c r="AD525" s="109"/>
      <c r="AE525" s="109"/>
      <c r="AF525" s="109"/>
      <c r="AG525" s="109"/>
      <c r="AH525" s="109"/>
      <c r="AI525" s="109"/>
    </row>
    <row r="526" spans="1:35">
      <c r="A526" s="109"/>
      <c r="B526" s="263"/>
      <c r="C526" s="263"/>
      <c r="D526" s="263"/>
      <c r="E526" s="109"/>
      <c r="F526" s="109"/>
      <c r="G526" s="48"/>
      <c r="H526" s="264"/>
      <c r="I526" s="265"/>
      <c r="J526" s="265"/>
      <c r="K526" s="264"/>
      <c r="L526" s="265"/>
      <c r="M526" s="264"/>
      <c r="N526" s="264"/>
      <c r="O526" s="264"/>
      <c r="P526" s="264"/>
      <c r="Q526" s="263"/>
      <c r="R526" s="263"/>
      <c r="S526" s="263"/>
      <c r="T526" s="263"/>
      <c r="U526" s="263"/>
      <c r="V526" s="109"/>
      <c r="W526" s="263"/>
      <c r="X526" s="263"/>
      <c r="Y526" s="263"/>
      <c r="Z526" s="263"/>
      <c r="AA526" s="263"/>
      <c r="AB526" s="109"/>
      <c r="AC526" s="109"/>
      <c r="AD526" s="109"/>
      <c r="AE526" s="109"/>
      <c r="AF526" s="109"/>
      <c r="AG526" s="109"/>
      <c r="AH526" s="109"/>
      <c r="AI526" s="109"/>
    </row>
    <row r="527" spans="1:35">
      <c r="A527" s="109"/>
      <c r="B527" s="263"/>
      <c r="C527" s="263"/>
      <c r="D527" s="263"/>
      <c r="E527" s="109"/>
      <c r="F527" s="109"/>
      <c r="G527" s="48"/>
      <c r="H527" s="264"/>
      <c r="I527" s="265"/>
      <c r="J527" s="265"/>
      <c r="K527" s="264"/>
      <c r="L527" s="265"/>
      <c r="M527" s="264"/>
      <c r="N527" s="264"/>
      <c r="O527" s="264"/>
      <c r="P527" s="264"/>
      <c r="Q527" s="263"/>
      <c r="R527" s="263"/>
      <c r="S527" s="263"/>
      <c r="T527" s="263"/>
      <c r="U527" s="263"/>
      <c r="V527" s="109"/>
      <c r="W527" s="263"/>
      <c r="X527" s="263"/>
      <c r="Y527" s="263"/>
      <c r="Z527" s="263"/>
      <c r="AA527" s="263"/>
      <c r="AB527" s="109"/>
      <c r="AC527" s="109"/>
      <c r="AD527" s="109"/>
      <c r="AE527" s="109"/>
      <c r="AF527" s="109"/>
      <c r="AG527" s="109"/>
      <c r="AH527" s="109"/>
      <c r="AI527" s="109"/>
    </row>
    <row r="528" spans="1:35">
      <c r="A528" s="109"/>
      <c r="B528" s="263"/>
      <c r="C528" s="263"/>
      <c r="D528" s="263"/>
      <c r="E528" s="109"/>
      <c r="F528" s="109"/>
      <c r="G528" s="48"/>
      <c r="H528" s="264"/>
      <c r="I528" s="265"/>
      <c r="J528" s="265"/>
      <c r="K528" s="264"/>
      <c r="L528" s="265"/>
      <c r="M528" s="264"/>
      <c r="N528" s="264"/>
      <c r="O528" s="264"/>
      <c r="P528" s="264"/>
      <c r="Q528" s="263"/>
      <c r="R528" s="263"/>
      <c r="S528" s="263"/>
      <c r="T528" s="263"/>
      <c r="U528" s="263"/>
      <c r="V528" s="109"/>
      <c r="W528" s="263"/>
      <c r="X528" s="263"/>
      <c r="Y528" s="263"/>
      <c r="Z528" s="263"/>
      <c r="AA528" s="263"/>
      <c r="AB528" s="109"/>
      <c r="AC528" s="109"/>
      <c r="AD528" s="109"/>
      <c r="AE528" s="109"/>
      <c r="AF528" s="109"/>
      <c r="AG528" s="109"/>
      <c r="AH528" s="109"/>
      <c r="AI528" s="109"/>
    </row>
    <row r="529" spans="1:35">
      <c r="A529" s="109"/>
      <c r="B529" s="263"/>
      <c r="C529" s="263"/>
      <c r="D529" s="263"/>
      <c r="E529" s="109"/>
      <c r="F529" s="109"/>
      <c r="G529" s="48"/>
      <c r="H529" s="264"/>
      <c r="I529" s="265"/>
      <c r="J529" s="265"/>
      <c r="K529" s="264"/>
      <c r="L529" s="265"/>
      <c r="M529" s="264"/>
      <c r="N529" s="264"/>
      <c r="O529" s="264"/>
      <c r="P529" s="264"/>
      <c r="Q529" s="263"/>
      <c r="R529" s="263"/>
      <c r="S529" s="263"/>
      <c r="T529" s="263"/>
      <c r="U529" s="263"/>
      <c r="V529" s="109"/>
      <c r="W529" s="263"/>
      <c r="X529" s="263"/>
      <c r="Y529" s="263"/>
      <c r="Z529" s="263"/>
      <c r="AA529" s="263"/>
      <c r="AB529" s="109"/>
      <c r="AC529" s="109"/>
      <c r="AD529" s="109"/>
      <c r="AE529" s="109"/>
      <c r="AF529" s="109"/>
      <c r="AG529" s="109"/>
      <c r="AH529" s="109"/>
      <c r="AI529" s="109"/>
    </row>
    <row r="530" spans="1:35">
      <c r="A530" s="109"/>
      <c r="B530" s="263"/>
      <c r="C530" s="263"/>
      <c r="D530" s="263"/>
      <c r="E530" s="109"/>
      <c r="F530" s="109"/>
      <c r="G530" s="48"/>
      <c r="H530" s="264"/>
      <c r="I530" s="265"/>
      <c r="J530" s="265"/>
      <c r="K530" s="264"/>
      <c r="L530" s="265"/>
      <c r="M530" s="264"/>
      <c r="N530" s="264"/>
      <c r="O530" s="264"/>
      <c r="P530" s="264"/>
      <c r="Q530" s="263"/>
      <c r="R530" s="263"/>
      <c r="S530" s="263"/>
      <c r="T530" s="263"/>
      <c r="U530" s="263"/>
      <c r="V530" s="109"/>
      <c r="W530" s="263"/>
      <c r="X530" s="263"/>
      <c r="Y530" s="263"/>
      <c r="Z530" s="263"/>
      <c r="AA530" s="263"/>
      <c r="AB530" s="109"/>
      <c r="AC530" s="109"/>
      <c r="AD530" s="109"/>
      <c r="AE530" s="109"/>
      <c r="AF530" s="109"/>
      <c r="AG530" s="109"/>
      <c r="AH530" s="109"/>
      <c r="AI530" s="109"/>
    </row>
    <row r="531" spans="1:35">
      <c r="A531" s="109"/>
      <c r="B531" s="263"/>
      <c r="C531" s="263"/>
      <c r="D531" s="263"/>
      <c r="E531" s="109"/>
      <c r="F531" s="109"/>
      <c r="G531" s="48"/>
      <c r="H531" s="264"/>
      <c r="I531" s="265"/>
      <c r="J531" s="265"/>
      <c r="K531" s="264"/>
      <c r="L531" s="265"/>
      <c r="M531" s="264"/>
      <c r="N531" s="264"/>
      <c r="O531" s="264"/>
      <c r="P531" s="264"/>
      <c r="Q531" s="263"/>
      <c r="R531" s="263"/>
      <c r="S531" s="263"/>
      <c r="T531" s="263"/>
      <c r="U531" s="263"/>
      <c r="V531" s="109"/>
      <c r="W531" s="263"/>
      <c r="X531" s="263"/>
      <c r="Y531" s="263"/>
      <c r="Z531" s="263"/>
      <c r="AA531" s="263"/>
      <c r="AB531" s="109"/>
      <c r="AC531" s="109"/>
      <c r="AD531" s="109"/>
      <c r="AE531" s="109"/>
      <c r="AF531" s="109"/>
      <c r="AG531" s="109"/>
      <c r="AH531" s="109"/>
      <c r="AI531" s="109"/>
    </row>
    <row r="532" spans="1:35">
      <c r="A532" s="109"/>
      <c r="B532" s="263"/>
      <c r="C532" s="263"/>
      <c r="D532" s="263"/>
      <c r="E532" s="109"/>
      <c r="F532" s="109"/>
      <c r="G532" s="48"/>
      <c r="H532" s="264"/>
      <c r="I532" s="265"/>
      <c r="J532" s="265"/>
      <c r="K532" s="264"/>
      <c r="L532" s="265"/>
      <c r="M532" s="264"/>
      <c r="N532" s="264"/>
      <c r="O532" s="264"/>
      <c r="P532" s="264"/>
      <c r="Q532" s="263"/>
      <c r="R532" s="263"/>
      <c r="S532" s="263"/>
      <c r="T532" s="263"/>
      <c r="U532" s="263"/>
      <c r="V532" s="109"/>
      <c r="W532" s="263"/>
      <c r="X532" s="263"/>
      <c r="Y532" s="263"/>
      <c r="Z532" s="263"/>
      <c r="AA532" s="263"/>
      <c r="AB532" s="109"/>
      <c r="AC532" s="109"/>
      <c r="AD532" s="109"/>
      <c r="AE532" s="109"/>
      <c r="AF532" s="109"/>
      <c r="AG532" s="109"/>
      <c r="AH532" s="109"/>
      <c r="AI532" s="109"/>
    </row>
    <row r="533" spans="1:35">
      <c r="A533" s="109"/>
      <c r="B533" s="263"/>
      <c r="C533" s="263"/>
      <c r="D533" s="263"/>
      <c r="E533" s="109"/>
      <c r="F533" s="109"/>
      <c r="G533" s="48"/>
      <c r="H533" s="264"/>
      <c r="I533" s="265"/>
      <c r="J533" s="265"/>
      <c r="K533" s="264"/>
      <c r="L533" s="265"/>
      <c r="M533" s="264"/>
      <c r="N533" s="264"/>
      <c r="O533" s="264"/>
      <c r="P533" s="264"/>
      <c r="Q533" s="263"/>
      <c r="R533" s="263"/>
      <c r="S533" s="263"/>
      <c r="T533" s="263"/>
      <c r="U533" s="263"/>
      <c r="V533" s="109"/>
      <c r="W533" s="263"/>
      <c r="X533" s="263"/>
      <c r="Y533" s="263"/>
      <c r="Z533" s="263"/>
      <c r="AA533" s="263"/>
      <c r="AB533" s="109"/>
      <c r="AC533" s="109"/>
      <c r="AD533" s="109"/>
      <c r="AE533" s="109"/>
      <c r="AF533" s="109"/>
      <c r="AG533" s="109"/>
      <c r="AH533" s="109"/>
      <c r="AI533" s="109"/>
    </row>
    <row r="534" spans="1:35">
      <c r="A534" s="109"/>
      <c r="B534" s="263"/>
      <c r="C534" s="263"/>
      <c r="D534" s="263"/>
      <c r="E534" s="109"/>
      <c r="F534" s="109"/>
      <c r="G534" s="48"/>
      <c r="H534" s="264"/>
      <c r="I534" s="265"/>
      <c r="J534" s="265"/>
      <c r="K534" s="264"/>
      <c r="L534" s="265"/>
      <c r="M534" s="264"/>
      <c r="N534" s="264"/>
      <c r="O534" s="264"/>
      <c r="P534" s="264"/>
      <c r="Q534" s="263"/>
      <c r="R534" s="263"/>
      <c r="S534" s="263"/>
      <c r="T534" s="263"/>
      <c r="U534" s="263"/>
      <c r="V534" s="109"/>
      <c r="W534" s="263"/>
      <c r="X534" s="263"/>
      <c r="Y534" s="263"/>
      <c r="Z534" s="263"/>
      <c r="AA534" s="263"/>
      <c r="AB534" s="109"/>
      <c r="AC534" s="109"/>
      <c r="AD534" s="109"/>
      <c r="AE534" s="109"/>
      <c r="AF534" s="109"/>
      <c r="AG534" s="109"/>
      <c r="AH534" s="109"/>
      <c r="AI534" s="109"/>
    </row>
    <row r="535" spans="1:35">
      <c r="A535" s="109"/>
      <c r="B535" s="263"/>
      <c r="C535" s="263"/>
      <c r="D535" s="263"/>
      <c r="E535" s="109"/>
      <c r="F535" s="109"/>
      <c r="G535" s="48"/>
      <c r="H535" s="264"/>
      <c r="I535" s="265"/>
      <c r="J535" s="265"/>
      <c r="K535" s="264"/>
      <c r="L535" s="265"/>
      <c r="M535" s="264"/>
      <c r="N535" s="264"/>
      <c r="O535" s="264"/>
      <c r="P535" s="264"/>
      <c r="Q535" s="263"/>
      <c r="R535" s="263"/>
      <c r="S535" s="263"/>
      <c r="T535" s="263"/>
      <c r="U535" s="263"/>
      <c r="V535" s="109"/>
      <c r="W535" s="263"/>
      <c r="X535" s="263"/>
      <c r="Y535" s="263"/>
      <c r="Z535" s="263"/>
      <c r="AA535" s="263"/>
      <c r="AB535" s="109"/>
      <c r="AC535" s="109"/>
      <c r="AD535" s="109"/>
      <c r="AE535" s="109"/>
      <c r="AF535" s="109"/>
      <c r="AG535" s="109"/>
      <c r="AH535" s="109"/>
      <c r="AI535" s="109"/>
    </row>
    <row r="536" spans="1:35">
      <c r="A536" s="109"/>
      <c r="B536" s="263"/>
      <c r="C536" s="263"/>
      <c r="D536" s="263"/>
      <c r="E536" s="109"/>
      <c r="F536" s="109"/>
      <c r="G536" s="48"/>
      <c r="H536" s="264"/>
      <c r="I536" s="265"/>
      <c r="J536" s="265"/>
      <c r="K536" s="264"/>
      <c r="L536" s="265"/>
      <c r="M536" s="264"/>
      <c r="N536" s="264"/>
      <c r="O536" s="264"/>
      <c r="P536" s="264"/>
      <c r="Q536" s="263"/>
      <c r="R536" s="263"/>
      <c r="S536" s="263"/>
      <c r="T536" s="263"/>
      <c r="U536" s="263"/>
      <c r="V536" s="109"/>
      <c r="W536" s="263"/>
      <c r="X536" s="263"/>
      <c r="Y536" s="263"/>
      <c r="Z536" s="263"/>
      <c r="AA536" s="263"/>
      <c r="AB536" s="109"/>
      <c r="AC536" s="109"/>
      <c r="AD536" s="109"/>
      <c r="AE536" s="109"/>
      <c r="AF536" s="109"/>
      <c r="AG536" s="109"/>
      <c r="AH536" s="109"/>
      <c r="AI536" s="109"/>
    </row>
    <row r="537" spans="1:35">
      <c r="A537" s="109"/>
      <c r="B537" s="263"/>
      <c r="C537" s="263"/>
      <c r="D537" s="263"/>
      <c r="E537" s="109"/>
      <c r="F537" s="109"/>
      <c r="G537" s="48"/>
      <c r="H537" s="264"/>
      <c r="I537" s="265"/>
      <c r="J537" s="265"/>
      <c r="K537" s="264"/>
      <c r="L537" s="265"/>
      <c r="M537" s="264"/>
      <c r="N537" s="264"/>
      <c r="O537" s="264"/>
      <c r="P537" s="264"/>
      <c r="Q537" s="263"/>
      <c r="R537" s="263"/>
      <c r="S537" s="263"/>
      <c r="T537" s="263"/>
      <c r="U537" s="263"/>
      <c r="V537" s="109"/>
      <c r="W537" s="263"/>
      <c r="X537" s="263"/>
      <c r="Y537" s="263"/>
      <c r="Z537" s="263"/>
      <c r="AA537" s="263"/>
      <c r="AB537" s="109"/>
      <c r="AC537" s="109"/>
      <c r="AD537" s="109"/>
      <c r="AE537" s="109"/>
      <c r="AF537" s="109"/>
      <c r="AG537" s="109"/>
      <c r="AH537" s="109"/>
      <c r="AI537" s="109"/>
    </row>
    <row r="538" spans="1:35">
      <c r="A538" s="109"/>
      <c r="B538" s="263"/>
      <c r="C538" s="263"/>
      <c r="D538" s="263"/>
      <c r="E538" s="109"/>
      <c r="F538" s="109"/>
      <c r="G538" s="48"/>
      <c r="H538" s="264"/>
      <c r="I538" s="265"/>
      <c r="J538" s="265"/>
      <c r="K538" s="264"/>
      <c r="L538" s="265"/>
      <c r="M538" s="264"/>
      <c r="N538" s="264"/>
      <c r="O538" s="264"/>
      <c r="P538" s="264"/>
      <c r="Q538" s="263"/>
      <c r="R538" s="263"/>
      <c r="S538" s="263"/>
      <c r="T538" s="263"/>
      <c r="U538" s="263"/>
      <c r="V538" s="109"/>
      <c r="W538" s="263"/>
      <c r="X538" s="263"/>
      <c r="Y538" s="263"/>
      <c r="Z538" s="263"/>
      <c r="AA538" s="263"/>
      <c r="AB538" s="109"/>
      <c r="AC538" s="109"/>
      <c r="AD538" s="109"/>
      <c r="AE538" s="109"/>
      <c r="AF538" s="109"/>
      <c r="AG538" s="109"/>
      <c r="AH538" s="109"/>
      <c r="AI538" s="109"/>
    </row>
    <row r="539" spans="1:35">
      <c r="A539" s="109"/>
      <c r="B539" s="263"/>
      <c r="C539" s="263"/>
      <c r="D539" s="263"/>
      <c r="E539" s="109"/>
      <c r="F539" s="109"/>
      <c r="G539" s="48"/>
      <c r="H539" s="264"/>
      <c r="I539" s="265"/>
      <c r="J539" s="265"/>
      <c r="K539" s="264"/>
      <c r="L539" s="265"/>
      <c r="M539" s="264"/>
      <c r="N539" s="264"/>
      <c r="O539" s="264"/>
      <c r="P539" s="264"/>
      <c r="Q539" s="263"/>
      <c r="R539" s="263"/>
      <c r="S539" s="263"/>
      <c r="T539" s="263"/>
      <c r="U539" s="263"/>
      <c r="V539" s="109"/>
      <c r="W539" s="263"/>
      <c r="X539" s="263"/>
      <c r="Y539" s="263"/>
      <c r="Z539" s="263"/>
      <c r="AA539" s="263"/>
      <c r="AB539" s="109"/>
      <c r="AC539" s="109"/>
      <c r="AD539" s="109"/>
      <c r="AE539" s="109"/>
      <c r="AF539" s="109"/>
      <c r="AG539" s="109"/>
      <c r="AH539" s="109"/>
      <c r="AI539" s="109"/>
    </row>
    <row r="540" spans="1:35">
      <c r="A540" s="109"/>
      <c r="B540" s="263"/>
      <c r="C540" s="263"/>
      <c r="D540" s="263"/>
      <c r="E540" s="109"/>
      <c r="F540" s="109"/>
      <c r="G540" s="48"/>
      <c r="H540" s="264"/>
      <c r="I540" s="265"/>
      <c r="J540" s="265"/>
      <c r="K540" s="264"/>
      <c r="L540" s="265"/>
      <c r="M540" s="264"/>
      <c r="N540" s="264"/>
      <c r="O540" s="264"/>
      <c r="P540" s="264"/>
      <c r="Q540" s="263"/>
      <c r="R540" s="263"/>
      <c r="S540" s="263"/>
      <c r="T540" s="263"/>
      <c r="U540" s="263"/>
      <c r="V540" s="109"/>
      <c r="W540" s="263"/>
      <c r="X540" s="263"/>
      <c r="Y540" s="263"/>
      <c r="Z540" s="263"/>
      <c r="AA540" s="263"/>
      <c r="AB540" s="109"/>
      <c r="AC540" s="109"/>
      <c r="AD540" s="109"/>
      <c r="AE540" s="109"/>
      <c r="AF540" s="109"/>
      <c r="AG540" s="109"/>
      <c r="AH540" s="109"/>
      <c r="AI540" s="109"/>
    </row>
    <row r="541" spans="1:35">
      <c r="A541" s="109"/>
      <c r="B541" s="263"/>
      <c r="C541" s="263"/>
      <c r="D541" s="263"/>
      <c r="E541" s="109"/>
      <c r="F541" s="109"/>
      <c r="G541" s="48"/>
      <c r="H541" s="264"/>
      <c r="I541" s="265"/>
      <c r="J541" s="265"/>
      <c r="K541" s="264"/>
      <c r="L541" s="265"/>
      <c r="M541" s="264"/>
      <c r="N541" s="264"/>
      <c r="O541" s="264"/>
      <c r="P541" s="264"/>
      <c r="Q541" s="263"/>
      <c r="R541" s="263"/>
      <c r="S541" s="263"/>
      <c r="T541" s="263"/>
      <c r="U541" s="263"/>
      <c r="V541" s="109"/>
      <c r="W541" s="263"/>
      <c r="X541" s="263"/>
      <c r="Y541" s="263"/>
      <c r="Z541" s="263"/>
      <c r="AA541" s="263"/>
      <c r="AB541" s="109"/>
      <c r="AC541" s="109"/>
      <c r="AD541" s="109"/>
      <c r="AE541" s="109"/>
      <c r="AF541" s="109"/>
      <c r="AG541" s="109"/>
      <c r="AH541" s="109"/>
      <c r="AI541" s="109"/>
    </row>
    <row r="542" spans="1:35">
      <c r="A542" s="109"/>
      <c r="B542" s="263"/>
      <c r="C542" s="263"/>
      <c r="D542" s="263"/>
      <c r="E542" s="109"/>
      <c r="F542" s="109"/>
      <c r="G542" s="48"/>
      <c r="H542" s="264"/>
      <c r="I542" s="265"/>
      <c r="J542" s="265"/>
      <c r="K542" s="264"/>
      <c r="L542" s="265"/>
      <c r="M542" s="264"/>
      <c r="N542" s="264"/>
      <c r="O542" s="264"/>
      <c r="P542" s="264"/>
      <c r="Q542" s="263"/>
      <c r="R542" s="263"/>
      <c r="S542" s="263"/>
      <c r="T542" s="263"/>
      <c r="U542" s="263"/>
      <c r="V542" s="109"/>
      <c r="W542" s="263"/>
      <c r="X542" s="263"/>
      <c r="Y542" s="263"/>
      <c r="Z542" s="263"/>
      <c r="AA542" s="263"/>
      <c r="AB542" s="109"/>
      <c r="AC542" s="109"/>
      <c r="AD542" s="109"/>
      <c r="AE542" s="109"/>
      <c r="AF542" s="109"/>
      <c r="AG542" s="109"/>
      <c r="AH542" s="109"/>
      <c r="AI542" s="109"/>
    </row>
    <row r="543" spans="1:35">
      <c r="A543" s="109"/>
      <c r="B543" s="263"/>
      <c r="C543" s="263"/>
      <c r="D543" s="263"/>
      <c r="E543" s="109"/>
      <c r="F543" s="109"/>
      <c r="G543" s="48"/>
      <c r="H543" s="264"/>
      <c r="I543" s="265"/>
      <c r="J543" s="265"/>
      <c r="K543" s="264"/>
      <c r="L543" s="265"/>
      <c r="M543" s="264"/>
      <c r="N543" s="264"/>
      <c r="O543" s="264"/>
      <c r="P543" s="264"/>
      <c r="Q543" s="263"/>
      <c r="R543" s="263"/>
      <c r="S543" s="263"/>
      <c r="T543" s="263"/>
      <c r="U543" s="263"/>
      <c r="V543" s="109"/>
      <c r="W543" s="263"/>
      <c r="X543" s="263"/>
      <c r="Y543" s="263"/>
      <c r="Z543" s="263"/>
      <c r="AA543" s="263"/>
      <c r="AB543" s="109"/>
      <c r="AC543" s="109"/>
      <c r="AD543" s="109"/>
      <c r="AE543" s="109"/>
      <c r="AF543" s="109"/>
      <c r="AG543" s="109"/>
      <c r="AH543" s="109"/>
      <c r="AI543" s="109"/>
    </row>
    <row r="544" spans="1:35">
      <c r="A544" s="109"/>
      <c r="B544" s="263"/>
      <c r="C544" s="263"/>
      <c r="D544" s="263"/>
      <c r="E544" s="109"/>
      <c r="F544" s="109"/>
      <c r="G544" s="48"/>
      <c r="H544" s="264"/>
      <c r="I544" s="265"/>
      <c r="J544" s="265"/>
      <c r="K544" s="264"/>
      <c r="L544" s="265"/>
      <c r="M544" s="264"/>
      <c r="N544" s="264"/>
      <c r="O544" s="264"/>
      <c r="P544" s="264"/>
      <c r="Q544" s="263"/>
      <c r="R544" s="263"/>
      <c r="S544" s="263"/>
      <c r="T544" s="263"/>
      <c r="U544" s="263"/>
      <c r="V544" s="109"/>
      <c r="W544" s="263"/>
      <c r="X544" s="263"/>
      <c r="Y544" s="263"/>
      <c r="Z544" s="263"/>
      <c r="AA544" s="263"/>
      <c r="AB544" s="109"/>
      <c r="AC544" s="109"/>
      <c r="AD544" s="109"/>
      <c r="AE544" s="109"/>
      <c r="AF544" s="109"/>
      <c r="AG544" s="109"/>
      <c r="AH544" s="109"/>
      <c r="AI544" s="109"/>
    </row>
    <row r="545" spans="1:35">
      <c r="A545" s="109"/>
      <c r="B545" s="263"/>
      <c r="C545" s="263"/>
      <c r="D545" s="263"/>
      <c r="E545" s="109"/>
      <c r="F545" s="109"/>
      <c r="G545" s="48"/>
      <c r="H545" s="264"/>
      <c r="I545" s="265"/>
      <c r="J545" s="265"/>
      <c r="K545" s="264"/>
      <c r="L545" s="265"/>
      <c r="M545" s="264"/>
      <c r="N545" s="264"/>
      <c r="O545" s="264"/>
      <c r="P545" s="264"/>
      <c r="Q545" s="263"/>
      <c r="R545" s="263"/>
      <c r="S545" s="263"/>
      <c r="T545" s="263"/>
      <c r="U545" s="263"/>
      <c r="V545" s="109"/>
      <c r="W545" s="263"/>
      <c r="X545" s="263"/>
      <c r="Y545" s="263"/>
      <c r="Z545" s="263"/>
      <c r="AA545" s="263"/>
      <c r="AB545" s="109"/>
      <c r="AC545" s="109"/>
      <c r="AD545" s="109"/>
      <c r="AE545" s="109"/>
      <c r="AF545" s="109"/>
      <c r="AG545" s="109"/>
      <c r="AH545" s="109"/>
      <c r="AI545" s="109"/>
    </row>
    <row r="546" spans="1:35">
      <c r="A546" s="109"/>
      <c r="B546" s="263"/>
      <c r="C546" s="263"/>
      <c r="D546" s="263"/>
      <c r="E546" s="109"/>
      <c r="F546" s="109"/>
      <c r="G546" s="48"/>
      <c r="H546" s="264"/>
      <c r="I546" s="265"/>
      <c r="J546" s="265"/>
      <c r="K546" s="264"/>
      <c r="L546" s="265"/>
      <c r="M546" s="264"/>
      <c r="N546" s="264"/>
      <c r="O546" s="264"/>
      <c r="P546" s="264"/>
      <c r="Q546" s="263"/>
      <c r="R546" s="263"/>
      <c r="S546" s="263"/>
      <c r="T546" s="263"/>
      <c r="U546" s="263"/>
      <c r="V546" s="109"/>
      <c r="W546" s="263"/>
      <c r="X546" s="263"/>
      <c r="Y546" s="263"/>
      <c r="Z546" s="263"/>
      <c r="AA546" s="263"/>
      <c r="AB546" s="109"/>
      <c r="AC546" s="109"/>
      <c r="AD546" s="109"/>
      <c r="AE546" s="109"/>
      <c r="AF546" s="109"/>
      <c r="AG546" s="109"/>
      <c r="AH546" s="109"/>
      <c r="AI546" s="109"/>
    </row>
    <row r="547" spans="1:35">
      <c r="A547" s="109"/>
      <c r="B547" s="263"/>
      <c r="C547" s="263"/>
      <c r="D547" s="263"/>
      <c r="E547" s="109"/>
      <c r="F547" s="109"/>
      <c r="G547" s="48"/>
      <c r="H547" s="264"/>
      <c r="I547" s="265"/>
      <c r="J547" s="265"/>
      <c r="K547" s="264"/>
      <c r="L547" s="265"/>
      <c r="M547" s="264"/>
      <c r="N547" s="264"/>
      <c r="O547" s="264"/>
      <c r="P547" s="264"/>
      <c r="Q547" s="263"/>
      <c r="R547" s="263"/>
      <c r="S547" s="263"/>
      <c r="T547" s="263"/>
      <c r="U547" s="263"/>
      <c r="V547" s="109"/>
      <c r="W547" s="263"/>
      <c r="X547" s="263"/>
      <c r="Y547" s="263"/>
      <c r="Z547" s="263"/>
      <c r="AA547" s="263"/>
      <c r="AB547" s="109"/>
      <c r="AC547" s="109"/>
      <c r="AD547" s="109"/>
      <c r="AE547" s="109"/>
      <c r="AF547" s="109"/>
      <c r="AG547" s="109"/>
      <c r="AH547" s="109"/>
      <c r="AI547" s="109"/>
    </row>
    <row r="548" spans="1:35">
      <c r="A548" s="109"/>
      <c r="B548" s="263"/>
      <c r="C548" s="263"/>
      <c r="D548" s="263"/>
      <c r="E548" s="109"/>
      <c r="F548" s="109"/>
      <c r="G548" s="48"/>
      <c r="H548" s="264"/>
      <c r="I548" s="265"/>
      <c r="J548" s="265"/>
      <c r="K548" s="264"/>
      <c r="L548" s="265"/>
      <c r="M548" s="264"/>
      <c r="N548" s="264"/>
      <c r="O548" s="264"/>
      <c r="P548" s="264"/>
      <c r="Q548" s="263"/>
      <c r="R548" s="263"/>
      <c r="S548" s="263"/>
      <c r="T548" s="263"/>
      <c r="U548" s="263"/>
      <c r="V548" s="109"/>
      <c r="W548" s="263"/>
      <c r="X548" s="263"/>
      <c r="Y548" s="263"/>
      <c r="Z548" s="263"/>
      <c r="AA548" s="263"/>
      <c r="AB548" s="109"/>
      <c r="AC548" s="109"/>
      <c r="AD548" s="109"/>
      <c r="AE548" s="109"/>
      <c r="AF548" s="109"/>
      <c r="AG548" s="109"/>
      <c r="AH548" s="109"/>
      <c r="AI548" s="109"/>
    </row>
    <row r="549" spans="1:35">
      <c r="A549" s="109"/>
      <c r="B549" s="263"/>
      <c r="C549" s="263"/>
      <c r="D549" s="263"/>
      <c r="E549" s="109"/>
      <c r="F549" s="109"/>
      <c r="G549" s="48"/>
      <c r="H549" s="264"/>
      <c r="I549" s="265"/>
      <c r="J549" s="265"/>
      <c r="K549" s="264"/>
      <c r="L549" s="265"/>
      <c r="M549" s="264"/>
      <c r="N549" s="264"/>
      <c r="O549" s="264"/>
      <c r="P549" s="264"/>
      <c r="Q549" s="263"/>
      <c r="R549" s="263"/>
      <c r="S549" s="263"/>
      <c r="T549" s="263"/>
      <c r="U549" s="263"/>
      <c r="V549" s="109"/>
      <c r="W549" s="263"/>
      <c r="X549" s="263"/>
      <c r="Y549" s="263"/>
      <c r="Z549" s="263"/>
      <c r="AA549" s="263"/>
      <c r="AB549" s="109"/>
      <c r="AC549" s="109"/>
      <c r="AD549" s="109"/>
      <c r="AE549" s="109"/>
      <c r="AF549" s="109"/>
      <c r="AG549" s="109"/>
      <c r="AH549" s="109"/>
      <c r="AI549" s="109"/>
    </row>
    <row r="550" spans="1:35">
      <c r="A550" s="109"/>
      <c r="B550" s="263"/>
      <c r="C550" s="263"/>
      <c r="D550" s="263"/>
      <c r="E550" s="109"/>
      <c r="F550" s="109"/>
      <c r="G550" s="48"/>
      <c r="H550" s="264"/>
      <c r="I550" s="265"/>
      <c r="J550" s="265"/>
      <c r="K550" s="264"/>
      <c r="L550" s="265"/>
      <c r="M550" s="264"/>
      <c r="N550" s="264"/>
      <c r="O550" s="264"/>
      <c r="P550" s="264"/>
      <c r="Q550" s="263"/>
      <c r="R550" s="263"/>
      <c r="S550" s="263"/>
      <c r="T550" s="263"/>
      <c r="U550" s="263"/>
      <c r="V550" s="109"/>
      <c r="W550" s="263"/>
      <c r="X550" s="263"/>
      <c r="Y550" s="263"/>
      <c r="Z550" s="263"/>
      <c r="AA550" s="263"/>
      <c r="AB550" s="109"/>
      <c r="AC550" s="109"/>
      <c r="AD550" s="109"/>
      <c r="AE550" s="109"/>
      <c r="AF550" s="109"/>
      <c r="AG550" s="109"/>
      <c r="AH550" s="109"/>
      <c r="AI550" s="109"/>
    </row>
    <row r="551" spans="1:35">
      <c r="A551" s="109"/>
      <c r="B551" s="263"/>
      <c r="C551" s="263"/>
      <c r="D551" s="263"/>
      <c r="E551" s="109"/>
      <c r="F551" s="109"/>
      <c r="G551" s="48"/>
      <c r="H551" s="264"/>
      <c r="I551" s="265"/>
      <c r="J551" s="265"/>
      <c r="K551" s="264"/>
      <c r="L551" s="265"/>
      <c r="M551" s="264"/>
      <c r="N551" s="264"/>
      <c r="O551" s="264"/>
      <c r="P551" s="264"/>
      <c r="Q551" s="263"/>
      <c r="R551" s="263"/>
      <c r="S551" s="263"/>
      <c r="T551" s="263"/>
      <c r="U551" s="263"/>
      <c r="V551" s="109"/>
      <c r="W551" s="263"/>
      <c r="X551" s="263"/>
      <c r="Y551" s="263"/>
      <c r="Z551" s="263"/>
      <c r="AA551" s="263"/>
      <c r="AB551" s="109"/>
      <c r="AC551" s="109"/>
      <c r="AD551" s="109"/>
      <c r="AE551" s="109"/>
      <c r="AF551" s="109"/>
      <c r="AG551" s="109"/>
      <c r="AH551" s="109"/>
      <c r="AI551" s="109"/>
    </row>
    <row r="552" spans="1:35">
      <c r="A552" s="109"/>
      <c r="B552" s="263"/>
      <c r="C552" s="263"/>
      <c r="D552" s="263"/>
      <c r="E552" s="109"/>
      <c r="F552" s="109"/>
      <c r="G552" s="48"/>
      <c r="H552" s="264"/>
      <c r="I552" s="265"/>
      <c r="J552" s="265"/>
      <c r="K552" s="264"/>
      <c r="L552" s="265"/>
      <c r="M552" s="264"/>
      <c r="N552" s="264"/>
      <c r="O552" s="264"/>
      <c r="P552" s="264"/>
      <c r="Q552" s="263"/>
      <c r="R552" s="263"/>
      <c r="S552" s="263"/>
      <c r="T552" s="263"/>
      <c r="U552" s="263"/>
      <c r="V552" s="109"/>
      <c r="W552" s="263"/>
      <c r="X552" s="263"/>
      <c r="Y552" s="263"/>
      <c r="Z552" s="263"/>
      <c r="AA552" s="263"/>
      <c r="AB552" s="109"/>
      <c r="AC552" s="109"/>
      <c r="AD552" s="109"/>
      <c r="AE552" s="109"/>
      <c r="AF552" s="109"/>
      <c r="AG552" s="109"/>
      <c r="AH552" s="109"/>
      <c r="AI552" s="109"/>
    </row>
    <row r="553" spans="1:35">
      <c r="A553" s="109"/>
      <c r="B553" s="263"/>
      <c r="C553" s="263"/>
      <c r="D553" s="263"/>
      <c r="E553" s="109"/>
      <c r="F553" s="109"/>
      <c r="G553" s="48"/>
      <c r="H553" s="264"/>
      <c r="I553" s="265"/>
      <c r="J553" s="265"/>
      <c r="K553" s="264"/>
      <c r="L553" s="265"/>
      <c r="M553" s="264"/>
      <c r="N553" s="264"/>
      <c r="O553" s="264"/>
      <c r="P553" s="264"/>
      <c r="Q553" s="263"/>
      <c r="R553" s="263"/>
      <c r="S553" s="263"/>
      <c r="T553" s="263"/>
      <c r="U553" s="263"/>
      <c r="V553" s="109"/>
      <c r="W553" s="263"/>
      <c r="X553" s="263"/>
      <c r="Y553" s="263"/>
      <c r="Z553" s="263"/>
      <c r="AA553" s="263"/>
      <c r="AB553" s="109"/>
      <c r="AC553" s="109"/>
      <c r="AD553" s="109"/>
      <c r="AE553" s="109"/>
      <c r="AF553" s="109"/>
      <c r="AG553" s="109"/>
      <c r="AH553" s="109"/>
      <c r="AI553" s="109"/>
    </row>
    <row r="554" spans="1:35">
      <c r="A554" s="109"/>
      <c r="B554" s="263"/>
      <c r="C554" s="263"/>
      <c r="D554" s="263"/>
      <c r="E554" s="109"/>
      <c r="F554" s="109"/>
      <c r="G554" s="48"/>
      <c r="H554" s="264"/>
      <c r="I554" s="265"/>
      <c r="J554" s="265"/>
      <c r="K554" s="264"/>
      <c r="L554" s="265"/>
      <c r="M554" s="264"/>
      <c r="N554" s="264"/>
      <c r="O554" s="264"/>
      <c r="P554" s="264"/>
      <c r="Q554" s="263"/>
      <c r="R554" s="263"/>
      <c r="S554" s="263"/>
      <c r="T554" s="263"/>
      <c r="U554" s="263"/>
      <c r="V554" s="109"/>
      <c r="W554" s="263"/>
      <c r="X554" s="263"/>
      <c r="Y554" s="263"/>
      <c r="Z554" s="263"/>
      <c r="AA554" s="263"/>
      <c r="AB554" s="109"/>
      <c r="AC554" s="109"/>
      <c r="AD554" s="109"/>
      <c r="AE554" s="109"/>
      <c r="AF554" s="109"/>
      <c r="AG554" s="109"/>
      <c r="AH554" s="109"/>
      <c r="AI554" s="109"/>
    </row>
    <row r="555" spans="1:35">
      <c r="A555" s="109"/>
      <c r="B555" s="263"/>
      <c r="C555" s="263"/>
      <c r="D555" s="263"/>
      <c r="E555" s="109"/>
      <c r="F555" s="109"/>
      <c r="G555" s="48"/>
      <c r="H555" s="264"/>
      <c r="I555" s="265"/>
      <c r="J555" s="265"/>
      <c r="K555" s="264"/>
      <c r="L555" s="265"/>
      <c r="M555" s="264"/>
      <c r="N555" s="264"/>
      <c r="O555" s="264"/>
      <c r="P555" s="264"/>
      <c r="Q555" s="263"/>
      <c r="R555" s="263"/>
      <c r="S555" s="263"/>
      <c r="T555" s="263"/>
      <c r="U555" s="263"/>
      <c r="V555" s="109"/>
      <c r="W555" s="263"/>
      <c r="X555" s="263"/>
      <c r="Y555" s="263"/>
      <c r="Z555" s="263"/>
      <c r="AA555" s="263"/>
      <c r="AB555" s="109"/>
      <c r="AC555" s="109"/>
      <c r="AD555" s="109"/>
      <c r="AE555" s="109"/>
      <c r="AF555" s="109"/>
      <c r="AG555" s="109"/>
      <c r="AH555" s="109"/>
      <c r="AI555" s="109"/>
    </row>
    <row r="556" spans="1:35">
      <c r="A556" s="109"/>
      <c r="B556" s="263"/>
      <c r="C556" s="263"/>
      <c r="D556" s="263"/>
      <c r="E556" s="109"/>
      <c r="F556" s="109"/>
      <c r="G556" s="48"/>
      <c r="H556" s="264"/>
      <c r="I556" s="265"/>
      <c r="J556" s="265"/>
      <c r="K556" s="264"/>
      <c r="L556" s="265"/>
      <c r="M556" s="264"/>
      <c r="N556" s="264"/>
      <c r="O556" s="264"/>
      <c r="P556" s="264"/>
      <c r="Q556" s="263"/>
      <c r="R556" s="263"/>
      <c r="S556" s="263"/>
      <c r="T556" s="263"/>
      <c r="U556" s="263"/>
      <c r="V556" s="109"/>
      <c r="W556" s="263"/>
      <c r="X556" s="263"/>
      <c r="Y556" s="263"/>
      <c r="Z556" s="263"/>
      <c r="AA556" s="263"/>
      <c r="AB556" s="109"/>
      <c r="AC556" s="109"/>
      <c r="AD556" s="109"/>
      <c r="AE556" s="109"/>
      <c r="AF556" s="109"/>
      <c r="AG556" s="109"/>
      <c r="AH556" s="109"/>
      <c r="AI556" s="109"/>
    </row>
    <row r="557" spans="1:35">
      <c r="A557" s="109"/>
      <c r="B557" s="263"/>
      <c r="C557" s="263"/>
      <c r="D557" s="263"/>
      <c r="E557" s="109"/>
      <c r="F557" s="109"/>
      <c r="G557" s="48"/>
      <c r="H557" s="264"/>
      <c r="I557" s="265"/>
      <c r="J557" s="265"/>
      <c r="K557" s="264"/>
      <c r="L557" s="265"/>
      <c r="M557" s="264"/>
      <c r="N557" s="264"/>
      <c r="O557" s="264"/>
      <c r="P557" s="264"/>
      <c r="Q557" s="263"/>
      <c r="R557" s="263"/>
      <c r="S557" s="263"/>
      <c r="T557" s="263"/>
      <c r="U557" s="263"/>
      <c r="V557" s="109"/>
      <c r="W557" s="263"/>
      <c r="X557" s="263"/>
      <c r="Y557" s="263"/>
      <c r="Z557" s="263"/>
      <c r="AA557" s="263"/>
      <c r="AB557" s="109"/>
      <c r="AC557" s="109"/>
      <c r="AD557" s="109"/>
      <c r="AE557" s="109"/>
      <c r="AF557" s="109"/>
      <c r="AG557" s="109"/>
      <c r="AH557" s="109"/>
      <c r="AI557" s="109"/>
    </row>
    <row r="558" spans="1:35">
      <c r="A558" s="109"/>
      <c r="B558" s="263"/>
      <c r="C558" s="263"/>
      <c r="D558" s="263"/>
      <c r="E558" s="109"/>
      <c r="F558" s="109"/>
      <c r="G558" s="48"/>
      <c r="H558" s="264"/>
      <c r="I558" s="265"/>
      <c r="J558" s="265"/>
      <c r="K558" s="264"/>
      <c r="L558" s="265"/>
      <c r="M558" s="264"/>
      <c r="N558" s="264"/>
      <c r="O558" s="264"/>
      <c r="P558" s="264"/>
      <c r="Q558" s="263"/>
      <c r="R558" s="263"/>
      <c r="S558" s="263"/>
      <c r="T558" s="263"/>
      <c r="U558" s="263"/>
      <c r="V558" s="109"/>
      <c r="W558" s="263"/>
      <c r="X558" s="263"/>
      <c r="Y558" s="263"/>
      <c r="Z558" s="263"/>
      <c r="AA558" s="263"/>
      <c r="AB558" s="109"/>
      <c r="AC558" s="109"/>
      <c r="AD558" s="109"/>
      <c r="AE558" s="109"/>
      <c r="AF558" s="109"/>
      <c r="AG558" s="109"/>
      <c r="AH558" s="109"/>
      <c r="AI558" s="109"/>
    </row>
    <row r="559" spans="1:35">
      <c r="A559" s="109"/>
      <c r="B559" s="263"/>
      <c r="C559" s="263"/>
      <c r="D559" s="263"/>
      <c r="E559" s="109"/>
      <c r="F559" s="109"/>
      <c r="G559" s="48"/>
      <c r="H559" s="264"/>
      <c r="I559" s="265"/>
      <c r="J559" s="265"/>
      <c r="K559" s="264"/>
      <c r="L559" s="265"/>
      <c r="M559" s="264"/>
      <c r="N559" s="264"/>
      <c r="O559" s="264"/>
      <c r="P559" s="264"/>
      <c r="Q559" s="263"/>
      <c r="R559" s="263"/>
      <c r="S559" s="263"/>
      <c r="T559" s="263"/>
      <c r="U559" s="263"/>
      <c r="V559" s="109"/>
      <c r="W559" s="263"/>
      <c r="X559" s="263"/>
      <c r="Y559" s="263"/>
      <c r="Z559" s="263"/>
      <c r="AA559" s="263"/>
      <c r="AB559" s="109"/>
      <c r="AC559" s="109"/>
      <c r="AD559" s="109"/>
      <c r="AE559" s="109"/>
      <c r="AF559" s="109"/>
      <c r="AG559" s="109"/>
      <c r="AH559" s="109"/>
      <c r="AI559" s="109"/>
    </row>
    <row r="560" spans="1:35">
      <c r="A560" s="109"/>
      <c r="B560" s="263"/>
      <c r="C560" s="263"/>
      <c r="D560" s="263"/>
      <c r="E560" s="109"/>
      <c r="F560" s="109"/>
      <c r="G560" s="48"/>
      <c r="H560" s="264"/>
      <c r="I560" s="265"/>
      <c r="J560" s="265"/>
      <c r="K560" s="264"/>
      <c r="L560" s="265"/>
      <c r="M560" s="264"/>
      <c r="N560" s="264"/>
      <c r="O560" s="264"/>
      <c r="P560" s="264"/>
      <c r="Q560" s="263"/>
      <c r="R560" s="263"/>
      <c r="S560" s="263"/>
      <c r="T560" s="263"/>
      <c r="U560" s="263"/>
      <c r="V560" s="109"/>
      <c r="W560" s="263"/>
      <c r="X560" s="263"/>
      <c r="Y560" s="263"/>
      <c r="Z560" s="263"/>
      <c r="AA560" s="263"/>
      <c r="AB560" s="109"/>
      <c r="AC560" s="109"/>
      <c r="AD560" s="109"/>
      <c r="AE560" s="109"/>
      <c r="AF560" s="109"/>
      <c r="AG560" s="109"/>
      <c r="AH560" s="109"/>
      <c r="AI560" s="109"/>
    </row>
    <row r="561" spans="1:35">
      <c r="A561" s="109"/>
      <c r="B561" s="263"/>
      <c r="C561" s="263"/>
      <c r="D561" s="263"/>
      <c r="E561" s="109"/>
      <c r="F561" s="109"/>
      <c r="G561" s="48"/>
      <c r="H561" s="264"/>
      <c r="I561" s="265"/>
      <c r="J561" s="265"/>
      <c r="K561" s="264"/>
      <c r="L561" s="265"/>
      <c r="M561" s="264"/>
      <c r="N561" s="264"/>
      <c r="O561" s="264"/>
      <c r="P561" s="264"/>
      <c r="Q561" s="263"/>
      <c r="R561" s="263"/>
      <c r="S561" s="263"/>
      <c r="T561" s="263"/>
      <c r="U561" s="263"/>
      <c r="V561" s="109"/>
      <c r="W561" s="263"/>
      <c r="X561" s="263"/>
      <c r="Y561" s="263"/>
      <c r="Z561" s="263"/>
      <c r="AA561" s="263"/>
      <c r="AB561" s="109"/>
      <c r="AC561" s="109"/>
      <c r="AD561" s="109"/>
      <c r="AE561" s="109"/>
      <c r="AF561" s="109"/>
      <c r="AG561" s="109"/>
      <c r="AH561" s="109"/>
      <c r="AI561" s="109"/>
    </row>
    <row r="562" spans="1:35">
      <c r="A562" s="109"/>
      <c r="B562" s="263"/>
      <c r="C562" s="263"/>
      <c r="D562" s="263"/>
      <c r="E562" s="109"/>
      <c r="F562" s="109"/>
      <c r="G562" s="48"/>
      <c r="H562" s="264"/>
      <c r="I562" s="265"/>
      <c r="J562" s="265"/>
      <c r="K562" s="264"/>
      <c r="L562" s="265"/>
      <c r="M562" s="264"/>
      <c r="N562" s="264"/>
      <c r="O562" s="264"/>
      <c r="P562" s="264"/>
      <c r="Q562" s="263"/>
      <c r="R562" s="263"/>
      <c r="S562" s="263"/>
      <c r="T562" s="263"/>
      <c r="U562" s="263"/>
      <c r="V562" s="109"/>
      <c r="W562" s="263"/>
      <c r="X562" s="263"/>
      <c r="Y562" s="263"/>
      <c r="Z562" s="263"/>
      <c r="AA562" s="263"/>
      <c r="AB562" s="109"/>
      <c r="AC562" s="109"/>
      <c r="AD562" s="109"/>
      <c r="AE562" s="109"/>
      <c r="AF562" s="109"/>
      <c r="AG562" s="109"/>
      <c r="AH562" s="109"/>
      <c r="AI562" s="109"/>
    </row>
    <row r="563" spans="1:35">
      <c r="A563" s="109"/>
      <c r="B563" s="263"/>
      <c r="C563" s="263"/>
      <c r="D563" s="263"/>
      <c r="E563" s="109"/>
      <c r="F563" s="109"/>
      <c r="G563" s="48"/>
      <c r="H563" s="264"/>
      <c r="I563" s="265"/>
      <c r="J563" s="265"/>
      <c r="K563" s="264"/>
      <c r="L563" s="265"/>
      <c r="M563" s="264"/>
      <c r="N563" s="264"/>
      <c r="O563" s="264"/>
      <c r="P563" s="264"/>
      <c r="Q563" s="263"/>
      <c r="R563" s="263"/>
      <c r="S563" s="263"/>
      <c r="T563" s="263"/>
      <c r="U563" s="263"/>
      <c r="V563" s="109"/>
      <c r="W563" s="263"/>
      <c r="X563" s="263"/>
      <c r="Y563" s="263"/>
      <c r="Z563" s="263"/>
      <c r="AA563" s="263"/>
      <c r="AB563" s="109"/>
      <c r="AC563" s="109"/>
      <c r="AD563" s="109"/>
      <c r="AE563" s="109"/>
      <c r="AF563" s="109"/>
      <c r="AG563" s="109"/>
      <c r="AH563" s="109"/>
      <c r="AI563" s="109"/>
    </row>
    <row r="564" spans="1:35">
      <c r="A564" s="109"/>
      <c r="B564" s="263"/>
      <c r="C564" s="263"/>
      <c r="D564" s="263"/>
      <c r="E564" s="109"/>
      <c r="F564" s="109"/>
      <c r="G564" s="48"/>
      <c r="H564" s="264"/>
      <c r="I564" s="265"/>
      <c r="J564" s="265"/>
      <c r="K564" s="264"/>
      <c r="L564" s="265"/>
      <c r="M564" s="264"/>
      <c r="N564" s="264"/>
      <c r="O564" s="264"/>
      <c r="P564" s="264"/>
      <c r="Q564" s="263"/>
      <c r="R564" s="263"/>
      <c r="S564" s="263"/>
      <c r="T564" s="263"/>
      <c r="U564" s="263"/>
      <c r="V564" s="109"/>
      <c r="W564" s="263"/>
      <c r="X564" s="263"/>
      <c r="Y564" s="263"/>
      <c r="Z564" s="263"/>
      <c r="AA564" s="263"/>
      <c r="AB564" s="109"/>
      <c r="AC564" s="109"/>
      <c r="AD564" s="109"/>
      <c r="AE564" s="109"/>
      <c r="AF564" s="109"/>
      <c r="AG564" s="109"/>
      <c r="AH564" s="109"/>
      <c r="AI564" s="109"/>
    </row>
    <row r="565" spans="1:35">
      <c r="A565" s="109"/>
      <c r="B565" s="263"/>
      <c r="C565" s="263"/>
      <c r="D565" s="263"/>
      <c r="E565" s="109"/>
      <c r="F565" s="109"/>
      <c r="G565" s="48"/>
      <c r="H565" s="264"/>
      <c r="I565" s="265"/>
      <c r="J565" s="265"/>
      <c r="K565" s="264"/>
      <c r="L565" s="265"/>
      <c r="M565" s="264"/>
      <c r="N565" s="264"/>
      <c r="O565" s="264"/>
      <c r="P565" s="264"/>
      <c r="Q565" s="263"/>
      <c r="R565" s="263"/>
      <c r="S565" s="263"/>
      <c r="T565" s="263"/>
      <c r="U565" s="263"/>
      <c r="V565" s="109"/>
      <c r="W565" s="263"/>
      <c r="X565" s="263"/>
      <c r="Y565" s="263"/>
      <c r="Z565" s="263"/>
      <c r="AA565" s="263"/>
      <c r="AB565" s="109"/>
      <c r="AC565" s="109"/>
      <c r="AD565" s="109"/>
      <c r="AE565" s="109"/>
      <c r="AF565" s="109"/>
      <c r="AG565" s="109"/>
      <c r="AH565" s="109"/>
      <c r="AI565" s="109"/>
    </row>
    <row r="566" spans="1:35">
      <c r="A566" s="109"/>
      <c r="B566" s="263"/>
      <c r="C566" s="263"/>
      <c r="D566" s="263"/>
      <c r="E566" s="109"/>
      <c r="F566" s="109"/>
      <c r="G566" s="48"/>
      <c r="H566" s="264"/>
      <c r="I566" s="265"/>
      <c r="J566" s="265"/>
      <c r="K566" s="264"/>
      <c r="L566" s="265"/>
      <c r="M566" s="264"/>
      <c r="N566" s="264"/>
      <c r="O566" s="264"/>
      <c r="P566" s="264"/>
      <c r="Q566" s="263"/>
      <c r="R566" s="263"/>
      <c r="S566" s="263"/>
      <c r="T566" s="263"/>
      <c r="U566" s="263"/>
      <c r="V566" s="109"/>
      <c r="W566" s="263"/>
      <c r="X566" s="263"/>
      <c r="Y566" s="263"/>
      <c r="Z566" s="263"/>
      <c r="AA566" s="263"/>
      <c r="AB566" s="109"/>
      <c r="AC566" s="109"/>
      <c r="AD566" s="109"/>
      <c r="AE566" s="109"/>
      <c r="AF566" s="109"/>
      <c r="AG566" s="109"/>
      <c r="AH566" s="109"/>
      <c r="AI566" s="109"/>
    </row>
    <row r="567" spans="1:35">
      <c r="A567" s="109"/>
      <c r="B567" s="263"/>
      <c r="C567" s="263"/>
      <c r="D567" s="263"/>
      <c r="E567" s="109"/>
      <c r="F567" s="109"/>
      <c r="G567" s="48"/>
      <c r="H567" s="264"/>
      <c r="I567" s="265"/>
      <c r="J567" s="265"/>
      <c r="K567" s="264"/>
      <c r="L567" s="265"/>
      <c r="M567" s="264"/>
      <c r="N567" s="264"/>
      <c r="O567" s="264"/>
      <c r="P567" s="264"/>
      <c r="Q567" s="263"/>
      <c r="R567" s="263"/>
      <c r="S567" s="263"/>
      <c r="T567" s="263"/>
      <c r="U567" s="263"/>
      <c r="V567" s="109"/>
      <c r="W567" s="263"/>
      <c r="X567" s="263"/>
      <c r="Y567" s="263"/>
      <c r="Z567" s="263"/>
      <c r="AA567" s="263"/>
      <c r="AB567" s="109"/>
      <c r="AC567" s="109"/>
      <c r="AD567" s="109"/>
      <c r="AE567" s="109"/>
      <c r="AF567" s="109"/>
      <c r="AG567" s="109"/>
      <c r="AH567" s="109"/>
      <c r="AI567" s="109"/>
    </row>
    <row r="568" spans="1:35">
      <c r="A568" s="109"/>
      <c r="B568" s="263"/>
      <c r="C568" s="263"/>
      <c r="D568" s="263"/>
      <c r="E568" s="109"/>
      <c r="F568" s="109"/>
      <c r="G568" s="48"/>
      <c r="H568" s="264"/>
      <c r="I568" s="265"/>
      <c r="J568" s="265"/>
      <c r="K568" s="264"/>
      <c r="L568" s="265"/>
      <c r="M568" s="264"/>
      <c r="N568" s="264"/>
      <c r="O568" s="264"/>
      <c r="P568" s="264"/>
      <c r="Q568" s="263"/>
      <c r="R568" s="263"/>
      <c r="S568" s="263"/>
      <c r="T568" s="263"/>
      <c r="U568" s="263"/>
      <c r="V568" s="109"/>
      <c r="W568" s="263"/>
      <c r="X568" s="263"/>
      <c r="Y568" s="263"/>
      <c r="Z568" s="263"/>
      <c r="AA568" s="263"/>
      <c r="AB568" s="109"/>
      <c r="AC568" s="109"/>
      <c r="AD568" s="109"/>
      <c r="AE568" s="109"/>
      <c r="AF568" s="109"/>
      <c r="AG568" s="109"/>
      <c r="AH568" s="109"/>
      <c r="AI568" s="109"/>
    </row>
    <row r="569" spans="1:35">
      <c r="A569" s="109"/>
      <c r="B569" s="263"/>
      <c r="C569" s="263"/>
      <c r="D569" s="263"/>
      <c r="E569" s="109"/>
      <c r="F569" s="109"/>
      <c r="G569" s="48"/>
      <c r="H569" s="264"/>
      <c r="I569" s="265"/>
      <c r="J569" s="265"/>
      <c r="K569" s="264"/>
      <c r="L569" s="265"/>
      <c r="M569" s="264"/>
      <c r="N569" s="264"/>
      <c r="O569" s="264"/>
      <c r="P569" s="264"/>
      <c r="Q569" s="263"/>
      <c r="R569" s="263"/>
      <c r="S569" s="263"/>
      <c r="T569" s="263"/>
      <c r="U569" s="263"/>
      <c r="V569" s="109"/>
      <c r="W569" s="263"/>
      <c r="X569" s="263"/>
      <c r="Y569" s="263"/>
      <c r="Z569" s="263"/>
      <c r="AA569" s="263"/>
      <c r="AB569" s="109"/>
      <c r="AC569" s="109"/>
      <c r="AD569" s="109"/>
      <c r="AE569" s="109"/>
      <c r="AF569" s="109"/>
      <c r="AG569" s="109"/>
      <c r="AH569" s="109"/>
      <c r="AI569" s="109"/>
    </row>
    <row r="570" spans="1:35">
      <c r="A570" s="109"/>
      <c r="B570" s="263"/>
      <c r="C570" s="263"/>
      <c r="D570" s="263"/>
      <c r="E570" s="109"/>
      <c r="F570" s="109"/>
      <c r="G570" s="48"/>
      <c r="H570" s="264"/>
      <c r="I570" s="265"/>
      <c r="J570" s="265"/>
      <c r="K570" s="264"/>
      <c r="L570" s="265"/>
      <c r="M570" s="264"/>
      <c r="N570" s="264"/>
      <c r="O570" s="264"/>
      <c r="P570" s="264"/>
      <c r="Q570" s="263"/>
      <c r="R570" s="263"/>
      <c r="S570" s="263"/>
      <c r="T570" s="263"/>
      <c r="U570" s="263"/>
      <c r="V570" s="109"/>
      <c r="W570" s="263"/>
      <c r="X570" s="263"/>
      <c r="Y570" s="263"/>
      <c r="Z570" s="263"/>
      <c r="AA570" s="263"/>
      <c r="AB570" s="109"/>
      <c r="AC570" s="109"/>
      <c r="AD570" s="109"/>
      <c r="AE570" s="109"/>
      <c r="AF570" s="109"/>
      <c r="AG570" s="109"/>
      <c r="AH570" s="109"/>
      <c r="AI570" s="109"/>
    </row>
    <row r="571" spans="1:35">
      <c r="A571" s="109"/>
      <c r="B571" s="263"/>
      <c r="C571" s="263"/>
      <c r="D571" s="263"/>
      <c r="E571" s="109"/>
      <c r="F571" s="109"/>
      <c r="G571" s="48"/>
      <c r="H571" s="264"/>
      <c r="I571" s="265"/>
      <c r="J571" s="265"/>
      <c r="K571" s="264"/>
      <c r="L571" s="265"/>
      <c r="M571" s="264"/>
      <c r="N571" s="264"/>
      <c r="O571" s="264"/>
      <c r="P571" s="264"/>
      <c r="Q571" s="263"/>
      <c r="R571" s="263"/>
      <c r="S571" s="263"/>
      <c r="T571" s="263"/>
      <c r="U571" s="263"/>
      <c r="V571" s="109"/>
      <c r="W571" s="263"/>
      <c r="X571" s="263"/>
      <c r="Y571" s="263"/>
      <c r="Z571" s="263"/>
      <c r="AA571" s="263"/>
      <c r="AB571" s="109"/>
      <c r="AC571" s="109"/>
      <c r="AD571" s="109"/>
      <c r="AE571" s="109"/>
      <c r="AF571" s="109"/>
      <c r="AG571" s="109"/>
      <c r="AH571" s="109"/>
      <c r="AI571" s="109"/>
    </row>
    <row r="572" spans="1:35">
      <c r="A572" s="109"/>
      <c r="B572" s="263"/>
      <c r="C572" s="263"/>
      <c r="D572" s="263"/>
      <c r="E572" s="109"/>
      <c r="F572" s="109"/>
      <c r="G572" s="48"/>
      <c r="H572" s="264"/>
      <c r="I572" s="265"/>
      <c r="J572" s="265"/>
      <c r="K572" s="264"/>
      <c r="L572" s="265"/>
      <c r="M572" s="264"/>
      <c r="N572" s="264"/>
      <c r="O572" s="264"/>
      <c r="P572" s="264"/>
      <c r="Q572" s="263"/>
      <c r="R572" s="263"/>
      <c r="S572" s="263"/>
      <c r="T572" s="263"/>
      <c r="U572" s="263"/>
      <c r="V572" s="109"/>
      <c r="W572" s="263"/>
      <c r="X572" s="263"/>
      <c r="Y572" s="263"/>
      <c r="Z572" s="263"/>
      <c r="AA572" s="263"/>
      <c r="AB572" s="109"/>
      <c r="AC572" s="109"/>
      <c r="AD572" s="109"/>
      <c r="AE572" s="109"/>
      <c r="AF572" s="109"/>
      <c r="AG572" s="109"/>
      <c r="AH572" s="109"/>
      <c r="AI572" s="109"/>
    </row>
    <row r="573" spans="1:35">
      <c r="A573" s="109"/>
      <c r="B573" s="263"/>
      <c r="C573" s="263"/>
      <c r="D573" s="263"/>
      <c r="E573" s="109"/>
      <c r="F573" s="109"/>
      <c r="G573" s="48"/>
      <c r="H573" s="264"/>
      <c r="I573" s="265"/>
      <c r="J573" s="265"/>
      <c r="K573" s="264"/>
      <c r="L573" s="265"/>
      <c r="M573" s="264"/>
      <c r="N573" s="264"/>
      <c r="O573" s="264"/>
      <c r="P573" s="264"/>
      <c r="Q573" s="263"/>
      <c r="R573" s="263"/>
      <c r="S573" s="263"/>
      <c r="T573" s="263"/>
      <c r="U573" s="263"/>
      <c r="V573" s="109"/>
      <c r="W573" s="263"/>
      <c r="X573" s="263"/>
      <c r="Y573" s="263"/>
      <c r="Z573" s="263"/>
      <c r="AA573" s="263"/>
      <c r="AB573" s="109"/>
      <c r="AC573" s="109"/>
      <c r="AD573" s="109"/>
      <c r="AE573" s="109"/>
      <c r="AF573" s="109"/>
      <c r="AG573" s="109"/>
      <c r="AH573" s="109"/>
      <c r="AI573" s="109"/>
    </row>
    <row r="574" spans="1:35">
      <c r="A574" s="109"/>
      <c r="B574" s="263"/>
      <c r="C574" s="263"/>
      <c r="D574" s="263"/>
      <c r="E574" s="109"/>
      <c r="F574" s="109"/>
      <c r="G574" s="48"/>
      <c r="H574" s="264"/>
      <c r="I574" s="265"/>
      <c r="J574" s="265"/>
      <c r="K574" s="264"/>
      <c r="L574" s="265"/>
      <c r="M574" s="264"/>
      <c r="N574" s="264"/>
      <c r="O574" s="264"/>
      <c r="P574" s="264"/>
      <c r="Q574" s="263"/>
      <c r="R574" s="263"/>
      <c r="S574" s="263"/>
      <c r="T574" s="263"/>
      <c r="U574" s="263"/>
      <c r="V574" s="109"/>
      <c r="W574" s="263"/>
      <c r="X574" s="263"/>
      <c r="Y574" s="263"/>
      <c r="Z574" s="263"/>
      <c r="AA574" s="263"/>
      <c r="AB574" s="109"/>
      <c r="AC574" s="109"/>
      <c r="AD574" s="109"/>
      <c r="AE574" s="109"/>
      <c r="AF574" s="109"/>
      <c r="AG574" s="109"/>
      <c r="AH574" s="109"/>
      <c r="AI574" s="109"/>
    </row>
    <row r="575" spans="1:35">
      <c r="A575" s="109"/>
      <c r="B575" s="263"/>
      <c r="C575" s="263"/>
      <c r="D575" s="263"/>
      <c r="E575" s="109"/>
      <c r="F575" s="109"/>
      <c r="G575" s="48"/>
      <c r="H575" s="264"/>
      <c r="I575" s="265"/>
      <c r="J575" s="265"/>
      <c r="K575" s="264"/>
      <c r="L575" s="265"/>
      <c r="M575" s="264"/>
      <c r="N575" s="264"/>
      <c r="O575" s="264"/>
      <c r="P575" s="264"/>
      <c r="Q575" s="263"/>
      <c r="R575" s="263"/>
      <c r="S575" s="263"/>
      <c r="T575" s="263"/>
      <c r="U575" s="263"/>
      <c r="V575" s="109"/>
      <c r="W575" s="263"/>
      <c r="X575" s="263"/>
      <c r="Y575" s="263"/>
      <c r="Z575" s="263"/>
      <c r="AA575" s="263"/>
      <c r="AB575" s="109"/>
      <c r="AC575" s="109"/>
      <c r="AD575" s="109"/>
      <c r="AE575" s="109"/>
      <c r="AF575" s="109"/>
      <c r="AG575" s="109"/>
      <c r="AH575" s="109"/>
      <c r="AI575" s="109"/>
    </row>
    <row r="576" spans="1:35">
      <c r="A576" s="109"/>
      <c r="B576" s="263"/>
      <c r="C576" s="263"/>
      <c r="D576" s="263"/>
      <c r="E576" s="109"/>
      <c r="F576" s="109"/>
      <c r="G576" s="48"/>
      <c r="H576" s="264"/>
      <c r="I576" s="265"/>
      <c r="J576" s="265"/>
      <c r="K576" s="264"/>
      <c r="L576" s="265"/>
      <c r="M576" s="264"/>
      <c r="N576" s="264"/>
      <c r="O576" s="264"/>
      <c r="P576" s="264"/>
      <c r="Q576" s="263"/>
      <c r="R576" s="263"/>
      <c r="S576" s="263"/>
      <c r="T576" s="263"/>
      <c r="U576" s="263"/>
      <c r="V576" s="109"/>
      <c r="W576" s="263"/>
      <c r="X576" s="263"/>
      <c r="Y576" s="263"/>
      <c r="Z576" s="263"/>
      <c r="AA576" s="263"/>
      <c r="AB576" s="109"/>
      <c r="AC576" s="109"/>
      <c r="AD576" s="109"/>
      <c r="AE576" s="109"/>
      <c r="AF576" s="109"/>
      <c r="AG576" s="109"/>
      <c r="AH576" s="109"/>
      <c r="AI576" s="109"/>
    </row>
    <row r="577" spans="1:35">
      <c r="A577" s="109"/>
      <c r="B577" s="263"/>
      <c r="C577" s="263"/>
      <c r="D577" s="263"/>
      <c r="E577" s="109"/>
      <c r="F577" s="109"/>
      <c r="G577" s="48"/>
      <c r="H577" s="264"/>
      <c r="I577" s="265"/>
      <c r="J577" s="265"/>
      <c r="K577" s="264"/>
      <c r="L577" s="265"/>
      <c r="M577" s="264"/>
      <c r="N577" s="264"/>
      <c r="O577" s="264"/>
      <c r="P577" s="264"/>
      <c r="Q577" s="263"/>
      <c r="R577" s="263"/>
      <c r="S577" s="263"/>
      <c r="T577" s="263"/>
      <c r="U577" s="263"/>
      <c r="V577" s="109"/>
      <c r="W577" s="263"/>
      <c r="X577" s="263"/>
      <c r="Y577" s="263"/>
      <c r="Z577" s="263"/>
      <c r="AA577" s="263"/>
      <c r="AB577" s="109"/>
      <c r="AC577" s="109"/>
      <c r="AD577" s="109"/>
      <c r="AE577" s="109"/>
      <c r="AF577" s="109"/>
      <c r="AG577" s="109"/>
      <c r="AH577" s="109"/>
      <c r="AI577" s="109"/>
    </row>
    <row r="578" spans="1:35">
      <c r="A578" s="109"/>
      <c r="B578" s="263"/>
      <c r="C578" s="263"/>
      <c r="D578" s="263"/>
      <c r="E578" s="109"/>
      <c r="F578" s="109"/>
      <c r="G578" s="48"/>
      <c r="H578" s="264"/>
      <c r="I578" s="265"/>
      <c r="J578" s="265"/>
      <c r="K578" s="264"/>
      <c r="L578" s="265"/>
      <c r="M578" s="264"/>
      <c r="N578" s="264"/>
      <c r="O578" s="264"/>
      <c r="P578" s="264"/>
      <c r="Q578" s="263"/>
      <c r="R578" s="263"/>
      <c r="S578" s="263"/>
      <c r="T578" s="263"/>
      <c r="U578" s="263"/>
      <c r="V578" s="109"/>
      <c r="W578" s="263"/>
      <c r="X578" s="263"/>
      <c r="Y578" s="263"/>
      <c r="Z578" s="263"/>
      <c r="AA578" s="263"/>
      <c r="AB578" s="109"/>
      <c r="AC578" s="109"/>
      <c r="AD578" s="109"/>
      <c r="AE578" s="109"/>
      <c r="AF578" s="109"/>
      <c r="AG578" s="109"/>
      <c r="AH578" s="109"/>
      <c r="AI578" s="109"/>
    </row>
    <row r="579" spans="1:35">
      <c r="A579" s="109"/>
      <c r="B579" s="263"/>
      <c r="C579" s="263"/>
      <c r="D579" s="263"/>
      <c r="E579" s="109"/>
      <c r="F579" s="109"/>
      <c r="G579" s="48"/>
      <c r="H579" s="264"/>
      <c r="I579" s="265"/>
      <c r="J579" s="265"/>
      <c r="K579" s="264"/>
      <c r="L579" s="265"/>
      <c r="M579" s="264"/>
      <c r="N579" s="264"/>
      <c r="O579" s="264"/>
      <c r="P579" s="264"/>
      <c r="Q579" s="263"/>
      <c r="R579" s="263"/>
      <c r="S579" s="263"/>
      <c r="T579" s="263"/>
      <c r="U579" s="263"/>
      <c r="V579" s="109"/>
      <c r="W579" s="263"/>
      <c r="X579" s="263"/>
      <c r="Y579" s="263"/>
      <c r="Z579" s="263"/>
      <c r="AA579" s="263"/>
      <c r="AB579" s="109"/>
      <c r="AC579" s="109"/>
      <c r="AD579" s="109"/>
      <c r="AE579" s="109"/>
      <c r="AF579" s="109"/>
      <c r="AG579" s="109"/>
      <c r="AH579" s="109"/>
      <c r="AI579" s="109"/>
    </row>
    <row r="580" spans="1:35">
      <c r="A580" s="109"/>
      <c r="B580" s="263"/>
      <c r="C580" s="263"/>
      <c r="D580" s="263"/>
      <c r="E580" s="109"/>
      <c r="F580" s="109"/>
      <c r="G580" s="48"/>
      <c r="H580" s="264"/>
      <c r="I580" s="265"/>
      <c r="J580" s="265"/>
      <c r="K580" s="264"/>
      <c r="L580" s="265"/>
      <c r="M580" s="264"/>
      <c r="N580" s="264"/>
      <c r="O580" s="264"/>
      <c r="P580" s="264"/>
      <c r="Q580" s="263"/>
      <c r="R580" s="263"/>
      <c r="S580" s="263"/>
      <c r="T580" s="263"/>
      <c r="U580" s="263"/>
      <c r="V580" s="109"/>
      <c r="W580" s="263"/>
      <c r="X580" s="263"/>
      <c r="Y580" s="263"/>
      <c r="Z580" s="263"/>
      <c r="AA580" s="263"/>
      <c r="AB580" s="109"/>
      <c r="AC580" s="109"/>
      <c r="AD580" s="109"/>
      <c r="AE580" s="109"/>
      <c r="AF580" s="109"/>
      <c r="AG580" s="109"/>
      <c r="AH580" s="109"/>
      <c r="AI580" s="109"/>
    </row>
    <row r="581" spans="1:35">
      <c r="A581" s="109"/>
      <c r="B581" s="263"/>
      <c r="C581" s="263"/>
      <c r="D581" s="263"/>
      <c r="E581" s="109"/>
      <c r="F581" s="109"/>
      <c r="G581" s="48"/>
      <c r="H581" s="264"/>
      <c r="I581" s="265"/>
      <c r="J581" s="265"/>
      <c r="K581" s="264"/>
      <c r="L581" s="265"/>
      <c r="M581" s="264"/>
      <c r="N581" s="264"/>
      <c r="O581" s="264"/>
      <c r="P581" s="264"/>
      <c r="Q581" s="263"/>
      <c r="R581" s="263"/>
      <c r="S581" s="263"/>
      <c r="T581" s="263"/>
      <c r="U581" s="263"/>
      <c r="V581" s="109"/>
      <c r="W581" s="263"/>
      <c r="X581" s="263"/>
      <c r="Y581" s="263"/>
      <c r="Z581" s="263"/>
      <c r="AA581" s="263"/>
      <c r="AB581" s="109"/>
      <c r="AC581" s="109"/>
      <c r="AD581" s="109"/>
      <c r="AE581" s="109"/>
      <c r="AF581" s="109"/>
      <c r="AG581" s="109"/>
      <c r="AH581" s="109"/>
      <c r="AI581" s="109"/>
    </row>
    <row r="582" spans="1:35">
      <c r="A582" s="109"/>
      <c r="B582" s="263"/>
      <c r="C582" s="263"/>
      <c r="D582" s="263"/>
      <c r="E582" s="109"/>
      <c r="F582" s="109"/>
      <c r="G582" s="48"/>
      <c r="H582" s="264"/>
      <c r="I582" s="265"/>
      <c r="J582" s="265"/>
      <c r="K582" s="264"/>
      <c r="L582" s="265"/>
      <c r="M582" s="264"/>
      <c r="N582" s="264"/>
      <c r="O582" s="264"/>
      <c r="P582" s="264"/>
      <c r="Q582" s="263"/>
      <c r="R582" s="263"/>
      <c r="S582" s="263"/>
      <c r="T582" s="263"/>
      <c r="U582" s="263"/>
      <c r="V582" s="109"/>
      <c r="W582" s="263"/>
      <c r="X582" s="263"/>
      <c r="Y582" s="263"/>
      <c r="Z582" s="263"/>
      <c r="AA582" s="263"/>
      <c r="AB582" s="109"/>
      <c r="AC582" s="109"/>
      <c r="AD582" s="109"/>
      <c r="AE582" s="109"/>
      <c r="AF582" s="109"/>
      <c r="AG582" s="109"/>
      <c r="AH582" s="109"/>
      <c r="AI582" s="109"/>
    </row>
    <row r="583" spans="1:35">
      <c r="A583" s="109"/>
      <c r="B583" s="263"/>
      <c r="C583" s="263"/>
      <c r="D583" s="263"/>
      <c r="E583" s="109"/>
      <c r="F583" s="109"/>
      <c r="G583" s="48"/>
      <c r="H583" s="264"/>
      <c r="I583" s="265"/>
      <c r="J583" s="265"/>
      <c r="K583" s="264"/>
      <c r="L583" s="265"/>
      <c r="M583" s="264"/>
      <c r="N583" s="264"/>
      <c r="O583" s="264"/>
      <c r="P583" s="264"/>
      <c r="Q583" s="263"/>
      <c r="R583" s="263"/>
      <c r="S583" s="263"/>
      <c r="T583" s="263"/>
      <c r="U583" s="263"/>
      <c r="V583" s="109"/>
      <c r="W583" s="263"/>
      <c r="X583" s="263"/>
      <c r="Y583" s="263"/>
      <c r="Z583" s="263"/>
      <c r="AA583" s="263"/>
      <c r="AB583" s="109"/>
      <c r="AC583" s="109"/>
      <c r="AD583" s="109"/>
      <c r="AE583" s="109"/>
      <c r="AF583" s="109"/>
      <c r="AG583" s="109"/>
      <c r="AH583" s="109"/>
      <c r="AI583" s="109"/>
    </row>
    <row r="584" spans="1:35">
      <c r="A584" s="109"/>
      <c r="B584" s="263"/>
      <c r="C584" s="263"/>
      <c r="D584" s="263"/>
      <c r="E584" s="109"/>
      <c r="F584" s="109"/>
      <c r="G584" s="48"/>
      <c r="H584" s="264"/>
      <c r="I584" s="265"/>
      <c r="J584" s="265"/>
      <c r="K584" s="264"/>
      <c r="L584" s="265"/>
      <c r="M584" s="264"/>
      <c r="N584" s="264"/>
      <c r="O584" s="264"/>
      <c r="P584" s="264"/>
      <c r="Q584" s="263"/>
      <c r="R584" s="263"/>
      <c r="S584" s="263"/>
      <c r="T584" s="263"/>
      <c r="U584" s="263"/>
      <c r="V584" s="109"/>
      <c r="W584" s="263"/>
      <c r="X584" s="263"/>
      <c r="Y584" s="263"/>
      <c r="Z584" s="263"/>
      <c r="AA584" s="263"/>
      <c r="AB584" s="109"/>
      <c r="AC584" s="109"/>
      <c r="AD584" s="109"/>
      <c r="AE584" s="109"/>
      <c r="AF584" s="109"/>
      <c r="AG584" s="109"/>
      <c r="AH584" s="109"/>
      <c r="AI584" s="109"/>
    </row>
    <row r="585" spans="1:35">
      <c r="A585" s="109"/>
      <c r="B585" s="263"/>
      <c r="C585" s="263"/>
      <c r="D585" s="263"/>
      <c r="E585" s="109"/>
      <c r="F585" s="109"/>
      <c r="G585" s="48"/>
      <c r="H585" s="264"/>
      <c r="I585" s="265"/>
      <c r="J585" s="265"/>
      <c r="K585" s="264"/>
      <c r="L585" s="265"/>
      <c r="M585" s="264"/>
      <c r="N585" s="264"/>
      <c r="O585" s="264"/>
      <c r="P585" s="264"/>
      <c r="Q585" s="263"/>
      <c r="R585" s="263"/>
      <c r="S585" s="263"/>
      <c r="T585" s="263"/>
      <c r="U585" s="263"/>
      <c r="V585" s="109"/>
      <c r="W585" s="263"/>
      <c r="X585" s="263"/>
      <c r="Y585" s="263"/>
      <c r="Z585" s="263"/>
      <c r="AA585" s="263"/>
      <c r="AB585" s="109"/>
      <c r="AC585" s="109"/>
      <c r="AD585" s="109"/>
      <c r="AE585" s="109"/>
      <c r="AF585" s="109"/>
      <c r="AG585" s="109"/>
      <c r="AH585" s="109"/>
      <c r="AI585" s="109"/>
    </row>
    <row r="586" spans="1:35">
      <c r="A586" s="109"/>
      <c r="B586" s="263"/>
      <c r="C586" s="263"/>
      <c r="D586" s="263"/>
      <c r="E586" s="109"/>
      <c r="F586" s="109"/>
      <c r="G586" s="48"/>
      <c r="H586" s="264"/>
      <c r="I586" s="265"/>
      <c r="J586" s="265"/>
      <c r="K586" s="264"/>
      <c r="L586" s="265"/>
      <c r="M586" s="264"/>
      <c r="N586" s="264"/>
      <c r="O586" s="264"/>
      <c r="P586" s="264"/>
      <c r="Q586" s="263"/>
      <c r="R586" s="263"/>
      <c r="S586" s="263"/>
      <c r="T586" s="263"/>
      <c r="U586" s="263"/>
      <c r="V586" s="109"/>
      <c r="W586" s="263"/>
      <c r="X586" s="263"/>
      <c r="Y586" s="263"/>
      <c r="Z586" s="263"/>
      <c r="AA586" s="263"/>
      <c r="AB586" s="109"/>
      <c r="AC586" s="109"/>
      <c r="AD586" s="109"/>
      <c r="AE586" s="109"/>
      <c r="AF586" s="109"/>
      <c r="AG586" s="109"/>
      <c r="AH586" s="109"/>
      <c r="AI586" s="109"/>
    </row>
    <row r="587" spans="1:35">
      <c r="A587" s="109"/>
      <c r="B587" s="263"/>
      <c r="C587" s="263"/>
      <c r="D587" s="263"/>
      <c r="E587" s="109"/>
      <c r="F587" s="109"/>
      <c r="G587" s="48"/>
      <c r="H587" s="264"/>
      <c r="I587" s="265"/>
      <c r="J587" s="265"/>
      <c r="K587" s="264"/>
      <c r="L587" s="265"/>
      <c r="M587" s="264"/>
      <c r="N587" s="264"/>
      <c r="O587" s="264"/>
      <c r="P587" s="264"/>
      <c r="Q587" s="263"/>
      <c r="R587" s="263"/>
      <c r="S587" s="263"/>
      <c r="T587" s="263"/>
      <c r="U587" s="263"/>
      <c r="V587" s="109"/>
      <c r="W587" s="263"/>
      <c r="X587" s="263"/>
      <c r="Y587" s="263"/>
      <c r="Z587" s="263"/>
      <c r="AA587" s="263"/>
      <c r="AB587" s="109"/>
      <c r="AC587" s="109"/>
      <c r="AD587" s="109"/>
      <c r="AE587" s="109"/>
      <c r="AF587" s="109"/>
      <c r="AG587" s="109"/>
      <c r="AH587" s="109"/>
      <c r="AI587" s="109"/>
    </row>
    <row r="588" spans="1:35">
      <c r="A588" s="109"/>
      <c r="B588" s="263"/>
      <c r="C588" s="263"/>
      <c r="D588" s="263"/>
      <c r="E588" s="109"/>
      <c r="F588" s="109"/>
      <c r="G588" s="48"/>
      <c r="H588" s="264"/>
      <c r="I588" s="265"/>
      <c r="J588" s="265"/>
      <c r="K588" s="264"/>
      <c r="L588" s="265"/>
      <c r="M588" s="264"/>
      <c r="N588" s="264"/>
      <c r="O588" s="264"/>
      <c r="P588" s="264"/>
      <c r="Q588" s="263"/>
      <c r="R588" s="263"/>
      <c r="S588" s="263"/>
      <c r="T588" s="263"/>
      <c r="U588" s="263"/>
      <c r="V588" s="109"/>
      <c r="W588" s="263"/>
      <c r="X588" s="263"/>
      <c r="Y588" s="263"/>
      <c r="Z588" s="263"/>
      <c r="AA588" s="263"/>
      <c r="AB588" s="109"/>
      <c r="AC588" s="109"/>
      <c r="AD588" s="109"/>
      <c r="AE588" s="109"/>
      <c r="AF588" s="109"/>
      <c r="AG588" s="109"/>
      <c r="AH588" s="109"/>
      <c r="AI588" s="109"/>
    </row>
    <row r="589" spans="1:35">
      <c r="A589" s="109"/>
      <c r="B589" s="263"/>
      <c r="C589" s="263"/>
      <c r="D589" s="263"/>
      <c r="E589" s="109"/>
      <c r="F589" s="109"/>
      <c r="G589" s="48"/>
      <c r="H589" s="264"/>
      <c r="I589" s="265"/>
      <c r="J589" s="265"/>
      <c r="K589" s="264"/>
      <c r="L589" s="265"/>
      <c r="M589" s="264"/>
      <c r="N589" s="264"/>
      <c r="O589" s="264"/>
      <c r="P589" s="264"/>
      <c r="Q589" s="263"/>
      <c r="R589" s="263"/>
      <c r="S589" s="263"/>
      <c r="T589" s="263"/>
      <c r="U589" s="263"/>
      <c r="V589" s="109"/>
      <c r="W589" s="263"/>
      <c r="X589" s="263"/>
      <c r="Y589" s="263"/>
      <c r="Z589" s="263"/>
      <c r="AA589" s="263"/>
      <c r="AB589" s="109"/>
      <c r="AC589" s="109"/>
      <c r="AD589" s="109"/>
      <c r="AE589" s="109"/>
      <c r="AF589" s="109"/>
      <c r="AG589" s="109"/>
      <c r="AH589" s="109"/>
      <c r="AI589" s="109"/>
    </row>
    <row r="590" spans="1:35">
      <c r="A590" s="109"/>
      <c r="B590" s="263"/>
      <c r="C590" s="263"/>
      <c r="D590" s="263"/>
      <c r="E590" s="109"/>
      <c r="F590" s="109"/>
      <c r="G590" s="48"/>
      <c r="H590" s="264"/>
      <c r="I590" s="265"/>
      <c r="J590" s="265"/>
      <c r="K590" s="264"/>
      <c r="L590" s="265"/>
      <c r="M590" s="264"/>
      <c r="N590" s="264"/>
      <c r="O590" s="264"/>
      <c r="P590" s="264"/>
      <c r="Q590" s="263"/>
      <c r="R590" s="263"/>
      <c r="S590" s="263"/>
      <c r="T590" s="263"/>
      <c r="U590" s="263"/>
      <c r="V590" s="109"/>
      <c r="W590" s="263"/>
      <c r="X590" s="263"/>
      <c r="Y590" s="263"/>
      <c r="Z590" s="263"/>
      <c r="AA590" s="263"/>
      <c r="AB590" s="109"/>
      <c r="AC590" s="109"/>
      <c r="AD590" s="109"/>
      <c r="AE590" s="109"/>
      <c r="AF590" s="109"/>
      <c r="AG590" s="109"/>
      <c r="AH590" s="109"/>
      <c r="AI590" s="109"/>
    </row>
    <row r="591" spans="1:35">
      <c r="A591" s="109"/>
      <c r="B591" s="263"/>
      <c r="C591" s="263"/>
      <c r="D591" s="263"/>
      <c r="E591" s="109"/>
      <c r="F591" s="109"/>
      <c r="G591" s="48"/>
      <c r="H591" s="264"/>
      <c r="I591" s="265"/>
      <c r="J591" s="265"/>
      <c r="K591" s="264"/>
      <c r="L591" s="265"/>
      <c r="M591" s="264"/>
      <c r="N591" s="264"/>
      <c r="O591" s="264"/>
      <c r="P591" s="264"/>
      <c r="Q591" s="263"/>
      <c r="R591" s="263"/>
      <c r="S591" s="263"/>
      <c r="T591" s="263"/>
      <c r="U591" s="263"/>
      <c r="V591" s="109"/>
      <c r="W591" s="263"/>
      <c r="X591" s="263"/>
      <c r="Y591" s="263"/>
      <c r="Z591" s="263"/>
      <c r="AA591" s="263"/>
      <c r="AB591" s="109"/>
      <c r="AC591" s="109"/>
      <c r="AD591" s="109"/>
      <c r="AE591" s="109"/>
      <c r="AF591" s="109"/>
      <c r="AG591" s="109"/>
      <c r="AH591" s="109"/>
      <c r="AI591" s="109"/>
    </row>
    <row r="592" spans="1:35">
      <c r="A592" s="109"/>
      <c r="B592" s="263"/>
      <c r="C592" s="263"/>
      <c r="D592" s="263"/>
      <c r="E592" s="109"/>
      <c r="F592" s="109"/>
      <c r="G592" s="48"/>
      <c r="H592" s="264"/>
      <c r="I592" s="265"/>
      <c r="J592" s="265"/>
      <c r="K592" s="264"/>
      <c r="L592" s="265"/>
      <c r="M592" s="264"/>
      <c r="N592" s="264"/>
      <c r="O592" s="264"/>
      <c r="P592" s="264"/>
      <c r="Q592" s="263"/>
      <c r="R592" s="263"/>
      <c r="S592" s="263"/>
      <c r="T592" s="263"/>
      <c r="U592" s="263"/>
      <c r="V592" s="109"/>
      <c r="W592" s="263"/>
      <c r="X592" s="263"/>
      <c r="Y592" s="263"/>
      <c r="Z592" s="263"/>
      <c r="AA592" s="263"/>
      <c r="AB592" s="109"/>
      <c r="AC592" s="109"/>
      <c r="AD592" s="109"/>
      <c r="AE592" s="109"/>
      <c r="AF592" s="109"/>
      <c r="AG592" s="109"/>
      <c r="AH592" s="109"/>
      <c r="AI592" s="109"/>
    </row>
    <row r="593" spans="1:35">
      <c r="A593" s="109"/>
      <c r="B593" s="263"/>
      <c r="C593" s="263"/>
      <c r="D593" s="263"/>
      <c r="E593" s="109"/>
      <c r="F593" s="109"/>
      <c r="G593" s="48"/>
      <c r="H593" s="264"/>
      <c r="I593" s="265"/>
      <c r="J593" s="265"/>
      <c r="K593" s="264"/>
      <c r="L593" s="265"/>
      <c r="M593" s="264"/>
      <c r="N593" s="264"/>
      <c r="O593" s="264"/>
      <c r="P593" s="264"/>
      <c r="Q593" s="263"/>
      <c r="R593" s="263"/>
      <c r="S593" s="263"/>
      <c r="T593" s="263"/>
      <c r="U593" s="263"/>
      <c r="V593" s="109"/>
      <c r="W593" s="263"/>
      <c r="X593" s="263"/>
      <c r="Y593" s="263"/>
      <c r="Z593" s="263"/>
      <c r="AA593" s="263"/>
      <c r="AB593" s="109"/>
      <c r="AC593" s="109"/>
      <c r="AD593" s="109"/>
      <c r="AE593" s="109"/>
      <c r="AF593" s="109"/>
      <c r="AG593" s="109"/>
      <c r="AH593" s="109"/>
      <c r="AI593" s="109"/>
    </row>
    <row r="594" spans="1:35">
      <c r="A594" s="109"/>
      <c r="B594" s="263"/>
      <c r="C594" s="263"/>
      <c r="D594" s="263"/>
      <c r="E594" s="109"/>
      <c r="F594" s="109"/>
      <c r="G594" s="48"/>
      <c r="H594" s="264"/>
      <c r="I594" s="265"/>
      <c r="J594" s="265"/>
      <c r="K594" s="264"/>
      <c r="L594" s="265"/>
      <c r="M594" s="264"/>
      <c r="N594" s="264"/>
      <c r="O594" s="264"/>
      <c r="P594" s="264"/>
      <c r="Q594" s="263"/>
      <c r="R594" s="263"/>
      <c r="S594" s="263"/>
      <c r="T594" s="263"/>
      <c r="U594" s="263"/>
      <c r="V594" s="109"/>
      <c r="W594" s="263"/>
      <c r="X594" s="263"/>
      <c r="Y594" s="263"/>
      <c r="Z594" s="263"/>
      <c r="AA594" s="263"/>
      <c r="AB594" s="109"/>
      <c r="AC594" s="109"/>
      <c r="AD594" s="109"/>
      <c r="AE594" s="109"/>
      <c r="AF594" s="109"/>
      <c r="AG594" s="109"/>
      <c r="AH594" s="109"/>
      <c r="AI594" s="109"/>
    </row>
    <row r="595" spans="1:35">
      <c r="A595" s="109"/>
      <c r="B595" s="263"/>
      <c r="C595" s="263"/>
      <c r="D595" s="263"/>
      <c r="E595" s="109"/>
      <c r="F595" s="109"/>
      <c r="G595" s="48"/>
      <c r="H595" s="264"/>
      <c r="I595" s="265"/>
      <c r="J595" s="265"/>
      <c r="K595" s="264"/>
      <c r="L595" s="265"/>
      <c r="M595" s="264"/>
      <c r="N595" s="264"/>
      <c r="O595" s="264"/>
      <c r="P595" s="264"/>
      <c r="Q595" s="263"/>
      <c r="R595" s="263"/>
      <c r="S595" s="263"/>
      <c r="T595" s="263"/>
      <c r="U595" s="263"/>
      <c r="V595" s="109"/>
      <c r="W595" s="263"/>
      <c r="X595" s="263"/>
      <c r="Y595" s="263"/>
      <c r="Z595" s="263"/>
      <c r="AA595" s="263"/>
      <c r="AB595" s="109"/>
      <c r="AC595" s="109"/>
      <c r="AD595" s="109"/>
      <c r="AE595" s="109"/>
      <c r="AF595" s="109"/>
      <c r="AG595" s="109"/>
      <c r="AH595" s="109"/>
      <c r="AI595" s="109"/>
    </row>
    <row r="596" spans="1:35">
      <c r="A596" s="109"/>
      <c r="B596" s="263"/>
      <c r="C596" s="263"/>
      <c r="D596" s="263"/>
      <c r="E596" s="109"/>
      <c r="F596" s="109"/>
      <c r="G596" s="48"/>
      <c r="H596" s="264"/>
      <c r="I596" s="265"/>
      <c r="J596" s="265"/>
      <c r="K596" s="264"/>
      <c r="L596" s="265"/>
      <c r="M596" s="264"/>
      <c r="N596" s="264"/>
      <c r="O596" s="264"/>
      <c r="P596" s="264"/>
      <c r="Q596" s="263"/>
      <c r="R596" s="263"/>
      <c r="S596" s="263"/>
      <c r="T596" s="263"/>
      <c r="U596" s="263"/>
      <c r="V596" s="109"/>
      <c r="W596" s="263"/>
      <c r="X596" s="263"/>
      <c r="Y596" s="263"/>
      <c r="Z596" s="263"/>
      <c r="AA596" s="263"/>
      <c r="AB596" s="109"/>
      <c r="AC596" s="109"/>
      <c r="AD596" s="109"/>
      <c r="AE596" s="109"/>
      <c r="AF596" s="109"/>
      <c r="AG596" s="109"/>
      <c r="AH596" s="109"/>
      <c r="AI596" s="109"/>
    </row>
    <row r="597" spans="1:35">
      <c r="A597" s="109"/>
      <c r="B597" s="263"/>
      <c r="C597" s="263"/>
      <c r="D597" s="263"/>
      <c r="E597" s="109"/>
      <c r="F597" s="109"/>
      <c r="G597" s="48"/>
      <c r="H597" s="264"/>
      <c r="I597" s="265"/>
      <c r="J597" s="265"/>
      <c r="K597" s="264"/>
      <c r="L597" s="265"/>
      <c r="M597" s="264"/>
      <c r="N597" s="264"/>
      <c r="O597" s="264"/>
      <c r="P597" s="264"/>
      <c r="Q597" s="263"/>
      <c r="R597" s="263"/>
      <c r="S597" s="263"/>
      <c r="T597" s="263"/>
      <c r="U597" s="263"/>
      <c r="V597" s="109"/>
      <c r="W597" s="263"/>
      <c r="X597" s="263"/>
      <c r="Y597" s="263"/>
      <c r="Z597" s="263"/>
      <c r="AA597" s="263"/>
      <c r="AB597" s="109"/>
      <c r="AC597" s="109"/>
      <c r="AD597" s="109"/>
      <c r="AE597" s="109"/>
      <c r="AF597" s="109"/>
      <c r="AG597" s="109"/>
      <c r="AH597" s="109"/>
      <c r="AI597" s="109"/>
    </row>
    <row r="598" spans="1:35">
      <c r="A598" s="109"/>
      <c r="B598" s="263"/>
      <c r="C598" s="263"/>
      <c r="D598" s="263"/>
      <c r="E598" s="109"/>
      <c r="F598" s="109"/>
      <c r="G598" s="48"/>
      <c r="H598" s="264"/>
      <c r="I598" s="265"/>
      <c r="J598" s="265"/>
      <c r="K598" s="264"/>
      <c r="L598" s="265"/>
      <c r="M598" s="264"/>
      <c r="N598" s="264"/>
      <c r="O598" s="264"/>
      <c r="P598" s="264"/>
      <c r="Q598" s="263"/>
      <c r="R598" s="263"/>
      <c r="S598" s="263"/>
      <c r="T598" s="263"/>
      <c r="U598" s="263"/>
      <c r="V598" s="109"/>
      <c r="W598" s="263"/>
      <c r="X598" s="263"/>
      <c r="Y598" s="263"/>
      <c r="Z598" s="263"/>
      <c r="AA598" s="263"/>
      <c r="AB598" s="109"/>
      <c r="AC598" s="109"/>
      <c r="AD598" s="109"/>
      <c r="AE598" s="109"/>
      <c r="AF598" s="109"/>
      <c r="AG598" s="109"/>
      <c r="AH598" s="109"/>
      <c r="AI598" s="109"/>
    </row>
    <row r="599" spans="1:35">
      <c r="A599" s="109"/>
      <c r="B599" s="263"/>
      <c r="C599" s="263"/>
      <c r="D599" s="263"/>
      <c r="E599" s="109"/>
      <c r="F599" s="109"/>
      <c r="G599" s="48"/>
      <c r="H599" s="264"/>
      <c r="I599" s="265"/>
      <c r="J599" s="265"/>
      <c r="K599" s="264"/>
      <c r="L599" s="265"/>
      <c r="M599" s="264"/>
      <c r="N599" s="264"/>
      <c r="O599" s="264"/>
      <c r="P599" s="264"/>
      <c r="Q599" s="263"/>
      <c r="R599" s="263"/>
      <c r="S599" s="263"/>
      <c r="T599" s="263"/>
      <c r="U599" s="263"/>
      <c r="V599" s="109"/>
      <c r="W599" s="263"/>
      <c r="X599" s="263"/>
      <c r="Y599" s="263"/>
      <c r="Z599" s="263"/>
      <c r="AA599" s="263"/>
      <c r="AB599" s="109"/>
      <c r="AC599" s="109"/>
      <c r="AD599" s="109"/>
      <c r="AE599" s="109"/>
      <c r="AF599" s="109"/>
      <c r="AG599" s="109"/>
      <c r="AH599" s="109"/>
      <c r="AI599" s="109"/>
    </row>
    <row r="600" spans="1:35">
      <c r="A600" s="109"/>
      <c r="B600" s="263"/>
      <c r="C600" s="263"/>
      <c r="D600" s="263"/>
      <c r="E600" s="109"/>
      <c r="F600" s="109"/>
      <c r="G600" s="48"/>
      <c r="H600" s="264"/>
      <c r="I600" s="265"/>
      <c r="J600" s="265"/>
      <c r="K600" s="264"/>
      <c r="L600" s="265"/>
      <c r="M600" s="264"/>
      <c r="N600" s="264"/>
      <c r="O600" s="264"/>
      <c r="P600" s="264"/>
      <c r="Q600" s="263"/>
      <c r="R600" s="263"/>
      <c r="S600" s="263"/>
      <c r="T600" s="263"/>
      <c r="U600" s="263"/>
      <c r="V600" s="109"/>
      <c r="W600" s="263"/>
      <c r="X600" s="263"/>
      <c r="Y600" s="263"/>
      <c r="Z600" s="263"/>
      <c r="AA600" s="263"/>
      <c r="AB600" s="109"/>
      <c r="AC600" s="109"/>
      <c r="AD600" s="109"/>
      <c r="AE600" s="109"/>
      <c r="AF600" s="109"/>
      <c r="AG600" s="109"/>
      <c r="AH600" s="109"/>
      <c r="AI600" s="109"/>
    </row>
    <row r="601" spans="1:35">
      <c r="A601" s="109"/>
      <c r="B601" s="263"/>
      <c r="C601" s="263"/>
      <c r="D601" s="263"/>
      <c r="E601" s="109"/>
      <c r="F601" s="109"/>
      <c r="G601" s="48"/>
      <c r="H601" s="264"/>
      <c r="I601" s="265"/>
      <c r="J601" s="265"/>
      <c r="K601" s="264"/>
      <c r="L601" s="265"/>
      <c r="M601" s="264"/>
      <c r="N601" s="264"/>
      <c r="O601" s="264"/>
      <c r="P601" s="264"/>
      <c r="Q601" s="263"/>
      <c r="R601" s="263"/>
      <c r="S601" s="263"/>
      <c r="T601" s="263"/>
      <c r="U601" s="263"/>
      <c r="V601" s="109"/>
      <c r="W601" s="263"/>
      <c r="X601" s="263"/>
      <c r="Y601" s="263"/>
      <c r="Z601" s="263"/>
      <c r="AA601" s="263"/>
      <c r="AB601" s="109"/>
      <c r="AC601" s="109"/>
      <c r="AD601" s="109"/>
      <c r="AE601" s="109"/>
      <c r="AF601" s="109"/>
      <c r="AG601" s="109"/>
      <c r="AH601" s="109"/>
      <c r="AI601" s="109"/>
    </row>
    <row r="602" spans="1:35">
      <c r="A602" s="109"/>
      <c r="B602" s="263"/>
      <c r="C602" s="263"/>
      <c r="D602" s="263"/>
      <c r="E602" s="109"/>
      <c r="F602" s="109"/>
      <c r="G602" s="48"/>
      <c r="H602" s="264"/>
      <c r="I602" s="265"/>
      <c r="J602" s="265"/>
      <c r="K602" s="264"/>
      <c r="L602" s="265"/>
      <c r="M602" s="264"/>
      <c r="N602" s="264"/>
      <c r="O602" s="264"/>
      <c r="P602" s="264"/>
      <c r="Q602" s="263"/>
      <c r="R602" s="263"/>
      <c r="S602" s="263"/>
      <c r="T602" s="263"/>
      <c r="U602" s="263"/>
      <c r="V602" s="109"/>
      <c r="W602" s="263"/>
      <c r="X602" s="263"/>
      <c r="Y602" s="263"/>
      <c r="Z602" s="263"/>
      <c r="AA602" s="263"/>
      <c r="AB602" s="109"/>
      <c r="AC602" s="109"/>
      <c r="AD602" s="109"/>
      <c r="AE602" s="109"/>
      <c r="AF602" s="109"/>
      <c r="AG602" s="109"/>
      <c r="AH602" s="109"/>
      <c r="AI602" s="109"/>
    </row>
    <row r="603" spans="1:35">
      <c r="A603" s="109"/>
      <c r="B603" s="263"/>
      <c r="C603" s="263"/>
      <c r="D603" s="263"/>
      <c r="E603" s="109"/>
      <c r="F603" s="109"/>
      <c r="G603" s="48"/>
      <c r="H603" s="264"/>
      <c r="I603" s="265"/>
      <c r="J603" s="265"/>
      <c r="K603" s="264"/>
      <c r="L603" s="265"/>
      <c r="M603" s="264"/>
      <c r="N603" s="264"/>
      <c r="O603" s="264"/>
      <c r="P603" s="264"/>
      <c r="Q603" s="263"/>
      <c r="R603" s="263"/>
      <c r="S603" s="263"/>
      <c r="T603" s="263"/>
      <c r="U603" s="263"/>
      <c r="V603" s="109"/>
      <c r="W603" s="263"/>
      <c r="X603" s="263"/>
      <c r="Y603" s="263"/>
      <c r="Z603" s="263"/>
      <c r="AA603" s="263"/>
      <c r="AB603" s="109"/>
      <c r="AC603" s="109"/>
      <c r="AD603" s="109"/>
      <c r="AE603" s="109"/>
      <c r="AF603" s="109"/>
      <c r="AG603" s="109"/>
      <c r="AH603" s="109"/>
      <c r="AI603" s="109"/>
    </row>
    <row r="604" spans="1:35">
      <c r="A604" s="109"/>
      <c r="B604" s="263"/>
      <c r="C604" s="263"/>
      <c r="D604" s="263"/>
      <c r="E604" s="109"/>
      <c r="F604" s="109"/>
      <c r="G604" s="48"/>
      <c r="H604" s="264"/>
      <c r="I604" s="265"/>
      <c r="J604" s="265"/>
      <c r="K604" s="264"/>
      <c r="L604" s="265"/>
      <c r="M604" s="264"/>
      <c r="N604" s="264"/>
      <c r="O604" s="264"/>
      <c r="P604" s="264"/>
      <c r="Q604" s="263"/>
      <c r="R604" s="263"/>
      <c r="S604" s="263"/>
      <c r="T604" s="263"/>
      <c r="U604" s="263"/>
      <c r="V604" s="109"/>
      <c r="W604" s="263"/>
      <c r="X604" s="263"/>
      <c r="Y604" s="263"/>
      <c r="Z604" s="263"/>
      <c r="AA604" s="263"/>
      <c r="AB604" s="109"/>
      <c r="AC604" s="109"/>
      <c r="AD604" s="109"/>
      <c r="AE604" s="109"/>
      <c r="AF604" s="109"/>
      <c r="AG604" s="109"/>
      <c r="AH604" s="109"/>
      <c r="AI604" s="109"/>
    </row>
    <row r="605" spans="1:35">
      <c r="A605" s="109"/>
      <c r="B605" s="263"/>
      <c r="C605" s="263"/>
      <c r="D605" s="263"/>
      <c r="E605" s="109"/>
      <c r="F605" s="109"/>
      <c r="G605" s="48"/>
      <c r="H605" s="264"/>
      <c r="I605" s="265"/>
      <c r="J605" s="265"/>
      <c r="K605" s="264"/>
      <c r="L605" s="265"/>
      <c r="M605" s="264"/>
      <c r="N605" s="264"/>
      <c r="O605" s="264"/>
      <c r="P605" s="264"/>
      <c r="Q605" s="263"/>
      <c r="R605" s="263"/>
      <c r="S605" s="263"/>
      <c r="T605" s="263"/>
      <c r="U605" s="263"/>
      <c r="V605" s="109"/>
      <c r="W605" s="263"/>
      <c r="X605" s="263"/>
      <c r="Y605" s="263"/>
      <c r="Z605" s="263"/>
      <c r="AA605" s="263"/>
      <c r="AB605" s="109"/>
      <c r="AC605" s="109"/>
      <c r="AD605" s="109"/>
      <c r="AE605" s="109"/>
      <c r="AF605" s="109"/>
      <c r="AG605" s="109"/>
      <c r="AH605" s="109"/>
      <c r="AI605" s="109"/>
    </row>
    <row r="606" spans="1:35">
      <c r="A606" s="109"/>
      <c r="B606" s="263"/>
      <c r="C606" s="263"/>
      <c r="D606" s="263"/>
      <c r="E606" s="109"/>
      <c r="F606" s="109"/>
      <c r="G606" s="48"/>
      <c r="H606" s="264"/>
      <c r="I606" s="265"/>
      <c r="J606" s="265"/>
      <c r="K606" s="264"/>
      <c r="L606" s="265"/>
      <c r="M606" s="264"/>
      <c r="N606" s="264"/>
      <c r="O606" s="264"/>
      <c r="P606" s="264"/>
      <c r="Q606" s="263"/>
      <c r="R606" s="263"/>
      <c r="S606" s="263"/>
      <c r="T606" s="263"/>
      <c r="U606" s="263"/>
      <c r="V606" s="109"/>
      <c r="W606" s="263"/>
      <c r="X606" s="263"/>
      <c r="Y606" s="263"/>
      <c r="Z606" s="263"/>
      <c r="AA606" s="263"/>
      <c r="AB606" s="109"/>
      <c r="AC606" s="109"/>
      <c r="AD606" s="109"/>
      <c r="AE606" s="109"/>
      <c r="AF606" s="109"/>
      <c r="AG606" s="109"/>
      <c r="AH606" s="109"/>
      <c r="AI606" s="109"/>
    </row>
    <row r="607" spans="1:35">
      <c r="A607" s="109"/>
      <c r="B607" s="263"/>
      <c r="C607" s="263"/>
      <c r="D607" s="263"/>
      <c r="E607" s="109"/>
      <c r="F607" s="109"/>
      <c r="G607" s="48"/>
      <c r="H607" s="264"/>
      <c r="I607" s="265"/>
      <c r="J607" s="265"/>
      <c r="K607" s="264"/>
      <c r="L607" s="265"/>
      <c r="M607" s="264"/>
      <c r="N607" s="264"/>
      <c r="O607" s="264"/>
      <c r="P607" s="264"/>
      <c r="Q607" s="263"/>
      <c r="R607" s="263"/>
      <c r="S607" s="263"/>
      <c r="T607" s="263"/>
      <c r="U607" s="263"/>
      <c r="V607" s="109"/>
      <c r="W607" s="263"/>
      <c r="X607" s="263"/>
      <c r="Y607" s="263"/>
      <c r="Z607" s="263"/>
      <c r="AA607" s="263"/>
      <c r="AB607" s="109"/>
      <c r="AC607" s="109"/>
      <c r="AD607" s="109"/>
      <c r="AE607" s="109"/>
      <c r="AF607" s="109"/>
      <c r="AG607" s="109"/>
      <c r="AH607" s="109"/>
      <c r="AI607" s="109"/>
    </row>
    <row r="608" spans="1:35">
      <c r="A608" s="109"/>
      <c r="B608" s="263"/>
      <c r="C608" s="263"/>
      <c r="D608" s="263"/>
      <c r="E608" s="109"/>
      <c r="F608" s="109"/>
      <c r="G608" s="48"/>
      <c r="H608" s="264"/>
      <c r="I608" s="265"/>
      <c r="J608" s="265"/>
      <c r="K608" s="264"/>
      <c r="L608" s="265"/>
      <c r="M608" s="264"/>
      <c r="N608" s="264"/>
      <c r="O608" s="264"/>
      <c r="P608" s="264"/>
      <c r="Q608" s="263"/>
      <c r="R608" s="263"/>
      <c r="S608" s="263"/>
      <c r="T608" s="263"/>
      <c r="U608" s="263"/>
      <c r="V608" s="109"/>
      <c r="W608" s="263"/>
      <c r="X608" s="263"/>
      <c r="Y608" s="263"/>
      <c r="Z608" s="263"/>
      <c r="AA608" s="263"/>
      <c r="AB608" s="109"/>
      <c r="AC608" s="109"/>
      <c r="AD608" s="109"/>
      <c r="AE608" s="109"/>
      <c r="AF608" s="109"/>
      <c r="AG608" s="109"/>
      <c r="AH608" s="109"/>
      <c r="AI608" s="109"/>
    </row>
    <row r="609" spans="1:35">
      <c r="A609" s="109"/>
      <c r="B609" s="263"/>
      <c r="C609" s="263"/>
      <c r="D609" s="263"/>
      <c r="E609" s="109"/>
      <c r="F609" s="109"/>
      <c r="G609" s="48"/>
      <c r="H609" s="264"/>
      <c r="I609" s="265"/>
      <c r="J609" s="265"/>
      <c r="K609" s="264"/>
      <c r="L609" s="265"/>
      <c r="M609" s="264"/>
      <c r="N609" s="264"/>
      <c r="O609" s="264"/>
      <c r="P609" s="264"/>
      <c r="Q609" s="263"/>
      <c r="R609" s="263"/>
      <c r="S609" s="263"/>
      <c r="T609" s="263"/>
      <c r="U609" s="263"/>
      <c r="V609" s="109"/>
      <c r="W609" s="263"/>
      <c r="X609" s="263"/>
      <c r="Y609" s="263"/>
      <c r="Z609" s="263"/>
      <c r="AA609" s="263"/>
      <c r="AB609" s="109"/>
      <c r="AC609" s="109"/>
      <c r="AD609" s="109"/>
      <c r="AE609" s="109"/>
      <c r="AF609" s="109"/>
      <c r="AG609" s="109"/>
      <c r="AH609" s="109"/>
      <c r="AI609" s="109"/>
    </row>
    <row r="610" spans="1:35">
      <c r="A610" s="109"/>
      <c r="B610" s="263"/>
      <c r="C610" s="263"/>
      <c r="D610" s="263"/>
      <c r="E610" s="109"/>
      <c r="F610" s="109"/>
      <c r="G610" s="48"/>
      <c r="H610" s="264"/>
      <c r="I610" s="265"/>
      <c r="J610" s="265"/>
      <c r="K610" s="264"/>
      <c r="L610" s="265"/>
      <c r="M610" s="264"/>
      <c r="N610" s="264"/>
      <c r="O610" s="264"/>
      <c r="P610" s="264"/>
      <c r="Q610" s="263"/>
      <c r="R610" s="263"/>
      <c r="S610" s="263"/>
      <c r="T610" s="263"/>
      <c r="U610" s="263"/>
      <c r="V610" s="109"/>
      <c r="W610" s="263"/>
      <c r="X610" s="263"/>
      <c r="Y610" s="263"/>
      <c r="Z610" s="263"/>
      <c r="AA610" s="263"/>
      <c r="AB610" s="109"/>
      <c r="AC610" s="109"/>
      <c r="AD610" s="109"/>
      <c r="AE610" s="109"/>
      <c r="AF610" s="109"/>
      <c r="AG610" s="109"/>
      <c r="AH610" s="109"/>
      <c r="AI610" s="109"/>
    </row>
    <row r="611" spans="1:35">
      <c r="A611" s="109"/>
      <c r="B611" s="263"/>
      <c r="C611" s="263"/>
      <c r="D611" s="263"/>
      <c r="E611" s="109"/>
      <c r="F611" s="109"/>
      <c r="G611" s="48"/>
      <c r="H611" s="264"/>
      <c r="I611" s="265"/>
      <c r="J611" s="265"/>
      <c r="K611" s="264"/>
      <c r="L611" s="265"/>
      <c r="M611" s="264"/>
      <c r="N611" s="264"/>
      <c r="O611" s="264"/>
      <c r="P611" s="264"/>
      <c r="Q611" s="263"/>
      <c r="R611" s="263"/>
      <c r="S611" s="263"/>
      <c r="T611" s="263"/>
      <c r="U611" s="263"/>
      <c r="V611" s="109"/>
      <c r="W611" s="263"/>
      <c r="X611" s="263"/>
      <c r="Y611" s="263"/>
      <c r="Z611" s="263"/>
      <c r="AA611" s="263"/>
      <c r="AB611" s="109"/>
      <c r="AC611" s="109"/>
      <c r="AD611" s="109"/>
      <c r="AE611" s="109"/>
      <c r="AF611" s="109"/>
      <c r="AG611" s="109"/>
      <c r="AH611" s="109"/>
      <c r="AI611" s="109"/>
    </row>
    <row r="612" spans="1:35">
      <c r="A612" s="109"/>
      <c r="B612" s="263"/>
      <c r="C612" s="263"/>
      <c r="D612" s="263"/>
      <c r="E612" s="109"/>
      <c r="F612" s="109"/>
      <c r="G612" s="48"/>
      <c r="H612" s="264"/>
      <c r="I612" s="265"/>
      <c r="J612" s="265"/>
      <c r="K612" s="264"/>
      <c r="L612" s="265"/>
      <c r="M612" s="264"/>
      <c r="N612" s="264"/>
      <c r="O612" s="264"/>
      <c r="P612" s="264"/>
      <c r="Q612" s="263"/>
      <c r="R612" s="263"/>
      <c r="S612" s="263"/>
      <c r="T612" s="263"/>
      <c r="U612" s="263"/>
      <c r="V612" s="109"/>
      <c r="W612" s="263"/>
      <c r="X612" s="263"/>
      <c r="Y612" s="263"/>
      <c r="Z612" s="263"/>
      <c r="AA612" s="263"/>
      <c r="AB612" s="109"/>
      <c r="AC612" s="109"/>
      <c r="AD612" s="109"/>
      <c r="AE612" s="109"/>
      <c r="AF612" s="109"/>
      <c r="AG612" s="109"/>
      <c r="AH612" s="109"/>
      <c r="AI612" s="109"/>
    </row>
    <row r="613" spans="1:35">
      <c r="A613" s="109"/>
      <c r="B613" s="263"/>
      <c r="C613" s="263"/>
      <c r="D613" s="263"/>
      <c r="E613" s="109"/>
      <c r="F613" s="109"/>
      <c r="G613" s="48"/>
      <c r="H613" s="264"/>
      <c r="I613" s="265"/>
      <c r="J613" s="265"/>
      <c r="K613" s="264"/>
      <c r="L613" s="265"/>
      <c r="M613" s="264"/>
      <c r="N613" s="264"/>
      <c r="O613" s="264"/>
      <c r="P613" s="264"/>
      <c r="Q613" s="263"/>
      <c r="R613" s="263"/>
      <c r="S613" s="263"/>
      <c r="T613" s="263"/>
      <c r="U613" s="263"/>
      <c r="V613" s="109"/>
      <c r="W613" s="263"/>
      <c r="X613" s="263"/>
      <c r="Y613" s="263"/>
      <c r="Z613" s="263"/>
      <c r="AA613" s="263"/>
      <c r="AB613" s="109"/>
      <c r="AC613" s="109"/>
      <c r="AD613" s="109"/>
      <c r="AE613" s="109"/>
      <c r="AF613" s="109"/>
      <c r="AG613" s="109"/>
      <c r="AH613" s="109"/>
      <c r="AI613" s="109"/>
    </row>
    <row r="614" spans="1:35">
      <c r="A614" s="109"/>
      <c r="B614" s="263"/>
      <c r="C614" s="263"/>
      <c r="D614" s="263"/>
      <c r="E614" s="109"/>
      <c r="F614" s="109"/>
      <c r="G614" s="48"/>
      <c r="H614" s="264"/>
      <c r="I614" s="265"/>
      <c r="J614" s="265"/>
      <c r="K614" s="264"/>
      <c r="L614" s="265"/>
      <c r="M614" s="264"/>
      <c r="N614" s="264"/>
      <c r="O614" s="264"/>
      <c r="P614" s="264"/>
      <c r="Q614" s="263"/>
      <c r="R614" s="263"/>
      <c r="S614" s="263"/>
      <c r="T614" s="263"/>
      <c r="U614" s="263"/>
      <c r="V614" s="109"/>
      <c r="W614" s="263"/>
      <c r="X614" s="263"/>
      <c r="Y614" s="263"/>
      <c r="Z614" s="263"/>
      <c r="AA614" s="263"/>
      <c r="AB614" s="109"/>
      <c r="AC614" s="109"/>
      <c r="AD614" s="109"/>
      <c r="AE614" s="109"/>
      <c r="AF614" s="109"/>
      <c r="AG614" s="109"/>
      <c r="AH614" s="109"/>
      <c r="AI614" s="109"/>
    </row>
    <row r="615" spans="1:35">
      <c r="A615" s="109"/>
      <c r="B615" s="263"/>
      <c r="C615" s="263"/>
      <c r="D615" s="263"/>
      <c r="E615" s="109"/>
      <c r="F615" s="109"/>
      <c r="G615" s="48"/>
      <c r="H615" s="264"/>
      <c r="I615" s="265"/>
      <c r="J615" s="265"/>
      <c r="K615" s="264"/>
      <c r="L615" s="265"/>
      <c r="M615" s="264"/>
      <c r="N615" s="264"/>
      <c r="O615" s="264"/>
      <c r="P615" s="264"/>
      <c r="Q615" s="263"/>
      <c r="R615" s="263"/>
      <c r="S615" s="263"/>
      <c r="T615" s="263"/>
      <c r="U615" s="263"/>
      <c r="V615" s="109"/>
      <c r="W615" s="263"/>
      <c r="X615" s="263"/>
      <c r="Y615" s="263"/>
      <c r="Z615" s="263"/>
      <c r="AA615" s="263"/>
      <c r="AB615" s="109"/>
      <c r="AC615" s="109"/>
      <c r="AD615" s="109"/>
      <c r="AE615" s="109"/>
      <c r="AF615" s="109"/>
      <c r="AG615" s="109"/>
      <c r="AH615" s="109"/>
      <c r="AI615" s="109"/>
    </row>
    <row r="616" spans="1:35">
      <c r="A616" s="109"/>
      <c r="B616" s="263"/>
      <c r="C616" s="263"/>
      <c r="D616" s="263"/>
      <c r="E616" s="109"/>
      <c r="F616" s="109"/>
      <c r="G616" s="48"/>
      <c r="H616" s="264"/>
      <c r="I616" s="265"/>
      <c r="J616" s="265"/>
      <c r="K616" s="264"/>
      <c r="L616" s="265"/>
      <c r="M616" s="264"/>
      <c r="N616" s="264"/>
      <c r="O616" s="264"/>
      <c r="P616" s="264"/>
      <c r="Q616" s="263"/>
      <c r="R616" s="263"/>
      <c r="S616" s="263"/>
      <c r="T616" s="263"/>
      <c r="U616" s="263"/>
      <c r="V616" s="109"/>
      <c r="W616" s="263"/>
      <c r="X616" s="263"/>
      <c r="Y616" s="263"/>
      <c r="Z616" s="263"/>
      <c r="AA616" s="263"/>
      <c r="AB616" s="109"/>
      <c r="AC616" s="109"/>
      <c r="AD616" s="109"/>
      <c r="AE616" s="109"/>
      <c r="AF616" s="109"/>
      <c r="AG616" s="109"/>
      <c r="AH616" s="109"/>
      <c r="AI616" s="109"/>
    </row>
    <row r="617" spans="1:35">
      <c r="A617" s="109"/>
      <c r="B617" s="263"/>
      <c r="C617" s="263"/>
      <c r="D617" s="263"/>
      <c r="E617" s="109"/>
      <c r="F617" s="109"/>
      <c r="G617" s="48"/>
      <c r="H617" s="264"/>
      <c r="I617" s="265"/>
      <c r="J617" s="265"/>
      <c r="K617" s="264"/>
      <c r="L617" s="265"/>
      <c r="M617" s="264"/>
      <c r="N617" s="264"/>
      <c r="O617" s="264"/>
      <c r="P617" s="264"/>
      <c r="Q617" s="263"/>
      <c r="R617" s="263"/>
      <c r="S617" s="263"/>
      <c r="T617" s="263"/>
      <c r="U617" s="263"/>
      <c r="V617" s="109"/>
      <c r="W617" s="263"/>
      <c r="X617" s="263"/>
      <c r="Y617" s="263"/>
      <c r="Z617" s="263"/>
      <c r="AA617" s="263"/>
      <c r="AB617" s="109"/>
      <c r="AC617" s="109"/>
      <c r="AD617" s="109"/>
      <c r="AE617" s="109"/>
      <c r="AF617" s="109"/>
      <c r="AG617" s="109"/>
      <c r="AH617" s="109"/>
      <c r="AI617" s="109"/>
    </row>
    <row r="618" spans="1:35">
      <c r="A618" s="109"/>
      <c r="B618" s="263"/>
      <c r="C618" s="263"/>
      <c r="D618" s="263"/>
      <c r="E618" s="109"/>
      <c r="F618" s="109"/>
      <c r="G618" s="48"/>
      <c r="H618" s="264"/>
      <c r="I618" s="265"/>
      <c r="J618" s="265"/>
      <c r="K618" s="264"/>
      <c r="L618" s="265"/>
      <c r="M618" s="264"/>
      <c r="N618" s="264"/>
      <c r="O618" s="264"/>
      <c r="P618" s="264"/>
      <c r="Q618" s="263"/>
      <c r="R618" s="263"/>
      <c r="S618" s="263"/>
      <c r="T618" s="263"/>
      <c r="U618" s="263"/>
      <c r="V618" s="109"/>
      <c r="W618" s="263"/>
      <c r="X618" s="263"/>
      <c r="Y618" s="263"/>
      <c r="Z618" s="263"/>
      <c r="AA618" s="263"/>
      <c r="AB618" s="109"/>
      <c r="AC618" s="109"/>
      <c r="AD618" s="109"/>
      <c r="AE618" s="109"/>
      <c r="AF618" s="109"/>
      <c r="AG618" s="109"/>
      <c r="AH618" s="109"/>
      <c r="AI618" s="109"/>
    </row>
    <row r="619" spans="1:35">
      <c r="A619" s="109"/>
      <c r="B619" s="263"/>
      <c r="C619" s="263"/>
      <c r="D619" s="263"/>
      <c r="E619" s="109"/>
      <c r="F619" s="109"/>
      <c r="G619" s="48"/>
      <c r="H619" s="264"/>
      <c r="I619" s="265"/>
      <c r="J619" s="265"/>
      <c r="K619" s="264"/>
      <c r="L619" s="265"/>
      <c r="M619" s="264"/>
      <c r="N619" s="264"/>
      <c r="O619" s="264"/>
      <c r="P619" s="264"/>
      <c r="Q619" s="263"/>
      <c r="R619" s="263"/>
      <c r="S619" s="263"/>
      <c r="T619" s="263"/>
      <c r="U619" s="263"/>
      <c r="V619" s="109"/>
      <c r="W619" s="263"/>
      <c r="X619" s="263"/>
      <c r="Y619" s="263"/>
      <c r="Z619" s="263"/>
      <c r="AA619" s="263"/>
      <c r="AB619" s="109"/>
      <c r="AC619" s="109"/>
      <c r="AD619" s="109"/>
      <c r="AE619" s="109"/>
      <c r="AF619" s="109"/>
      <c r="AG619" s="109"/>
      <c r="AH619" s="109"/>
      <c r="AI619" s="109"/>
    </row>
    <row r="620" spans="1:35">
      <c r="A620" s="109"/>
      <c r="B620" s="263"/>
      <c r="C620" s="263"/>
      <c r="D620" s="263"/>
      <c r="E620" s="109"/>
      <c r="F620" s="109"/>
      <c r="G620" s="48"/>
      <c r="H620" s="264"/>
      <c r="I620" s="265"/>
      <c r="J620" s="265"/>
      <c r="K620" s="264"/>
      <c r="L620" s="265"/>
      <c r="M620" s="264"/>
      <c r="N620" s="264"/>
      <c r="O620" s="264"/>
      <c r="P620" s="264"/>
      <c r="Q620" s="263"/>
      <c r="R620" s="263"/>
      <c r="S620" s="263"/>
      <c r="T620" s="263"/>
      <c r="U620" s="263"/>
      <c r="V620" s="109"/>
      <c r="W620" s="263"/>
      <c r="X620" s="263"/>
      <c r="Y620" s="263"/>
      <c r="Z620" s="263"/>
      <c r="AA620" s="263"/>
      <c r="AB620" s="109"/>
      <c r="AC620" s="109"/>
      <c r="AD620" s="109"/>
      <c r="AE620" s="109"/>
      <c r="AF620" s="109"/>
      <c r="AG620" s="109"/>
      <c r="AH620" s="109"/>
      <c r="AI620" s="109"/>
    </row>
    <row r="621" spans="1:35">
      <c r="A621" s="109"/>
      <c r="B621" s="263"/>
      <c r="C621" s="263"/>
      <c r="D621" s="263"/>
      <c r="E621" s="109"/>
      <c r="F621" s="109"/>
      <c r="G621" s="48"/>
      <c r="H621" s="264"/>
      <c r="I621" s="265"/>
      <c r="J621" s="265"/>
      <c r="K621" s="264"/>
      <c r="L621" s="265"/>
      <c r="M621" s="264"/>
      <c r="N621" s="264"/>
      <c r="O621" s="264"/>
      <c r="P621" s="264"/>
      <c r="Q621" s="263"/>
      <c r="R621" s="263"/>
      <c r="S621" s="263"/>
      <c r="T621" s="263"/>
      <c r="U621" s="263"/>
      <c r="V621" s="109"/>
      <c r="W621" s="263"/>
      <c r="X621" s="263"/>
      <c r="Y621" s="263"/>
      <c r="Z621" s="263"/>
      <c r="AA621" s="263"/>
      <c r="AB621" s="109"/>
      <c r="AC621" s="109"/>
      <c r="AD621" s="109"/>
      <c r="AE621" s="109"/>
      <c r="AF621" s="109"/>
      <c r="AG621" s="109"/>
      <c r="AH621" s="109"/>
      <c r="AI621" s="109"/>
    </row>
    <row r="622" spans="1:35">
      <c r="A622" s="109"/>
      <c r="B622" s="263"/>
      <c r="C622" s="263"/>
      <c r="D622" s="263"/>
      <c r="E622" s="109"/>
      <c r="F622" s="109"/>
      <c r="G622" s="48"/>
      <c r="H622" s="264"/>
      <c r="I622" s="265"/>
      <c r="J622" s="265"/>
      <c r="K622" s="264"/>
      <c r="L622" s="265"/>
      <c r="M622" s="264"/>
      <c r="N622" s="264"/>
      <c r="O622" s="264"/>
      <c r="P622" s="264"/>
      <c r="Q622" s="263"/>
      <c r="R622" s="263"/>
      <c r="S622" s="263"/>
      <c r="T622" s="263"/>
      <c r="U622" s="263"/>
      <c r="V622" s="109"/>
      <c r="W622" s="263"/>
      <c r="X622" s="263"/>
      <c r="Y622" s="263"/>
      <c r="Z622" s="263"/>
      <c r="AA622" s="263"/>
      <c r="AB622" s="109"/>
      <c r="AC622" s="109"/>
      <c r="AD622" s="109"/>
      <c r="AE622" s="109"/>
      <c r="AF622" s="109"/>
      <c r="AG622" s="109"/>
      <c r="AH622" s="109"/>
      <c r="AI622" s="109"/>
    </row>
    <row r="623" spans="1:35">
      <c r="A623" s="109"/>
      <c r="B623" s="263"/>
      <c r="C623" s="263"/>
      <c r="D623" s="263"/>
      <c r="E623" s="109"/>
      <c r="F623" s="109"/>
      <c r="G623" s="48"/>
      <c r="H623" s="264"/>
      <c r="I623" s="265"/>
      <c r="J623" s="265"/>
      <c r="K623" s="264"/>
      <c r="L623" s="265"/>
      <c r="M623" s="264"/>
      <c r="N623" s="264"/>
      <c r="O623" s="264"/>
      <c r="P623" s="264"/>
      <c r="Q623" s="263"/>
      <c r="R623" s="263"/>
      <c r="S623" s="263"/>
      <c r="T623" s="263"/>
      <c r="U623" s="263"/>
      <c r="V623" s="109"/>
      <c r="W623" s="263"/>
      <c r="X623" s="263"/>
      <c r="Y623" s="263"/>
      <c r="Z623" s="263"/>
      <c r="AA623" s="263"/>
      <c r="AB623" s="109"/>
      <c r="AC623" s="109"/>
      <c r="AD623" s="109"/>
      <c r="AE623" s="109"/>
      <c r="AF623" s="109"/>
      <c r="AG623" s="109"/>
      <c r="AH623" s="109"/>
      <c r="AI623" s="109"/>
    </row>
    <row r="624" spans="1:35">
      <c r="A624" s="109"/>
      <c r="B624" s="263"/>
      <c r="C624" s="263"/>
      <c r="D624" s="263"/>
      <c r="E624" s="109"/>
      <c r="F624" s="109"/>
      <c r="G624" s="48"/>
      <c r="H624" s="264"/>
      <c r="I624" s="265"/>
      <c r="J624" s="265"/>
      <c r="K624" s="264"/>
      <c r="L624" s="265"/>
      <c r="M624" s="264"/>
      <c r="N624" s="264"/>
      <c r="O624" s="264"/>
      <c r="P624" s="264"/>
      <c r="Q624" s="263"/>
      <c r="R624" s="263"/>
      <c r="S624" s="263"/>
      <c r="T624" s="263"/>
      <c r="U624" s="263"/>
      <c r="V624" s="109"/>
      <c r="W624" s="263"/>
      <c r="X624" s="263"/>
      <c r="Y624" s="263"/>
      <c r="Z624" s="263"/>
      <c r="AA624" s="263"/>
      <c r="AB624" s="109"/>
      <c r="AC624" s="109"/>
      <c r="AD624" s="109"/>
      <c r="AE624" s="109"/>
      <c r="AF624" s="109"/>
      <c r="AG624" s="109"/>
      <c r="AH624" s="109"/>
      <c r="AI624" s="109"/>
    </row>
    <row r="625" spans="1:35">
      <c r="A625" s="109"/>
      <c r="B625" s="263"/>
      <c r="C625" s="263"/>
      <c r="D625" s="263"/>
      <c r="E625" s="109"/>
      <c r="F625" s="109"/>
      <c r="G625" s="48"/>
      <c r="H625" s="264"/>
      <c r="I625" s="265"/>
      <c r="J625" s="265"/>
      <c r="K625" s="264"/>
      <c r="L625" s="265"/>
      <c r="M625" s="264"/>
      <c r="N625" s="264"/>
      <c r="O625" s="264"/>
      <c r="P625" s="264"/>
      <c r="Q625" s="263"/>
      <c r="R625" s="263"/>
      <c r="S625" s="263"/>
      <c r="T625" s="263"/>
      <c r="U625" s="263"/>
      <c r="V625" s="109"/>
      <c r="W625" s="263"/>
      <c r="X625" s="263"/>
      <c r="Y625" s="263"/>
      <c r="Z625" s="263"/>
      <c r="AA625" s="263"/>
      <c r="AB625" s="109"/>
      <c r="AC625" s="109"/>
      <c r="AD625" s="109"/>
      <c r="AE625" s="109"/>
      <c r="AF625" s="109"/>
      <c r="AG625" s="109"/>
      <c r="AH625" s="109"/>
      <c r="AI625" s="109"/>
    </row>
    <row r="626" spans="1:35">
      <c r="A626" s="109"/>
      <c r="B626" s="263"/>
      <c r="C626" s="263"/>
      <c r="D626" s="263"/>
      <c r="E626" s="109"/>
      <c r="F626" s="109"/>
      <c r="G626" s="48"/>
      <c r="H626" s="264"/>
      <c r="I626" s="265"/>
      <c r="J626" s="265"/>
      <c r="K626" s="264"/>
      <c r="L626" s="265"/>
      <c r="M626" s="264"/>
      <c r="N626" s="264"/>
      <c r="O626" s="264"/>
      <c r="P626" s="264"/>
      <c r="Q626" s="263"/>
      <c r="R626" s="263"/>
      <c r="S626" s="263"/>
      <c r="T626" s="263"/>
      <c r="U626" s="263"/>
      <c r="V626" s="109"/>
      <c r="W626" s="263"/>
      <c r="X626" s="263"/>
      <c r="Y626" s="263"/>
      <c r="Z626" s="263"/>
      <c r="AA626" s="263"/>
      <c r="AB626" s="109"/>
      <c r="AC626" s="109"/>
      <c r="AD626" s="109"/>
      <c r="AE626" s="109"/>
      <c r="AF626" s="109"/>
      <c r="AG626" s="109"/>
      <c r="AH626" s="109"/>
      <c r="AI626" s="109"/>
    </row>
    <row r="627" spans="1:35">
      <c r="A627" s="109"/>
      <c r="B627" s="263"/>
      <c r="C627" s="263"/>
      <c r="D627" s="263"/>
      <c r="E627" s="109"/>
      <c r="F627" s="109"/>
      <c r="G627" s="48"/>
      <c r="H627" s="264"/>
      <c r="I627" s="265"/>
      <c r="J627" s="265"/>
      <c r="K627" s="264"/>
      <c r="L627" s="265"/>
      <c r="M627" s="264"/>
      <c r="N627" s="264"/>
      <c r="O627" s="264"/>
      <c r="P627" s="264"/>
      <c r="Q627" s="263"/>
      <c r="R627" s="263"/>
      <c r="S627" s="263"/>
      <c r="T627" s="263"/>
      <c r="U627" s="263"/>
      <c r="V627" s="109"/>
      <c r="W627" s="263"/>
      <c r="X627" s="263"/>
      <c r="Y627" s="263"/>
      <c r="Z627" s="263"/>
      <c r="AA627" s="263"/>
      <c r="AB627" s="109"/>
      <c r="AC627" s="109"/>
      <c r="AD627" s="109"/>
      <c r="AE627" s="109"/>
      <c r="AF627" s="109"/>
      <c r="AG627" s="109"/>
      <c r="AH627" s="109"/>
      <c r="AI627" s="109"/>
    </row>
    <row r="628" spans="1:35">
      <c r="A628" s="109"/>
      <c r="B628" s="263"/>
      <c r="C628" s="263"/>
      <c r="D628" s="263"/>
      <c r="E628" s="109"/>
      <c r="F628" s="109"/>
      <c r="G628" s="48"/>
      <c r="H628" s="264"/>
      <c r="I628" s="265"/>
      <c r="J628" s="265"/>
      <c r="K628" s="264"/>
      <c r="L628" s="265"/>
      <c r="M628" s="264"/>
      <c r="N628" s="264"/>
      <c r="O628" s="264"/>
      <c r="P628" s="264"/>
      <c r="Q628" s="263"/>
      <c r="R628" s="263"/>
      <c r="S628" s="263"/>
      <c r="T628" s="263"/>
      <c r="U628" s="263"/>
      <c r="V628" s="109"/>
      <c r="W628" s="263"/>
      <c r="X628" s="263"/>
      <c r="Y628" s="263"/>
      <c r="Z628" s="263"/>
      <c r="AA628" s="263"/>
      <c r="AB628" s="109"/>
      <c r="AC628" s="109"/>
      <c r="AD628" s="109"/>
      <c r="AE628" s="109"/>
      <c r="AF628" s="109"/>
      <c r="AG628" s="109"/>
      <c r="AH628" s="109"/>
      <c r="AI628" s="109"/>
    </row>
    <row r="629" spans="1:35">
      <c r="A629" s="109"/>
      <c r="B629" s="263"/>
      <c r="C629" s="263"/>
      <c r="D629" s="263"/>
      <c r="E629" s="109"/>
      <c r="F629" s="109"/>
      <c r="G629" s="48"/>
      <c r="H629" s="264"/>
      <c r="I629" s="265"/>
      <c r="J629" s="265"/>
      <c r="K629" s="264"/>
      <c r="L629" s="265"/>
      <c r="M629" s="264"/>
      <c r="N629" s="264"/>
      <c r="O629" s="264"/>
      <c r="P629" s="264"/>
      <c r="Q629" s="263"/>
      <c r="R629" s="263"/>
      <c r="S629" s="263"/>
      <c r="T629" s="263"/>
      <c r="U629" s="263"/>
      <c r="V629" s="109"/>
      <c r="W629" s="263"/>
      <c r="X629" s="263"/>
      <c r="Y629" s="263"/>
      <c r="Z629" s="263"/>
      <c r="AA629" s="263"/>
      <c r="AB629" s="109"/>
      <c r="AC629" s="109"/>
      <c r="AD629" s="109"/>
      <c r="AE629" s="109"/>
      <c r="AF629" s="109"/>
      <c r="AG629" s="109"/>
      <c r="AH629" s="109"/>
      <c r="AI629" s="109"/>
    </row>
    <row r="630" spans="1:35">
      <c r="A630" s="109"/>
      <c r="B630" s="263"/>
      <c r="C630" s="263"/>
      <c r="D630" s="263"/>
      <c r="E630" s="109"/>
      <c r="F630" s="109"/>
      <c r="G630" s="48"/>
      <c r="H630" s="264"/>
      <c r="I630" s="265"/>
      <c r="J630" s="265"/>
      <c r="K630" s="264"/>
      <c r="L630" s="265"/>
      <c r="M630" s="264"/>
      <c r="N630" s="264"/>
      <c r="O630" s="264"/>
      <c r="P630" s="264"/>
      <c r="Q630" s="263"/>
      <c r="R630" s="263"/>
      <c r="S630" s="263"/>
      <c r="T630" s="263"/>
      <c r="U630" s="263"/>
      <c r="V630" s="109"/>
      <c r="W630" s="263"/>
      <c r="X630" s="263"/>
      <c r="Y630" s="263"/>
      <c r="Z630" s="263"/>
      <c r="AA630" s="263"/>
      <c r="AB630" s="109"/>
      <c r="AC630" s="109"/>
      <c r="AD630" s="109"/>
      <c r="AE630" s="109"/>
      <c r="AF630" s="109"/>
      <c r="AG630" s="109"/>
      <c r="AH630" s="109"/>
      <c r="AI630" s="109"/>
    </row>
    <row r="631" spans="1:35">
      <c r="A631" s="109"/>
      <c r="B631" s="263"/>
      <c r="C631" s="263"/>
      <c r="D631" s="263"/>
      <c r="E631" s="109"/>
      <c r="F631" s="109"/>
      <c r="G631" s="48"/>
      <c r="H631" s="264"/>
      <c r="I631" s="265"/>
      <c r="J631" s="265"/>
      <c r="K631" s="264"/>
      <c r="L631" s="265"/>
      <c r="M631" s="264"/>
      <c r="N631" s="264"/>
      <c r="O631" s="264"/>
      <c r="P631" s="264"/>
      <c r="Q631" s="263"/>
      <c r="R631" s="263"/>
      <c r="S631" s="263"/>
      <c r="T631" s="263"/>
      <c r="U631" s="263"/>
      <c r="V631" s="109"/>
      <c r="W631" s="263"/>
      <c r="X631" s="263"/>
      <c r="Y631" s="263"/>
      <c r="Z631" s="263"/>
      <c r="AA631" s="263"/>
      <c r="AB631" s="109"/>
      <c r="AC631" s="109"/>
      <c r="AD631" s="109"/>
      <c r="AE631" s="109"/>
      <c r="AF631" s="109"/>
      <c r="AG631" s="109"/>
      <c r="AH631" s="109"/>
      <c r="AI631" s="109"/>
    </row>
    <row r="632" spans="1:35">
      <c r="A632" s="109"/>
      <c r="B632" s="263"/>
      <c r="C632" s="263"/>
      <c r="D632" s="263"/>
      <c r="E632" s="109"/>
      <c r="F632" s="109"/>
      <c r="G632" s="48"/>
      <c r="H632" s="264"/>
      <c r="I632" s="265"/>
      <c r="J632" s="265"/>
      <c r="K632" s="264"/>
      <c r="L632" s="265"/>
      <c r="M632" s="264"/>
      <c r="N632" s="264"/>
      <c r="O632" s="264"/>
      <c r="P632" s="264"/>
      <c r="Q632" s="263"/>
      <c r="R632" s="263"/>
      <c r="S632" s="263"/>
      <c r="T632" s="263"/>
      <c r="U632" s="263"/>
      <c r="V632" s="109"/>
      <c r="W632" s="263"/>
      <c r="X632" s="263"/>
      <c r="Y632" s="263"/>
      <c r="Z632" s="263"/>
      <c r="AA632" s="263"/>
      <c r="AB632" s="109"/>
      <c r="AC632" s="109"/>
      <c r="AD632" s="109"/>
      <c r="AE632" s="109"/>
      <c r="AF632" s="109"/>
      <c r="AG632" s="109"/>
      <c r="AH632" s="109"/>
      <c r="AI632" s="109"/>
    </row>
    <row r="633" spans="1:35">
      <c r="A633" s="109"/>
      <c r="B633" s="263"/>
      <c r="C633" s="263"/>
      <c r="D633" s="263"/>
      <c r="E633" s="109"/>
      <c r="F633" s="109"/>
      <c r="G633" s="48"/>
      <c r="H633" s="264"/>
      <c r="I633" s="265"/>
      <c r="J633" s="265"/>
      <c r="K633" s="264"/>
      <c r="L633" s="265"/>
      <c r="M633" s="264"/>
      <c r="N633" s="264"/>
      <c r="O633" s="264"/>
      <c r="P633" s="264"/>
      <c r="Q633" s="263"/>
      <c r="R633" s="263"/>
      <c r="S633" s="263"/>
      <c r="T633" s="263"/>
      <c r="U633" s="263"/>
      <c r="V633" s="109"/>
      <c r="W633" s="263"/>
      <c r="X633" s="263"/>
      <c r="Y633" s="263"/>
      <c r="Z633" s="263"/>
      <c r="AA633" s="263"/>
      <c r="AB633" s="109"/>
      <c r="AC633" s="109"/>
      <c r="AD633" s="109"/>
      <c r="AE633" s="109"/>
      <c r="AF633" s="109"/>
      <c r="AG633" s="109"/>
      <c r="AH633" s="109"/>
      <c r="AI633" s="109"/>
    </row>
    <row r="634" spans="1:35">
      <c r="A634" s="109"/>
      <c r="B634" s="263"/>
      <c r="C634" s="263"/>
      <c r="D634" s="263"/>
      <c r="E634" s="109"/>
      <c r="F634" s="109"/>
      <c r="G634" s="48"/>
      <c r="H634" s="264"/>
      <c r="I634" s="265"/>
      <c r="J634" s="265"/>
      <c r="K634" s="264"/>
      <c r="L634" s="265"/>
      <c r="M634" s="264"/>
      <c r="N634" s="264"/>
      <c r="O634" s="264"/>
      <c r="P634" s="264"/>
      <c r="Q634" s="263"/>
      <c r="R634" s="263"/>
      <c r="S634" s="263"/>
      <c r="T634" s="263"/>
      <c r="U634" s="263"/>
      <c r="V634" s="109"/>
      <c r="W634" s="263"/>
      <c r="X634" s="263"/>
      <c r="Y634" s="263"/>
      <c r="Z634" s="263"/>
      <c r="AA634" s="263"/>
      <c r="AB634" s="109"/>
      <c r="AC634" s="109"/>
      <c r="AD634" s="109"/>
      <c r="AE634" s="109"/>
      <c r="AF634" s="109"/>
      <c r="AG634" s="109"/>
      <c r="AH634" s="109"/>
      <c r="AI634" s="109"/>
    </row>
    <row r="635" spans="1:35">
      <c r="A635" s="109"/>
      <c r="B635" s="263"/>
      <c r="C635" s="263"/>
      <c r="D635" s="263"/>
      <c r="E635" s="109"/>
      <c r="F635" s="109"/>
      <c r="G635" s="48"/>
      <c r="H635" s="264"/>
      <c r="I635" s="265"/>
      <c r="J635" s="265"/>
      <c r="K635" s="264"/>
      <c r="L635" s="265"/>
      <c r="M635" s="264"/>
      <c r="N635" s="264"/>
      <c r="O635" s="264"/>
      <c r="P635" s="264"/>
      <c r="Q635" s="263"/>
      <c r="R635" s="263"/>
      <c r="S635" s="263"/>
      <c r="T635" s="263"/>
      <c r="U635" s="263"/>
      <c r="V635" s="109"/>
      <c r="W635" s="263"/>
      <c r="X635" s="263"/>
      <c r="Y635" s="263"/>
      <c r="Z635" s="263"/>
      <c r="AA635" s="263"/>
      <c r="AB635" s="109"/>
      <c r="AC635" s="109"/>
      <c r="AD635" s="109"/>
      <c r="AE635" s="109"/>
      <c r="AF635" s="109"/>
      <c r="AG635" s="109"/>
      <c r="AH635" s="109"/>
      <c r="AI635" s="109"/>
    </row>
    <row r="636" spans="1:35">
      <c r="A636" s="109"/>
      <c r="B636" s="263"/>
      <c r="C636" s="263"/>
      <c r="D636" s="263"/>
      <c r="E636" s="109"/>
      <c r="F636" s="109"/>
      <c r="G636" s="48"/>
      <c r="H636" s="264"/>
      <c r="I636" s="265"/>
      <c r="J636" s="265"/>
      <c r="K636" s="264"/>
      <c r="L636" s="265"/>
      <c r="M636" s="264"/>
      <c r="N636" s="264"/>
      <c r="O636" s="264"/>
      <c r="P636" s="264"/>
      <c r="Q636" s="263"/>
      <c r="R636" s="263"/>
      <c r="S636" s="263"/>
      <c r="T636" s="263"/>
      <c r="U636" s="263"/>
      <c r="V636" s="109"/>
      <c r="W636" s="263"/>
      <c r="X636" s="263"/>
      <c r="Y636" s="263"/>
      <c r="Z636" s="263"/>
      <c r="AA636" s="263"/>
      <c r="AB636" s="109"/>
      <c r="AC636" s="109"/>
      <c r="AD636" s="109"/>
      <c r="AE636" s="109"/>
      <c r="AF636" s="109"/>
      <c r="AG636" s="109"/>
      <c r="AH636" s="109"/>
      <c r="AI636" s="109"/>
    </row>
    <row r="637" spans="1:35">
      <c r="A637" s="109"/>
      <c r="B637" s="263"/>
      <c r="C637" s="263"/>
      <c r="D637" s="263"/>
      <c r="E637" s="109"/>
      <c r="F637" s="109"/>
      <c r="G637" s="48"/>
      <c r="H637" s="264"/>
      <c r="I637" s="265"/>
      <c r="J637" s="265"/>
      <c r="K637" s="264"/>
      <c r="L637" s="265"/>
      <c r="M637" s="264"/>
      <c r="N637" s="264"/>
      <c r="O637" s="264"/>
      <c r="P637" s="264"/>
      <c r="Q637" s="263"/>
      <c r="R637" s="263"/>
      <c r="S637" s="263"/>
      <c r="T637" s="263"/>
      <c r="U637" s="263"/>
      <c r="V637" s="109"/>
      <c r="W637" s="263"/>
      <c r="X637" s="263"/>
      <c r="Y637" s="263"/>
      <c r="Z637" s="263"/>
      <c r="AA637" s="263"/>
      <c r="AB637" s="109"/>
      <c r="AC637" s="109"/>
      <c r="AD637" s="109"/>
      <c r="AE637" s="109"/>
      <c r="AF637" s="109"/>
      <c r="AG637" s="109"/>
      <c r="AH637" s="109"/>
      <c r="AI637" s="109"/>
    </row>
    <row r="638" spans="1:35">
      <c r="A638" s="109"/>
      <c r="B638" s="263"/>
      <c r="C638" s="263"/>
      <c r="D638" s="263"/>
      <c r="E638" s="109"/>
      <c r="F638" s="109"/>
      <c r="G638" s="48"/>
      <c r="H638" s="264"/>
      <c r="I638" s="265"/>
      <c r="J638" s="265"/>
      <c r="K638" s="264"/>
      <c r="L638" s="265"/>
      <c r="M638" s="264"/>
      <c r="N638" s="264"/>
      <c r="O638" s="264"/>
      <c r="P638" s="264"/>
      <c r="Q638" s="263"/>
      <c r="R638" s="263"/>
      <c r="S638" s="263"/>
      <c r="T638" s="263"/>
      <c r="U638" s="263"/>
      <c r="V638" s="109"/>
      <c r="W638" s="263"/>
      <c r="X638" s="263"/>
      <c r="Y638" s="263"/>
      <c r="Z638" s="263"/>
      <c r="AA638" s="263"/>
      <c r="AB638" s="109"/>
      <c r="AC638" s="109"/>
      <c r="AD638" s="109"/>
      <c r="AE638" s="109"/>
      <c r="AF638" s="109"/>
      <c r="AG638" s="109"/>
      <c r="AH638" s="109"/>
      <c r="AI638" s="109"/>
    </row>
    <row r="639" spans="1:35">
      <c r="A639" s="109"/>
      <c r="B639" s="263"/>
      <c r="C639" s="263"/>
      <c r="D639" s="263"/>
      <c r="E639" s="109"/>
      <c r="F639" s="109"/>
      <c r="G639" s="48"/>
      <c r="H639" s="264"/>
      <c r="I639" s="265"/>
      <c r="J639" s="265"/>
      <c r="K639" s="264"/>
      <c r="L639" s="265"/>
      <c r="M639" s="264"/>
      <c r="N639" s="264"/>
      <c r="O639" s="264"/>
      <c r="P639" s="264"/>
      <c r="Q639" s="263"/>
      <c r="R639" s="263"/>
      <c r="S639" s="263"/>
      <c r="T639" s="263"/>
      <c r="U639" s="263"/>
      <c r="V639" s="109"/>
      <c r="W639" s="263"/>
      <c r="X639" s="263"/>
      <c r="Y639" s="263"/>
      <c r="Z639" s="263"/>
      <c r="AA639" s="263"/>
      <c r="AB639" s="109"/>
      <c r="AC639" s="109"/>
      <c r="AD639" s="109"/>
      <c r="AE639" s="109"/>
      <c r="AF639" s="109"/>
      <c r="AG639" s="109"/>
      <c r="AH639" s="109"/>
      <c r="AI639" s="109"/>
    </row>
    <row r="640" spans="1:35">
      <c r="A640" s="109"/>
      <c r="B640" s="263"/>
      <c r="C640" s="263"/>
      <c r="D640" s="263"/>
      <c r="E640" s="109"/>
      <c r="F640" s="109"/>
      <c r="G640" s="48"/>
      <c r="H640" s="264"/>
      <c r="I640" s="265"/>
      <c r="J640" s="265"/>
      <c r="K640" s="264"/>
      <c r="L640" s="265"/>
      <c r="M640" s="264"/>
      <c r="N640" s="264"/>
      <c r="O640" s="264"/>
      <c r="P640" s="264"/>
      <c r="Q640" s="263"/>
      <c r="R640" s="263"/>
      <c r="S640" s="263"/>
      <c r="T640" s="263"/>
      <c r="U640" s="263"/>
      <c r="V640" s="109"/>
      <c r="W640" s="263"/>
      <c r="X640" s="263"/>
      <c r="Y640" s="263"/>
      <c r="Z640" s="263"/>
      <c r="AA640" s="263"/>
      <c r="AB640" s="109"/>
      <c r="AC640" s="109"/>
      <c r="AD640" s="109"/>
      <c r="AE640" s="109"/>
      <c r="AF640" s="109"/>
      <c r="AG640" s="109"/>
      <c r="AH640" s="109"/>
      <c r="AI640" s="109"/>
    </row>
    <row r="641" spans="1:35">
      <c r="A641" s="109"/>
      <c r="B641" s="263"/>
      <c r="C641" s="263"/>
      <c r="D641" s="263"/>
      <c r="E641" s="109"/>
      <c r="F641" s="109"/>
      <c r="G641" s="48"/>
      <c r="H641" s="264"/>
      <c r="I641" s="265"/>
      <c r="J641" s="265"/>
      <c r="K641" s="264"/>
      <c r="L641" s="265"/>
      <c r="M641" s="264"/>
      <c r="N641" s="264"/>
      <c r="O641" s="264"/>
      <c r="P641" s="264"/>
      <c r="Q641" s="263"/>
      <c r="R641" s="263"/>
      <c r="S641" s="263"/>
      <c r="T641" s="263"/>
      <c r="U641" s="263"/>
      <c r="V641" s="109"/>
      <c r="W641" s="263"/>
      <c r="X641" s="263"/>
      <c r="Y641" s="263"/>
      <c r="Z641" s="263"/>
      <c r="AA641" s="263"/>
      <c r="AB641" s="109"/>
      <c r="AC641" s="109"/>
      <c r="AD641" s="109"/>
      <c r="AE641" s="109"/>
      <c r="AF641" s="109"/>
      <c r="AG641" s="109"/>
      <c r="AH641" s="109"/>
      <c r="AI641" s="109"/>
    </row>
    <row r="642" spans="1:35">
      <c r="A642" s="109"/>
      <c r="B642" s="263"/>
      <c r="C642" s="263"/>
      <c r="D642" s="263"/>
      <c r="E642" s="109"/>
      <c r="F642" s="109"/>
      <c r="G642" s="48"/>
      <c r="H642" s="264"/>
      <c r="I642" s="265"/>
      <c r="J642" s="265"/>
      <c r="K642" s="264"/>
      <c r="L642" s="265"/>
      <c r="M642" s="264"/>
      <c r="N642" s="264"/>
      <c r="O642" s="264"/>
      <c r="P642" s="264"/>
      <c r="Q642" s="263"/>
      <c r="R642" s="263"/>
      <c r="S642" s="263"/>
      <c r="T642" s="263"/>
      <c r="U642" s="263"/>
      <c r="V642" s="109"/>
      <c r="W642" s="263"/>
      <c r="X642" s="263"/>
      <c r="Y642" s="263"/>
      <c r="Z642" s="263"/>
      <c r="AA642" s="263"/>
      <c r="AB642" s="109"/>
      <c r="AC642" s="109"/>
      <c r="AD642" s="109"/>
      <c r="AE642" s="109"/>
      <c r="AF642" s="109"/>
      <c r="AG642" s="109"/>
      <c r="AH642" s="109"/>
      <c r="AI642" s="109"/>
    </row>
    <row r="643" spans="1:35">
      <c r="A643" s="109"/>
      <c r="B643" s="263"/>
      <c r="C643" s="263"/>
      <c r="D643" s="263"/>
      <c r="E643" s="109"/>
      <c r="F643" s="109"/>
      <c r="G643" s="48"/>
      <c r="H643" s="264"/>
      <c r="I643" s="265"/>
      <c r="J643" s="265"/>
      <c r="K643" s="264"/>
      <c r="L643" s="265"/>
      <c r="M643" s="264"/>
      <c r="N643" s="264"/>
      <c r="O643" s="264"/>
      <c r="P643" s="264"/>
      <c r="Q643" s="263"/>
      <c r="R643" s="263"/>
      <c r="S643" s="263"/>
      <c r="T643" s="263"/>
      <c r="U643" s="263"/>
      <c r="V643" s="109"/>
      <c r="W643" s="263"/>
      <c r="X643" s="263"/>
      <c r="Y643" s="263"/>
      <c r="Z643" s="263"/>
      <c r="AA643" s="263"/>
      <c r="AB643" s="109"/>
      <c r="AC643" s="109"/>
      <c r="AD643" s="109"/>
      <c r="AE643" s="109"/>
      <c r="AF643" s="109"/>
      <c r="AG643" s="109"/>
      <c r="AH643" s="109"/>
      <c r="AI643" s="109"/>
    </row>
    <row r="644" spans="1:35">
      <c r="A644" s="109"/>
      <c r="B644" s="263"/>
      <c r="C644" s="263"/>
      <c r="D644" s="263"/>
      <c r="E644" s="109"/>
      <c r="F644" s="109"/>
      <c r="G644" s="48"/>
      <c r="H644" s="264"/>
      <c r="I644" s="265"/>
      <c r="J644" s="265"/>
      <c r="K644" s="264"/>
      <c r="L644" s="265"/>
      <c r="M644" s="264"/>
      <c r="N644" s="264"/>
      <c r="O644" s="264"/>
      <c r="P644" s="264"/>
      <c r="Q644" s="263"/>
      <c r="R644" s="263"/>
      <c r="S644" s="263"/>
      <c r="T644" s="263"/>
      <c r="U644" s="263"/>
      <c r="V644" s="109"/>
      <c r="W644" s="263"/>
      <c r="X644" s="263"/>
      <c r="Y644" s="263"/>
      <c r="Z644" s="263"/>
      <c r="AA644" s="263"/>
      <c r="AB644" s="109"/>
      <c r="AC644" s="109"/>
      <c r="AD644" s="109"/>
      <c r="AE644" s="109"/>
      <c r="AF644" s="109"/>
      <c r="AG644" s="109"/>
      <c r="AH644" s="109"/>
      <c r="AI644" s="109"/>
    </row>
    <row r="645" spans="1:35">
      <c r="A645" s="109"/>
      <c r="B645" s="263"/>
      <c r="C645" s="263"/>
      <c r="D645" s="263"/>
      <c r="E645" s="109"/>
      <c r="F645" s="109"/>
      <c r="G645" s="48"/>
      <c r="H645" s="264"/>
      <c r="I645" s="265"/>
      <c r="J645" s="265"/>
      <c r="K645" s="264"/>
      <c r="L645" s="265"/>
      <c r="M645" s="264"/>
      <c r="N645" s="264"/>
      <c r="O645" s="264"/>
      <c r="P645" s="264"/>
      <c r="Q645" s="263"/>
      <c r="R645" s="263"/>
      <c r="S645" s="263"/>
      <c r="T645" s="263"/>
      <c r="U645" s="263"/>
      <c r="V645" s="109"/>
      <c r="W645" s="263"/>
      <c r="X645" s="263"/>
      <c r="Y645" s="263"/>
      <c r="Z645" s="263"/>
      <c r="AA645" s="263"/>
      <c r="AB645" s="109"/>
      <c r="AC645" s="109"/>
      <c r="AD645" s="109"/>
      <c r="AE645" s="109"/>
      <c r="AF645" s="109"/>
      <c r="AG645" s="109"/>
      <c r="AH645" s="109"/>
      <c r="AI645" s="109"/>
    </row>
    <row r="646" spans="1:35">
      <c r="A646" s="109"/>
      <c r="B646" s="263"/>
      <c r="C646" s="263"/>
      <c r="D646" s="263"/>
      <c r="E646" s="109"/>
      <c r="F646" s="109"/>
      <c r="G646" s="48"/>
      <c r="H646" s="264"/>
      <c r="I646" s="265"/>
      <c r="J646" s="265"/>
      <c r="K646" s="264"/>
      <c r="L646" s="265"/>
      <c r="M646" s="264"/>
      <c r="N646" s="264"/>
      <c r="O646" s="264"/>
      <c r="P646" s="264"/>
      <c r="Q646" s="263"/>
      <c r="R646" s="263"/>
      <c r="S646" s="263"/>
      <c r="T646" s="263"/>
      <c r="U646" s="263"/>
      <c r="V646" s="109"/>
      <c r="W646" s="263"/>
      <c r="X646" s="263"/>
      <c r="Y646" s="263"/>
      <c r="Z646" s="263"/>
      <c r="AA646" s="263"/>
      <c r="AB646" s="109"/>
      <c r="AC646" s="109"/>
      <c r="AD646" s="109"/>
      <c r="AE646" s="109"/>
      <c r="AF646" s="109"/>
      <c r="AG646" s="109"/>
      <c r="AH646" s="109"/>
      <c r="AI646" s="109"/>
    </row>
    <row r="647" spans="1:35">
      <c r="A647" s="109"/>
      <c r="B647" s="263"/>
      <c r="C647" s="263"/>
      <c r="D647" s="263"/>
      <c r="E647" s="109"/>
      <c r="F647" s="109"/>
      <c r="G647" s="48"/>
      <c r="H647" s="264"/>
      <c r="I647" s="265"/>
      <c r="J647" s="265"/>
      <c r="K647" s="264"/>
      <c r="L647" s="265"/>
      <c r="M647" s="264"/>
      <c r="N647" s="264"/>
      <c r="O647" s="264"/>
      <c r="P647" s="264"/>
      <c r="Q647" s="263"/>
      <c r="R647" s="263"/>
      <c r="S647" s="263"/>
      <c r="T647" s="263"/>
      <c r="U647" s="263"/>
      <c r="V647" s="109"/>
      <c r="W647" s="263"/>
      <c r="X647" s="263"/>
      <c r="Y647" s="263"/>
      <c r="Z647" s="263"/>
      <c r="AA647" s="263"/>
      <c r="AB647" s="109"/>
      <c r="AC647" s="109"/>
      <c r="AD647" s="109"/>
      <c r="AE647" s="109"/>
      <c r="AF647" s="109"/>
      <c r="AG647" s="109"/>
      <c r="AH647" s="109"/>
      <c r="AI647" s="109"/>
    </row>
    <row r="648" spans="1:35">
      <c r="A648" s="109"/>
      <c r="B648" s="263"/>
      <c r="C648" s="263"/>
      <c r="D648" s="263"/>
      <c r="E648" s="109"/>
      <c r="F648" s="109"/>
      <c r="G648" s="48"/>
      <c r="H648" s="264"/>
      <c r="I648" s="265"/>
      <c r="J648" s="265"/>
      <c r="K648" s="264"/>
      <c r="L648" s="265"/>
      <c r="M648" s="264"/>
      <c r="N648" s="264"/>
      <c r="O648" s="264"/>
      <c r="P648" s="264"/>
      <c r="Q648" s="263"/>
      <c r="R648" s="263"/>
      <c r="S648" s="263"/>
      <c r="T648" s="263"/>
      <c r="U648" s="263"/>
      <c r="V648" s="109"/>
      <c r="W648" s="263"/>
      <c r="X648" s="263"/>
      <c r="Y648" s="263"/>
      <c r="Z648" s="263"/>
      <c r="AA648" s="263"/>
      <c r="AB648" s="109"/>
      <c r="AC648" s="109"/>
      <c r="AD648" s="109"/>
      <c r="AE648" s="109"/>
      <c r="AF648" s="109"/>
      <c r="AG648" s="109"/>
      <c r="AH648" s="109"/>
      <c r="AI648" s="109"/>
    </row>
    <row r="649" spans="1:35">
      <c r="A649" s="109"/>
      <c r="B649" s="263"/>
      <c r="C649" s="263"/>
      <c r="D649" s="263"/>
      <c r="E649" s="109"/>
      <c r="F649" s="109"/>
      <c r="G649" s="48"/>
      <c r="H649" s="264"/>
      <c r="I649" s="265"/>
      <c r="J649" s="265"/>
      <c r="K649" s="264"/>
      <c r="L649" s="265"/>
      <c r="M649" s="264"/>
      <c r="N649" s="264"/>
      <c r="O649" s="264"/>
      <c r="P649" s="264"/>
      <c r="Q649" s="263"/>
      <c r="R649" s="263"/>
      <c r="S649" s="263"/>
      <c r="T649" s="263"/>
      <c r="U649" s="263"/>
      <c r="V649" s="109"/>
      <c r="W649" s="263"/>
      <c r="X649" s="263"/>
      <c r="Y649" s="263"/>
      <c r="Z649" s="263"/>
      <c r="AA649" s="263"/>
      <c r="AB649" s="109"/>
      <c r="AC649" s="109"/>
      <c r="AD649" s="109"/>
      <c r="AE649" s="109"/>
      <c r="AF649" s="109"/>
      <c r="AG649" s="109"/>
      <c r="AH649" s="109"/>
      <c r="AI649" s="109"/>
    </row>
    <row r="650" spans="1:35">
      <c r="A650" s="109"/>
      <c r="B650" s="263"/>
      <c r="C650" s="263"/>
      <c r="D650" s="263"/>
      <c r="E650" s="109"/>
      <c r="F650" s="109"/>
      <c r="G650" s="48"/>
      <c r="H650" s="264"/>
      <c r="I650" s="265"/>
      <c r="J650" s="265"/>
      <c r="K650" s="264"/>
      <c r="L650" s="265"/>
      <c r="M650" s="264"/>
      <c r="N650" s="264"/>
      <c r="O650" s="264"/>
      <c r="P650" s="264"/>
      <c r="Q650" s="263"/>
      <c r="R650" s="263"/>
      <c r="S650" s="263"/>
      <c r="T650" s="263"/>
      <c r="U650" s="263"/>
      <c r="V650" s="109"/>
      <c r="W650" s="263"/>
      <c r="X650" s="263"/>
      <c r="Y650" s="263"/>
      <c r="Z650" s="263"/>
      <c r="AA650" s="263"/>
      <c r="AB650" s="109"/>
      <c r="AC650" s="109"/>
      <c r="AD650" s="109"/>
      <c r="AE650" s="109"/>
      <c r="AF650" s="109"/>
      <c r="AG650" s="109"/>
      <c r="AH650" s="109"/>
      <c r="AI650" s="109"/>
    </row>
    <row r="651" spans="1:35">
      <c r="A651" s="109"/>
      <c r="B651" s="263"/>
      <c r="C651" s="263"/>
      <c r="D651" s="263"/>
      <c r="E651" s="109"/>
      <c r="F651" s="109"/>
      <c r="G651" s="48"/>
      <c r="H651" s="264"/>
      <c r="I651" s="265"/>
      <c r="J651" s="265"/>
      <c r="K651" s="264"/>
      <c r="L651" s="265"/>
      <c r="M651" s="264"/>
      <c r="N651" s="264"/>
      <c r="O651" s="264"/>
      <c r="P651" s="264"/>
      <c r="Q651" s="263"/>
      <c r="R651" s="263"/>
      <c r="S651" s="263"/>
      <c r="T651" s="263"/>
      <c r="U651" s="263"/>
      <c r="V651" s="109"/>
      <c r="W651" s="263"/>
      <c r="X651" s="263"/>
      <c r="Y651" s="263"/>
      <c r="Z651" s="263"/>
      <c r="AA651" s="263"/>
      <c r="AB651" s="109"/>
      <c r="AC651" s="109"/>
      <c r="AD651" s="109"/>
      <c r="AE651" s="109"/>
      <c r="AF651" s="109"/>
      <c r="AG651" s="109"/>
      <c r="AH651" s="109"/>
      <c r="AI651" s="109"/>
    </row>
    <row r="652" spans="1:35">
      <c r="A652" s="109"/>
      <c r="B652" s="263"/>
      <c r="C652" s="263"/>
      <c r="D652" s="263"/>
      <c r="E652" s="109"/>
      <c r="F652" s="109"/>
      <c r="G652" s="48"/>
      <c r="H652" s="264"/>
      <c r="I652" s="265"/>
      <c r="J652" s="265"/>
      <c r="K652" s="264"/>
      <c r="L652" s="265"/>
      <c r="M652" s="264"/>
      <c r="N652" s="264"/>
      <c r="O652" s="264"/>
      <c r="P652" s="264"/>
      <c r="Q652" s="263"/>
      <c r="R652" s="263"/>
      <c r="S652" s="263"/>
      <c r="T652" s="263"/>
      <c r="U652" s="263"/>
      <c r="V652" s="109"/>
      <c r="W652" s="263"/>
      <c r="X652" s="263"/>
      <c r="Y652" s="263"/>
      <c r="Z652" s="263"/>
      <c r="AA652" s="263"/>
      <c r="AB652" s="109"/>
      <c r="AC652" s="109"/>
      <c r="AD652" s="109"/>
      <c r="AE652" s="109"/>
      <c r="AF652" s="109"/>
      <c r="AG652" s="109"/>
      <c r="AH652" s="109"/>
      <c r="AI652" s="109"/>
    </row>
    <row r="653" spans="1:35">
      <c r="A653" s="109"/>
      <c r="B653" s="263"/>
      <c r="C653" s="263"/>
      <c r="D653" s="263"/>
      <c r="E653" s="109"/>
      <c r="F653" s="109"/>
      <c r="G653" s="48"/>
      <c r="H653" s="264"/>
      <c r="I653" s="265"/>
      <c r="J653" s="265"/>
      <c r="K653" s="264"/>
      <c r="L653" s="265"/>
      <c r="M653" s="264"/>
      <c r="N653" s="264"/>
      <c r="O653" s="264"/>
      <c r="P653" s="264"/>
      <c r="Q653" s="263"/>
      <c r="R653" s="263"/>
      <c r="S653" s="263"/>
      <c r="T653" s="263"/>
      <c r="U653" s="263"/>
      <c r="V653" s="109"/>
      <c r="W653" s="263"/>
      <c r="X653" s="263"/>
      <c r="Y653" s="263"/>
      <c r="Z653" s="263"/>
      <c r="AA653" s="263"/>
      <c r="AB653" s="109"/>
      <c r="AC653" s="109"/>
      <c r="AD653" s="109"/>
      <c r="AE653" s="109"/>
      <c r="AF653" s="109"/>
      <c r="AG653" s="109"/>
      <c r="AH653" s="109"/>
      <c r="AI653" s="109"/>
    </row>
    <row r="654" spans="1:35">
      <c r="A654" s="109"/>
      <c r="B654" s="263"/>
      <c r="C654" s="263"/>
      <c r="D654" s="263"/>
      <c r="E654" s="109"/>
      <c r="F654" s="109"/>
      <c r="G654" s="48"/>
      <c r="H654" s="264"/>
      <c r="I654" s="265"/>
      <c r="J654" s="265"/>
      <c r="K654" s="264"/>
      <c r="L654" s="265"/>
      <c r="M654" s="264"/>
      <c r="N654" s="264"/>
      <c r="O654" s="264"/>
      <c r="P654" s="264"/>
      <c r="Q654" s="263"/>
      <c r="R654" s="263"/>
      <c r="S654" s="263"/>
      <c r="T654" s="263"/>
      <c r="U654" s="263"/>
      <c r="V654" s="109"/>
      <c r="W654" s="263"/>
      <c r="X654" s="263"/>
      <c r="Y654" s="263"/>
      <c r="Z654" s="263"/>
      <c r="AA654" s="263"/>
      <c r="AB654" s="109"/>
      <c r="AC654" s="109"/>
      <c r="AD654" s="109"/>
      <c r="AE654" s="109"/>
      <c r="AF654" s="109"/>
      <c r="AG654" s="109"/>
      <c r="AH654" s="109"/>
      <c r="AI654" s="109"/>
    </row>
    <row r="655" spans="1:35">
      <c r="A655" s="109"/>
      <c r="B655" s="263"/>
      <c r="C655" s="263"/>
      <c r="D655" s="263"/>
      <c r="E655" s="109"/>
      <c r="F655" s="109"/>
      <c r="G655" s="48"/>
      <c r="H655" s="264"/>
      <c r="I655" s="265"/>
      <c r="J655" s="265"/>
      <c r="K655" s="264"/>
      <c r="L655" s="265"/>
      <c r="M655" s="264"/>
      <c r="N655" s="264"/>
      <c r="O655" s="264"/>
      <c r="P655" s="264"/>
      <c r="Q655" s="263"/>
      <c r="R655" s="263"/>
      <c r="S655" s="263"/>
      <c r="T655" s="263"/>
      <c r="U655" s="263"/>
      <c r="V655" s="109"/>
      <c r="W655" s="263"/>
      <c r="X655" s="263"/>
      <c r="Y655" s="263"/>
      <c r="Z655" s="263"/>
      <c r="AA655" s="263"/>
      <c r="AB655" s="109"/>
      <c r="AC655" s="109"/>
      <c r="AD655" s="109"/>
      <c r="AE655" s="109"/>
      <c r="AF655" s="109"/>
      <c r="AG655" s="109"/>
      <c r="AH655" s="109"/>
      <c r="AI655" s="109"/>
    </row>
    <row r="656" spans="1:35">
      <c r="A656" s="109"/>
      <c r="B656" s="263"/>
      <c r="C656" s="263"/>
      <c r="D656" s="263"/>
      <c r="E656" s="109"/>
      <c r="F656" s="109"/>
      <c r="G656" s="48"/>
      <c r="H656" s="264"/>
      <c r="I656" s="265"/>
      <c r="J656" s="265"/>
      <c r="K656" s="264"/>
      <c r="L656" s="265"/>
      <c r="M656" s="264"/>
      <c r="N656" s="264"/>
      <c r="O656" s="264"/>
      <c r="P656" s="264"/>
      <c r="Q656" s="263"/>
      <c r="R656" s="263"/>
      <c r="S656" s="263"/>
      <c r="T656" s="263"/>
      <c r="U656" s="263"/>
      <c r="V656" s="109"/>
      <c r="W656" s="263"/>
      <c r="X656" s="263"/>
      <c r="Y656" s="263"/>
      <c r="Z656" s="263"/>
      <c r="AA656" s="263"/>
      <c r="AB656" s="109"/>
      <c r="AC656" s="109"/>
      <c r="AD656" s="109"/>
      <c r="AE656" s="109"/>
      <c r="AF656" s="109"/>
      <c r="AG656" s="109"/>
      <c r="AH656" s="109"/>
      <c r="AI656" s="109"/>
    </row>
    <row r="657" spans="1:35">
      <c r="A657" s="109"/>
      <c r="B657" s="263"/>
      <c r="C657" s="263"/>
      <c r="D657" s="263"/>
      <c r="E657" s="109"/>
      <c r="F657" s="109"/>
      <c r="G657" s="48"/>
      <c r="H657" s="264"/>
      <c r="I657" s="265"/>
      <c r="J657" s="265"/>
      <c r="K657" s="264"/>
      <c r="L657" s="265"/>
      <c r="M657" s="264"/>
      <c r="N657" s="264"/>
      <c r="O657" s="264"/>
      <c r="P657" s="264"/>
      <c r="Q657" s="263"/>
      <c r="R657" s="263"/>
      <c r="S657" s="263"/>
      <c r="T657" s="263"/>
      <c r="U657" s="263"/>
      <c r="V657" s="109"/>
      <c r="W657" s="263"/>
      <c r="X657" s="263"/>
      <c r="Y657" s="263"/>
      <c r="Z657" s="263"/>
      <c r="AA657" s="263"/>
      <c r="AB657" s="109"/>
      <c r="AC657" s="109"/>
      <c r="AD657" s="109"/>
      <c r="AE657" s="109"/>
      <c r="AF657" s="109"/>
      <c r="AG657" s="109"/>
      <c r="AH657" s="109"/>
      <c r="AI657" s="109"/>
    </row>
    <row r="658" spans="1:35">
      <c r="A658" s="109"/>
      <c r="B658" s="263"/>
      <c r="C658" s="263"/>
      <c r="D658" s="263"/>
      <c r="E658" s="109"/>
      <c r="F658" s="109"/>
      <c r="G658" s="48"/>
      <c r="H658" s="264"/>
      <c r="I658" s="265"/>
      <c r="J658" s="265"/>
      <c r="K658" s="264"/>
      <c r="L658" s="265"/>
      <c r="M658" s="264"/>
      <c r="N658" s="264"/>
      <c r="O658" s="264"/>
      <c r="P658" s="264"/>
      <c r="Q658" s="263"/>
      <c r="R658" s="263"/>
      <c r="S658" s="263"/>
      <c r="T658" s="263"/>
      <c r="U658" s="263"/>
      <c r="V658" s="109"/>
      <c r="W658" s="263"/>
      <c r="X658" s="263"/>
      <c r="Y658" s="263"/>
      <c r="Z658" s="263"/>
      <c r="AA658" s="263"/>
      <c r="AB658" s="109"/>
      <c r="AC658" s="109"/>
      <c r="AD658" s="109"/>
      <c r="AE658" s="109"/>
      <c r="AF658" s="109"/>
      <c r="AG658" s="109"/>
      <c r="AH658" s="109"/>
      <c r="AI658" s="109"/>
    </row>
    <row r="659" spans="1:35">
      <c r="A659" s="109"/>
      <c r="B659" s="263"/>
      <c r="C659" s="263"/>
      <c r="D659" s="263"/>
      <c r="E659" s="109"/>
      <c r="F659" s="109"/>
      <c r="G659" s="48"/>
      <c r="H659" s="264"/>
      <c r="I659" s="265"/>
      <c r="J659" s="265"/>
      <c r="K659" s="264"/>
      <c r="L659" s="265"/>
      <c r="M659" s="264"/>
      <c r="N659" s="264"/>
      <c r="O659" s="264"/>
      <c r="P659" s="264"/>
      <c r="Q659" s="263"/>
      <c r="R659" s="263"/>
      <c r="S659" s="263"/>
      <c r="T659" s="263"/>
      <c r="U659" s="263"/>
      <c r="V659" s="109"/>
      <c r="W659" s="263"/>
      <c r="X659" s="263"/>
      <c r="Y659" s="263"/>
      <c r="Z659" s="263"/>
      <c r="AA659" s="263"/>
      <c r="AB659" s="109"/>
      <c r="AC659" s="109"/>
      <c r="AD659" s="109"/>
      <c r="AE659" s="109"/>
      <c r="AF659" s="109"/>
      <c r="AG659" s="109"/>
      <c r="AH659" s="109"/>
      <c r="AI659" s="109"/>
    </row>
    <row r="660" spans="1:35">
      <c r="A660" s="109"/>
      <c r="B660" s="263"/>
      <c r="C660" s="263"/>
      <c r="D660" s="263"/>
      <c r="E660" s="109"/>
      <c r="F660" s="109"/>
      <c r="G660" s="48"/>
      <c r="H660" s="264"/>
      <c r="I660" s="265"/>
      <c r="J660" s="265"/>
      <c r="K660" s="264"/>
      <c r="L660" s="265"/>
      <c r="M660" s="264"/>
      <c r="N660" s="264"/>
      <c r="O660" s="264"/>
      <c r="P660" s="264"/>
      <c r="Q660" s="263"/>
      <c r="R660" s="263"/>
      <c r="S660" s="263"/>
      <c r="T660" s="263"/>
      <c r="U660" s="263"/>
      <c r="V660" s="109"/>
      <c r="W660" s="263"/>
      <c r="X660" s="263"/>
      <c r="Y660" s="263"/>
      <c r="Z660" s="263"/>
      <c r="AA660" s="263"/>
      <c r="AB660" s="109"/>
      <c r="AC660" s="109"/>
      <c r="AD660" s="109"/>
      <c r="AE660" s="109"/>
      <c r="AF660" s="109"/>
      <c r="AG660" s="109"/>
      <c r="AH660" s="109"/>
      <c r="AI660" s="109"/>
    </row>
    <row r="661" spans="1:35">
      <c r="A661" s="109"/>
      <c r="B661" s="263"/>
      <c r="C661" s="263"/>
      <c r="D661" s="263"/>
      <c r="E661" s="109"/>
      <c r="F661" s="109"/>
      <c r="G661" s="48"/>
      <c r="H661" s="264"/>
      <c r="I661" s="265"/>
      <c r="J661" s="265"/>
      <c r="K661" s="264"/>
      <c r="L661" s="265"/>
      <c r="M661" s="264"/>
      <c r="N661" s="264"/>
      <c r="O661" s="264"/>
      <c r="P661" s="264"/>
      <c r="Q661" s="263"/>
      <c r="R661" s="263"/>
      <c r="S661" s="263"/>
      <c r="T661" s="263"/>
      <c r="U661" s="263"/>
      <c r="V661" s="109"/>
      <c r="W661" s="263"/>
      <c r="X661" s="263"/>
      <c r="Y661" s="263"/>
      <c r="Z661" s="263"/>
      <c r="AA661" s="263"/>
      <c r="AB661" s="109"/>
      <c r="AC661" s="109"/>
      <c r="AD661" s="109"/>
      <c r="AE661" s="109"/>
      <c r="AF661" s="109"/>
      <c r="AG661" s="109"/>
      <c r="AH661" s="109"/>
      <c r="AI661" s="109"/>
    </row>
    <row r="662" spans="1:35">
      <c r="A662" s="109"/>
      <c r="B662" s="263"/>
      <c r="C662" s="263"/>
      <c r="D662" s="263"/>
      <c r="E662" s="109"/>
      <c r="F662" s="109"/>
      <c r="G662" s="48"/>
      <c r="H662" s="264"/>
      <c r="I662" s="265"/>
      <c r="J662" s="265"/>
      <c r="K662" s="264"/>
      <c r="L662" s="265"/>
      <c r="M662" s="264"/>
      <c r="N662" s="264"/>
      <c r="O662" s="264"/>
      <c r="P662" s="264"/>
      <c r="Q662" s="263"/>
      <c r="R662" s="263"/>
      <c r="S662" s="263"/>
      <c r="T662" s="263"/>
      <c r="U662" s="263"/>
      <c r="V662" s="109"/>
      <c r="W662" s="263"/>
      <c r="X662" s="263"/>
      <c r="Y662" s="263"/>
      <c r="Z662" s="263"/>
      <c r="AA662" s="263"/>
      <c r="AB662" s="109"/>
      <c r="AC662" s="109"/>
      <c r="AD662" s="109"/>
      <c r="AE662" s="109"/>
      <c r="AF662" s="109"/>
      <c r="AG662" s="109"/>
      <c r="AH662" s="109"/>
      <c r="AI662" s="109"/>
    </row>
    <row r="663" spans="1:35">
      <c r="A663" s="109"/>
      <c r="B663" s="263"/>
      <c r="C663" s="263"/>
      <c r="D663" s="263"/>
      <c r="E663" s="109"/>
      <c r="F663" s="109"/>
      <c r="G663" s="48"/>
      <c r="H663" s="264"/>
      <c r="I663" s="265"/>
      <c r="J663" s="265"/>
      <c r="K663" s="264"/>
      <c r="L663" s="265"/>
      <c r="M663" s="264"/>
      <c r="N663" s="264"/>
      <c r="O663" s="264"/>
      <c r="P663" s="264"/>
      <c r="Q663" s="263"/>
      <c r="R663" s="263"/>
      <c r="S663" s="263"/>
      <c r="T663" s="263"/>
      <c r="U663" s="263"/>
      <c r="V663" s="109"/>
      <c r="W663" s="263"/>
      <c r="X663" s="263"/>
      <c r="Y663" s="263"/>
      <c r="Z663" s="263"/>
      <c r="AA663" s="263"/>
      <c r="AB663" s="109"/>
      <c r="AC663" s="109"/>
      <c r="AD663" s="109"/>
      <c r="AE663" s="109"/>
      <c r="AF663" s="109"/>
      <c r="AG663" s="109"/>
      <c r="AH663" s="109"/>
      <c r="AI663" s="109"/>
    </row>
    <row r="664" spans="1:35">
      <c r="A664" s="109"/>
      <c r="B664" s="263"/>
      <c r="C664" s="263"/>
      <c r="D664" s="263"/>
      <c r="E664" s="109"/>
      <c r="F664" s="109"/>
      <c r="G664" s="48"/>
      <c r="H664" s="264"/>
      <c r="I664" s="265"/>
      <c r="J664" s="265"/>
      <c r="K664" s="264"/>
      <c r="L664" s="265"/>
      <c r="M664" s="264"/>
      <c r="N664" s="264"/>
      <c r="O664" s="264"/>
      <c r="P664" s="264"/>
      <c r="Q664" s="263"/>
      <c r="R664" s="263"/>
      <c r="S664" s="263"/>
      <c r="T664" s="263"/>
      <c r="U664" s="263"/>
      <c r="V664" s="109"/>
      <c r="W664" s="263"/>
      <c r="X664" s="263"/>
      <c r="Y664" s="263"/>
      <c r="Z664" s="263"/>
      <c r="AA664" s="263"/>
      <c r="AB664" s="109"/>
      <c r="AC664" s="109"/>
      <c r="AD664" s="109"/>
      <c r="AE664" s="109"/>
      <c r="AF664" s="109"/>
      <c r="AG664" s="109"/>
      <c r="AH664" s="109"/>
      <c r="AI664" s="109"/>
    </row>
    <row r="665" spans="1:35">
      <c r="A665" s="109"/>
      <c r="B665" s="263"/>
      <c r="C665" s="263"/>
      <c r="D665" s="263"/>
      <c r="E665" s="109"/>
      <c r="F665" s="109"/>
      <c r="G665" s="48"/>
      <c r="H665" s="264"/>
      <c r="I665" s="265"/>
      <c r="J665" s="265"/>
      <c r="K665" s="264"/>
      <c r="L665" s="265"/>
      <c r="M665" s="264"/>
      <c r="N665" s="264"/>
      <c r="O665" s="264"/>
      <c r="P665" s="264"/>
      <c r="Q665" s="263"/>
      <c r="R665" s="263"/>
      <c r="S665" s="263"/>
      <c r="T665" s="263"/>
      <c r="U665" s="263"/>
      <c r="V665" s="109"/>
      <c r="W665" s="263"/>
      <c r="X665" s="263"/>
      <c r="Y665" s="263"/>
      <c r="Z665" s="263"/>
      <c r="AA665" s="263"/>
      <c r="AB665" s="109"/>
      <c r="AC665" s="109"/>
      <c r="AD665" s="109"/>
      <c r="AE665" s="109"/>
      <c r="AF665" s="109"/>
      <c r="AG665" s="109"/>
      <c r="AH665" s="109"/>
      <c r="AI665" s="109"/>
    </row>
    <row r="666" spans="1:35">
      <c r="A666" s="109"/>
      <c r="B666" s="263"/>
      <c r="C666" s="263"/>
      <c r="D666" s="263"/>
      <c r="E666" s="109"/>
      <c r="F666" s="109"/>
      <c r="G666" s="48"/>
      <c r="H666" s="264"/>
      <c r="I666" s="265"/>
      <c r="J666" s="265"/>
      <c r="K666" s="264"/>
      <c r="L666" s="265"/>
      <c r="M666" s="264"/>
      <c r="N666" s="264"/>
      <c r="O666" s="264"/>
      <c r="P666" s="264"/>
      <c r="Q666" s="263"/>
      <c r="R666" s="263"/>
      <c r="S666" s="263"/>
      <c r="T666" s="263"/>
      <c r="U666" s="263"/>
      <c r="V666" s="109"/>
      <c r="W666" s="263"/>
      <c r="X666" s="263"/>
      <c r="Y666" s="263"/>
      <c r="Z666" s="263"/>
      <c r="AA666" s="263"/>
      <c r="AB666" s="109"/>
      <c r="AC666" s="109"/>
      <c r="AD666" s="109"/>
      <c r="AE666" s="109"/>
      <c r="AF666" s="109"/>
      <c r="AG666" s="109"/>
      <c r="AH666" s="109"/>
      <c r="AI666" s="109"/>
    </row>
    <row r="667" spans="1:35">
      <c r="A667" s="109"/>
      <c r="B667" s="263"/>
      <c r="C667" s="263"/>
      <c r="D667" s="263"/>
      <c r="E667" s="109"/>
      <c r="F667" s="109"/>
      <c r="G667" s="48"/>
      <c r="H667" s="264"/>
      <c r="I667" s="265"/>
      <c r="J667" s="265"/>
      <c r="K667" s="264"/>
      <c r="L667" s="265"/>
      <c r="M667" s="264"/>
      <c r="N667" s="264"/>
      <c r="O667" s="264"/>
      <c r="P667" s="264"/>
      <c r="Q667" s="263"/>
      <c r="R667" s="263"/>
      <c r="S667" s="263"/>
      <c r="T667" s="263"/>
      <c r="U667" s="263"/>
      <c r="V667" s="109"/>
      <c r="W667" s="263"/>
      <c r="X667" s="263"/>
      <c r="Y667" s="263"/>
      <c r="Z667" s="263"/>
      <c r="AA667" s="263"/>
      <c r="AB667" s="109"/>
      <c r="AC667" s="109"/>
      <c r="AD667" s="109"/>
      <c r="AE667" s="109"/>
      <c r="AF667" s="109"/>
      <c r="AG667" s="109"/>
      <c r="AH667" s="109"/>
      <c r="AI667" s="109"/>
    </row>
    <row r="668" spans="1:35">
      <c r="A668" s="109"/>
      <c r="B668" s="263"/>
      <c r="C668" s="263"/>
      <c r="D668" s="263"/>
      <c r="E668" s="109"/>
      <c r="F668" s="109"/>
      <c r="G668" s="48"/>
      <c r="H668" s="264"/>
      <c r="I668" s="265"/>
      <c r="J668" s="265"/>
      <c r="K668" s="264"/>
      <c r="L668" s="265"/>
      <c r="M668" s="264"/>
      <c r="N668" s="264"/>
      <c r="O668" s="264"/>
      <c r="P668" s="264"/>
      <c r="Q668" s="263"/>
      <c r="R668" s="263"/>
      <c r="S668" s="263"/>
      <c r="T668" s="263"/>
      <c r="U668" s="263"/>
      <c r="V668" s="109"/>
      <c r="W668" s="263"/>
      <c r="X668" s="263"/>
      <c r="Y668" s="263"/>
      <c r="Z668" s="263"/>
      <c r="AA668" s="263"/>
      <c r="AB668" s="109"/>
      <c r="AC668" s="109"/>
      <c r="AD668" s="109"/>
      <c r="AE668" s="109"/>
      <c r="AF668" s="109"/>
      <c r="AG668" s="109"/>
      <c r="AH668" s="109"/>
      <c r="AI668" s="109"/>
    </row>
    <row r="669" spans="1:35">
      <c r="A669" s="109"/>
      <c r="B669" s="263"/>
      <c r="C669" s="263"/>
      <c r="D669" s="263"/>
      <c r="E669" s="109"/>
      <c r="F669" s="109"/>
      <c r="G669" s="48"/>
      <c r="H669" s="264"/>
      <c r="I669" s="265"/>
      <c r="J669" s="265"/>
      <c r="K669" s="264"/>
      <c r="L669" s="265"/>
      <c r="M669" s="264"/>
      <c r="N669" s="264"/>
      <c r="O669" s="264"/>
      <c r="P669" s="264"/>
      <c r="Q669" s="263"/>
      <c r="R669" s="263"/>
      <c r="S669" s="263"/>
      <c r="T669" s="263"/>
      <c r="U669" s="263"/>
      <c r="V669" s="109"/>
      <c r="W669" s="263"/>
      <c r="X669" s="263"/>
      <c r="Y669" s="263"/>
      <c r="Z669" s="263"/>
      <c r="AA669" s="263"/>
      <c r="AB669" s="109"/>
      <c r="AC669" s="109"/>
      <c r="AD669" s="109"/>
      <c r="AE669" s="109"/>
      <c r="AF669" s="109"/>
      <c r="AG669" s="109"/>
      <c r="AH669" s="109"/>
      <c r="AI669" s="109"/>
    </row>
    <row r="670" spans="1:35">
      <c r="A670" s="109"/>
      <c r="B670" s="263"/>
      <c r="C670" s="263"/>
      <c r="D670" s="263"/>
      <c r="E670" s="109"/>
      <c r="F670" s="109"/>
      <c r="G670" s="48"/>
      <c r="H670" s="264"/>
      <c r="I670" s="265"/>
      <c r="J670" s="265"/>
      <c r="K670" s="264"/>
      <c r="L670" s="265"/>
      <c r="M670" s="264"/>
      <c r="N670" s="264"/>
      <c r="O670" s="264"/>
      <c r="P670" s="264"/>
      <c r="Q670" s="263"/>
      <c r="R670" s="263"/>
      <c r="S670" s="263"/>
      <c r="T670" s="263"/>
      <c r="U670" s="263"/>
      <c r="V670" s="109"/>
      <c r="W670" s="263"/>
      <c r="X670" s="263"/>
      <c r="Y670" s="263"/>
      <c r="Z670" s="263"/>
      <c r="AA670" s="263"/>
      <c r="AB670" s="109"/>
      <c r="AC670" s="109"/>
      <c r="AD670" s="109"/>
      <c r="AE670" s="109"/>
      <c r="AF670" s="109"/>
      <c r="AG670" s="109"/>
      <c r="AH670" s="109"/>
      <c r="AI670" s="109"/>
    </row>
    <row r="671" spans="1:35">
      <c r="A671" s="109"/>
      <c r="B671" s="263"/>
      <c r="C671" s="263"/>
      <c r="D671" s="263"/>
      <c r="E671" s="109"/>
      <c r="F671" s="109"/>
      <c r="G671" s="48"/>
      <c r="H671" s="264"/>
      <c r="I671" s="265"/>
      <c r="J671" s="265"/>
      <c r="K671" s="264"/>
      <c r="L671" s="265"/>
      <c r="M671" s="264"/>
      <c r="N671" s="264"/>
      <c r="O671" s="264"/>
      <c r="P671" s="264"/>
      <c r="Q671" s="263"/>
      <c r="R671" s="263"/>
      <c r="S671" s="263"/>
      <c r="T671" s="263"/>
      <c r="U671" s="263"/>
      <c r="V671" s="109"/>
      <c r="W671" s="263"/>
      <c r="X671" s="263"/>
      <c r="Y671" s="263"/>
      <c r="Z671" s="263"/>
      <c r="AA671" s="263"/>
      <c r="AB671" s="109"/>
      <c r="AC671" s="109"/>
      <c r="AD671" s="109"/>
      <c r="AE671" s="109"/>
      <c r="AF671" s="109"/>
      <c r="AG671" s="109"/>
      <c r="AH671" s="109"/>
      <c r="AI671" s="109"/>
    </row>
    <row r="672" spans="1:35">
      <c r="A672" s="109"/>
      <c r="B672" s="263"/>
      <c r="C672" s="263"/>
      <c r="D672" s="263"/>
      <c r="E672" s="109"/>
      <c r="F672" s="109"/>
      <c r="G672" s="48"/>
      <c r="H672" s="264"/>
      <c r="I672" s="265"/>
      <c r="J672" s="265"/>
      <c r="K672" s="264"/>
      <c r="L672" s="265"/>
      <c r="M672" s="264"/>
      <c r="N672" s="264"/>
      <c r="O672" s="264"/>
      <c r="P672" s="264"/>
      <c r="Q672" s="263"/>
      <c r="R672" s="263"/>
      <c r="S672" s="263"/>
      <c r="T672" s="263"/>
      <c r="U672" s="263"/>
      <c r="V672" s="109"/>
      <c r="W672" s="263"/>
      <c r="X672" s="263"/>
      <c r="Y672" s="263"/>
      <c r="Z672" s="263"/>
      <c r="AA672" s="263"/>
      <c r="AB672" s="109"/>
      <c r="AC672" s="109"/>
      <c r="AD672" s="109"/>
      <c r="AE672" s="109"/>
      <c r="AF672" s="109"/>
      <c r="AG672" s="109"/>
      <c r="AH672" s="109"/>
      <c r="AI672" s="109"/>
    </row>
    <row r="673" spans="1:35">
      <c r="A673" s="109"/>
      <c r="B673" s="263"/>
      <c r="C673" s="263"/>
      <c r="D673" s="263"/>
      <c r="E673" s="109"/>
      <c r="F673" s="109"/>
      <c r="G673" s="48"/>
      <c r="H673" s="264"/>
      <c r="I673" s="265"/>
      <c r="J673" s="265"/>
      <c r="K673" s="264"/>
      <c r="L673" s="265"/>
      <c r="M673" s="264"/>
      <c r="N673" s="264"/>
      <c r="O673" s="264"/>
      <c r="P673" s="264"/>
      <c r="Q673" s="263"/>
      <c r="R673" s="263"/>
      <c r="S673" s="263"/>
      <c r="T673" s="263"/>
      <c r="U673" s="263"/>
      <c r="V673" s="109"/>
      <c r="W673" s="263"/>
      <c r="X673" s="263"/>
      <c r="Y673" s="263"/>
      <c r="Z673" s="263"/>
      <c r="AA673" s="263"/>
      <c r="AB673" s="109"/>
      <c r="AC673" s="109"/>
      <c r="AD673" s="109"/>
      <c r="AE673" s="109"/>
      <c r="AF673" s="109"/>
      <c r="AG673" s="109"/>
      <c r="AH673" s="109"/>
      <c r="AI673" s="109"/>
    </row>
    <row r="674" spans="1:35">
      <c r="A674" s="109"/>
      <c r="B674" s="263"/>
      <c r="C674" s="263"/>
      <c r="D674" s="263"/>
      <c r="E674" s="109"/>
      <c r="F674" s="109"/>
      <c r="G674" s="48"/>
      <c r="H674" s="264"/>
      <c r="I674" s="265"/>
      <c r="J674" s="265"/>
      <c r="K674" s="264"/>
      <c r="L674" s="265"/>
      <c r="M674" s="264"/>
      <c r="N674" s="264"/>
      <c r="O674" s="264"/>
      <c r="P674" s="264"/>
      <c r="Q674" s="263"/>
      <c r="R674" s="263"/>
      <c r="S674" s="263"/>
      <c r="T674" s="263"/>
      <c r="U674" s="263"/>
      <c r="V674" s="109"/>
      <c r="W674" s="263"/>
      <c r="X674" s="263"/>
      <c r="Y674" s="263"/>
      <c r="Z674" s="263"/>
      <c r="AA674" s="263"/>
      <c r="AB674" s="109"/>
      <c r="AC674" s="109"/>
      <c r="AD674" s="109"/>
      <c r="AE674" s="109"/>
      <c r="AF674" s="109"/>
      <c r="AG674" s="109"/>
      <c r="AH674" s="109"/>
      <c r="AI674" s="109"/>
    </row>
    <row r="675" spans="1:35">
      <c r="A675" s="109"/>
      <c r="B675" s="263"/>
      <c r="C675" s="263"/>
      <c r="D675" s="263"/>
      <c r="E675" s="109"/>
      <c r="F675" s="109"/>
      <c r="G675" s="48"/>
      <c r="H675" s="264"/>
      <c r="I675" s="265"/>
      <c r="J675" s="265"/>
      <c r="K675" s="264"/>
      <c r="L675" s="265"/>
      <c r="M675" s="264"/>
      <c r="N675" s="264"/>
      <c r="O675" s="264"/>
      <c r="P675" s="264"/>
      <c r="Q675" s="263"/>
      <c r="R675" s="263"/>
      <c r="S675" s="263"/>
      <c r="T675" s="263"/>
      <c r="U675" s="263"/>
      <c r="V675" s="109"/>
      <c r="W675" s="263"/>
      <c r="X675" s="263"/>
      <c r="Y675" s="263"/>
      <c r="Z675" s="263"/>
      <c r="AA675" s="263"/>
      <c r="AB675" s="109"/>
      <c r="AC675" s="109"/>
      <c r="AD675" s="109"/>
      <c r="AE675" s="109"/>
      <c r="AF675" s="109"/>
      <c r="AG675" s="109"/>
      <c r="AH675" s="109"/>
      <c r="AI675" s="109"/>
    </row>
    <row r="676" spans="1:35">
      <c r="A676" s="109"/>
      <c r="B676" s="263"/>
      <c r="C676" s="263"/>
      <c r="D676" s="263"/>
      <c r="E676" s="109"/>
      <c r="F676" s="109"/>
      <c r="G676" s="48"/>
      <c r="H676" s="264"/>
      <c r="I676" s="265"/>
      <c r="J676" s="265"/>
      <c r="K676" s="264"/>
      <c r="L676" s="265"/>
      <c r="M676" s="264"/>
      <c r="N676" s="264"/>
      <c r="O676" s="264"/>
      <c r="P676" s="264"/>
      <c r="Q676" s="263"/>
      <c r="R676" s="263"/>
      <c r="S676" s="263"/>
      <c r="T676" s="263"/>
      <c r="U676" s="263"/>
      <c r="V676" s="109"/>
      <c r="W676" s="263"/>
      <c r="X676" s="263"/>
      <c r="Y676" s="263"/>
      <c r="Z676" s="263"/>
      <c r="AA676" s="263"/>
      <c r="AB676" s="109"/>
      <c r="AC676" s="109"/>
      <c r="AD676" s="109"/>
      <c r="AE676" s="109"/>
      <c r="AF676" s="109"/>
      <c r="AG676" s="109"/>
      <c r="AH676" s="109"/>
      <c r="AI676" s="109"/>
    </row>
    <row r="677" spans="1:35">
      <c r="A677" s="109"/>
      <c r="B677" s="263"/>
      <c r="C677" s="263"/>
      <c r="D677" s="263"/>
      <c r="E677" s="109"/>
      <c r="F677" s="109"/>
      <c r="G677" s="48"/>
      <c r="H677" s="264"/>
      <c r="I677" s="265"/>
      <c r="J677" s="265"/>
      <c r="K677" s="264"/>
      <c r="L677" s="265"/>
      <c r="M677" s="264"/>
      <c r="N677" s="264"/>
      <c r="O677" s="264"/>
      <c r="P677" s="264"/>
      <c r="Q677" s="263"/>
      <c r="R677" s="263"/>
      <c r="S677" s="263"/>
      <c r="T677" s="263"/>
      <c r="U677" s="263"/>
      <c r="V677" s="109"/>
      <c r="W677" s="263"/>
      <c r="X677" s="263"/>
      <c r="Y677" s="263"/>
      <c r="Z677" s="263"/>
      <c r="AA677" s="263"/>
      <c r="AB677" s="109"/>
      <c r="AC677" s="109"/>
      <c r="AD677" s="109"/>
      <c r="AE677" s="109"/>
      <c r="AF677" s="109"/>
      <c r="AG677" s="109"/>
      <c r="AH677" s="109"/>
      <c r="AI677" s="109"/>
    </row>
    <row r="678" spans="1:35">
      <c r="A678" s="109"/>
      <c r="B678" s="263"/>
      <c r="C678" s="263"/>
      <c r="D678" s="263"/>
      <c r="E678" s="109"/>
      <c r="F678" s="109"/>
      <c r="G678" s="48"/>
      <c r="H678" s="264"/>
      <c r="I678" s="265"/>
      <c r="J678" s="265"/>
      <c r="K678" s="264"/>
      <c r="L678" s="265"/>
      <c r="M678" s="264"/>
      <c r="N678" s="264"/>
      <c r="O678" s="264"/>
      <c r="P678" s="264"/>
      <c r="Q678" s="263"/>
      <c r="R678" s="263"/>
      <c r="S678" s="263"/>
      <c r="T678" s="263"/>
      <c r="U678" s="263"/>
      <c r="V678" s="109"/>
      <c r="W678" s="263"/>
      <c r="X678" s="263"/>
      <c r="Y678" s="263"/>
      <c r="Z678" s="263"/>
      <c r="AA678" s="263"/>
      <c r="AB678" s="109"/>
      <c r="AC678" s="109"/>
      <c r="AD678" s="109"/>
      <c r="AE678" s="109"/>
      <c r="AF678" s="109"/>
      <c r="AG678" s="109"/>
      <c r="AH678" s="109"/>
      <c r="AI678" s="109"/>
    </row>
    <row r="679" spans="1:35">
      <c r="A679" s="109"/>
      <c r="B679" s="263"/>
      <c r="C679" s="263"/>
      <c r="D679" s="263"/>
      <c r="E679" s="109"/>
      <c r="F679" s="109"/>
      <c r="G679" s="48"/>
      <c r="H679" s="264"/>
      <c r="I679" s="265"/>
      <c r="J679" s="265"/>
      <c r="K679" s="264"/>
      <c r="L679" s="265"/>
      <c r="M679" s="264"/>
      <c r="N679" s="264"/>
      <c r="O679" s="264"/>
      <c r="P679" s="264"/>
      <c r="Q679" s="263"/>
      <c r="R679" s="263"/>
      <c r="S679" s="263"/>
      <c r="T679" s="263"/>
      <c r="U679" s="263"/>
      <c r="V679" s="109"/>
      <c r="W679" s="263"/>
      <c r="X679" s="263"/>
      <c r="Y679" s="263"/>
      <c r="Z679" s="263"/>
      <c r="AA679" s="263"/>
      <c r="AB679" s="109"/>
      <c r="AC679" s="109"/>
      <c r="AD679" s="109"/>
      <c r="AE679" s="109"/>
      <c r="AF679" s="109"/>
      <c r="AG679" s="109"/>
      <c r="AH679" s="109"/>
      <c r="AI679" s="109"/>
    </row>
    <row r="680" spans="1:35">
      <c r="A680" s="109"/>
      <c r="B680" s="263"/>
      <c r="C680" s="263"/>
      <c r="D680" s="263"/>
      <c r="E680" s="109"/>
      <c r="F680" s="109"/>
      <c r="G680" s="48"/>
      <c r="H680" s="264"/>
      <c r="I680" s="265"/>
      <c r="J680" s="265"/>
      <c r="K680" s="264"/>
      <c r="L680" s="265"/>
      <c r="M680" s="264"/>
      <c r="N680" s="264"/>
      <c r="O680" s="264"/>
      <c r="P680" s="264"/>
      <c r="Q680" s="263"/>
      <c r="R680" s="263"/>
      <c r="S680" s="263"/>
      <c r="T680" s="263"/>
      <c r="U680" s="263"/>
      <c r="V680" s="109"/>
      <c r="W680" s="263"/>
      <c r="X680" s="263"/>
      <c r="Y680" s="263"/>
      <c r="Z680" s="263"/>
      <c r="AA680" s="263"/>
      <c r="AB680" s="109"/>
      <c r="AC680" s="109"/>
      <c r="AD680" s="109"/>
      <c r="AE680" s="109"/>
      <c r="AF680" s="109"/>
      <c r="AG680" s="109"/>
      <c r="AH680" s="109"/>
      <c r="AI680" s="109"/>
    </row>
    <row r="681" spans="1:35">
      <c r="A681" s="109"/>
      <c r="B681" s="263"/>
      <c r="C681" s="263"/>
      <c r="D681" s="263"/>
      <c r="E681" s="109"/>
      <c r="F681" s="109"/>
      <c r="G681" s="48"/>
      <c r="H681" s="264"/>
      <c r="I681" s="265"/>
      <c r="J681" s="265"/>
      <c r="K681" s="264"/>
      <c r="L681" s="265"/>
      <c r="M681" s="264"/>
      <c r="N681" s="264"/>
      <c r="O681" s="264"/>
      <c r="P681" s="264"/>
      <c r="Q681" s="263"/>
      <c r="R681" s="263"/>
      <c r="S681" s="263"/>
      <c r="T681" s="263"/>
      <c r="U681" s="263"/>
      <c r="V681" s="109"/>
      <c r="W681" s="263"/>
      <c r="X681" s="263"/>
      <c r="Y681" s="263"/>
      <c r="Z681" s="263"/>
      <c r="AA681" s="263"/>
      <c r="AB681" s="109"/>
      <c r="AC681" s="109"/>
      <c r="AD681" s="109"/>
      <c r="AE681" s="109"/>
      <c r="AF681" s="109"/>
      <c r="AG681" s="109"/>
      <c r="AH681" s="109"/>
      <c r="AI681" s="109"/>
    </row>
    <row r="682" spans="1:35">
      <c r="A682" s="109"/>
      <c r="B682" s="263"/>
      <c r="C682" s="263"/>
      <c r="D682" s="263"/>
      <c r="E682" s="109"/>
      <c r="F682" s="109"/>
      <c r="G682" s="48"/>
      <c r="H682" s="264"/>
      <c r="I682" s="265"/>
      <c r="J682" s="265"/>
      <c r="K682" s="264"/>
      <c r="L682" s="265"/>
      <c r="M682" s="264"/>
      <c r="N682" s="264"/>
      <c r="O682" s="264"/>
      <c r="P682" s="264"/>
      <c r="Q682" s="263"/>
      <c r="R682" s="263"/>
      <c r="S682" s="263"/>
      <c r="T682" s="263"/>
      <c r="U682" s="263"/>
      <c r="V682" s="109"/>
      <c r="W682" s="263"/>
      <c r="X682" s="263"/>
      <c r="Y682" s="263"/>
      <c r="Z682" s="263"/>
      <c r="AA682" s="263"/>
      <c r="AB682" s="109"/>
      <c r="AC682" s="109"/>
      <c r="AD682" s="109"/>
      <c r="AE682" s="109"/>
      <c r="AF682" s="109"/>
      <c r="AG682" s="109"/>
      <c r="AH682" s="109"/>
      <c r="AI682" s="109"/>
    </row>
    <row r="683" spans="1:35">
      <c r="A683" s="109"/>
      <c r="B683" s="263"/>
      <c r="C683" s="263"/>
      <c r="D683" s="263"/>
      <c r="E683" s="109"/>
      <c r="F683" s="109"/>
      <c r="G683" s="48"/>
      <c r="H683" s="264"/>
      <c r="I683" s="265"/>
      <c r="J683" s="265"/>
      <c r="K683" s="264"/>
      <c r="L683" s="265"/>
      <c r="M683" s="264"/>
      <c r="N683" s="264"/>
      <c r="O683" s="264"/>
      <c r="P683" s="264"/>
      <c r="Q683" s="263"/>
      <c r="R683" s="263"/>
      <c r="S683" s="263"/>
      <c r="T683" s="263"/>
      <c r="U683" s="263"/>
      <c r="V683" s="109"/>
      <c r="W683" s="263"/>
      <c r="X683" s="263"/>
      <c r="Y683" s="263"/>
      <c r="Z683" s="263"/>
      <c r="AA683" s="263"/>
      <c r="AB683" s="109"/>
      <c r="AC683" s="109"/>
      <c r="AD683" s="109"/>
      <c r="AE683" s="109"/>
      <c r="AF683" s="109"/>
      <c r="AG683" s="109"/>
      <c r="AH683" s="109"/>
      <c r="AI683" s="109"/>
    </row>
    <row r="684" spans="1:35">
      <c r="A684" s="109"/>
      <c r="B684" s="263"/>
      <c r="C684" s="263"/>
      <c r="D684" s="263"/>
      <c r="E684" s="109"/>
      <c r="F684" s="109"/>
      <c r="G684" s="48"/>
      <c r="H684" s="264"/>
      <c r="I684" s="265"/>
      <c r="J684" s="265"/>
      <c r="K684" s="264"/>
      <c r="L684" s="265"/>
      <c r="M684" s="264"/>
      <c r="N684" s="264"/>
      <c r="O684" s="264"/>
      <c r="P684" s="264"/>
      <c r="Q684" s="263"/>
      <c r="R684" s="263"/>
      <c r="S684" s="263"/>
      <c r="T684" s="263"/>
      <c r="U684" s="263"/>
      <c r="V684" s="109"/>
      <c r="W684" s="263"/>
      <c r="X684" s="263"/>
      <c r="Y684" s="263"/>
      <c r="Z684" s="263"/>
      <c r="AA684" s="263"/>
      <c r="AB684" s="109"/>
      <c r="AC684" s="109"/>
      <c r="AD684" s="109"/>
      <c r="AE684" s="109"/>
      <c r="AF684" s="109"/>
      <c r="AG684" s="109"/>
      <c r="AH684" s="109"/>
      <c r="AI684" s="109"/>
    </row>
    <row r="685" spans="1:35">
      <c r="A685" s="109"/>
      <c r="B685" s="263"/>
      <c r="C685" s="263"/>
      <c r="D685" s="263"/>
      <c r="E685" s="109"/>
      <c r="F685" s="109"/>
      <c r="G685" s="48"/>
      <c r="H685" s="264"/>
      <c r="I685" s="265"/>
      <c r="J685" s="265"/>
      <c r="K685" s="264"/>
      <c r="L685" s="265"/>
      <c r="M685" s="264"/>
      <c r="N685" s="264"/>
      <c r="O685" s="264"/>
      <c r="P685" s="264"/>
      <c r="Q685" s="263"/>
      <c r="R685" s="263"/>
      <c r="S685" s="263"/>
      <c r="T685" s="263"/>
      <c r="U685" s="263"/>
      <c r="V685" s="109"/>
      <c r="W685" s="263"/>
      <c r="X685" s="263"/>
      <c r="Y685" s="263"/>
      <c r="Z685" s="263"/>
      <c r="AA685" s="263"/>
      <c r="AB685" s="109"/>
      <c r="AC685" s="109"/>
      <c r="AD685" s="109"/>
      <c r="AE685" s="109"/>
      <c r="AF685" s="109"/>
      <c r="AG685" s="109"/>
      <c r="AH685" s="109"/>
      <c r="AI685" s="109"/>
    </row>
    <row r="686" spans="1:35">
      <c r="A686" s="109"/>
      <c r="B686" s="263"/>
      <c r="C686" s="263"/>
      <c r="D686" s="263"/>
      <c r="E686" s="109"/>
      <c r="F686" s="109"/>
      <c r="G686" s="48"/>
      <c r="H686" s="264"/>
      <c r="I686" s="265"/>
      <c r="J686" s="265"/>
      <c r="K686" s="264"/>
      <c r="L686" s="265"/>
      <c r="M686" s="264"/>
      <c r="N686" s="264"/>
      <c r="O686" s="264"/>
      <c r="P686" s="264"/>
      <c r="Q686" s="263"/>
      <c r="R686" s="263"/>
      <c r="S686" s="263"/>
      <c r="T686" s="263"/>
      <c r="U686" s="263"/>
      <c r="V686" s="109"/>
      <c r="W686" s="263"/>
      <c r="X686" s="263"/>
      <c r="Y686" s="263"/>
      <c r="Z686" s="263"/>
      <c r="AA686" s="263"/>
      <c r="AB686" s="109"/>
      <c r="AC686" s="109"/>
      <c r="AD686" s="109"/>
      <c r="AE686" s="109"/>
      <c r="AF686" s="109"/>
      <c r="AG686" s="109"/>
      <c r="AH686" s="109"/>
      <c r="AI686" s="109"/>
    </row>
    <row r="687" spans="1:35">
      <c r="A687" s="109"/>
      <c r="B687" s="263"/>
      <c r="C687" s="263"/>
      <c r="D687" s="263"/>
      <c r="E687" s="109"/>
      <c r="F687" s="109"/>
      <c r="G687" s="48"/>
      <c r="H687" s="264"/>
      <c r="I687" s="265"/>
      <c r="J687" s="265"/>
      <c r="K687" s="264"/>
      <c r="L687" s="265"/>
      <c r="M687" s="264"/>
      <c r="N687" s="264"/>
      <c r="O687" s="264"/>
      <c r="P687" s="264"/>
      <c r="Q687" s="263"/>
      <c r="R687" s="263"/>
      <c r="S687" s="263"/>
      <c r="T687" s="263"/>
      <c r="U687" s="263"/>
      <c r="V687" s="109"/>
      <c r="W687" s="263"/>
      <c r="X687" s="263"/>
      <c r="Y687" s="263"/>
      <c r="Z687" s="263"/>
      <c r="AA687" s="263"/>
      <c r="AB687" s="109"/>
      <c r="AC687" s="109"/>
      <c r="AD687" s="109"/>
      <c r="AE687" s="109"/>
      <c r="AF687" s="109"/>
      <c r="AG687" s="109"/>
      <c r="AH687" s="109"/>
      <c r="AI687" s="109"/>
    </row>
    <row r="688" spans="1:35">
      <c r="A688" s="109"/>
      <c r="B688" s="263"/>
      <c r="C688" s="263"/>
      <c r="D688" s="263"/>
      <c r="E688" s="109"/>
      <c r="F688" s="109"/>
      <c r="G688" s="48"/>
      <c r="H688" s="264"/>
      <c r="I688" s="265"/>
      <c r="J688" s="265"/>
      <c r="K688" s="264"/>
      <c r="L688" s="265"/>
      <c r="M688" s="264"/>
      <c r="N688" s="264"/>
      <c r="O688" s="264"/>
      <c r="P688" s="264"/>
      <c r="Q688" s="263"/>
      <c r="R688" s="263"/>
      <c r="S688" s="263"/>
      <c r="T688" s="263"/>
      <c r="U688" s="263"/>
      <c r="V688" s="109"/>
      <c r="W688" s="263"/>
      <c r="X688" s="263"/>
      <c r="Y688" s="263"/>
      <c r="Z688" s="263"/>
      <c r="AA688" s="263"/>
      <c r="AB688" s="109"/>
      <c r="AC688" s="109"/>
      <c r="AD688" s="109"/>
      <c r="AE688" s="109"/>
      <c r="AF688" s="109"/>
      <c r="AG688" s="109"/>
      <c r="AH688" s="109"/>
      <c r="AI688" s="109"/>
    </row>
    <row r="689" spans="1:35">
      <c r="A689" s="109"/>
      <c r="B689" s="263"/>
      <c r="C689" s="263"/>
      <c r="D689" s="263"/>
      <c r="E689" s="109"/>
      <c r="F689" s="109"/>
      <c r="G689" s="48"/>
      <c r="H689" s="264"/>
      <c r="I689" s="265"/>
      <c r="J689" s="265"/>
      <c r="K689" s="264"/>
      <c r="L689" s="265"/>
      <c r="M689" s="264"/>
      <c r="N689" s="264"/>
      <c r="O689" s="264"/>
      <c r="P689" s="264"/>
      <c r="Q689" s="263"/>
      <c r="R689" s="263"/>
      <c r="S689" s="263"/>
      <c r="T689" s="263"/>
      <c r="U689" s="263"/>
      <c r="V689" s="109"/>
      <c r="W689" s="263"/>
      <c r="X689" s="263"/>
      <c r="Y689" s="263"/>
      <c r="Z689" s="263"/>
      <c r="AA689" s="263"/>
      <c r="AB689" s="109"/>
      <c r="AC689" s="109"/>
      <c r="AD689" s="109"/>
      <c r="AE689" s="109"/>
      <c r="AF689" s="109"/>
      <c r="AG689" s="109"/>
      <c r="AH689" s="109"/>
      <c r="AI689" s="109"/>
    </row>
    <row r="690" spans="1:35">
      <c r="A690" s="109"/>
      <c r="B690" s="263"/>
      <c r="C690" s="263"/>
      <c r="D690" s="263"/>
      <c r="E690" s="109"/>
      <c r="F690" s="109"/>
      <c r="G690" s="48"/>
      <c r="H690" s="264"/>
      <c r="I690" s="265"/>
      <c r="J690" s="265"/>
      <c r="K690" s="264"/>
      <c r="L690" s="265"/>
      <c r="M690" s="264"/>
      <c r="N690" s="264"/>
      <c r="O690" s="264"/>
      <c r="P690" s="264"/>
      <c r="Q690" s="263"/>
      <c r="R690" s="263"/>
      <c r="S690" s="263"/>
      <c r="T690" s="263"/>
      <c r="U690" s="263"/>
      <c r="V690" s="109"/>
      <c r="W690" s="263"/>
      <c r="X690" s="263"/>
      <c r="Y690" s="263"/>
      <c r="Z690" s="263"/>
      <c r="AA690" s="263"/>
      <c r="AB690" s="109"/>
      <c r="AC690" s="109"/>
      <c r="AD690" s="109"/>
      <c r="AE690" s="109"/>
      <c r="AF690" s="109"/>
      <c r="AG690" s="109"/>
      <c r="AH690" s="109"/>
      <c r="AI690" s="109"/>
    </row>
    <row r="691" spans="1:35">
      <c r="A691" s="109"/>
      <c r="B691" s="263"/>
      <c r="C691" s="263"/>
      <c r="D691" s="263"/>
      <c r="E691" s="109"/>
      <c r="F691" s="109"/>
      <c r="G691" s="48"/>
      <c r="H691" s="264"/>
      <c r="I691" s="265"/>
      <c r="J691" s="265"/>
      <c r="K691" s="264"/>
      <c r="L691" s="265"/>
      <c r="M691" s="264"/>
      <c r="N691" s="264"/>
      <c r="O691" s="264"/>
      <c r="P691" s="264"/>
      <c r="Q691" s="263"/>
      <c r="R691" s="263"/>
      <c r="S691" s="263"/>
      <c r="T691" s="263"/>
      <c r="U691" s="263"/>
      <c r="V691" s="109"/>
      <c r="W691" s="263"/>
      <c r="X691" s="263"/>
      <c r="Y691" s="263"/>
      <c r="Z691" s="263"/>
      <c r="AA691" s="263"/>
      <c r="AB691" s="109"/>
      <c r="AC691" s="109"/>
      <c r="AD691" s="109"/>
      <c r="AE691" s="109"/>
      <c r="AF691" s="109"/>
      <c r="AG691" s="109"/>
      <c r="AH691" s="109"/>
      <c r="AI691" s="109"/>
    </row>
    <row r="692" spans="1:35">
      <c r="A692" s="109"/>
      <c r="B692" s="263"/>
      <c r="C692" s="263"/>
      <c r="D692" s="263"/>
      <c r="E692" s="109"/>
      <c r="F692" s="109"/>
      <c r="G692" s="48"/>
      <c r="H692" s="264"/>
      <c r="I692" s="265"/>
      <c r="J692" s="265"/>
      <c r="K692" s="264"/>
      <c r="L692" s="265"/>
      <c r="M692" s="264"/>
      <c r="N692" s="264"/>
      <c r="O692" s="264"/>
      <c r="P692" s="264"/>
      <c r="Q692" s="263"/>
      <c r="R692" s="263"/>
      <c r="S692" s="263"/>
      <c r="T692" s="263"/>
      <c r="U692" s="263"/>
      <c r="V692" s="109"/>
      <c r="W692" s="263"/>
      <c r="X692" s="263"/>
      <c r="Y692" s="263"/>
      <c r="Z692" s="263"/>
      <c r="AA692" s="263"/>
      <c r="AB692" s="109"/>
      <c r="AC692" s="109"/>
      <c r="AD692" s="109"/>
      <c r="AE692" s="109"/>
      <c r="AF692" s="109"/>
      <c r="AG692" s="109"/>
      <c r="AH692" s="109"/>
      <c r="AI692" s="109"/>
    </row>
    <row r="693" spans="1:35">
      <c r="A693" s="109"/>
      <c r="B693" s="263"/>
      <c r="C693" s="263"/>
      <c r="D693" s="263"/>
      <c r="E693" s="109"/>
      <c r="F693" s="109"/>
      <c r="G693" s="48"/>
      <c r="H693" s="264"/>
      <c r="I693" s="265"/>
      <c r="J693" s="265"/>
      <c r="K693" s="264"/>
      <c r="L693" s="265"/>
      <c r="M693" s="264"/>
      <c r="N693" s="264"/>
      <c r="O693" s="264"/>
      <c r="P693" s="264"/>
      <c r="Q693" s="263"/>
      <c r="R693" s="263"/>
      <c r="S693" s="263"/>
      <c r="T693" s="263"/>
      <c r="U693" s="263"/>
      <c r="V693" s="109"/>
      <c r="W693" s="263"/>
      <c r="X693" s="263"/>
      <c r="Y693" s="263"/>
      <c r="Z693" s="263"/>
      <c r="AA693" s="263"/>
      <c r="AB693" s="109"/>
      <c r="AC693" s="109"/>
      <c r="AD693" s="109"/>
      <c r="AE693" s="109"/>
      <c r="AF693" s="109"/>
      <c r="AG693" s="109"/>
      <c r="AH693" s="109"/>
      <c r="AI693" s="109"/>
    </row>
    <row r="694" spans="1:35">
      <c r="A694" s="109"/>
      <c r="B694" s="263"/>
      <c r="C694" s="263"/>
      <c r="D694" s="263"/>
      <c r="E694" s="109"/>
      <c r="F694" s="109"/>
      <c r="G694" s="48"/>
      <c r="H694" s="264"/>
      <c r="I694" s="265"/>
      <c r="J694" s="265"/>
      <c r="K694" s="264"/>
      <c r="L694" s="265"/>
      <c r="M694" s="264"/>
      <c r="N694" s="264"/>
      <c r="O694" s="264"/>
      <c r="P694" s="264"/>
      <c r="Q694" s="263"/>
      <c r="R694" s="263"/>
      <c r="S694" s="263"/>
      <c r="T694" s="263"/>
      <c r="U694" s="263"/>
      <c r="V694" s="109"/>
      <c r="W694" s="263"/>
      <c r="X694" s="263"/>
      <c r="Y694" s="263"/>
      <c r="Z694" s="263"/>
      <c r="AA694" s="263"/>
      <c r="AB694" s="109"/>
      <c r="AC694" s="109"/>
      <c r="AD694" s="109"/>
      <c r="AE694" s="109"/>
      <c r="AF694" s="109"/>
      <c r="AG694" s="109"/>
      <c r="AH694" s="109"/>
      <c r="AI694" s="109"/>
    </row>
    <row r="695" spans="1:35">
      <c r="A695" s="109"/>
      <c r="B695" s="263"/>
      <c r="C695" s="263"/>
      <c r="D695" s="263"/>
      <c r="E695" s="109"/>
      <c r="F695" s="109"/>
      <c r="G695" s="48"/>
      <c r="H695" s="264"/>
      <c r="I695" s="265"/>
      <c r="J695" s="265"/>
      <c r="K695" s="264"/>
      <c r="L695" s="265"/>
      <c r="M695" s="264"/>
      <c r="N695" s="264"/>
      <c r="O695" s="264"/>
      <c r="P695" s="264"/>
      <c r="Q695" s="263"/>
      <c r="R695" s="263"/>
      <c r="S695" s="263"/>
      <c r="T695" s="263"/>
      <c r="U695" s="263"/>
      <c r="V695" s="109"/>
      <c r="W695" s="263"/>
      <c r="X695" s="263"/>
      <c r="Y695" s="263"/>
      <c r="Z695" s="263"/>
      <c r="AA695" s="263"/>
      <c r="AB695" s="109"/>
      <c r="AC695" s="109"/>
      <c r="AD695" s="109"/>
      <c r="AE695" s="109"/>
      <c r="AF695" s="109"/>
      <c r="AG695" s="109"/>
      <c r="AH695" s="109"/>
      <c r="AI695" s="109"/>
    </row>
    <row r="696" spans="1:35">
      <c r="A696" s="109"/>
      <c r="B696" s="263"/>
      <c r="C696" s="263"/>
      <c r="D696" s="263"/>
      <c r="E696" s="109"/>
      <c r="F696" s="109"/>
      <c r="G696" s="48"/>
      <c r="H696" s="264"/>
      <c r="I696" s="265"/>
      <c r="J696" s="265"/>
      <c r="K696" s="264"/>
      <c r="L696" s="265"/>
      <c r="M696" s="264"/>
      <c r="N696" s="264"/>
      <c r="O696" s="264"/>
      <c r="P696" s="264"/>
      <c r="Q696" s="263"/>
      <c r="R696" s="263"/>
      <c r="S696" s="263"/>
      <c r="T696" s="263"/>
      <c r="U696" s="263"/>
      <c r="V696" s="109"/>
      <c r="W696" s="263"/>
      <c r="X696" s="263"/>
      <c r="Y696" s="263"/>
      <c r="Z696" s="263"/>
      <c r="AA696" s="263"/>
      <c r="AB696" s="109"/>
      <c r="AC696" s="109"/>
      <c r="AD696" s="109"/>
      <c r="AE696" s="109"/>
      <c r="AF696" s="109"/>
      <c r="AG696" s="109"/>
      <c r="AH696" s="109"/>
      <c r="AI696" s="109"/>
    </row>
    <row r="697" spans="1:35">
      <c r="A697" s="109"/>
      <c r="B697" s="263"/>
      <c r="C697" s="263"/>
      <c r="D697" s="263"/>
      <c r="E697" s="109"/>
      <c r="F697" s="109"/>
      <c r="G697" s="48"/>
      <c r="H697" s="264"/>
      <c r="I697" s="265"/>
      <c r="J697" s="265"/>
      <c r="K697" s="264"/>
      <c r="L697" s="265"/>
      <c r="M697" s="264"/>
      <c r="N697" s="264"/>
      <c r="O697" s="264"/>
      <c r="P697" s="264"/>
      <c r="Q697" s="263"/>
      <c r="R697" s="263"/>
      <c r="S697" s="263"/>
      <c r="T697" s="263"/>
      <c r="U697" s="263"/>
      <c r="V697" s="109"/>
      <c r="W697" s="263"/>
      <c r="X697" s="263"/>
      <c r="Y697" s="263"/>
      <c r="Z697" s="263"/>
      <c r="AA697" s="263"/>
      <c r="AB697" s="109"/>
      <c r="AC697" s="109"/>
      <c r="AD697" s="109"/>
      <c r="AE697" s="109"/>
      <c r="AF697" s="109"/>
      <c r="AG697" s="109"/>
      <c r="AH697" s="109"/>
      <c r="AI697" s="109"/>
    </row>
    <row r="698" spans="1:35">
      <c r="A698" s="109"/>
      <c r="B698" s="263"/>
      <c r="C698" s="263"/>
      <c r="D698" s="263"/>
      <c r="E698" s="109"/>
      <c r="F698" s="109"/>
      <c r="G698" s="48"/>
      <c r="H698" s="264"/>
      <c r="I698" s="265"/>
      <c r="J698" s="265"/>
      <c r="K698" s="264"/>
      <c r="L698" s="265"/>
      <c r="M698" s="264"/>
      <c r="N698" s="264"/>
      <c r="O698" s="264"/>
      <c r="P698" s="264"/>
      <c r="Q698" s="263"/>
      <c r="R698" s="263"/>
      <c r="S698" s="263"/>
      <c r="T698" s="263"/>
      <c r="U698" s="263"/>
      <c r="V698" s="109"/>
      <c r="W698" s="263"/>
      <c r="X698" s="263"/>
      <c r="Y698" s="263"/>
      <c r="Z698" s="263"/>
      <c r="AA698" s="263"/>
      <c r="AB698" s="109"/>
      <c r="AC698" s="109"/>
      <c r="AD698" s="109"/>
      <c r="AE698" s="109"/>
      <c r="AF698" s="109"/>
      <c r="AG698" s="109"/>
      <c r="AH698" s="109"/>
      <c r="AI698" s="109"/>
    </row>
    <row r="699" spans="1:35">
      <c r="A699" s="109"/>
      <c r="B699" s="263"/>
      <c r="C699" s="263"/>
      <c r="D699" s="263"/>
      <c r="E699" s="109"/>
      <c r="F699" s="109"/>
      <c r="G699" s="48"/>
      <c r="H699" s="264"/>
      <c r="I699" s="265"/>
      <c r="J699" s="265"/>
      <c r="K699" s="264"/>
      <c r="L699" s="265"/>
      <c r="M699" s="264"/>
      <c r="N699" s="264"/>
      <c r="O699" s="264"/>
      <c r="P699" s="264"/>
      <c r="Q699" s="263"/>
      <c r="R699" s="263"/>
      <c r="S699" s="263"/>
      <c r="T699" s="263"/>
      <c r="U699" s="263"/>
      <c r="V699" s="109"/>
      <c r="W699" s="263"/>
      <c r="X699" s="263"/>
      <c r="Y699" s="263"/>
      <c r="Z699" s="263"/>
      <c r="AA699" s="263"/>
      <c r="AB699" s="109"/>
      <c r="AC699" s="109"/>
      <c r="AD699" s="109"/>
      <c r="AE699" s="109"/>
      <c r="AF699" s="109"/>
      <c r="AG699" s="109"/>
      <c r="AH699" s="109"/>
      <c r="AI699" s="109"/>
    </row>
    <row r="700" spans="1:35">
      <c r="A700" s="109"/>
      <c r="B700" s="263"/>
      <c r="C700" s="263"/>
      <c r="D700" s="263"/>
      <c r="E700" s="109"/>
      <c r="F700" s="109"/>
      <c r="G700" s="48"/>
      <c r="H700" s="264"/>
      <c r="I700" s="265"/>
      <c r="J700" s="265"/>
      <c r="K700" s="264"/>
      <c r="L700" s="265"/>
      <c r="M700" s="264"/>
      <c r="N700" s="264"/>
      <c r="O700" s="264"/>
      <c r="P700" s="264"/>
      <c r="Q700" s="263"/>
      <c r="R700" s="263"/>
      <c r="S700" s="263"/>
      <c r="T700" s="263"/>
      <c r="U700" s="263"/>
      <c r="V700" s="109"/>
      <c r="W700" s="263"/>
      <c r="X700" s="263"/>
      <c r="Y700" s="263"/>
      <c r="Z700" s="263"/>
      <c r="AA700" s="263"/>
      <c r="AB700" s="109"/>
      <c r="AC700" s="109"/>
      <c r="AD700" s="109"/>
      <c r="AE700" s="109"/>
      <c r="AF700" s="109"/>
      <c r="AG700" s="109"/>
      <c r="AH700" s="109"/>
      <c r="AI700" s="109"/>
    </row>
    <row r="701" spans="1:35">
      <c r="A701" s="109"/>
      <c r="B701" s="263"/>
      <c r="C701" s="263"/>
      <c r="D701" s="263"/>
      <c r="E701" s="109"/>
      <c r="F701" s="109"/>
      <c r="G701" s="48"/>
      <c r="H701" s="264"/>
      <c r="I701" s="265"/>
      <c r="J701" s="265"/>
      <c r="K701" s="264"/>
      <c r="L701" s="265"/>
      <c r="M701" s="264"/>
      <c r="N701" s="264"/>
      <c r="O701" s="264"/>
      <c r="P701" s="264"/>
      <c r="Q701" s="263"/>
      <c r="R701" s="263"/>
      <c r="S701" s="263"/>
      <c r="T701" s="263"/>
      <c r="U701" s="263"/>
      <c r="V701" s="109"/>
      <c r="W701" s="263"/>
      <c r="X701" s="263"/>
      <c r="Y701" s="263"/>
      <c r="Z701" s="263"/>
      <c r="AA701" s="263"/>
      <c r="AB701" s="109"/>
      <c r="AC701" s="109"/>
      <c r="AD701" s="109"/>
      <c r="AE701" s="109"/>
      <c r="AF701" s="109"/>
      <c r="AG701" s="109"/>
      <c r="AH701" s="109"/>
      <c r="AI701" s="109"/>
    </row>
    <row r="702" spans="1:35">
      <c r="A702" s="109"/>
      <c r="B702" s="263"/>
      <c r="C702" s="263"/>
      <c r="D702" s="263"/>
      <c r="E702" s="109"/>
      <c r="F702" s="109"/>
      <c r="G702" s="48"/>
      <c r="H702" s="264"/>
      <c r="I702" s="265"/>
      <c r="J702" s="265"/>
      <c r="K702" s="264"/>
      <c r="L702" s="265"/>
      <c r="M702" s="264"/>
      <c r="N702" s="264"/>
      <c r="O702" s="264"/>
      <c r="P702" s="264"/>
      <c r="Q702" s="263"/>
      <c r="R702" s="263"/>
      <c r="S702" s="263"/>
      <c r="T702" s="263"/>
      <c r="U702" s="263"/>
      <c r="V702" s="109"/>
      <c r="W702" s="263"/>
      <c r="X702" s="263"/>
      <c r="Y702" s="263"/>
      <c r="Z702" s="263"/>
      <c r="AA702" s="263"/>
      <c r="AB702" s="109"/>
      <c r="AC702" s="109"/>
      <c r="AD702" s="109"/>
      <c r="AE702" s="109"/>
      <c r="AF702" s="109"/>
      <c r="AG702" s="109"/>
      <c r="AH702" s="109"/>
      <c r="AI702" s="109"/>
    </row>
    <row r="703" spans="1:35">
      <c r="A703" s="109"/>
      <c r="B703" s="263"/>
      <c r="C703" s="263"/>
      <c r="D703" s="263"/>
      <c r="E703" s="109"/>
      <c r="F703" s="109"/>
      <c r="G703" s="48"/>
      <c r="H703" s="264"/>
      <c r="I703" s="265"/>
      <c r="J703" s="265"/>
      <c r="K703" s="264"/>
      <c r="L703" s="265"/>
      <c r="M703" s="264"/>
      <c r="N703" s="264"/>
      <c r="O703" s="264"/>
      <c r="P703" s="264"/>
      <c r="Q703" s="263"/>
      <c r="R703" s="263"/>
      <c r="S703" s="263"/>
      <c r="T703" s="263"/>
      <c r="U703" s="263"/>
      <c r="V703" s="109"/>
      <c r="W703" s="263"/>
      <c r="X703" s="263"/>
      <c r="Y703" s="263"/>
      <c r="Z703" s="263"/>
      <c r="AA703" s="263"/>
      <c r="AB703" s="109"/>
      <c r="AC703" s="109"/>
      <c r="AD703" s="109"/>
      <c r="AE703" s="109"/>
      <c r="AF703" s="109"/>
      <c r="AG703" s="109"/>
      <c r="AH703" s="109"/>
      <c r="AI703" s="109"/>
    </row>
    <row r="704" spans="1:35">
      <c r="A704" s="109"/>
      <c r="B704" s="263"/>
      <c r="C704" s="263"/>
      <c r="D704" s="263"/>
      <c r="E704" s="109"/>
      <c r="F704" s="109"/>
      <c r="G704" s="48"/>
      <c r="H704" s="264"/>
      <c r="I704" s="265"/>
      <c r="J704" s="265"/>
      <c r="K704" s="264"/>
      <c r="L704" s="265"/>
      <c r="M704" s="264"/>
      <c r="N704" s="264"/>
      <c r="O704" s="264"/>
      <c r="P704" s="264"/>
      <c r="Q704" s="263"/>
      <c r="R704" s="263"/>
      <c r="S704" s="263"/>
      <c r="T704" s="263"/>
      <c r="U704" s="263"/>
      <c r="V704" s="109"/>
      <c r="W704" s="263"/>
      <c r="X704" s="263"/>
      <c r="Y704" s="263"/>
      <c r="Z704" s="263"/>
      <c r="AA704" s="263"/>
      <c r="AB704" s="109"/>
      <c r="AC704" s="109"/>
      <c r="AD704" s="109"/>
      <c r="AE704" s="109"/>
      <c r="AF704" s="109"/>
      <c r="AG704" s="109"/>
      <c r="AH704" s="109"/>
      <c r="AI704" s="109"/>
    </row>
    <row r="705" spans="1:35">
      <c r="A705" s="109"/>
      <c r="B705" s="263"/>
      <c r="C705" s="263"/>
      <c r="D705" s="263"/>
      <c r="E705" s="109"/>
      <c r="F705" s="109"/>
      <c r="G705" s="48"/>
      <c r="H705" s="264"/>
      <c r="I705" s="265"/>
      <c r="J705" s="265"/>
      <c r="K705" s="264"/>
      <c r="L705" s="265"/>
      <c r="M705" s="264"/>
      <c r="N705" s="264"/>
      <c r="O705" s="264"/>
      <c r="P705" s="264"/>
      <c r="Q705" s="263"/>
      <c r="R705" s="263"/>
      <c r="S705" s="263"/>
      <c r="T705" s="263"/>
      <c r="U705" s="263"/>
      <c r="V705" s="109"/>
      <c r="W705" s="263"/>
      <c r="X705" s="263"/>
      <c r="Y705" s="263"/>
      <c r="Z705" s="263"/>
      <c r="AA705" s="263"/>
      <c r="AB705" s="109"/>
      <c r="AC705" s="109"/>
      <c r="AD705" s="109"/>
      <c r="AE705" s="109"/>
      <c r="AF705" s="109"/>
      <c r="AG705" s="109"/>
      <c r="AH705" s="109"/>
      <c r="AI705" s="109"/>
    </row>
    <row r="706" spans="1:35">
      <c r="A706" s="109"/>
      <c r="B706" s="263"/>
      <c r="C706" s="263"/>
      <c r="D706" s="263"/>
      <c r="E706" s="109"/>
      <c r="F706" s="109"/>
      <c r="G706" s="48"/>
      <c r="H706" s="264"/>
      <c r="I706" s="265"/>
      <c r="J706" s="265"/>
      <c r="K706" s="264"/>
      <c r="L706" s="265"/>
      <c r="M706" s="264"/>
      <c r="N706" s="264"/>
      <c r="O706" s="264"/>
      <c r="P706" s="264"/>
      <c r="Q706" s="263"/>
      <c r="R706" s="263"/>
      <c r="S706" s="263"/>
      <c r="T706" s="263"/>
      <c r="U706" s="263"/>
      <c r="V706" s="109"/>
      <c r="W706" s="263"/>
      <c r="X706" s="263"/>
      <c r="Y706" s="263"/>
      <c r="Z706" s="263"/>
      <c r="AA706" s="263"/>
      <c r="AB706" s="109"/>
      <c r="AC706" s="109"/>
      <c r="AD706" s="109"/>
      <c r="AE706" s="109"/>
      <c r="AF706" s="109"/>
      <c r="AG706" s="109"/>
      <c r="AH706" s="109"/>
      <c r="AI706" s="109"/>
    </row>
    <row r="707" spans="1:35">
      <c r="A707" s="109"/>
      <c r="B707" s="263"/>
      <c r="C707" s="263"/>
      <c r="D707" s="263"/>
      <c r="E707" s="109"/>
      <c r="F707" s="109"/>
      <c r="G707" s="48"/>
      <c r="H707" s="264"/>
      <c r="I707" s="265"/>
      <c r="J707" s="265"/>
      <c r="K707" s="264"/>
      <c r="L707" s="265"/>
      <c r="M707" s="264"/>
      <c r="N707" s="264"/>
      <c r="O707" s="264"/>
      <c r="P707" s="264"/>
      <c r="Q707" s="263"/>
      <c r="R707" s="263"/>
      <c r="S707" s="263"/>
      <c r="T707" s="263"/>
      <c r="U707" s="263"/>
      <c r="V707" s="109"/>
      <c r="W707" s="263"/>
      <c r="X707" s="263"/>
      <c r="Y707" s="263"/>
      <c r="Z707" s="263"/>
      <c r="AA707" s="263"/>
      <c r="AB707" s="109"/>
      <c r="AC707" s="109"/>
      <c r="AD707" s="109"/>
      <c r="AE707" s="109"/>
      <c r="AF707" s="109"/>
      <c r="AG707" s="109"/>
      <c r="AH707" s="109"/>
      <c r="AI707" s="109"/>
    </row>
    <row r="708" spans="1:35">
      <c r="A708" s="109"/>
      <c r="B708" s="263"/>
      <c r="C708" s="263"/>
      <c r="D708" s="263"/>
      <c r="E708" s="109"/>
      <c r="F708" s="109"/>
      <c r="G708" s="48"/>
      <c r="H708" s="264"/>
      <c r="I708" s="265"/>
      <c r="J708" s="265"/>
      <c r="K708" s="264"/>
      <c r="L708" s="265"/>
      <c r="M708" s="264"/>
      <c r="N708" s="264"/>
      <c r="O708" s="264"/>
      <c r="P708" s="264"/>
      <c r="Q708" s="263"/>
      <c r="R708" s="263"/>
      <c r="S708" s="263"/>
      <c r="T708" s="263"/>
      <c r="U708" s="263"/>
      <c r="V708" s="109"/>
      <c r="W708" s="263"/>
      <c r="X708" s="263"/>
      <c r="Y708" s="263"/>
      <c r="Z708" s="263"/>
      <c r="AA708" s="263"/>
      <c r="AB708" s="109"/>
      <c r="AC708" s="109"/>
      <c r="AD708" s="109"/>
      <c r="AE708" s="109"/>
      <c r="AF708" s="109"/>
      <c r="AG708" s="109"/>
      <c r="AH708" s="109"/>
      <c r="AI708" s="109"/>
    </row>
    <row r="709" spans="1:35">
      <c r="A709" s="109"/>
      <c r="B709" s="263"/>
      <c r="C709" s="263"/>
      <c r="D709" s="263"/>
      <c r="E709" s="109"/>
      <c r="F709" s="109"/>
      <c r="G709" s="48"/>
      <c r="H709" s="264"/>
      <c r="I709" s="265"/>
      <c r="J709" s="265"/>
      <c r="K709" s="264"/>
      <c r="L709" s="265"/>
      <c r="M709" s="264"/>
      <c r="N709" s="264"/>
      <c r="O709" s="264"/>
      <c r="P709" s="264"/>
      <c r="Q709" s="263"/>
      <c r="R709" s="263"/>
      <c r="S709" s="263"/>
      <c r="T709" s="263"/>
      <c r="U709" s="263"/>
      <c r="V709" s="109"/>
      <c r="W709" s="263"/>
      <c r="X709" s="263"/>
      <c r="Y709" s="263"/>
      <c r="Z709" s="263"/>
      <c r="AA709" s="263"/>
      <c r="AB709" s="109"/>
      <c r="AC709" s="109"/>
      <c r="AD709" s="109"/>
      <c r="AE709" s="109"/>
      <c r="AF709" s="109"/>
      <c r="AG709" s="109"/>
      <c r="AH709" s="109"/>
      <c r="AI709" s="109"/>
    </row>
    <row r="710" spans="1:35">
      <c r="A710" s="109"/>
      <c r="B710" s="263"/>
      <c r="C710" s="263"/>
      <c r="D710" s="263"/>
      <c r="E710" s="109"/>
      <c r="F710" s="109"/>
      <c r="G710" s="48"/>
      <c r="H710" s="264"/>
      <c r="I710" s="265"/>
      <c r="J710" s="265"/>
      <c r="K710" s="264"/>
      <c r="L710" s="265"/>
      <c r="M710" s="264"/>
      <c r="N710" s="264"/>
      <c r="O710" s="264"/>
      <c r="P710" s="264"/>
      <c r="Q710" s="263"/>
      <c r="R710" s="263"/>
      <c r="S710" s="263"/>
      <c r="T710" s="263"/>
      <c r="U710" s="263"/>
      <c r="V710" s="109"/>
      <c r="W710" s="263"/>
      <c r="X710" s="263"/>
      <c r="Y710" s="263"/>
      <c r="Z710" s="263"/>
      <c r="AA710" s="263"/>
      <c r="AB710" s="109"/>
      <c r="AC710" s="109"/>
      <c r="AD710" s="109"/>
      <c r="AE710" s="109"/>
      <c r="AF710" s="109"/>
      <c r="AG710" s="109"/>
      <c r="AH710" s="109"/>
      <c r="AI710" s="109"/>
    </row>
    <row r="711" spans="1:35">
      <c r="A711" s="109"/>
      <c r="B711" s="263"/>
      <c r="C711" s="263"/>
      <c r="D711" s="263"/>
      <c r="E711" s="109"/>
      <c r="F711" s="109"/>
      <c r="G711" s="48"/>
      <c r="H711" s="264"/>
      <c r="I711" s="265"/>
      <c r="J711" s="265"/>
      <c r="K711" s="264"/>
      <c r="L711" s="265"/>
      <c r="M711" s="264"/>
      <c r="N711" s="264"/>
      <c r="O711" s="264"/>
      <c r="P711" s="264"/>
      <c r="Q711" s="263"/>
      <c r="R711" s="263"/>
      <c r="S711" s="263"/>
      <c r="T711" s="263"/>
      <c r="U711" s="263"/>
      <c r="V711" s="109"/>
      <c r="W711" s="263"/>
      <c r="X711" s="263"/>
      <c r="Y711" s="263"/>
      <c r="Z711" s="263"/>
      <c r="AA711" s="263"/>
      <c r="AB711" s="109"/>
      <c r="AC711" s="109"/>
      <c r="AD711" s="109"/>
      <c r="AE711" s="109"/>
      <c r="AF711" s="109"/>
      <c r="AG711" s="109"/>
      <c r="AH711" s="109"/>
      <c r="AI711" s="109"/>
    </row>
    <row r="712" spans="1:35">
      <c r="A712" s="109"/>
      <c r="B712" s="263"/>
      <c r="C712" s="263"/>
      <c r="D712" s="263"/>
      <c r="E712" s="109"/>
      <c r="F712" s="109"/>
      <c r="G712" s="48"/>
      <c r="H712" s="264"/>
      <c r="I712" s="265"/>
      <c r="J712" s="265"/>
      <c r="K712" s="264"/>
      <c r="L712" s="265"/>
      <c r="M712" s="264"/>
      <c r="N712" s="264"/>
      <c r="O712" s="264"/>
      <c r="P712" s="264"/>
      <c r="Q712" s="263"/>
      <c r="R712" s="263"/>
      <c r="S712" s="263"/>
      <c r="T712" s="263"/>
      <c r="U712" s="263"/>
      <c r="V712" s="109"/>
      <c r="W712" s="263"/>
      <c r="X712" s="263"/>
      <c r="Y712" s="263"/>
      <c r="Z712" s="263"/>
      <c r="AA712" s="263"/>
      <c r="AB712" s="109"/>
      <c r="AC712" s="109"/>
      <c r="AD712" s="109"/>
      <c r="AE712" s="109"/>
      <c r="AF712" s="109"/>
      <c r="AG712" s="109"/>
      <c r="AH712" s="109"/>
      <c r="AI712" s="109"/>
    </row>
    <row r="713" spans="1:35">
      <c r="A713" s="109"/>
      <c r="B713" s="263"/>
      <c r="C713" s="263"/>
      <c r="D713" s="263"/>
      <c r="E713" s="109"/>
      <c r="F713" s="109"/>
      <c r="G713" s="48"/>
      <c r="H713" s="264"/>
      <c r="I713" s="265"/>
      <c r="J713" s="265"/>
      <c r="K713" s="264"/>
      <c r="L713" s="265"/>
      <c r="M713" s="264"/>
      <c r="N713" s="264"/>
      <c r="O713" s="264"/>
      <c r="P713" s="264"/>
      <c r="Q713" s="263"/>
      <c r="R713" s="263"/>
      <c r="S713" s="263"/>
      <c r="T713" s="263"/>
      <c r="U713" s="263"/>
      <c r="V713" s="109"/>
      <c r="W713" s="263"/>
      <c r="X713" s="263"/>
      <c r="Y713" s="263"/>
      <c r="Z713" s="263"/>
      <c r="AA713" s="263"/>
      <c r="AB713" s="109"/>
      <c r="AC713" s="109"/>
      <c r="AD713" s="109"/>
      <c r="AE713" s="109"/>
      <c r="AF713" s="109"/>
      <c r="AG713" s="109"/>
      <c r="AH713" s="109"/>
      <c r="AI713" s="109"/>
    </row>
    <row r="714" spans="1:35">
      <c r="A714" s="109"/>
      <c r="B714" s="263"/>
      <c r="C714" s="263"/>
      <c r="D714" s="263"/>
      <c r="E714" s="109"/>
      <c r="F714" s="109"/>
      <c r="G714" s="48"/>
      <c r="H714" s="264"/>
      <c r="I714" s="265"/>
      <c r="J714" s="265"/>
      <c r="K714" s="264"/>
      <c r="L714" s="265"/>
      <c r="M714" s="264"/>
      <c r="N714" s="264"/>
      <c r="O714" s="264"/>
      <c r="P714" s="264"/>
      <c r="Q714" s="263"/>
      <c r="R714" s="263"/>
      <c r="S714" s="263"/>
      <c r="T714" s="263"/>
      <c r="U714" s="263"/>
      <c r="V714" s="109"/>
      <c r="W714" s="263"/>
      <c r="X714" s="263"/>
      <c r="Y714" s="263"/>
      <c r="Z714" s="263"/>
      <c r="AA714" s="263"/>
      <c r="AB714" s="109"/>
      <c r="AC714" s="109"/>
      <c r="AD714" s="109"/>
      <c r="AE714" s="109"/>
      <c r="AF714" s="109"/>
      <c r="AG714" s="109"/>
      <c r="AH714" s="109"/>
      <c r="AI714" s="109"/>
    </row>
    <row r="715" spans="1:35">
      <c r="A715" s="109"/>
      <c r="B715" s="263"/>
      <c r="C715" s="263"/>
      <c r="D715" s="263"/>
      <c r="E715" s="109"/>
      <c r="F715" s="109"/>
      <c r="G715" s="48"/>
      <c r="H715" s="264"/>
      <c r="I715" s="265"/>
      <c r="J715" s="265"/>
      <c r="K715" s="264"/>
      <c r="L715" s="265"/>
      <c r="M715" s="264"/>
      <c r="N715" s="264"/>
      <c r="O715" s="264"/>
      <c r="P715" s="264"/>
      <c r="Q715" s="263"/>
      <c r="R715" s="263"/>
      <c r="S715" s="263"/>
      <c r="T715" s="263"/>
      <c r="U715" s="263"/>
      <c r="V715" s="109"/>
      <c r="W715" s="263"/>
      <c r="X715" s="263"/>
      <c r="Y715" s="263"/>
      <c r="Z715" s="263"/>
      <c r="AA715" s="263"/>
      <c r="AB715" s="109"/>
      <c r="AC715" s="109"/>
      <c r="AD715" s="109"/>
      <c r="AE715" s="109"/>
      <c r="AF715" s="109"/>
      <c r="AG715" s="109"/>
      <c r="AH715" s="109"/>
      <c r="AI715" s="109"/>
    </row>
    <row r="716" spans="1:35">
      <c r="A716" s="109"/>
      <c r="B716" s="263"/>
      <c r="C716" s="263"/>
      <c r="D716" s="263"/>
      <c r="E716" s="109"/>
      <c r="F716" s="109"/>
      <c r="G716" s="48"/>
      <c r="H716" s="264"/>
      <c r="I716" s="265"/>
      <c r="J716" s="265"/>
      <c r="K716" s="264"/>
      <c r="L716" s="265"/>
      <c r="M716" s="264"/>
      <c r="N716" s="264"/>
      <c r="O716" s="264"/>
      <c r="P716" s="264"/>
      <c r="Q716" s="263"/>
      <c r="R716" s="263"/>
      <c r="S716" s="263"/>
      <c r="T716" s="263"/>
      <c r="U716" s="263"/>
      <c r="V716" s="109"/>
      <c r="W716" s="263"/>
      <c r="X716" s="263"/>
      <c r="Y716" s="263"/>
      <c r="Z716" s="263"/>
      <c r="AA716" s="263"/>
      <c r="AB716" s="109"/>
      <c r="AC716" s="109"/>
      <c r="AD716" s="109"/>
      <c r="AE716" s="109"/>
      <c r="AF716" s="109"/>
      <c r="AG716" s="109"/>
      <c r="AH716" s="109"/>
      <c r="AI716" s="109"/>
    </row>
    <row r="717" spans="1:35">
      <c r="A717" s="109"/>
      <c r="B717" s="263"/>
      <c r="C717" s="263"/>
      <c r="D717" s="263"/>
      <c r="E717" s="109"/>
      <c r="F717" s="109"/>
      <c r="G717" s="48"/>
      <c r="H717" s="264"/>
      <c r="I717" s="265"/>
      <c r="J717" s="265"/>
      <c r="K717" s="264"/>
      <c r="L717" s="265"/>
      <c r="M717" s="264"/>
      <c r="N717" s="264"/>
      <c r="O717" s="264"/>
      <c r="P717" s="264"/>
      <c r="Q717" s="263"/>
      <c r="R717" s="263"/>
      <c r="S717" s="263"/>
      <c r="T717" s="263"/>
      <c r="U717" s="263"/>
      <c r="V717" s="109"/>
      <c r="W717" s="263"/>
      <c r="X717" s="263"/>
      <c r="Y717" s="263"/>
      <c r="Z717" s="263"/>
      <c r="AA717" s="263"/>
      <c r="AB717" s="109"/>
      <c r="AC717" s="109"/>
      <c r="AD717" s="109"/>
      <c r="AE717" s="109"/>
      <c r="AF717" s="109"/>
      <c r="AG717" s="109"/>
      <c r="AH717" s="109"/>
      <c r="AI717" s="109"/>
    </row>
    <row r="718" spans="1:35">
      <c r="A718" s="109"/>
      <c r="B718" s="263"/>
      <c r="C718" s="263"/>
      <c r="D718" s="263"/>
      <c r="E718" s="109"/>
      <c r="F718" s="109"/>
      <c r="G718" s="48"/>
      <c r="H718" s="264"/>
      <c r="I718" s="265"/>
      <c r="J718" s="265"/>
      <c r="K718" s="264"/>
      <c r="L718" s="265"/>
      <c r="M718" s="264"/>
      <c r="N718" s="264"/>
      <c r="O718" s="264"/>
      <c r="P718" s="264"/>
      <c r="Q718" s="263"/>
      <c r="R718" s="263"/>
      <c r="S718" s="263"/>
      <c r="T718" s="263"/>
      <c r="U718" s="263"/>
      <c r="V718" s="109"/>
      <c r="W718" s="263"/>
      <c r="X718" s="263"/>
      <c r="Y718" s="263"/>
      <c r="Z718" s="263"/>
      <c r="AA718" s="263"/>
      <c r="AB718" s="109"/>
      <c r="AC718" s="109"/>
      <c r="AD718" s="109"/>
      <c r="AE718" s="109"/>
      <c r="AF718" s="109"/>
      <c r="AG718" s="109"/>
      <c r="AH718" s="109"/>
      <c r="AI718" s="109"/>
    </row>
    <row r="719" spans="1:35">
      <c r="A719" s="109"/>
      <c r="B719" s="263"/>
      <c r="C719" s="263"/>
      <c r="D719" s="263"/>
      <c r="E719" s="109"/>
      <c r="F719" s="109"/>
      <c r="G719" s="48"/>
      <c r="H719" s="264"/>
      <c r="I719" s="265"/>
      <c r="J719" s="265"/>
      <c r="K719" s="264"/>
      <c r="L719" s="265"/>
      <c r="M719" s="264"/>
      <c r="N719" s="264"/>
      <c r="O719" s="264"/>
      <c r="P719" s="264"/>
      <c r="Q719" s="263"/>
      <c r="R719" s="263"/>
      <c r="S719" s="263"/>
      <c r="T719" s="263"/>
      <c r="U719" s="263"/>
      <c r="V719" s="109"/>
      <c r="W719" s="263"/>
      <c r="X719" s="263"/>
      <c r="Y719" s="263"/>
      <c r="Z719" s="263"/>
      <c r="AA719" s="263"/>
      <c r="AB719" s="109"/>
      <c r="AC719" s="109"/>
      <c r="AD719" s="109"/>
      <c r="AE719" s="109"/>
      <c r="AF719" s="109"/>
      <c r="AG719" s="109"/>
      <c r="AH719" s="109"/>
      <c r="AI719" s="109"/>
    </row>
    <row r="720" spans="1:35">
      <c r="A720" s="109"/>
      <c r="B720" s="263"/>
      <c r="C720" s="263"/>
      <c r="D720" s="263"/>
      <c r="E720" s="109"/>
      <c r="F720" s="109"/>
      <c r="G720" s="48"/>
      <c r="H720" s="264"/>
      <c r="I720" s="265"/>
      <c r="J720" s="265"/>
      <c r="K720" s="264"/>
      <c r="L720" s="265"/>
      <c r="M720" s="264"/>
      <c r="N720" s="264"/>
      <c r="O720" s="264"/>
      <c r="P720" s="264"/>
      <c r="Q720" s="263"/>
      <c r="R720" s="263"/>
      <c r="S720" s="263"/>
      <c r="T720" s="263"/>
      <c r="U720" s="263"/>
      <c r="V720" s="109"/>
      <c r="W720" s="263"/>
      <c r="X720" s="263"/>
      <c r="Y720" s="263"/>
      <c r="Z720" s="263"/>
      <c r="AA720" s="263"/>
      <c r="AB720" s="109"/>
      <c r="AC720" s="109"/>
      <c r="AD720" s="109"/>
      <c r="AE720" s="109"/>
      <c r="AF720" s="109"/>
      <c r="AG720" s="109"/>
      <c r="AH720" s="109"/>
      <c r="AI720" s="109"/>
    </row>
    <row r="721" spans="1:35">
      <c r="A721" s="109"/>
      <c r="B721" s="263"/>
      <c r="C721" s="263"/>
      <c r="D721" s="263"/>
      <c r="E721" s="109"/>
      <c r="F721" s="109"/>
      <c r="G721" s="48"/>
      <c r="H721" s="264"/>
      <c r="I721" s="265"/>
      <c r="J721" s="265"/>
      <c r="K721" s="264"/>
      <c r="L721" s="265"/>
      <c r="M721" s="264"/>
      <c r="N721" s="264"/>
      <c r="O721" s="264"/>
      <c r="P721" s="264"/>
      <c r="Q721" s="263"/>
      <c r="R721" s="263"/>
      <c r="S721" s="263"/>
      <c r="T721" s="263"/>
      <c r="U721" s="263"/>
      <c r="V721" s="109"/>
      <c r="W721" s="263"/>
      <c r="X721" s="263"/>
      <c r="Y721" s="263"/>
      <c r="Z721" s="263"/>
      <c r="AA721" s="263"/>
      <c r="AB721" s="109"/>
      <c r="AC721" s="109"/>
      <c r="AD721" s="109"/>
      <c r="AE721" s="109"/>
      <c r="AF721" s="109"/>
      <c r="AG721" s="109"/>
      <c r="AH721" s="109"/>
      <c r="AI721" s="109"/>
    </row>
    <row r="722" spans="1:35">
      <c r="A722" s="109"/>
      <c r="B722" s="263"/>
      <c r="C722" s="263"/>
      <c r="D722" s="263"/>
      <c r="E722" s="109"/>
      <c r="F722" s="109"/>
      <c r="G722" s="48"/>
      <c r="H722" s="264"/>
      <c r="I722" s="265"/>
      <c r="J722" s="265"/>
      <c r="K722" s="264"/>
      <c r="L722" s="265"/>
      <c r="M722" s="264"/>
      <c r="N722" s="264"/>
      <c r="O722" s="264"/>
      <c r="P722" s="264"/>
      <c r="Q722" s="263"/>
      <c r="R722" s="263"/>
      <c r="S722" s="263"/>
      <c r="T722" s="263"/>
      <c r="U722" s="263"/>
      <c r="V722" s="109"/>
      <c r="W722" s="263"/>
      <c r="X722" s="263"/>
      <c r="Y722" s="263"/>
      <c r="Z722" s="263"/>
      <c r="AA722" s="263"/>
      <c r="AB722" s="109"/>
      <c r="AC722" s="109"/>
      <c r="AD722" s="109"/>
      <c r="AE722" s="109"/>
      <c r="AF722" s="109"/>
      <c r="AG722" s="109"/>
      <c r="AH722" s="109"/>
      <c r="AI722" s="109"/>
    </row>
    <row r="723" spans="1:35">
      <c r="A723" s="109"/>
      <c r="B723" s="263"/>
      <c r="C723" s="263"/>
      <c r="D723" s="263"/>
      <c r="E723" s="109"/>
      <c r="F723" s="109"/>
      <c r="G723" s="48"/>
      <c r="H723" s="264"/>
      <c r="I723" s="265"/>
      <c r="J723" s="265"/>
      <c r="K723" s="264"/>
      <c r="L723" s="265"/>
      <c r="M723" s="264"/>
      <c r="N723" s="264"/>
      <c r="O723" s="264"/>
      <c r="P723" s="264"/>
      <c r="Q723" s="263"/>
      <c r="R723" s="263"/>
      <c r="S723" s="263"/>
      <c r="T723" s="263"/>
      <c r="U723" s="263"/>
      <c r="V723" s="109"/>
      <c r="W723" s="263"/>
      <c r="X723" s="263"/>
      <c r="Y723" s="263"/>
      <c r="Z723" s="263"/>
      <c r="AA723" s="263"/>
      <c r="AB723" s="109"/>
      <c r="AC723" s="109"/>
      <c r="AD723" s="109"/>
      <c r="AE723" s="109"/>
      <c r="AF723" s="109"/>
      <c r="AG723" s="109"/>
      <c r="AH723" s="109"/>
      <c r="AI723" s="109"/>
    </row>
    <row r="724" spans="1:35">
      <c r="A724" s="109"/>
      <c r="B724" s="263"/>
      <c r="C724" s="263"/>
      <c r="D724" s="263"/>
      <c r="E724" s="109"/>
      <c r="F724" s="109"/>
      <c r="G724" s="48"/>
      <c r="H724" s="264"/>
      <c r="I724" s="265"/>
      <c r="J724" s="265"/>
      <c r="K724" s="264"/>
      <c r="L724" s="265"/>
      <c r="M724" s="264"/>
      <c r="N724" s="264"/>
      <c r="O724" s="264"/>
      <c r="P724" s="264"/>
      <c r="Q724" s="263"/>
      <c r="R724" s="263"/>
      <c r="S724" s="263"/>
      <c r="T724" s="263"/>
      <c r="U724" s="263"/>
      <c r="V724" s="109"/>
      <c r="W724" s="263"/>
      <c r="X724" s="263"/>
      <c r="Y724" s="263"/>
      <c r="Z724" s="263"/>
      <c r="AA724" s="263"/>
      <c r="AB724" s="109"/>
      <c r="AC724" s="109"/>
      <c r="AD724" s="109"/>
      <c r="AE724" s="109"/>
      <c r="AF724" s="109"/>
      <c r="AG724" s="109"/>
      <c r="AH724" s="109"/>
      <c r="AI724" s="109"/>
    </row>
    <row r="725" spans="1:35">
      <c r="A725" s="109"/>
      <c r="B725" s="263"/>
      <c r="C725" s="263"/>
      <c r="D725" s="263"/>
      <c r="E725" s="109"/>
      <c r="F725" s="109"/>
      <c r="G725" s="48"/>
      <c r="H725" s="264"/>
      <c r="I725" s="265"/>
      <c r="J725" s="265"/>
      <c r="K725" s="264"/>
      <c r="L725" s="265"/>
      <c r="M725" s="264"/>
      <c r="N725" s="264"/>
      <c r="O725" s="264"/>
      <c r="P725" s="264"/>
      <c r="Q725" s="263"/>
      <c r="R725" s="263"/>
      <c r="S725" s="263"/>
      <c r="T725" s="263"/>
      <c r="U725" s="263"/>
      <c r="V725" s="109"/>
      <c r="W725" s="263"/>
      <c r="X725" s="263"/>
      <c r="Y725" s="263"/>
      <c r="Z725" s="263"/>
      <c r="AA725" s="263"/>
      <c r="AB725" s="109"/>
      <c r="AC725" s="109"/>
      <c r="AD725" s="109"/>
      <c r="AE725" s="109"/>
      <c r="AF725" s="109"/>
      <c r="AG725" s="109"/>
      <c r="AH725" s="109"/>
      <c r="AI725" s="109"/>
    </row>
    <row r="726" spans="1:35">
      <c r="A726" s="109"/>
      <c r="B726" s="263"/>
      <c r="C726" s="263"/>
      <c r="D726" s="263"/>
      <c r="E726" s="109"/>
      <c r="F726" s="109"/>
      <c r="G726" s="48"/>
      <c r="H726" s="264"/>
      <c r="I726" s="265"/>
      <c r="J726" s="265"/>
      <c r="K726" s="264"/>
      <c r="L726" s="265"/>
      <c r="M726" s="264"/>
      <c r="N726" s="264"/>
      <c r="O726" s="264"/>
      <c r="P726" s="264"/>
      <c r="Q726" s="263"/>
      <c r="R726" s="263"/>
      <c r="S726" s="263"/>
      <c r="T726" s="263"/>
      <c r="U726" s="263"/>
      <c r="V726" s="109"/>
      <c r="W726" s="263"/>
      <c r="X726" s="263"/>
      <c r="Y726" s="263"/>
      <c r="Z726" s="263"/>
      <c r="AA726" s="263"/>
      <c r="AB726" s="109"/>
      <c r="AC726" s="109"/>
      <c r="AD726" s="109"/>
      <c r="AE726" s="109"/>
      <c r="AF726" s="109"/>
      <c r="AG726" s="109"/>
      <c r="AH726" s="109"/>
      <c r="AI726" s="109"/>
    </row>
    <row r="727" spans="1:35">
      <c r="A727" s="109"/>
      <c r="B727" s="263"/>
      <c r="C727" s="263"/>
      <c r="D727" s="263"/>
      <c r="E727" s="109"/>
      <c r="F727" s="109"/>
      <c r="G727" s="48"/>
      <c r="H727" s="264"/>
      <c r="I727" s="265"/>
      <c r="J727" s="265"/>
      <c r="K727" s="264"/>
      <c r="L727" s="265"/>
      <c r="M727" s="264"/>
      <c r="N727" s="264"/>
      <c r="O727" s="264"/>
      <c r="P727" s="264"/>
      <c r="Q727" s="263"/>
      <c r="R727" s="263"/>
      <c r="S727" s="263"/>
      <c r="T727" s="263"/>
      <c r="U727" s="263"/>
      <c r="V727" s="109"/>
      <c r="W727" s="263"/>
      <c r="X727" s="263"/>
      <c r="Y727" s="263"/>
      <c r="Z727" s="263"/>
      <c r="AA727" s="263"/>
      <c r="AB727" s="109"/>
      <c r="AC727" s="109"/>
      <c r="AD727" s="109"/>
      <c r="AE727" s="109"/>
      <c r="AF727" s="109"/>
      <c r="AG727" s="109"/>
      <c r="AH727" s="109"/>
      <c r="AI727" s="109"/>
    </row>
    <row r="728" spans="1:35">
      <c r="A728" s="109"/>
      <c r="B728" s="263"/>
      <c r="C728" s="263"/>
      <c r="D728" s="263"/>
      <c r="E728" s="109"/>
      <c r="F728" s="109"/>
      <c r="G728" s="48"/>
      <c r="H728" s="264"/>
      <c r="I728" s="265"/>
      <c r="J728" s="265"/>
      <c r="K728" s="264"/>
      <c r="L728" s="265"/>
      <c r="M728" s="264"/>
      <c r="N728" s="264"/>
      <c r="O728" s="264"/>
      <c r="P728" s="264"/>
      <c r="Q728" s="263"/>
      <c r="R728" s="263"/>
      <c r="S728" s="263"/>
      <c r="T728" s="263"/>
      <c r="U728" s="263"/>
      <c r="V728" s="109"/>
      <c r="W728" s="263"/>
      <c r="X728" s="263"/>
      <c r="Y728" s="263"/>
      <c r="Z728" s="263"/>
      <c r="AA728" s="263"/>
      <c r="AB728" s="109"/>
      <c r="AC728" s="109"/>
      <c r="AD728" s="109"/>
      <c r="AE728" s="109"/>
      <c r="AF728" s="109"/>
      <c r="AG728" s="109"/>
      <c r="AH728" s="109"/>
      <c r="AI728" s="109"/>
    </row>
    <row r="729" spans="1:35">
      <c r="A729" s="109"/>
      <c r="B729" s="263"/>
      <c r="C729" s="263"/>
      <c r="D729" s="263"/>
      <c r="E729" s="109"/>
      <c r="F729" s="109"/>
      <c r="G729" s="48"/>
      <c r="H729" s="264"/>
      <c r="I729" s="265"/>
      <c r="J729" s="265"/>
      <c r="K729" s="264"/>
      <c r="L729" s="265"/>
      <c r="M729" s="264"/>
      <c r="N729" s="264"/>
      <c r="O729" s="264"/>
      <c r="P729" s="264"/>
      <c r="Q729" s="263"/>
      <c r="R729" s="263"/>
      <c r="S729" s="263"/>
      <c r="T729" s="263"/>
      <c r="U729" s="263"/>
      <c r="V729" s="109"/>
      <c r="W729" s="263"/>
      <c r="X729" s="263"/>
      <c r="Y729" s="263"/>
      <c r="Z729" s="263"/>
      <c r="AA729" s="263"/>
      <c r="AB729" s="109"/>
      <c r="AC729" s="109"/>
      <c r="AD729" s="109"/>
      <c r="AE729" s="109"/>
      <c r="AF729" s="109"/>
      <c r="AG729" s="109"/>
      <c r="AH729" s="109"/>
      <c r="AI729" s="109"/>
    </row>
    <row r="730" spans="1:35">
      <c r="A730" s="109"/>
      <c r="B730" s="263"/>
      <c r="C730" s="263"/>
      <c r="D730" s="263"/>
      <c r="E730" s="109"/>
      <c r="F730" s="109"/>
      <c r="G730" s="48"/>
      <c r="H730" s="264"/>
      <c r="I730" s="265"/>
      <c r="J730" s="265"/>
      <c r="K730" s="264"/>
      <c r="L730" s="265"/>
      <c r="M730" s="264"/>
      <c r="N730" s="264"/>
      <c r="O730" s="264"/>
      <c r="P730" s="264"/>
      <c r="Q730" s="263"/>
      <c r="R730" s="263"/>
      <c r="S730" s="263"/>
      <c r="T730" s="263"/>
      <c r="U730" s="263"/>
      <c r="V730" s="109"/>
      <c r="W730" s="263"/>
      <c r="X730" s="263"/>
      <c r="Y730" s="263"/>
      <c r="Z730" s="263"/>
      <c r="AA730" s="263"/>
      <c r="AB730" s="109"/>
      <c r="AC730" s="109"/>
      <c r="AD730" s="109"/>
      <c r="AE730" s="109"/>
      <c r="AF730" s="109"/>
      <c r="AG730" s="109"/>
      <c r="AH730" s="109"/>
      <c r="AI730" s="109"/>
    </row>
    <row r="731" spans="1:35">
      <c r="A731" s="109"/>
      <c r="B731" s="263"/>
      <c r="C731" s="263"/>
      <c r="D731" s="263"/>
      <c r="E731" s="109"/>
      <c r="F731" s="109"/>
      <c r="G731" s="48"/>
      <c r="H731" s="264"/>
      <c r="I731" s="265"/>
      <c r="J731" s="265"/>
      <c r="K731" s="264"/>
      <c r="L731" s="265"/>
      <c r="M731" s="264"/>
      <c r="N731" s="264"/>
      <c r="O731" s="264"/>
      <c r="P731" s="264"/>
      <c r="Q731" s="263"/>
      <c r="R731" s="263"/>
      <c r="S731" s="263"/>
      <c r="T731" s="263"/>
      <c r="U731" s="263"/>
      <c r="V731" s="109"/>
      <c r="W731" s="263"/>
      <c r="X731" s="263"/>
      <c r="Y731" s="263"/>
      <c r="Z731" s="263"/>
      <c r="AA731" s="263"/>
      <c r="AB731" s="109"/>
      <c r="AC731" s="109"/>
      <c r="AD731" s="109"/>
      <c r="AE731" s="109"/>
      <c r="AF731" s="109"/>
      <c r="AG731" s="109"/>
      <c r="AH731" s="109"/>
      <c r="AI731" s="109"/>
    </row>
    <row r="732" spans="1:35">
      <c r="A732" s="109"/>
      <c r="B732" s="263"/>
      <c r="C732" s="263"/>
      <c r="D732" s="263"/>
      <c r="E732" s="109"/>
      <c r="F732" s="109"/>
      <c r="G732" s="48"/>
      <c r="H732" s="264"/>
      <c r="I732" s="265"/>
      <c r="J732" s="265"/>
      <c r="K732" s="264"/>
      <c r="L732" s="265"/>
      <c r="M732" s="264"/>
      <c r="N732" s="264"/>
      <c r="O732" s="264"/>
      <c r="P732" s="264"/>
      <c r="Q732" s="263"/>
      <c r="R732" s="263"/>
      <c r="S732" s="263"/>
      <c r="T732" s="263"/>
      <c r="U732" s="263"/>
      <c r="V732" s="109"/>
      <c r="W732" s="263"/>
      <c r="X732" s="263"/>
      <c r="Y732" s="263"/>
      <c r="Z732" s="263"/>
      <c r="AA732" s="263"/>
      <c r="AB732" s="109"/>
      <c r="AC732" s="109"/>
      <c r="AD732" s="109"/>
      <c r="AE732" s="109"/>
      <c r="AF732" s="109"/>
      <c r="AG732" s="109"/>
      <c r="AH732" s="109"/>
      <c r="AI732" s="109"/>
    </row>
    <row r="733" spans="1:35">
      <c r="A733" s="109"/>
      <c r="B733" s="263"/>
      <c r="C733" s="263"/>
      <c r="D733" s="263"/>
      <c r="E733" s="109"/>
      <c r="F733" s="109"/>
      <c r="G733" s="48"/>
      <c r="H733" s="264"/>
      <c r="I733" s="265"/>
      <c r="J733" s="265"/>
      <c r="K733" s="264"/>
      <c r="L733" s="265"/>
      <c r="M733" s="264"/>
      <c r="N733" s="264"/>
      <c r="O733" s="264"/>
      <c r="P733" s="264"/>
      <c r="Q733" s="263"/>
      <c r="R733" s="263"/>
      <c r="S733" s="263"/>
      <c r="T733" s="263"/>
      <c r="U733" s="263"/>
      <c r="V733" s="109"/>
      <c r="W733" s="263"/>
      <c r="X733" s="263"/>
      <c r="Y733" s="263"/>
      <c r="Z733" s="263"/>
      <c r="AA733" s="263"/>
      <c r="AB733" s="109"/>
      <c r="AC733" s="109"/>
      <c r="AD733" s="109"/>
      <c r="AE733" s="109"/>
      <c r="AF733" s="109"/>
      <c r="AG733" s="109"/>
      <c r="AH733" s="109"/>
      <c r="AI733" s="109"/>
    </row>
    <row r="734" spans="1:35">
      <c r="A734" s="109"/>
      <c r="B734" s="263"/>
      <c r="C734" s="263"/>
      <c r="D734" s="263"/>
      <c r="E734" s="109"/>
      <c r="F734" s="109"/>
      <c r="G734" s="48"/>
      <c r="H734" s="264"/>
      <c r="I734" s="265"/>
      <c r="J734" s="265"/>
      <c r="K734" s="264"/>
      <c r="L734" s="265"/>
      <c r="M734" s="264"/>
      <c r="N734" s="264"/>
      <c r="O734" s="264"/>
      <c r="P734" s="264"/>
      <c r="Q734" s="263"/>
      <c r="R734" s="263"/>
      <c r="S734" s="263"/>
      <c r="T734" s="263"/>
      <c r="U734" s="263"/>
      <c r="V734" s="109"/>
      <c r="W734" s="263"/>
      <c r="X734" s="263"/>
      <c r="Y734" s="263"/>
      <c r="Z734" s="263"/>
      <c r="AA734" s="263"/>
      <c r="AB734" s="109"/>
      <c r="AC734" s="109"/>
      <c r="AD734" s="109"/>
      <c r="AE734" s="109"/>
      <c r="AF734" s="109"/>
      <c r="AG734" s="109"/>
      <c r="AH734" s="109"/>
      <c r="AI734" s="109"/>
    </row>
    <row r="735" spans="1:35">
      <c r="A735" s="109"/>
      <c r="B735" s="263"/>
      <c r="C735" s="263"/>
      <c r="D735" s="263"/>
      <c r="E735" s="109"/>
      <c r="F735" s="109"/>
      <c r="G735" s="48"/>
      <c r="H735" s="264"/>
      <c r="I735" s="265"/>
      <c r="J735" s="265"/>
      <c r="K735" s="264"/>
      <c r="L735" s="265"/>
      <c r="M735" s="264"/>
      <c r="N735" s="264"/>
      <c r="O735" s="264"/>
      <c r="P735" s="264"/>
      <c r="Q735" s="263"/>
      <c r="R735" s="263"/>
      <c r="S735" s="263"/>
      <c r="T735" s="263"/>
      <c r="U735" s="263"/>
      <c r="V735" s="109"/>
      <c r="W735" s="263"/>
      <c r="X735" s="263"/>
      <c r="Y735" s="263"/>
      <c r="Z735" s="263"/>
      <c r="AA735" s="263"/>
      <c r="AB735" s="109"/>
      <c r="AC735" s="109"/>
      <c r="AD735" s="109"/>
      <c r="AE735" s="109"/>
      <c r="AF735" s="109"/>
      <c r="AG735" s="109"/>
      <c r="AH735" s="109"/>
      <c r="AI735" s="109"/>
    </row>
    <row r="736" spans="1:35">
      <c r="A736" s="109"/>
      <c r="B736" s="263"/>
      <c r="C736" s="263"/>
      <c r="D736" s="263"/>
      <c r="E736" s="109"/>
      <c r="F736" s="109"/>
      <c r="G736" s="48"/>
      <c r="H736" s="264"/>
      <c r="I736" s="265"/>
      <c r="J736" s="265"/>
      <c r="K736" s="264"/>
      <c r="L736" s="265"/>
      <c r="M736" s="264"/>
      <c r="N736" s="264"/>
      <c r="O736" s="264"/>
      <c r="P736" s="264"/>
      <c r="Q736" s="263"/>
      <c r="R736" s="263"/>
      <c r="S736" s="263"/>
      <c r="T736" s="263"/>
      <c r="U736" s="263"/>
      <c r="V736" s="109"/>
      <c r="W736" s="263"/>
      <c r="X736" s="263"/>
      <c r="Y736" s="263"/>
      <c r="Z736" s="263"/>
      <c r="AA736" s="263"/>
      <c r="AB736" s="109"/>
      <c r="AC736" s="109"/>
      <c r="AD736" s="109"/>
      <c r="AE736" s="109"/>
      <c r="AF736" s="109"/>
      <c r="AG736" s="109"/>
      <c r="AH736" s="109"/>
      <c r="AI736" s="109"/>
    </row>
    <row r="737" spans="1:35">
      <c r="A737" s="109"/>
      <c r="B737" s="263"/>
      <c r="C737" s="263"/>
      <c r="D737" s="263"/>
      <c r="E737" s="109"/>
      <c r="F737" s="109"/>
      <c r="G737" s="48"/>
      <c r="H737" s="264"/>
      <c r="I737" s="265"/>
      <c r="J737" s="265"/>
      <c r="K737" s="264"/>
      <c r="L737" s="265"/>
      <c r="M737" s="264"/>
      <c r="N737" s="264"/>
      <c r="O737" s="264"/>
      <c r="P737" s="264"/>
      <c r="Q737" s="263"/>
      <c r="R737" s="263"/>
      <c r="S737" s="263"/>
      <c r="T737" s="263"/>
      <c r="U737" s="263"/>
      <c r="V737" s="109"/>
      <c r="W737" s="263"/>
      <c r="X737" s="263"/>
      <c r="Y737" s="263"/>
      <c r="Z737" s="263"/>
      <c r="AA737" s="263"/>
      <c r="AB737" s="109"/>
      <c r="AC737" s="109"/>
      <c r="AD737" s="109"/>
      <c r="AE737" s="109"/>
      <c r="AF737" s="109"/>
      <c r="AG737" s="109"/>
      <c r="AH737" s="109"/>
      <c r="AI737" s="109"/>
    </row>
    <row r="738" spans="1:35">
      <c r="A738" s="109"/>
      <c r="B738" s="263"/>
      <c r="C738" s="263"/>
      <c r="D738" s="263"/>
      <c r="E738" s="109"/>
      <c r="F738" s="109"/>
      <c r="G738" s="48"/>
      <c r="H738" s="264"/>
      <c r="I738" s="265"/>
      <c r="J738" s="265"/>
      <c r="K738" s="264"/>
      <c r="L738" s="265"/>
      <c r="M738" s="264"/>
      <c r="N738" s="264"/>
      <c r="O738" s="264"/>
      <c r="P738" s="264"/>
      <c r="Q738" s="263"/>
      <c r="R738" s="263"/>
      <c r="S738" s="263"/>
      <c r="T738" s="263"/>
      <c r="U738" s="263"/>
      <c r="V738" s="109"/>
      <c r="W738" s="263"/>
      <c r="X738" s="263"/>
      <c r="Y738" s="263"/>
      <c r="Z738" s="263"/>
      <c r="AA738" s="263"/>
      <c r="AB738" s="109"/>
      <c r="AC738" s="109"/>
      <c r="AD738" s="109"/>
      <c r="AE738" s="109"/>
      <c r="AF738" s="109"/>
      <c r="AG738" s="109"/>
      <c r="AH738" s="109"/>
      <c r="AI738" s="109"/>
    </row>
    <row r="739" spans="1:35">
      <c r="A739" s="109"/>
      <c r="B739" s="263"/>
      <c r="C739" s="263"/>
      <c r="D739" s="263"/>
      <c r="E739" s="109"/>
      <c r="F739" s="109"/>
      <c r="G739" s="48"/>
      <c r="H739" s="264"/>
      <c r="I739" s="265"/>
      <c r="J739" s="265"/>
      <c r="K739" s="264"/>
      <c r="L739" s="265"/>
      <c r="M739" s="264"/>
      <c r="N739" s="264"/>
      <c r="O739" s="264"/>
      <c r="P739" s="264"/>
      <c r="Q739" s="263"/>
      <c r="R739" s="263"/>
      <c r="S739" s="263"/>
      <c r="T739" s="263"/>
      <c r="U739" s="263"/>
      <c r="V739" s="109"/>
      <c r="W739" s="263"/>
      <c r="X739" s="263"/>
      <c r="Y739" s="263"/>
      <c r="Z739" s="263"/>
      <c r="AA739" s="263"/>
      <c r="AB739" s="109"/>
      <c r="AC739" s="109"/>
      <c r="AD739" s="109"/>
      <c r="AE739" s="109"/>
      <c r="AF739" s="109"/>
      <c r="AG739" s="109"/>
      <c r="AH739" s="109"/>
      <c r="AI739" s="109"/>
    </row>
    <row r="740" spans="1:35">
      <c r="A740" s="109"/>
      <c r="B740" s="263"/>
      <c r="C740" s="263"/>
      <c r="D740" s="263"/>
      <c r="E740" s="109"/>
      <c r="F740" s="109"/>
      <c r="G740" s="48"/>
      <c r="H740" s="264"/>
      <c r="I740" s="265"/>
      <c r="J740" s="265"/>
      <c r="K740" s="264"/>
      <c r="L740" s="265"/>
      <c r="M740" s="264"/>
      <c r="N740" s="264"/>
      <c r="O740" s="264"/>
      <c r="P740" s="264"/>
      <c r="Q740" s="263"/>
      <c r="R740" s="263"/>
      <c r="S740" s="263"/>
      <c r="T740" s="263"/>
      <c r="U740" s="263"/>
      <c r="V740" s="109"/>
      <c r="W740" s="263"/>
      <c r="X740" s="263"/>
      <c r="Y740" s="263"/>
      <c r="Z740" s="263"/>
      <c r="AA740" s="263"/>
      <c r="AB740" s="109"/>
      <c r="AC740" s="109"/>
      <c r="AD740" s="109"/>
      <c r="AE740" s="109"/>
      <c r="AF740" s="109"/>
      <c r="AG740" s="109"/>
      <c r="AH740" s="109"/>
      <c r="AI740" s="109"/>
    </row>
    <row r="741" spans="1:35">
      <c r="A741" s="109"/>
      <c r="B741" s="263"/>
      <c r="C741" s="263"/>
      <c r="D741" s="263"/>
      <c r="E741" s="109"/>
      <c r="F741" s="109"/>
      <c r="G741" s="48"/>
      <c r="H741" s="264"/>
      <c r="I741" s="265"/>
      <c r="J741" s="265"/>
      <c r="K741" s="264"/>
      <c r="L741" s="265"/>
      <c r="M741" s="264"/>
      <c r="N741" s="264"/>
      <c r="O741" s="264"/>
      <c r="P741" s="264"/>
      <c r="Q741" s="263"/>
      <c r="R741" s="263"/>
      <c r="S741" s="263"/>
      <c r="T741" s="263"/>
      <c r="U741" s="263"/>
      <c r="V741" s="109"/>
      <c r="W741" s="263"/>
      <c r="X741" s="263"/>
      <c r="Y741" s="263"/>
      <c r="Z741" s="263"/>
      <c r="AA741" s="263"/>
      <c r="AB741" s="109"/>
      <c r="AC741" s="109"/>
      <c r="AD741" s="109"/>
      <c r="AE741" s="109"/>
      <c r="AF741" s="109"/>
      <c r="AG741" s="109"/>
      <c r="AH741" s="109"/>
      <c r="AI741" s="109"/>
    </row>
    <row r="742" spans="1:35">
      <c r="A742" s="109"/>
      <c r="B742" s="263"/>
      <c r="C742" s="263"/>
      <c r="D742" s="263"/>
      <c r="E742" s="109"/>
      <c r="F742" s="109"/>
      <c r="G742" s="48"/>
      <c r="H742" s="264"/>
      <c r="I742" s="265"/>
      <c r="J742" s="265"/>
      <c r="K742" s="264"/>
      <c r="L742" s="265"/>
      <c r="M742" s="264"/>
      <c r="N742" s="264"/>
      <c r="O742" s="264"/>
      <c r="P742" s="264"/>
      <c r="Q742" s="263"/>
      <c r="R742" s="263"/>
      <c r="S742" s="263"/>
      <c r="T742" s="263"/>
      <c r="U742" s="263"/>
      <c r="V742" s="109"/>
      <c r="W742" s="263"/>
      <c r="X742" s="263"/>
      <c r="Y742" s="263"/>
      <c r="Z742" s="263"/>
      <c r="AA742" s="263"/>
      <c r="AB742" s="109"/>
      <c r="AC742" s="109"/>
      <c r="AD742" s="109"/>
      <c r="AE742" s="109"/>
      <c r="AF742" s="109"/>
      <c r="AG742" s="109"/>
      <c r="AH742" s="109"/>
      <c r="AI742" s="109"/>
    </row>
    <row r="743" spans="1:35">
      <c r="A743" s="109"/>
      <c r="B743" s="263"/>
      <c r="C743" s="263"/>
      <c r="D743" s="263"/>
      <c r="E743" s="109"/>
      <c r="F743" s="109"/>
      <c r="G743" s="48"/>
      <c r="H743" s="264"/>
      <c r="I743" s="265"/>
      <c r="J743" s="265"/>
      <c r="K743" s="264"/>
      <c r="L743" s="265"/>
      <c r="M743" s="264"/>
      <c r="N743" s="264"/>
      <c r="O743" s="264"/>
      <c r="P743" s="264"/>
      <c r="Q743" s="263"/>
      <c r="R743" s="263"/>
      <c r="S743" s="263"/>
      <c r="T743" s="263"/>
      <c r="U743" s="263"/>
      <c r="V743" s="109"/>
      <c r="W743" s="263"/>
      <c r="X743" s="263"/>
      <c r="Y743" s="263"/>
      <c r="Z743" s="263"/>
      <c r="AA743" s="263"/>
      <c r="AB743" s="109"/>
      <c r="AC743" s="109"/>
      <c r="AD743" s="109"/>
      <c r="AE743" s="109"/>
      <c r="AF743" s="109"/>
      <c r="AG743" s="109"/>
      <c r="AH743" s="109"/>
      <c r="AI743" s="109"/>
    </row>
    <row r="744" spans="1:35">
      <c r="A744" s="109"/>
      <c r="B744" s="263"/>
      <c r="C744" s="263"/>
      <c r="D744" s="263"/>
      <c r="E744" s="109"/>
      <c r="F744" s="109"/>
      <c r="G744" s="48"/>
      <c r="H744" s="264"/>
      <c r="I744" s="265"/>
      <c r="J744" s="265"/>
      <c r="K744" s="264"/>
      <c r="L744" s="265"/>
      <c r="M744" s="264"/>
      <c r="N744" s="264"/>
      <c r="O744" s="264"/>
      <c r="P744" s="264"/>
      <c r="Q744" s="263"/>
      <c r="R744" s="263"/>
      <c r="S744" s="263"/>
      <c r="T744" s="263"/>
      <c r="U744" s="263"/>
      <c r="V744" s="109"/>
      <c r="W744" s="263"/>
      <c r="X744" s="263"/>
      <c r="Y744" s="263"/>
      <c r="Z744" s="263"/>
      <c r="AA744" s="263"/>
      <c r="AB744" s="109"/>
      <c r="AC744" s="109"/>
      <c r="AD744" s="109"/>
      <c r="AE744" s="109"/>
      <c r="AF744" s="109"/>
      <c r="AG744" s="109"/>
      <c r="AH744" s="109"/>
      <c r="AI744" s="109"/>
    </row>
    <row r="745" spans="1:35">
      <c r="A745" s="109"/>
      <c r="B745" s="263"/>
      <c r="C745" s="263"/>
      <c r="D745" s="263"/>
      <c r="E745" s="109"/>
      <c r="F745" s="109"/>
      <c r="G745" s="48"/>
      <c r="H745" s="264"/>
      <c r="I745" s="265"/>
      <c r="J745" s="265"/>
      <c r="K745" s="264"/>
      <c r="L745" s="265"/>
      <c r="M745" s="264"/>
      <c r="N745" s="264"/>
      <c r="O745" s="264"/>
      <c r="P745" s="264"/>
      <c r="Q745" s="263"/>
      <c r="R745" s="263"/>
      <c r="S745" s="263"/>
      <c r="T745" s="263"/>
      <c r="U745" s="263"/>
      <c r="V745" s="109"/>
      <c r="W745" s="263"/>
      <c r="X745" s="263"/>
      <c r="Y745" s="263"/>
      <c r="Z745" s="263"/>
      <c r="AA745" s="263"/>
      <c r="AB745" s="109"/>
      <c r="AC745" s="109"/>
      <c r="AD745" s="109"/>
      <c r="AE745" s="109"/>
      <c r="AF745" s="109"/>
      <c r="AG745" s="109"/>
      <c r="AH745" s="109"/>
      <c r="AI745" s="109"/>
    </row>
    <row r="746" spans="1:35">
      <c r="A746" s="109"/>
      <c r="B746" s="263"/>
      <c r="C746" s="263"/>
      <c r="D746" s="263"/>
      <c r="E746" s="109"/>
      <c r="F746" s="109"/>
      <c r="G746" s="48"/>
      <c r="H746" s="264"/>
      <c r="I746" s="265"/>
      <c r="J746" s="265"/>
      <c r="K746" s="264"/>
      <c r="L746" s="265"/>
      <c r="M746" s="264"/>
      <c r="N746" s="264"/>
      <c r="O746" s="264"/>
      <c r="P746" s="264"/>
      <c r="Q746" s="263"/>
      <c r="R746" s="263"/>
      <c r="S746" s="263"/>
      <c r="T746" s="263"/>
      <c r="U746" s="263"/>
      <c r="V746" s="109"/>
      <c r="W746" s="263"/>
      <c r="X746" s="263"/>
      <c r="Y746" s="263"/>
      <c r="Z746" s="263"/>
      <c r="AA746" s="263"/>
      <c r="AB746" s="109"/>
      <c r="AC746" s="109"/>
      <c r="AD746" s="109"/>
      <c r="AE746" s="109"/>
      <c r="AF746" s="109"/>
      <c r="AG746" s="109"/>
      <c r="AH746" s="109"/>
      <c r="AI746" s="109"/>
    </row>
    <row r="747" spans="1:35">
      <c r="A747" s="109"/>
      <c r="B747" s="263"/>
      <c r="C747" s="263"/>
      <c r="D747" s="263"/>
      <c r="E747" s="109"/>
      <c r="F747" s="109"/>
      <c r="G747" s="48"/>
      <c r="H747" s="264"/>
      <c r="I747" s="265"/>
      <c r="J747" s="265"/>
      <c r="K747" s="264"/>
      <c r="L747" s="265"/>
      <c r="M747" s="264"/>
      <c r="N747" s="264"/>
      <c r="O747" s="264"/>
      <c r="P747" s="264"/>
      <c r="Q747" s="263"/>
      <c r="R747" s="263"/>
      <c r="S747" s="263"/>
      <c r="T747" s="263"/>
      <c r="U747" s="263"/>
      <c r="V747" s="109"/>
      <c r="W747" s="263"/>
      <c r="X747" s="263"/>
      <c r="Y747" s="263"/>
      <c r="Z747" s="263"/>
      <c r="AA747" s="263"/>
      <c r="AB747" s="109"/>
      <c r="AC747" s="109"/>
      <c r="AD747" s="109"/>
      <c r="AE747" s="109"/>
      <c r="AF747" s="109"/>
      <c r="AG747" s="109"/>
      <c r="AH747" s="109"/>
      <c r="AI747" s="109"/>
    </row>
    <row r="748" spans="1:35">
      <c r="A748" s="109"/>
      <c r="B748" s="263"/>
      <c r="C748" s="263"/>
      <c r="D748" s="263"/>
      <c r="E748" s="109"/>
      <c r="F748" s="109"/>
      <c r="G748" s="48"/>
      <c r="H748" s="264"/>
      <c r="I748" s="265"/>
      <c r="J748" s="265"/>
      <c r="K748" s="264"/>
      <c r="L748" s="265"/>
      <c r="M748" s="264"/>
      <c r="N748" s="264"/>
      <c r="O748" s="264"/>
      <c r="P748" s="264"/>
      <c r="Q748" s="263"/>
      <c r="R748" s="263"/>
      <c r="S748" s="263"/>
      <c r="T748" s="263"/>
      <c r="U748" s="263"/>
      <c r="V748" s="109"/>
      <c r="W748" s="263"/>
      <c r="X748" s="263"/>
      <c r="Y748" s="263"/>
      <c r="Z748" s="263"/>
      <c r="AA748" s="263"/>
      <c r="AB748" s="109"/>
      <c r="AC748" s="109"/>
      <c r="AD748" s="109"/>
      <c r="AE748" s="109"/>
      <c r="AF748" s="109"/>
      <c r="AG748" s="109"/>
      <c r="AH748" s="109"/>
      <c r="AI748" s="109"/>
    </row>
    <row r="749" spans="1:35">
      <c r="A749" s="109"/>
      <c r="B749" s="263"/>
      <c r="C749" s="263"/>
      <c r="D749" s="263"/>
      <c r="E749" s="109"/>
      <c r="F749" s="109"/>
      <c r="G749" s="48"/>
      <c r="H749" s="264"/>
      <c r="I749" s="265"/>
      <c r="J749" s="265"/>
      <c r="K749" s="264"/>
      <c r="L749" s="265"/>
      <c r="M749" s="264"/>
      <c r="N749" s="264"/>
      <c r="O749" s="264"/>
      <c r="P749" s="264"/>
      <c r="Q749" s="263"/>
      <c r="R749" s="263"/>
      <c r="S749" s="263"/>
      <c r="T749" s="263"/>
      <c r="U749" s="263"/>
      <c r="V749" s="109"/>
      <c r="W749" s="263"/>
      <c r="X749" s="263"/>
      <c r="Y749" s="263"/>
      <c r="Z749" s="263"/>
      <c r="AA749" s="263"/>
      <c r="AB749" s="109"/>
      <c r="AC749" s="109"/>
      <c r="AD749" s="109"/>
      <c r="AE749" s="109"/>
      <c r="AF749" s="109"/>
      <c r="AG749" s="109"/>
      <c r="AH749" s="109"/>
      <c r="AI749" s="109"/>
    </row>
    <row r="750" spans="1:35">
      <c r="A750" s="109"/>
      <c r="B750" s="263"/>
      <c r="C750" s="263"/>
      <c r="D750" s="263"/>
      <c r="E750" s="109"/>
      <c r="F750" s="109"/>
      <c r="G750" s="48"/>
      <c r="H750" s="264"/>
      <c r="I750" s="265"/>
      <c r="J750" s="265"/>
      <c r="K750" s="264"/>
      <c r="L750" s="265"/>
      <c r="M750" s="264"/>
      <c r="N750" s="264"/>
      <c r="O750" s="264"/>
      <c r="P750" s="264"/>
      <c r="Q750" s="263"/>
      <c r="R750" s="263"/>
      <c r="S750" s="263"/>
      <c r="T750" s="263"/>
      <c r="U750" s="263"/>
      <c r="V750" s="109"/>
      <c r="W750" s="263"/>
      <c r="X750" s="263"/>
      <c r="Y750" s="263"/>
      <c r="Z750" s="263"/>
      <c r="AA750" s="263"/>
      <c r="AB750" s="109"/>
      <c r="AC750" s="109"/>
      <c r="AD750" s="109"/>
      <c r="AE750" s="109"/>
      <c r="AF750" s="109"/>
      <c r="AG750" s="109"/>
      <c r="AH750" s="109"/>
      <c r="AI750" s="109"/>
    </row>
    <row r="751" spans="1:35">
      <c r="A751" s="109"/>
      <c r="B751" s="263"/>
      <c r="C751" s="263"/>
      <c r="D751" s="263"/>
      <c r="E751" s="109"/>
      <c r="F751" s="109"/>
      <c r="G751" s="48"/>
      <c r="H751" s="264"/>
      <c r="I751" s="265"/>
      <c r="J751" s="265"/>
      <c r="K751" s="264"/>
      <c r="L751" s="265"/>
      <c r="M751" s="264"/>
      <c r="N751" s="264"/>
      <c r="O751" s="264"/>
      <c r="P751" s="264"/>
      <c r="Q751" s="263"/>
      <c r="R751" s="263"/>
      <c r="S751" s="263"/>
      <c r="T751" s="263"/>
      <c r="U751" s="263"/>
      <c r="V751" s="109"/>
      <c r="W751" s="263"/>
      <c r="X751" s="263"/>
      <c r="Y751" s="263"/>
      <c r="Z751" s="263"/>
      <c r="AA751" s="263"/>
      <c r="AB751" s="109"/>
      <c r="AC751" s="109"/>
      <c r="AD751" s="109"/>
      <c r="AE751" s="109"/>
      <c r="AF751" s="109"/>
      <c r="AG751" s="109"/>
      <c r="AH751" s="109"/>
      <c r="AI751" s="109"/>
    </row>
    <row r="752" spans="1:35">
      <c r="A752" s="109"/>
      <c r="B752" s="263"/>
      <c r="C752" s="263"/>
      <c r="D752" s="263"/>
      <c r="E752" s="109"/>
      <c r="F752" s="109"/>
      <c r="G752" s="48"/>
      <c r="H752" s="264"/>
      <c r="I752" s="265"/>
      <c r="J752" s="265"/>
      <c r="K752" s="264"/>
      <c r="L752" s="265"/>
      <c r="M752" s="264"/>
      <c r="N752" s="264"/>
      <c r="O752" s="264"/>
      <c r="P752" s="264"/>
      <c r="Q752" s="263"/>
      <c r="R752" s="263"/>
      <c r="S752" s="263"/>
      <c r="T752" s="263"/>
      <c r="U752" s="263"/>
      <c r="V752" s="109"/>
      <c r="W752" s="263"/>
      <c r="X752" s="263"/>
      <c r="Y752" s="263"/>
      <c r="Z752" s="263"/>
      <c r="AA752" s="263"/>
      <c r="AB752" s="109"/>
      <c r="AC752" s="109"/>
      <c r="AD752" s="109"/>
      <c r="AE752" s="109"/>
      <c r="AF752" s="109"/>
      <c r="AG752" s="109"/>
      <c r="AH752" s="109"/>
      <c r="AI752" s="109"/>
    </row>
    <row r="753" spans="1:35">
      <c r="A753" s="109"/>
      <c r="B753" s="263"/>
      <c r="C753" s="263"/>
      <c r="D753" s="263"/>
      <c r="E753" s="109"/>
      <c r="F753" s="109"/>
      <c r="G753" s="48"/>
      <c r="H753" s="264"/>
      <c r="I753" s="265"/>
      <c r="J753" s="265"/>
      <c r="K753" s="264"/>
      <c r="L753" s="265"/>
      <c r="M753" s="264"/>
      <c r="N753" s="264"/>
      <c r="O753" s="264"/>
      <c r="P753" s="264"/>
      <c r="Q753" s="263"/>
      <c r="R753" s="263"/>
      <c r="S753" s="263"/>
      <c r="T753" s="263"/>
      <c r="U753" s="263"/>
      <c r="V753" s="109"/>
      <c r="W753" s="263"/>
      <c r="X753" s="263"/>
      <c r="Y753" s="263"/>
      <c r="Z753" s="263"/>
      <c r="AA753" s="263"/>
      <c r="AB753" s="109"/>
      <c r="AC753" s="109"/>
      <c r="AD753" s="109"/>
      <c r="AE753" s="109"/>
      <c r="AF753" s="109"/>
      <c r="AG753" s="109"/>
      <c r="AH753" s="109"/>
      <c r="AI753" s="109"/>
    </row>
    <row r="754" spans="1:35">
      <c r="A754" s="109"/>
      <c r="B754" s="263"/>
      <c r="C754" s="263"/>
      <c r="D754" s="263"/>
      <c r="E754" s="109"/>
      <c r="F754" s="109"/>
      <c r="G754" s="48"/>
      <c r="H754" s="264"/>
      <c r="I754" s="265"/>
      <c r="J754" s="265"/>
      <c r="K754" s="264"/>
      <c r="L754" s="265"/>
      <c r="M754" s="264"/>
      <c r="N754" s="264"/>
      <c r="O754" s="264"/>
      <c r="P754" s="264"/>
      <c r="Q754" s="263"/>
      <c r="R754" s="263"/>
      <c r="S754" s="263"/>
      <c r="T754" s="263"/>
      <c r="U754" s="263"/>
      <c r="V754" s="109"/>
      <c r="W754" s="263"/>
      <c r="X754" s="263"/>
      <c r="Y754" s="263"/>
      <c r="Z754" s="263"/>
      <c r="AA754" s="263"/>
      <c r="AB754" s="109"/>
      <c r="AC754" s="109"/>
      <c r="AD754" s="109"/>
      <c r="AE754" s="109"/>
      <c r="AF754" s="109"/>
      <c r="AG754" s="109"/>
      <c r="AH754" s="109"/>
      <c r="AI754" s="109"/>
    </row>
    <row r="755" spans="1:35">
      <c r="A755" s="109"/>
      <c r="B755" s="263"/>
      <c r="C755" s="263"/>
      <c r="D755" s="263"/>
      <c r="E755" s="109"/>
      <c r="F755" s="109"/>
      <c r="G755" s="48"/>
      <c r="H755" s="264"/>
      <c r="I755" s="265"/>
      <c r="J755" s="265"/>
      <c r="K755" s="264"/>
      <c r="L755" s="265"/>
      <c r="M755" s="264"/>
      <c r="N755" s="264"/>
      <c r="O755" s="264"/>
      <c r="P755" s="264"/>
      <c r="Q755" s="263"/>
      <c r="R755" s="263"/>
      <c r="S755" s="263"/>
      <c r="T755" s="263"/>
      <c r="U755" s="263"/>
      <c r="V755" s="109"/>
      <c r="W755" s="263"/>
      <c r="X755" s="263"/>
      <c r="Y755" s="263"/>
      <c r="Z755" s="263"/>
      <c r="AA755" s="263"/>
      <c r="AB755" s="109"/>
      <c r="AC755" s="109"/>
      <c r="AD755" s="109"/>
      <c r="AE755" s="109"/>
      <c r="AF755" s="109"/>
      <c r="AG755" s="109"/>
      <c r="AH755" s="109"/>
      <c r="AI755" s="109"/>
    </row>
    <row r="756" spans="1:35">
      <c r="A756" s="109"/>
      <c r="B756" s="263"/>
      <c r="C756" s="263"/>
      <c r="D756" s="263"/>
      <c r="E756" s="109"/>
      <c r="F756" s="109"/>
      <c r="G756" s="48"/>
      <c r="H756" s="264"/>
      <c r="I756" s="265"/>
      <c r="J756" s="265"/>
      <c r="K756" s="264"/>
      <c r="L756" s="265"/>
      <c r="M756" s="264"/>
      <c r="N756" s="264"/>
      <c r="O756" s="264"/>
      <c r="P756" s="264"/>
      <c r="Q756" s="263"/>
      <c r="R756" s="263"/>
      <c r="S756" s="263"/>
      <c r="T756" s="263"/>
      <c r="U756" s="263"/>
      <c r="V756" s="109"/>
      <c r="W756" s="263"/>
      <c r="X756" s="263"/>
      <c r="Y756" s="263"/>
      <c r="Z756" s="263"/>
      <c r="AA756" s="263"/>
      <c r="AB756" s="109"/>
      <c r="AC756" s="109"/>
      <c r="AD756" s="109"/>
      <c r="AE756" s="109"/>
      <c r="AF756" s="109"/>
      <c r="AG756" s="109"/>
      <c r="AH756" s="109"/>
      <c r="AI756" s="109"/>
    </row>
    <row r="757" spans="1:35">
      <c r="A757" s="109"/>
      <c r="B757" s="263"/>
      <c r="C757" s="263"/>
      <c r="D757" s="263"/>
      <c r="E757" s="109"/>
      <c r="F757" s="109"/>
      <c r="G757" s="48"/>
      <c r="H757" s="264"/>
      <c r="I757" s="265"/>
      <c r="J757" s="265"/>
      <c r="K757" s="264"/>
      <c r="L757" s="265"/>
      <c r="M757" s="264"/>
      <c r="N757" s="264"/>
      <c r="O757" s="264"/>
      <c r="P757" s="264"/>
      <c r="Q757" s="263"/>
      <c r="R757" s="263"/>
      <c r="S757" s="263"/>
      <c r="T757" s="263"/>
      <c r="U757" s="263"/>
      <c r="V757" s="109"/>
      <c r="W757" s="263"/>
      <c r="X757" s="263"/>
      <c r="Y757" s="263"/>
      <c r="Z757" s="263"/>
      <c r="AA757" s="263"/>
      <c r="AB757" s="109"/>
      <c r="AC757" s="109"/>
      <c r="AD757" s="109"/>
      <c r="AE757" s="109"/>
      <c r="AF757" s="109"/>
      <c r="AG757" s="109"/>
      <c r="AH757" s="109"/>
      <c r="AI757" s="109"/>
    </row>
    <row r="758" spans="1:35">
      <c r="A758" s="109"/>
      <c r="B758" s="263"/>
      <c r="C758" s="263"/>
      <c r="D758" s="263"/>
      <c r="E758" s="109"/>
      <c r="F758" s="109"/>
      <c r="G758" s="48"/>
      <c r="H758" s="264"/>
      <c r="I758" s="265"/>
      <c r="J758" s="265"/>
      <c r="K758" s="264"/>
      <c r="L758" s="265"/>
      <c r="M758" s="264"/>
      <c r="N758" s="264"/>
      <c r="O758" s="264"/>
      <c r="P758" s="264"/>
      <c r="Q758" s="263"/>
      <c r="R758" s="263"/>
      <c r="S758" s="263"/>
      <c r="T758" s="263"/>
      <c r="U758" s="263"/>
      <c r="V758" s="109"/>
      <c r="W758" s="263"/>
      <c r="X758" s="263"/>
      <c r="Y758" s="263"/>
      <c r="Z758" s="263"/>
      <c r="AA758" s="263"/>
      <c r="AB758" s="109"/>
      <c r="AC758" s="109"/>
      <c r="AD758" s="109"/>
      <c r="AE758" s="109"/>
      <c r="AF758" s="109"/>
      <c r="AG758" s="109"/>
      <c r="AH758" s="109"/>
      <c r="AI758" s="109"/>
    </row>
    <row r="759" spans="1:35">
      <c r="A759" s="109"/>
      <c r="B759" s="263"/>
      <c r="C759" s="263"/>
      <c r="D759" s="263"/>
      <c r="E759" s="109"/>
      <c r="F759" s="109"/>
      <c r="G759" s="48"/>
      <c r="H759" s="264"/>
      <c r="I759" s="265"/>
      <c r="J759" s="265"/>
      <c r="K759" s="264"/>
      <c r="L759" s="265"/>
      <c r="M759" s="264"/>
      <c r="N759" s="264"/>
      <c r="O759" s="264"/>
      <c r="P759" s="264"/>
      <c r="Q759" s="263"/>
      <c r="R759" s="263"/>
      <c r="S759" s="263"/>
      <c r="T759" s="263"/>
      <c r="U759" s="263"/>
      <c r="V759" s="109"/>
      <c r="W759" s="263"/>
      <c r="X759" s="263"/>
      <c r="Y759" s="263"/>
      <c r="Z759" s="263"/>
      <c r="AA759" s="263"/>
      <c r="AB759" s="109"/>
      <c r="AC759" s="109"/>
      <c r="AD759" s="109"/>
      <c r="AE759" s="109"/>
      <c r="AF759" s="109"/>
      <c r="AG759" s="109"/>
      <c r="AH759" s="109"/>
      <c r="AI759" s="109"/>
    </row>
    <row r="760" spans="1:35">
      <c r="A760" s="109"/>
      <c r="B760" s="263"/>
      <c r="C760" s="263"/>
      <c r="D760" s="263"/>
      <c r="E760" s="109"/>
      <c r="F760" s="109"/>
      <c r="G760" s="48"/>
      <c r="H760" s="264"/>
      <c r="I760" s="265"/>
      <c r="J760" s="265"/>
      <c r="K760" s="264"/>
      <c r="L760" s="265"/>
      <c r="M760" s="264"/>
      <c r="N760" s="264"/>
      <c r="O760" s="264"/>
      <c r="P760" s="264"/>
      <c r="Q760" s="263"/>
      <c r="R760" s="263"/>
      <c r="S760" s="263"/>
      <c r="T760" s="263"/>
      <c r="U760" s="263"/>
      <c r="V760" s="109"/>
      <c r="W760" s="263"/>
      <c r="X760" s="263"/>
      <c r="Y760" s="263"/>
      <c r="Z760" s="263"/>
      <c r="AA760" s="263"/>
      <c r="AB760" s="109"/>
      <c r="AC760" s="109"/>
      <c r="AD760" s="109"/>
      <c r="AE760" s="109"/>
      <c r="AF760" s="109"/>
      <c r="AG760" s="109"/>
      <c r="AH760" s="109"/>
      <c r="AI760" s="109"/>
    </row>
    <row r="761" spans="1:35">
      <c r="A761" s="109"/>
      <c r="B761" s="263"/>
      <c r="C761" s="263"/>
      <c r="D761" s="263"/>
      <c r="E761" s="109"/>
      <c r="F761" s="109"/>
      <c r="G761" s="48"/>
      <c r="H761" s="264"/>
      <c r="I761" s="265"/>
      <c r="J761" s="265"/>
      <c r="K761" s="264"/>
      <c r="L761" s="265"/>
      <c r="M761" s="264"/>
      <c r="N761" s="264"/>
      <c r="O761" s="264"/>
      <c r="P761" s="264"/>
      <c r="Q761" s="263"/>
      <c r="R761" s="263"/>
      <c r="S761" s="263"/>
      <c r="T761" s="263"/>
      <c r="U761" s="263"/>
      <c r="V761" s="109"/>
      <c r="W761" s="263"/>
      <c r="X761" s="263"/>
      <c r="Y761" s="263"/>
      <c r="Z761" s="263"/>
      <c r="AA761" s="263"/>
      <c r="AB761" s="109"/>
      <c r="AC761" s="109"/>
      <c r="AD761" s="109"/>
      <c r="AE761" s="109"/>
      <c r="AF761" s="109"/>
      <c r="AG761" s="109"/>
      <c r="AH761" s="109"/>
      <c r="AI761" s="109"/>
    </row>
    <row r="762" spans="1:35">
      <c r="A762" s="109"/>
      <c r="B762" s="263"/>
      <c r="C762" s="263"/>
      <c r="D762" s="263"/>
      <c r="E762" s="109"/>
      <c r="F762" s="109"/>
      <c r="G762" s="48"/>
      <c r="H762" s="264"/>
      <c r="I762" s="265"/>
      <c r="J762" s="265"/>
      <c r="K762" s="264"/>
      <c r="L762" s="265"/>
      <c r="M762" s="264"/>
      <c r="N762" s="264"/>
      <c r="O762" s="264"/>
      <c r="P762" s="264"/>
      <c r="Q762" s="263"/>
      <c r="R762" s="263"/>
      <c r="S762" s="263"/>
      <c r="T762" s="263"/>
      <c r="U762" s="263"/>
      <c r="V762" s="109"/>
      <c r="W762" s="263"/>
      <c r="X762" s="263"/>
      <c r="Y762" s="263"/>
      <c r="Z762" s="263"/>
      <c r="AA762" s="263"/>
      <c r="AB762" s="109"/>
      <c r="AC762" s="109"/>
      <c r="AD762" s="109"/>
      <c r="AE762" s="109"/>
      <c r="AF762" s="109"/>
      <c r="AG762" s="109"/>
      <c r="AH762" s="109"/>
      <c r="AI762" s="109"/>
    </row>
    <row r="763" spans="1:35">
      <c r="A763" s="109"/>
      <c r="B763" s="263"/>
      <c r="C763" s="263"/>
      <c r="D763" s="263"/>
      <c r="E763" s="109"/>
      <c r="F763" s="109"/>
      <c r="G763" s="48"/>
      <c r="H763" s="264"/>
      <c r="I763" s="265"/>
      <c r="J763" s="265"/>
      <c r="K763" s="264"/>
      <c r="L763" s="265"/>
      <c r="M763" s="264"/>
      <c r="N763" s="264"/>
      <c r="O763" s="264"/>
      <c r="P763" s="264"/>
      <c r="Q763" s="263"/>
      <c r="R763" s="263"/>
      <c r="S763" s="263"/>
      <c r="T763" s="263"/>
      <c r="U763" s="263"/>
      <c r="V763" s="109"/>
      <c r="W763" s="263"/>
      <c r="X763" s="263"/>
      <c r="Y763" s="263"/>
      <c r="Z763" s="263"/>
      <c r="AA763" s="263"/>
      <c r="AB763" s="109"/>
      <c r="AC763" s="109"/>
      <c r="AD763" s="109"/>
      <c r="AE763" s="109"/>
      <c r="AF763" s="109"/>
      <c r="AG763" s="109"/>
      <c r="AH763" s="109"/>
      <c r="AI763" s="109"/>
    </row>
    <row r="764" spans="1:35">
      <c r="A764" s="109"/>
      <c r="B764" s="263"/>
      <c r="C764" s="263"/>
      <c r="D764" s="263"/>
      <c r="E764" s="109"/>
      <c r="F764" s="109"/>
      <c r="G764" s="48"/>
      <c r="H764" s="264"/>
      <c r="I764" s="265"/>
      <c r="J764" s="265"/>
      <c r="K764" s="264"/>
      <c r="L764" s="265"/>
      <c r="M764" s="264"/>
      <c r="N764" s="264"/>
      <c r="O764" s="264"/>
      <c r="P764" s="264"/>
      <c r="Q764" s="263"/>
      <c r="R764" s="263"/>
      <c r="S764" s="263"/>
      <c r="T764" s="263"/>
      <c r="U764" s="263"/>
      <c r="V764" s="109"/>
      <c r="W764" s="263"/>
      <c r="X764" s="263"/>
      <c r="Y764" s="263"/>
      <c r="Z764" s="263"/>
      <c r="AA764" s="263"/>
      <c r="AB764" s="109"/>
      <c r="AC764" s="109"/>
      <c r="AD764" s="109"/>
      <c r="AE764" s="109"/>
      <c r="AF764" s="109"/>
      <c r="AG764" s="109"/>
      <c r="AH764" s="109"/>
      <c r="AI764" s="109"/>
    </row>
    <row r="765" spans="1:35">
      <c r="A765" s="109"/>
      <c r="B765" s="263"/>
      <c r="C765" s="263"/>
      <c r="D765" s="263"/>
      <c r="E765" s="109"/>
      <c r="F765" s="109"/>
      <c r="G765" s="48"/>
      <c r="H765" s="264"/>
      <c r="I765" s="265"/>
      <c r="J765" s="265"/>
      <c r="K765" s="264"/>
      <c r="L765" s="265"/>
      <c r="M765" s="264"/>
      <c r="N765" s="264"/>
      <c r="O765" s="264"/>
      <c r="P765" s="264"/>
      <c r="Q765" s="263"/>
      <c r="R765" s="263"/>
      <c r="S765" s="263"/>
      <c r="T765" s="263"/>
      <c r="U765" s="263"/>
      <c r="V765" s="109"/>
      <c r="W765" s="263"/>
      <c r="X765" s="263"/>
      <c r="Y765" s="263"/>
      <c r="Z765" s="263"/>
      <c r="AA765" s="263"/>
      <c r="AB765" s="109"/>
      <c r="AC765" s="109"/>
      <c r="AD765" s="109"/>
      <c r="AE765" s="109"/>
      <c r="AF765" s="109"/>
      <c r="AG765" s="109"/>
      <c r="AH765" s="109"/>
      <c r="AI765" s="109"/>
    </row>
    <row r="766" spans="1:35">
      <c r="A766" s="109"/>
      <c r="B766" s="263"/>
      <c r="C766" s="263"/>
      <c r="D766" s="263"/>
      <c r="E766" s="109"/>
      <c r="F766" s="109"/>
      <c r="G766" s="48"/>
      <c r="H766" s="264"/>
      <c r="I766" s="265"/>
      <c r="J766" s="265"/>
      <c r="K766" s="264"/>
      <c r="L766" s="265"/>
      <c r="M766" s="264"/>
      <c r="N766" s="264"/>
      <c r="O766" s="264"/>
      <c r="P766" s="264"/>
      <c r="Q766" s="263"/>
      <c r="R766" s="263"/>
      <c r="S766" s="263"/>
      <c r="T766" s="263"/>
      <c r="U766" s="263"/>
      <c r="V766" s="109"/>
      <c r="W766" s="263"/>
      <c r="X766" s="263"/>
      <c r="Y766" s="263"/>
      <c r="Z766" s="263"/>
      <c r="AA766" s="263"/>
      <c r="AB766" s="109"/>
      <c r="AC766" s="109"/>
      <c r="AD766" s="109"/>
      <c r="AE766" s="109"/>
      <c r="AF766" s="109"/>
      <c r="AG766" s="109"/>
      <c r="AH766" s="109"/>
      <c r="AI766" s="109"/>
    </row>
    <row r="767" spans="1:35">
      <c r="A767" s="109"/>
      <c r="B767" s="263"/>
      <c r="C767" s="263"/>
      <c r="D767" s="263"/>
      <c r="E767" s="109"/>
      <c r="F767" s="109"/>
      <c r="G767" s="48"/>
      <c r="H767" s="264"/>
      <c r="I767" s="265"/>
      <c r="J767" s="265"/>
      <c r="K767" s="264"/>
      <c r="L767" s="265"/>
      <c r="M767" s="264"/>
      <c r="N767" s="264"/>
      <c r="O767" s="264"/>
      <c r="P767" s="264"/>
      <c r="Q767" s="263"/>
      <c r="R767" s="263"/>
      <c r="S767" s="263"/>
      <c r="T767" s="263"/>
      <c r="U767" s="263"/>
      <c r="V767" s="109"/>
      <c r="W767" s="263"/>
      <c r="X767" s="263"/>
      <c r="Y767" s="263"/>
      <c r="Z767" s="263"/>
      <c r="AA767" s="263"/>
      <c r="AB767" s="109"/>
      <c r="AC767" s="109"/>
      <c r="AD767" s="109"/>
      <c r="AE767" s="109"/>
      <c r="AF767" s="109"/>
      <c r="AG767" s="109"/>
      <c r="AH767" s="109"/>
      <c r="AI767" s="109"/>
    </row>
    <row r="768" spans="1:35">
      <c r="A768" s="109"/>
      <c r="B768" s="263"/>
      <c r="C768" s="263"/>
      <c r="D768" s="263"/>
      <c r="E768" s="109"/>
      <c r="F768" s="109"/>
      <c r="G768" s="48"/>
      <c r="H768" s="264"/>
      <c r="I768" s="265"/>
      <c r="J768" s="265"/>
      <c r="K768" s="264"/>
      <c r="L768" s="265"/>
      <c r="M768" s="264"/>
      <c r="N768" s="264"/>
      <c r="O768" s="264"/>
      <c r="P768" s="264"/>
      <c r="Q768" s="263"/>
      <c r="R768" s="263"/>
      <c r="S768" s="263"/>
      <c r="T768" s="263"/>
      <c r="U768" s="263"/>
      <c r="V768" s="109"/>
      <c r="W768" s="263"/>
      <c r="X768" s="263"/>
      <c r="Y768" s="263"/>
      <c r="Z768" s="263"/>
      <c r="AA768" s="263"/>
      <c r="AB768" s="109"/>
      <c r="AC768" s="109"/>
      <c r="AD768" s="109"/>
      <c r="AE768" s="109"/>
      <c r="AF768" s="109"/>
      <c r="AG768" s="109"/>
      <c r="AH768" s="109"/>
      <c r="AI768" s="109"/>
    </row>
    <row r="769" spans="1:35">
      <c r="A769" s="109"/>
      <c r="B769" s="263"/>
      <c r="C769" s="263"/>
      <c r="D769" s="263"/>
      <c r="E769" s="109"/>
      <c r="F769" s="109"/>
      <c r="G769" s="48"/>
      <c r="H769" s="264"/>
      <c r="I769" s="265"/>
      <c r="J769" s="265"/>
      <c r="K769" s="264"/>
      <c r="L769" s="265"/>
      <c r="M769" s="264"/>
      <c r="N769" s="264"/>
      <c r="O769" s="264"/>
      <c r="P769" s="264"/>
      <c r="Q769" s="263"/>
      <c r="R769" s="263"/>
      <c r="S769" s="263"/>
      <c r="T769" s="263"/>
      <c r="U769" s="263"/>
      <c r="V769" s="109"/>
      <c r="W769" s="263"/>
      <c r="X769" s="263"/>
      <c r="Y769" s="263"/>
      <c r="Z769" s="263"/>
      <c r="AA769" s="263"/>
      <c r="AB769" s="109"/>
      <c r="AC769" s="109"/>
      <c r="AD769" s="109"/>
      <c r="AE769" s="109"/>
      <c r="AF769" s="109"/>
      <c r="AG769" s="109"/>
      <c r="AH769" s="109"/>
      <c r="AI769" s="109"/>
    </row>
    <row r="770" spans="1:35">
      <c r="A770" s="109"/>
      <c r="B770" s="263"/>
      <c r="C770" s="263"/>
      <c r="D770" s="263"/>
      <c r="E770" s="109"/>
      <c r="F770" s="109"/>
      <c r="G770" s="48"/>
      <c r="H770" s="264"/>
      <c r="I770" s="265"/>
      <c r="J770" s="265"/>
      <c r="K770" s="264"/>
      <c r="L770" s="265"/>
      <c r="M770" s="264"/>
      <c r="N770" s="264"/>
      <c r="O770" s="264"/>
      <c r="P770" s="264"/>
      <c r="Q770" s="263"/>
      <c r="R770" s="263"/>
      <c r="S770" s="263"/>
      <c r="T770" s="263"/>
      <c r="U770" s="263"/>
      <c r="V770" s="109"/>
      <c r="W770" s="263"/>
      <c r="X770" s="263"/>
      <c r="Y770" s="263"/>
      <c r="Z770" s="263"/>
      <c r="AA770" s="263"/>
      <c r="AB770" s="109"/>
      <c r="AC770" s="109"/>
      <c r="AD770" s="109"/>
      <c r="AE770" s="109"/>
      <c r="AF770" s="109"/>
      <c r="AG770" s="109"/>
      <c r="AH770" s="109"/>
      <c r="AI770" s="109"/>
    </row>
    <row r="771" spans="1:35">
      <c r="A771" s="109"/>
      <c r="B771" s="263"/>
      <c r="C771" s="263"/>
      <c r="D771" s="263"/>
      <c r="E771" s="109"/>
      <c r="F771" s="109"/>
      <c r="G771" s="48"/>
      <c r="H771" s="264"/>
      <c r="I771" s="265"/>
      <c r="J771" s="265"/>
      <c r="K771" s="264"/>
      <c r="L771" s="265"/>
      <c r="M771" s="264"/>
      <c r="N771" s="264"/>
      <c r="O771" s="264"/>
      <c r="P771" s="264"/>
      <c r="Q771" s="263"/>
      <c r="R771" s="263"/>
      <c r="S771" s="263"/>
      <c r="T771" s="263"/>
      <c r="U771" s="263"/>
      <c r="V771" s="109"/>
      <c r="W771" s="263"/>
      <c r="X771" s="263"/>
      <c r="Y771" s="263"/>
      <c r="Z771" s="263"/>
      <c r="AA771" s="263"/>
      <c r="AB771" s="109"/>
      <c r="AC771" s="109"/>
      <c r="AD771" s="109"/>
      <c r="AE771" s="109"/>
      <c r="AF771" s="109"/>
      <c r="AG771" s="109"/>
      <c r="AH771" s="109"/>
      <c r="AI771" s="109"/>
    </row>
    <row r="772" spans="1:35">
      <c r="A772" s="109"/>
      <c r="B772" s="263"/>
      <c r="C772" s="263"/>
      <c r="D772" s="263"/>
      <c r="E772" s="109"/>
      <c r="F772" s="109"/>
      <c r="G772" s="48"/>
      <c r="H772" s="264"/>
      <c r="I772" s="265"/>
      <c r="J772" s="265"/>
      <c r="K772" s="264"/>
      <c r="L772" s="265"/>
      <c r="M772" s="264"/>
      <c r="N772" s="264"/>
      <c r="O772" s="264"/>
      <c r="P772" s="264"/>
      <c r="Q772" s="263"/>
      <c r="R772" s="263"/>
      <c r="S772" s="263"/>
      <c r="T772" s="263"/>
      <c r="U772" s="263"/>
      <c r="V772" s="109"/>
      <c r="W772" s="263"/>
      <c r="X772" s="263"/>
      <c r="Y772" s="263"/>
      <c r="Z772" s="263"/>
      <c r="AA772" s="263"/>
      <c r="AB772" s="109"/>
      <c r="AC772" s="109"/>
      <c r="AD772" s="109"/>
      <c r="AE772" s="109"/>
      <c r="AF772" s="109"/>
      <c r="AG772" s="109"/>
      <c r="AH772" s="109"/>
      <c r="AI772" s="109"/>
    </row>
    <row r="773" spans="1:35">
      <c r="A773" s="109"/>
      <c r="B773" s="263"/>
      <c r="C773" s="263"/>
      <c r="D773" s="263"/>
      <c r="E773" s="109"/>
      <c r="F773" s="109"/>
      <c r="G773" s="48"/>
      <c r="H773" s="264"/>
      <c r="I773" s="265"/>
      <c r="J773" s="265"/>
      <c r="K773" s="264"/>
      <c r="L773" s="265"/>
      <c r="M773" s="264"/>
      <c r="N773" s="264"/>
      <c r="O773" s="264"/>
      <c r="P773" s="264"/>
      <c r="Q773" s="263"/>
      <c r="R773" s="263"/>
      <c r="S773" s="263"/>
      <c r="T773" s="263"/>
      <c r="U773" s="263"/>
      <c r="V773" s="109"/>
      <c r="W773" s="263"/>
      <c r="X773" s="263"/>
      <c r="Y773" s="263"/>
      <c r="Z773" s="263"/>
      <c r="AA773" s="263"/>
      <c r="AB773" s="109"/>
      <c r="AC773" s="109"/>
      <c r="AD773" s="109"/>
      <c r="AE773" s="109"/>
      <c r="AF773" s="109"/>
      <c r="AG773" s="109"/>
      <c r="AH773" s="109"/>
      <c r="AI773" s="109"/>
    </row>
    <row r="774" spans="1:35">
      <c r="A774" s="109"/>
      <c r="B774" s="263"/>
      <c r="C774" s="263"/>
      <c r="D774" s="263"/>
      <c r="E774" s="109"/>
      <c r="F774" s="109"/>
      <c r="G774" s="48"/>
      <c r="H774" s="264"/>
      <c r="I774" s="265"/>
      <c r="J774" s="265"/>
      <c r="K774" s="264"/>
      <c r="L774" s="265"/>
      <c r="M774" s="264"/>
      <c r="N774" s="264"/>
      <c r="O774" s="264"/>
      <c r="P774" s="264"/>
      <c r="Q774" s="263"/>
      <c r="R774" s="263"/>
      <c r="S774" s="263"/>
      <c r="T774" s="263"/>
      <c r="U774" s="263"/>
      <c r="V774" s="109"/>
      <c r="W774" s="263"/>
      <c r="X774" s="263"/>
      <c r="Y774" s="263"/>
      <c r="Z774" s="263"/>
      <c r="AA774" s="263"/>
      <c r="AB774" s="109"/>
      <c r="AC774" s="109"/>
      <c r="AD774" s="109"/>
      <c r="AE774" s="109"/>
      <c r="AF774" s="109"/>
      <c r="AG774" s="109"/>
      <c r="AH774" s="109"/>
      <c r="AI774" s="109"/>
    </row>
    <row r="775" spans="1:35">
      <c r="A775" s="109"/>
      <c r="B775" s="263"/>
      <c r="C775" s="263"/>
      <c r="D775" s="263"/>
      <c r="E775" s="109"/>
      <c r="F775" s="109"/>
      <c r="G775" s="48"/>
      <c r="H775" s="264"/>
      <c r="I775" s="265"/>
      <c r="J775" s="265"/>
      <c r="K775" s="264"/>
      <c r="L775" s="265"/>
      <c r="M775" s="264"/>
      <c r="N775" s="264"/>
      <c r="O775" s="264"/>
      <c r="P775" s="264"/>
      <c r="Q775" s="263"/>
      <c r="R775" s="263"/>
      <c r="S775" s="263"/>
      <c r="T775" s="263"/>
      <c r="U775" s="263"/>
      <c r="V775" s="109"/>
      <c r="W775" s="263"/>
      <c r="X775" s="263"/>
      <c r="Y775" s="263"/>
      <c r="Z775" s="263"/>
      <c r="AA775" s="263"/>
      <c r="AB775" s="109"/>
      <c r="AC775" s="109"/>
      <c r="AD775" s="109"/>
      <c r="AE775" s="109"/>
      <c r="AF775" s="109"/>
      <c r="AG775" s="109"/>
      <c r="AH775" s="109"/>
      <c r="AI775" s="109"/>
    </row>
    <row r="776" spans="1:35">
      <c r="A776" s="109"/>
      <c r="B776" s="263"/>
      <c r="C776" s="263"/>
      <c r="D776" s="263"/>
      <c r="E776" s="109"/>
      <c r="F776" s="109"/>
      <c r="G776" s="48"/>
      <c r="H776" s="264"/>
      <c r="I776" s="265"/>
      <c r="J776" s="265"/>
      <c r="K776" s="264"/>
      <c r="L776" s="265"/>
      <c r="M776" s="264"/>
      <c r="N776" s="264"/>
      <c r="O776" s="264"/>
      <c r="P776" s="264"/>
      <c r="Q776" s="263"/>
      <c r="R776" s="263"/>
      <c r="S776" s="263"/>
      <c r="T776" s="263"/>
      <c r="U776" s="263"/>
      <c r="V776" s="109"/>
      <c r="W776" s="263"/>
      <c r="X776" s="263"/>
      <c r="Y776" s="263"/>
      <c r="Z776" s="263"/>
      <c r="AA776" s="263"/>
      <c r="AB776" s="109"/>
      <c r="AC776" s="109"/>
      <c r="AD776" s="109"/>
      <c r="AE776" s="109"/>
      <c r="AF776" s="109"/>
      <c r="AG776" s="109"/>
      <c r="AH776" s="109"/>
      <c r="AI776" s="109"/>
    </row>
    <row r="777" spans="1:35">
      <c r="A777" s="109"/>
      <c r="B777" s="263"/>
      <c r="C777" s="263"/>
      <c r="D777" s="263"/>
      <c r="E777" s="109"/>
      <c r="F777" s="109"/>
      <c r="G777" s="48"/>
      <c r="H777" s="264"/>
      <c r="I777" s="265"/>
      <c r="J777" s="265"/>
      <c r="K777" s="264"/>
      <c r="L777" s="265"/>
      <c r="M777" s="264"/>
      <c r="N777" s="264"/>
      <c r="O777" s="264"/>
      <c r="P777" s="264"/>
      <c r="Q777" s="263"/>
      <c r="R777" s="263"/>
      <c r="S777" s="263"/>
      <c r="T777" s="263"/>
      <c r="U777" s="263"/>
      <c r="V777" s="109"/>
      <c r="W777" s="263"/>
      <c r="X777" s="263"/>
      <c r="Y777" s="263"/>
      <c r="Z777" s="263"/>
      <c r="AA777" s="263"/>
      <c r="AB777" s="109"/>
      <c r="AC777" s="109"/>
      <c r="AD777" s="109"/>
      <c r="AE777" s="109"/>
      <c r="AF777" s="109"/>
      <c r="AG777" s="109"/>
      <c r="AH777" s="109"/>
      <c r="AI777" s="109"/>
    </row>
    <row r="778" spans="1:35">
      <c r="A778" s="109"/>
      <c r="B778" s="263"/>
      <c r="C778" s="263"/>
      <c r="D778" s="263"/>
      <c r="E778" s="109"/>
      <c r="F778" s="109"/>
      <c r="G778" s="48"/>
      <c r="H778" s="264"/>
      <c r="I778" s="265"/>
      <c r="J778" s="265"/>
      <c r="K778" s="264"/>
      <c r="L778" s="265"/>
      <c r="M778" s="264"/>
      <c r="N778" s="264"/>
      <c r="O778" s="264"/>
      <c r="P778" s="264"/>
      <c r="Q778" s="263"/>
      <c r="R778" s="263"/>
      <c r="S778" s="263"/>
      <c r="T778" s="263"/>
      <c r="U778" s="263"/>
      <c r="V778" s="109"/>
      <c r="W778" s="263"/>
      <c r="X778" s="263"/>
      <c r="Y778" s="263"/>
      <c r="Z778" s="263"/>
      <c r="AA778" s="263"/>
      <c r="AB778" s="109"/>
      <c r="AC778" s="109"/>
      <c r="AD778" s="109"/>
      <c r="AE778" s="109"/>
      <c r="AF778" s="109"/>
      <c r="AG778" s="109"/>
      <c r="AH778" s="109"/>
      <c r="AI778" s="109"/>
    </row>
    <row r="779" spans="1:35">
      <c r="A779" s="109"/>
      <c r="B779" s="263"/>
      <c r="C779" s="263"/>
      <c r="D779" s="263"/>
      <c r="E779" s="109"/>
      <c r="F779" s="109"/>
      <c r="G779" s="48"/>
      <c r="H779" s="264"/>
      <c r="I779" s="265"/>
      <c r="J779" s="265"/>
      <c r="K779" s="264"/>
      <c r="L779" s="265"/>
      <c r="M779" s="264"/>
      <c r="N779" s="264"/>
      <c r="O779" s="264"/>
      <c r="P779" s="264"/>
      <c r="Q779" s="263"/>
      <c r="R779" s="263"/>
      <c r="S779" s="263"/>
      <c r="T779" s="263"/>
      <c r="U779" s="263"/>
      <c r="V779" s="109"/>
      <c r="W779" s="263"/>
      <c r="X779" s="263"/>
      <c r="Y779" s="263"/>
      <c r="Z779" s="263"/>
      <c r="AA779" s="263"/>
      <c r="AB779" s="109"/>
      <c r="AC779" s="109"/>
      <c r="AD779" s="109"/>
      <c r="AE779" s="109"/>
      <c r="AF779" s="109"/>
      <c r="AG779" s="109"/>
      <c r="AH779" s="109"/>
      <c r="AI779" s="109"/>
    </row>
    <row r="780" spans="1:35">
      <c r="A780" s="109"/>
      <c r="B780" s="263"/>
      <c r="C780" s="263"/>
      <c r="D780" s="263"/>
      <c r="E780" s="109"/>
      <c r="F780" s="109"/>
      <c r="G780" s="48"/>
      <c r="H780" s="264"/>
      <c r="I780" s="265"/>
      <c r="J780" s="265"/>
      <c r="K780" s="264"/>
      <c r="L780" s="265"/>
      <c r="M780" s="264"/>
      <c r="N780" s="264"/>
      <c r="O780" s="264"/>
      <c r="P780" s="264"/>
      <c r="Q780" s="263"/>
      <c r="R780" s="263"/>
      <c r="S780" s="263"/>
      <c r="T780" s="263"/>
      <c r="U780" s="263"/>
      <c r="V780" s="109"/>
      <c r="W780" s="263"/>
      <c r="X780" s="263"/>
      <c r="Y780" s="263"/>
      <c r="Z780" s="263"/>
      <c r="AA780" s="263"/>
      <c r="AB780" s="109"/>
      <c r="AC780" s="109"/>
      <c r="AD780" s="109"/>
      <c r="AE780" s="109"/>
      <c r="AF780" s="109"/>
      <c r="AG780" s="109"/>
      <c r="AH780" s="109"/>
      <c r="AI780" s="109"/>
    </row>
    <row r="781" spans="1:35">
      <c r="A781" s="109"/>
      <c r="B781" s="263"/>
      <c r="C781" s="263"/>
      <c r="D781" s="263"/>
      <c r="E781" s="109"/>
      <c r="F781" s="109"/>
      <c r="G781" s="48"/>
      <c r="H781" s="264"/>
      <c r="I781" s="265"/>
      <c r="J781" s="265"/>
      <c r="K781" s="264"/>
      <c r="L781" s="265"/>
      <c r="M781" s="264"/>
      <c r="N781" s="264"/>
      <c r="O781" s="264"/>
      <c r="P781" s="264"/>
      <c r="Q781" s="263"/>
      <c r="R781" s="263"/>
      <c r="S781" s="263"/>
      <c r="T781" s="263"/>
      <c r="U781" s="263"/>
      <c r="V781" s="109"/>
      <c r="W781" s="263"/>
      <c r="X781" s="263"/>
      <c r="Y781" s="263"/>
      <c r="Z781" s="263"/>
      <c r="AA781" s="263"/>
      <c r="AB781" s="109"/>
      <c r="AC781" s="109"/>
      <c r="AD781" s="109"/>
      <c r="AE781" s="109"/>
      <c r="AF781" s="109"/>
      <c r="AG781" s="109"/>
      <c r="AH781" s="109"/>
      <c r="AI781" s="109"/>
    </row>
    <row r="782" spans="1:35">
      <c r="A782" s="109"/>
      <c r="B782" s="263"/>
      <c r="C782" s="263"/>
      <c r="D782" s="263"/>
      <c r="E782" s="109"/>
      <c r="F782" s="109"/>
      <c r="G782" s="48"/>
      <c r="H782" s="264"/>
      <c r="I782" s="265"/>
      <c r="J782" s="265"/>
      <c r="K782" s="264"/>
      <c r="L782" s="265"/>
      <c r="M782" s="264"/>
      <c r="N782" s="264"/>
      <c r="O782" s="264"/>
      <c r="P782" s="264"/>
      <c r="Q782" s="263"/>
      <c r="R782" s="263"/>
      <c r="S782" s="263"/>
      <c r="T782" s="263"/>
      <c r="U782" s="263"/>
      <c r="V782" s="109"/>
      <c r="W782" s="263"/>
      <c r="X782" s="263"/>
      <c r="Y782" s="263"/>
      <c r="Z782" s="263"/>
      <c r="AA782" s="263"/>
      <c r="AB782" s="109"/>
      <c r="AC782" s="109"/>
      <c r="AD782" s="109"/>
      <c r="AE782" s="109"/>
      <c r="AF782" s="109"/>
      <c r="AG782" s="109"/>
      <c r="AH782" s="109"/>
      <c r="AI782" s="109"/>
    </row>
    <row r="783" spans="1:35">
      <c r="A783" s="109"/>
      <c r="B783" s="263"/>
      <c r="C783" s="263"/>
      <c r="D783" s="263"/>
      <c r="E783" s="109"/>
      <c r="F783" s="109"/>
      <c r="G783" s="48"/>
      <c r="H783" s="264"/>
      <c r="I783" s="265"/>
      <c r="J783" s="265"/>
      <c r="K783" s="264"/>
      <c r="L783" s="265"/>
      <c r="M783" s="264"/>
      <c r="N783" s="264"/>
      <c r="O783" s="264"/>
      <c r="P783" s="264"/>
      <c r="Q783" s="263"/>
      <c r="R783" s="263"/>
      <c r="S783" s="263"/>
      <c r="T783" s="263"/>
      <c r="U783" s="263"/>
      <c r="V783" s="109"/>
      <c r="W783" s="263"/>
      <c r="X783" s="263"/>
      <c r="Y783" s="263"/>
      <c r="Z783" s="263"/>
      <c r="AA783" s="263"/>
      <c r="AB783" s="109"/>
      <c r="AC783" s="109"/>
      <c r="AD783" s="109"/>
      <c r="AE783" s="109"/>
      <c r="AF783" s="109"/>
      <c r="AG783" s="109"/>
      <c r="AH783" s="109"/>
      <c r="AI783" s="109"/>
    </row>
    <row r="784" spans="1:35">
      <c r="A784" s="109"/>
      <c r="B784" s="263"/>
      <c r="C784" s="263"/>
      <c r="D784" s="263"/>
      <c r="E784" s="109"/>
      <c r="F784" s="109"/>
      <c r="G784" s="48"/>
      <c r="H784" s="264"/>
      <c r="I784" s="265"/>
      <c r="J784" s="265"/>
      <c r="K784" s="264"/>
      <c r="L784" s="265"/>
      <c r="M784" s="264"/>
      <c r="N784" s="264"/>
      <c r="O784" s="264"/>
      <c r="P784" s="264"/>
      <c r="Q784" s="263"/>
      <c r="R784" s="263"/>
      <c r="S784" s="263"/>
      <c r="T784" s="263"/>
      <c r="U784" s="263"/>
      <c r="V784" s="109"/>
      <c r="W784" s="263"/>
      <c r="X784" s="263"/>
      <c r="Y784" s="263"/>
      <c r="Z784" s="263"/>
      <c r="AA784" s="263"/>
      <c r="AB784" s="109"/>
      <c r="AC784" s="109"/>
      <c r="AD784" s="109"/>
      <c r="AE784" s="109"/>
      <c r="AF784" s="109"/>
      <c r="AG784" s="109"/>
      <c r="AH784" s="109"/>
      <c r="AI784" s="109"/>
    </row>
    <row r="785" spans="1:35">
      <c r="A785" s="109"/>
      <c r="B785" s="263"/>
      <c r="C785" s="263"/>
      <c r="D785" s="263"/>
      <c r="E785" s="109"/>
      <c r="F785" s="109"/>
      <c r="G785" s="48"/>
      <c r="H785" s="264"/>
      <c r="I785" s="265"/>
      <c r="J785" s="265"/>
      <c r="K785" s="264"/>
      <c r="L785" s="265"/>
      <c r="M785" s="264"/>
      <c r="N785" s="264"/>
      <c r="O785" s="264"/>
      <c r="P785" s="264"/>
      <c r="Q785" s="263"/>
      <c r="R785" s="263"/>
      <c r="S785" s="263"/>
      <c r="T785" s="263"/>
      <c r="U785" s="263"/>
      <c r="V785" s="109"/>
      <c r="W785" s="263"/>
      <c r="X785" s="263"/>
      <c r="Y785" s="263"/>
      <c r="Z785" s="263"/>
      <c r="AA785" s="263"/>
      <c r="AB785" s="109"/>
      <c r="AC785" s="109"/>
      <c r="AD785" s="109"/>
      <c r="AE785" s="109"/>
      <c r="AF785" s="109"/>
      <c r="AG785" s="109"/>
      <c r="AH785" s="109"/>
      <c r="AI785" s="109"/>
    </row>
    <row r="786" spans="1:35">
      <c r="A786" s="109"/>
      <c r="B786" s="263"/>
      <c r="C786" s="263"/>
      <c r="D786" s="263"/>
      <c r="E786" s="109"/>
      <c r="F786" s="109"/>
      <c r="G786" s="48"/>
      <c r="H786" s="264"/>
      <c r="I786" s="265"/>
      <c r="J786" s="265"/>
      <c r="K786" s="264"/>
      <c r="L786" s="265"/>
      <c r="M786" s="264"/>
      <c r="N786" s="264"/>
      <c r="O786" s="264"/>
      <c r="P786" s="264"/>
      <c r="Q786" s="263"/>
      <c r="R786" s="263"/>
      <c r="S786" s="263"/>
      <c r="T786" s="263"/>
      <c r="U786" s="263"/>
      <c r="V786" s="109"/>
      <c r="W786" s="263"/>
      <c r="X786" s="263"/>
      <c r="Y786" s="263"/>
      <c r="Z786" s="263"/>
      <c r="AA786" s="263"/>
      <c r="AB786" s="109"/>
      <c r="AC786" s="109"/>
      <c r="AD786" s="109"/>
      <c r="AE786" s="109"/>
      <c r="AF786" s="109"/>
      <c r="AG786" s="109"/>
      <c r="AH786" s="109"/>
      <c r="AI786" s="109"/>
    </row>
    <row r="787" spans="1:35">
      <c r="A787" s="109"/>
      <c r="B787" s="263"/>
      <c r="C787" s="263"/>
      <c r="D787" s="263"/>
      <c r="E787" s="109"/>
      <c r="F787" s="109"/>
      <c r="G787" s="48"/>
      <c r="H787" s="264"/>
      <c r="I787" s="265"/>
      <c r="J787" s="265"/>
      <c r="K787" s="264"/>
      <c r="L787" s="265"/>
      <c r="M787" s="264"/>
      <c r="N787" s="264"/>
      <c r="O787" s="264"/>
      <c r="P787" s="264"/>
      <c r="Q787" s="263"/>
      <c r="R787" s="263"/>
      <c r="S787" s="263"/>
      <c r="T787" s="263"/>
      <c r="U787" s="263"/>
      <c r="V787" s="109"/>
      <c r="W787" s="263"/>
      <c r="X787" s="263"/>
      <c r="Y787" s="263"/>
      <c r="Z787" s="263"/>
      <c r="AA787" s="263"/>
      <c r="AB787" s="109"/>
      <c r="AC787" s="109"/>
      <c r="AD787" s="109"/>
      <c r="AE787" s="109"/>
      <c r="AF787" s="109"/>
      <c r="AG787" s="109"/>
      <c r="AH787" s="109"/>
      <c r="AI787" s="109"/>
    </row>
    <row r="788" spans="1:35">
      <c r="A788" s="109"/>
      <c r="B788" s="263"/>
      <c r="C788" s="263"/>
      <c r="D788" s="263"/>
      <c r="E788" s="109"/>
      <c r="F788" s="109"/>
      <c r="G788" s="48"/>
      <c r="H788" s="264"/>
      <c r="I788" s="265"/>
      <c r="J788" s="265"/>
      <c r="K788" s="264"/>
      <c r="L788" s="265"/>
      <c r="M788" s="264"/>
      <c r="N788" s="264"/>
      <c r="O788" s="264"/>
      <c r="P788" s="264"/>
      <c r="Q788" s="263"/>
      <c r="R788" s="263"/>
      <c r="S788" s="263"/>
      <c r="T788" s="263"/>
      <c r="U788" s="263"/>
      <c r="V788" s="109"/>
      <c r="W788" s="263"/>
      <c r="X788" s="263"/>
      <c r="Y788" s="263"/>
      <c r="Z788" s="263"/>
      <c r="AA788" s="263"/>
      <c r="AB788" s="109"/>
      <c r="AC788" s="109"/>
      <c r="AD788" s="109"/>
      <c r="AE788" s="109"/>
      <c r="AF788" s="109"/>
      <c r="AG788" s="109"/>
      <c r="AH788" s="109"/>
      <c r="AI788" s="109"/>
    </row>
    <row r="789" spans="1:35">
      <c r="A789" s="109"/>
      <c r="B789" s="263"/>
      <c r="C789" s="263"/>
      <c r="D789" s="263"/>
      <c r="E789" s="109"/>
      <c r="F789" s="109"/>
      <c r="G789" s="48"/>
      <c r="H789" s="264"/>
      <c r="I789" s="265"/>
      <c r="J789" s="265"/>
      <c r="K789" s="264"/>
      <c r="L789" s="265"/>
      <c r="M789" s="264"/>
      <c r="N789" s="264"/>
      <c r="O789" s="264"/>
      <c r="P789" s="264"/>
      <c r="Q789" s="263"/>
      <c r="R789" s="263"/>
      <c r="S789" s="263"/>
      <c r="T789" s="263"/>
      <c r="U789" s="263"/>
      <c r="V789" s="109"/>
      <c r="W789" s="263"/>
      <c r="X789" s="263"/>
      <c r="Y789" s="263"/>
      <c r="Z789" s="263"/>
      <c r="AA789" s="263"/>
      <c r="AB789" s="109"/>
      <c r="AC789" s="109"/>
      <c r="AD789" s="109"/>
      <c r="AE789" s="109"/>
      <c r="AF789" s="109"/>
      <c r="AG789" s="109"/>
      <c r="AH789" s="109"/>
      <c r="AI789" s="109"/>
    </row>
    <row r="790" spans="1:35">
      <c r="A790" s="109"/>
      <c r="B790" s="263"/>
      <c r="C790" s="263"/>
      <c r="D790" s="263"/>
      <c r="E790" s="109"/>
      <c r="F790" s="109"/>
      <c r="G790" s="48"/>
      <c r="H790" s="264"/>
      <c r="I790" s="265"/>
      <c r="J790" s="265"/>
      <c r="K790" s="264"/>
      <c r="L790" s="265"/>
      <c r="M790" s="264"/>
      <c r="N790" s="264"/>
      <c r="O790" s="264"/>
      <c r="P790" s="264"/>
      <c r="Q790" s="263"/>
      <c r="R790" s="263"/>
      <c r="S790" s="263"/>
      <c r="T790" s="263"/>
      <c r="U790" s="263"/>
      <c r="V790" s="109"/>
      <c r="W790" s="263"/>
      <c r="X790" s="263"/>
      <c r="Y790" s="263"/>
      <c r="Z790" s="263"/>
      <c r="AA790" s="263"/>
      <c r="AB790" s="109"/>
      <c r="AC790" s="109"/>
      <c r="AD790" s="109"/>
      <c r="AE790" s="109"/>
      <c r="AF790" s="109"/>
      <c r="AG790" s="109"/>
      <c r="AH790" s="109"/>
      <c r="AI790" s="109"/>
    </row>
    <row r="791" spans="1:35">
      <c r="A791" s="109"/>
      <c r="B791" s="263"/>
      <c r="C791" s="263"/>
      <c r="D791" s="263"/>
      <c r="E791" s="109"/>
      <c r="F791" s="109"/>
      <c r="G791" s="48"/>
      <c r="H791" s="264"/>
      <c r="I791" s="265"/>
      <c r="J791" s="265"/>
      <c r="K791" s="264"/>
      <c r="L791" s="265"/>
      <c r="M791" s="264"/>
      <c r="N791" s="264"/>
      <c r="O791" s="264"/>
      <c r="P791" s="264"/>
      <c r="Q791" s="263"/>
      <c r="R791" s="263"/>
      <c r="S791" s="263"/>
      <c r="T791" s="263"/>
      <c r="U791" s="263"/>
      <c r="V791" s="109"/>
      <c r="W791" s="263"/>
      <c r="X791" s="263"/>
      <c r="Y791" s="263"/>
      <c r="Z791" s="263"/>
      <c r="AA791" s="263"/>
      <c r="AB791" s="109"/>
      <c r="AC791" s="109"/>
      <c r="AD791" s="109"/>
      <c r="AE791" s="109"/>
      <c r="AF791" s="109"/>
      <c r="AG791" s="109"/>
      <c r="AH791" s="109"/>
      <c r="AI791" s="109"/>
    </row>
    <row r="792" spans="1:35">
      <c r="A792" s="109"/>
      <c r="B792" s="263"/>
      <c r="C792" s="263"/>
      <c r="D792" s="263"/>
      <c r="E792" s="109"/>
      <c r="F792" s="109"/>
      <c r="G792" s="48"/>
      <c r="H792" s="264"/>
      <c r="I792" s="265"/>
      <c r="J792" s="265"/>
      <c r="K792" s="264"/>
      <c r="L792" s="265"/>
      <c r="M792" s="264"/>
      <c r="N792" s="264"/>
      <c r="O792" s="264"/>
      <c r="P792" s="264"/>
      <c r="Q792" s="263"/>
      <c r="R792" s="263"/>
      <c r="S792" s="263"/>
      <c r="T792" s="263"/>
      <c r="U792" s="263"/>
      <c r="V792" s="109"/>
      <c r="W792" s="263"/>
      <c r="X792" s="263"/>
      <c r="Y792" s="263"/>
      <c r="Z792" s="263"/>
      <c r="AA792" s="263"/>
      <c r="AB792" s="109"/>
      <c r="AC792" s="109"/>
      <c r="AD792" s="109"/>
      <c r="AE792" s="109"/>
      <c r="AF792" s="109"/>
      <c r="AG792" s="109"/>
      <c r="AH792" s="109"/>
      <c r="AI792" s="109"/>
    </row>
    <row r="793" spans="1:35">
      <c r="A793" s="109"/>
      <c r="B793" s="263"/>
      <c r="C793" s="263"/>
      <c r="D793" s="263"/>
      <c r="E793" s="109"/>
      <c r="F793" s="109"/>
      <c r="G793" s="48"/>
      <c r="H793" s="264"/>
      <c r="I793" s="265"/>
      <c r="J793" s="265"/>
      <c r="K793" s="264"/>
      <c r="L793" s="265"/>
      <c r="M793" s="264"/>
      <c r="N793" s="264"/>
      <c r="O793" s="264"/>
      <c r="P793" s="264"/>
      <c r="Q793" s="263"/>
      <c r="R793" s="263"/>
      <c r="S793" s="263"/>
      <c r="T793" s="263"/>
      <c r="U793" s="263"/>
      <c r="V793" s="109"/>
      <c r="W793" s="263"/>
      <c r="X793" s="263"/>
      <c r="Y793" s="263"/>
      <c r="Z793" s="263"/>
      <c r="AA793" s="263"/>
      <c r="AB793" s="109"/>
      <c r="AC793" s="109"/>
      <c r="AD793" s="109"/>
      <c r="AE793" s="109"/>
      <c r="AF793" s="109"/>
      <c r="AG793" s="109"/>
      <c r="AH793" s="109"/>
      <c r="AI793" s="109"/>
    </row>
    <row r="794" spans="1:35">
      <c r="A794" s="109"/>
      <c r="B794" s="263"/>
      <c r="C794" s="263"/>
      <c r="D794" s="263"/>
      <c r="E794" s="109"/>
      <c r="F794" s="109"/>
      <c r="G794" s="48"/>
      <c r="H794" s="264"/>
      <c r="I794" s="265"/>
      <c r="J794" s="265"/>
      <c r="K794" s="264"/>
      <c r="L794" s="265"/>
      <c r="M794" s="264"/>
      <c r="N794" s="264"/>
      <c r="O794" s="264"/>
      <c r="P794" s="264"/>
      <c r="Q794" s="263"/>
      <c r="R794" s="263"/>
      <c r="S794" s="263"/>
      <c r="T794" s="263"/>
      <c r="U794" s="263"/>
      <c r="V794" s="109"/>
      <c r="W794" s="263"/>
      <c r="X794" s="263"/>
      <c r="Y794" s="263"/>
      <c r="Z794" s="263"/>
      <c r="AA794" s="263"/>
      <c r="AB794" s="109"/>
      <c r="AC794" s="109"/>
      <c r="AD794" s="109"/>
      <c r="AE794" s="109"/>
      <c r="AF794" s="109"/>
      <c r="AG794" s="109"/>
      <c r="AH794" s="109"/>
      <c r="AI794" s="109"/>
    </row>
    <row r="795" spans="1:35">
      <c r="A795" s="109"/>
      <c r="B795" s="263"/>
      <c r="C795" s="263"/>
      <c r="D795" s="263"/>
      <c r="E795" s="109"/>
      <c r="F795" s="109"/>
      <c r="G795" s="48"/>
      <c r="H795" s="264"/>
      <c r="I795" s="265"/>
      <c r="J795" s="265"/>
      <c r="K795" s="264"/>
      <c r="L795" s="265"/>
      <c r="M795" s="264"/>
      <c r="N795" s="264"/>
      <c r="O795" s="264"/>
      <c r="P795" s="264"/>
      <c r="Q795" s="263"/>
      <c r="R795" s="263"/>
      <c r="S795" s="263"/>
      <c r="T795" s="263"/>
      <c r="U795" s="263"/>
      <c r="V795" s="109"/>
      <c r="W795" s="263"/>
      <c r="X795" s="263"/>
      <c r="Y795" s="263"/>
      <c r="Z795" s="263"/>
      <c r="AA795" s="263"/>
      <c r="AB795" s="109"/>
      <c r="AC795" s="109"/>
      <c r="AD795" s="109"/>
      <c r="AE795" s="109"/>
      <c r="AF795" s="109"/>
      <c r="AG795" s="109"/>
      <c r="AH795" s="109"/>
      <c r="AI795" s="109"/>
    </row>
    <row r="796" spans="1:35">
      <c r="A796" s="109"/>
      <c r="B796" s="263"/>
      <c r="C796" s="263"/>
      <c r="D796" s="263"/>
      <c r="E796" s="109"/>
      <c r="F796" s="109"/>
      <c r="G796" s="48"/>
      <c r="H796" s="264"/>
      <c r="I796" s="265"/>
      <c r="J796" s="265"/>
      <c r="K796" s="264"/>
      <c r="L796" s="265"/>
      <c r="M796" s="264"/>
      <c r="N796" s="264"/>
      <c r="O796" s="264"/>
      <c r="P796" s="264"/>
      <c r="Q796" s="263"/>
      <c r="R796" s="263"/>
      <c r="S796" s="263"/>
      <c r="T796" s="263"/>
      <c r="U796" s="263"/>
      <c r="V796" s="109"/>
      <c r="W796" s="263"/>
      <c r="X796" s="263"/>
      <c r="Y796" s="263"/>
      <c r="Z796" s="263"/>
      <c r="AA796" s="263"/>
      <c r="AB796" s="109"/>
      <c r="AC796" s="109"/>
      <c r="AD796" s="109"/>
      <c r="AE796" s="109"/>
      <c r="AF796" s="109"/>
      <c r="AG796" s="109"/>
      <c r="AH796" s="109"/>
      <c r="AI796" s="109"/>
    </row>
    <row r="797" spans="1:35">
      <c r="A797" s="109"/>
      <c r="B797" s="263"/>
      <c r="C797" s="263"/>
      <c r="D797" s="263"/>
      <c r="E797" s="109"/>
      <c r="F797" s="109"/>
      <c r="G797" s="48"/>
      <c r="H797" s="264"/>
      <c r="I797" s="265"/>
      <c r="J797" s="265"/>
      <c r="K797" s="264"/>
      <c r="L797" s="265"/>
      <c r="M797" s="264"/>
      <c r="N797" s="264"/>
      <c r="O797" s="264"/>
      <c r="P797" s="264"/>
      <c r="Q797" s="263"/>
      <c r="R797" s="263"/>
      <c r="S797" s="263"/>
      <c r="T797" s="263"/>
      <c r="U797" s="263"/>
      <c r="V797" s="109"/>
      <c r="W797" s="263"/>
      <c r="X797" s="263"/>
      <c r="Y797" s="263"/>
      <c r="Z797" s="263"/>
      <c r="AA797" s="263"/>
      <c r="AB797" s="109"/>
      <c r="AC797" s="109"/>
      <c r="AD797" s="109"/>
      <c r="AE797" s="109"/>
      <c r="AF797" s="109"/>
      <c r="AG797" s="109"/>
      <c r="AH797" s="109"/>
      <c r="AI797" s="109"/>
    </row>
    <row r="798" spans="1:35">
      <c r="A798" s="109"/>
      <c r="B798" s="263"/>
      <c r="C798" s="263"/>
      <c r="D798" s="263"/>
      <c r="E798" s="109"/>
      <c r="F798" s="109"/>
      <c r="G798" s="48"/>
      <c r="H798" s="264"/>
      <c r="I798" s="265"/>
      <c r="J798" s="265"/>
      <c r="K798" s="264"/>
      <c r="L798" s="265"/>
      <c r="M798" s="264"/>
      <c r="N798" s="264"/>
      <c r="O798" s="264"/>
      <c r="P798" s="264"/>
      <c r="Q798" s="263"/>
      <c r="R798" s="263"/>
      <c r="S798" s="263"/>
      <c r="T798" s="263"/>
      <c r="U798" s="263"/>
      <c r="V798" s="109"/>
      <c r="W798" s="263"/>
      <c r="X798" s="263"/>
      <c r="Y798" s="263"/>
      <c r="Z798" s="263"/>
      <c r="AA798" s="263"/>
      <c r="AB798" s="109"/>
      <c r="AC798" s="109"/>
      <c r="AD798" s="109"/>
      <c r="AE798" s="109"/>
      <c r="AF798" s="109"/>
      <c r="AG798" s="109"/>
      <c r="AH798" s="109"/>
      <c r="AI798" s="109"/>
    </row>
    <row r="799" spans="1:35">
      <c r="A799" s="109"/>
      <c r="B799" s="263"/>
      <c r="C799" s="263"/>
      <c r="D799" s="263"/>
      <c r="E799" s="109"/>
      <c r="F799" s="109"/>
      <c r="G799" s="48"/>
      <c r="H799" s="264"/>
      <c r="I799" s="265"/>
      <c r="J799" s="265"/>
      <c r="K799" s="264"/>
      <c r="L799" s="265"/>
      <c r="M799" s="264"/>
      <c r="N799" s="264"/>
      <c r="O799" s="264"/>
      <c r="P799" s="264"/>
      <c r="Q799" s="263"/>
      <c r="R799" s="263"/>
      <c r="S799" s="263"/>
      <c r="T799" s="263"/>
      <c r="U799" s="263"/>
      <c r="V799" s="109"/>
      <c r="W799" s="263"/>
      <c r="X799" s="263"/>
      <c r="Y799" s="263"/>
      <c r="Z799" s="263"/>
      <c r="AA799" s="263"/>
      <c r="AB799" s="109"/>
      <c r="AC799" s="109"/>
      <c r="AD799" s="109"/>
      <c r="AE799" s="109"/>
      <c r="AF799" s="109"/>
      <c r="AG799" s="109"/>
      <c r="AH799" s="109"/>
      <c r="AI799" s="109"/>
    </row>
    <row r="800" spans="1:35">
      <c r="A800" s="109"/>
      <c r="B800" s="263"/>
      <c r="C800" s="263"/>
      <c r="D800" s="263"/>
      <c r="E800" s="109"/>
      <c r="F800" s="109"/>
      <c r="G800" s="48"/>
      <c r="H800" s="264"/>
      <c r="I800" s="265"/>
      <c r="J800" s="265"/>
      <c r="K800" s="264"/>
      <c r="L800" s="265"/>
      <c r="M800" s="264"/>
      <c r="N800" s="264"/>
      <c r="O800" s="264"/>
      <c r="P800" s="264"/>
      <c r="Q800" s="263"/>
      <c r="R800" s="263"/>
      <c r="S800" s="263"/>
      <c r="T800" s="263"/>
      <c r="U800" s="263"/>
      <c r="V800" s="109"/>
      <c r="W800" s="263"/>
      <c r="X800" s="263"/>
      <c r="Y800" s="263"/>
      <c r="Z800" s="263"/>
      <c r="AA800" s="263"/>
      <c r="AB800" s="109"/>
      <c r="AC800" s="109"/>
      <c r="AD800" s="109"/>
      <c r="AE800" s="109"/>
      <c r="AF800" s="109"/>
      <c r="AG800" s="109"/>
      <c r="AH800" s="109"/>
      <c r="AI800" s="109"/>
    </row>
    <row r="801" spans="1:35">
      <c r="A801" s="109"/>
      <c r="B801" s="263"/>
      <c r="C801" s="263"/>
      <c r="D801" s="263"/>
      <c r="E801" s="109"/>
      <c r="F801" s="109"/>
      <c r="G801" s="48"/>
      <c r="H801" s="264"/>
      <c r="I801" s="265"/>
      <c r="J801" s="265"/>
      <c r="K801" s="264"/>
      <c r="L801" s="265"/>
      <c r="M801" s="264"/>
      <c r="N801" s="264"/>
      <c r="O801" s="264"/>
      <c r="P801" s="264"/>
      <c r="Q801" s="263"/>
      <c r="R801" s="263"/>
      <c r="S801" s="263"/>
      <c r="T801" s="263"/>
      <c r="U801" s="263"/>
      <c r="V801" s="109"/>
      <c r="W801" s="263"/>
      <c r="X801" s="263"/>
      <c r="Y801" s="263"/>
      <c r="Z801" s="263"/>
      <c r="AA801" s="263"/>
      <c r="AB801" s="109"/>
      <c r="AC801" s="109"/>
      <c r="AD801" s="109"/>
      <c r="AE801" s="109"/>
      <c r="AF801" s="109"/>
      <c r="AG801" s="109"/>
      <c r="AH801" s="109"/>
      <c r="AI801" s="109"/>
    </row>
    <row r="802" spans="1:35">
      <c r="A802" s="109"/>
      <c r="B802" s="263"/>
      <c r="C802" s="263"/>
      <c r="D802" s="263"/>
      <c r="E802" s="109"/>
      <c r="F802" s="109"/>
      <c r="G802" s="48"/>
      <c r="H802" s="264"/>
      <c r="I802" s="265"/>
      <c r="J802" s="265"/>
      <c r="K802" s="264"/>
      <c r="L802" s="265"/>
      <c r="M802" s="264"/>
      <c r="N802" s="264"/>
      <c r="O802" s="264"/>
      <c r="P802" s="264"/>
      <c r="Q802" s="263"/>
      <c r="R802" s="263"/>
      <c r="S802" s="263"/>
      <c r="T802" s="263"/>
      <c r="U802" s="263"/>
      <c r="V802" s="109"/>
      <c r="W802" s="263"/>
      <c r="X802" s="263"/>
      <c r="Y802" s="263"/>
      <c r="Z802" s="263"/>
      <c r="AA802" s="263"/>
      <c r="AB802" s="109"/>
      <c r="AC802" s="109"/>
      <c r="AD802" s="109"/>
      <c r="AE802" s="109"/>
      <c r="AF802" s="109"/>
      <c r="AG802" s="109"/>
      <c r="AH802" s="109"/>
      <c r="AI802" s="109"/>
    </row>
    <row r="803" spans="1:35">
      <c r="A803" s="109"/>
      <c r="B803" s="263"/>
      <c r="C803" s="263"/>
      <c r="D803" s="263"/>
      <c r="E803" s="109"/>
      <c r="F803" s="109"/>
      <c r="G803" s="48"/>
      <c r="H803" s="264"/>
      <c r="I803" s="265"/>
      <c r="J803" s="265"/>
      <c r="K803" s="264"/>
      <c r="L803" s="265"/>
      <c r="M803" s="264"/>
      <c r="N803" s="264"/>
      <c r="O803" s="264"/>
      <c r="P803" s="264"/>
      <c r="Q803" s="263"/>
      <c r="R803" s="263"/>
      <c r="S803" s="263"/>
      <c r="T803" s="263"/>
      <c r="U803" s="263"/>
      <c r="V803" s="109"/>
      <c r="W803" s="263"/>
      <c r="X803" s="263"/>
      <c r="Y803" s="263"/>
      <c r="Z803" s="263"/>
      <c r="AA803" s="263"/>
      <c r="AB803" s="109"/>
      <c r="AC803" s="109"/>
      <c r="AD803" s="109"/>
      <c r="AE803" s="109"/>
      <c r="AF803" s="109"/>
      <c r="AG803" s="109"/>
      <c r="AH803" s="109"/>
      <c r="AI803" s="109"/>
    </row>
    <row r="804" spans="1:35">
      <c r="A804" s="109"/>
      <c r="B804" s="263"/>
      <c r="C804" s="263"/>
      <c r="D804" s="263"/>
      <c r="E804" s="109"/>
      <c r="F804" s="109"/>
      <c r="G804" s="48"/>
      <c r="H804" s="264"/>
      <c r="I804" s="265"/>
      <c r="J804" s="265"/>
      <c r="K804" s="264"/>
      <c r="L804" s="265"/>
      <c r="M804" s="264"/>
      <c r="N804" s="264"/>
      <c r="O804" s="264"/>
      <c r="P804" s="264"/>
      <c r="Q804" s="263"/>
      <c r="R804" s="263"/>
      <c r="S804" s="263"/>
      <c r="T804" s="263"/>
      <c r="U804" s="263"/>
      <c r="V804" s="109"/>
      <c r="W804" s="263"/>
      <c r="X804" s="263"/>
      <c r="Y804" s="263"/>
      <c r="Z804" s="263"/>
      <c r="AA804" s="263"/>
      <c r="AB804" s="109"/>
      <c r="AC804" s="109"/>
      <c r="AD804" s="109"/>
      <c r="AE804" s="109"/>
      <c r="AF804" s="109"/>
      <c r="AG804" s="109"/>
      <c r="AH804" s="109"/>
      <c r="AI804" s="109"/>
    </row>
    <row r="805" spans="1:35">
      <c r="A805" s="109"/>
      <c r="B805" s="263"/>
      <c r="C805" s="263"/>
      <c r="D805" s="263"/>
      <c r="E805" s="109"/>
      <c r="F805" s="109"/>
      <c r="G805" s="48"/>
      <c r="H805" s="264"/>
      <c r="I805" s="265"/>
      <c r="J805" s="265"/>
      <c r="K805" s="264"/>
      <c r="L805" s="265"/>
      <c r="M805" s="264"/>
      <c r="N805" s="264"/>
      <c r="O805" s="264"/>
      <c r="P805" s="264"/>
      <c r="Q805" s="263"/>
      <c r="R805" s="263"/>
      <c r="S805" s="263"/>
      <c r="T805" s="263"/>
      <c r="U805" s="263"/>
      <c r="V805" s="109"/>
      <c r="W805" s="263"/>
      <c r="X805" s="263"/>
      <c r="Y805" s="263"/>
      <c r="Z805" s="263"/>
      <c r="AA805" s="263"/>
      <c r="AB805" s="109"/>
      <c r="AC805" s="109"/>
      <c r="AD805" s="109"/>
      <c r="AE805" s="109"/>
      <c r="AF805" s="109"/>
      <c r="AG805" s="109"/>
      <c r="AH805" s="109"/>
      <c r="AI805" s="109"/>
    </row>
    <row r="806" spans="1:35">
      <c r="A806" s="109"/>
      <c r="B806" s="263"/>
      <c r="C806" s="263"/>
      <c r="D806" s="263"/>
      <c r="E806" s="109"/>
      <c r="F806" s="109"/>
      <c r="G806" s="48"/>
      <c r="H806" s="264"/>
      <c r="I806" s="265"/>
      <c r="J806" s="265"/>
      <c r="K806" s="264"/>
      <c r="L806" s="265"/>
      <c r="M806" s="264"/>
      <c r="N806" s="264"/>
      <c r="O806" s="264"/>
      <c r="P806" s="264"/>
      <c r="Q806" s="263"/>
      <c r="R806" s="263"/>
      <c r="S806" s="263"/>
      <c r="T806" s="263"/>
      <c r="U806" s="263"/>
      <c r="V806" s="109"/>
      <c r="W806" s="263"/>
      <c r="X806" s="263"/>
      <c r="Y806" s="263"/>
      <c r="Z806" s="263"/>
      <c r="AA806" s="263"/>
      <c r="AB806" s="109"/>
      <c r="AC806" s="109"/>
      <c r="AD806" s="109"/>
      <c r="AE806" s="109"/>
      <c r="AF806" s="109"/>
      <c r="AG806" s="109"/>
      <c r="AH806" s="109"/>
      <c r="AI806" s="109"/>
    </row>
    <row r="807" spans="1:35">
      <c r="A807" s="109"/>
      <c r="B807" s="263"/>
      <c r="C807" s="263"/>
      <c r="D807" s="263"/>
      <c r="E807" s="109"/>
      <c r="F807" s="109"/>
      <c r="G807" s="48"/>
      <c r="H807" s="264"/>
      <c r="I807" s="265"/>
      <c r="J807" s="265"/>
      <c r="K807" s="264"/>
      <c r="L807" s="265"/>
      <c r="M807" s="264"/>
      <c r="N807" s="264"/>
      <c r="O807" s="264"/>
      <c r="P807" s="264"/>
      <c r="Q807" s="263"/>
      <c r="R807" s="263"/>
      <c r="S807" s="263"/>
      <c r="T807" s="263"/>
      <c r="U807" s="263"/>
      <c r="V807" s="109"/>
      <c r="W807" s="263"/>
      <c r="X807" s="263"/>
      <c r="Y807" s="263"/>
      <c r="Z807" s="263"/>
      <c r="AA807" s="263"/>
      <c r="AB807" s="109"/>
      <c r="AC807" s="109"/>
      <c r="AD807" s="109"/>
      <c r="AE807" s="109"/>
      <c r="AF807" s="109"/>
      <c r="AG807" s="109"/>
      <c r="AH807" s="109"/>
      <c r="AI807" s="109"/>
    </row>
    <row r="808" spans="1:35">
      <c r="A808" s="109"/>
      <c r="B808" s="263"/>
      <c r="C808" s="263"/>
      <c r="D808" s="263"/>
      <c r="E808" s="109"/>
      <c r="F808" s="109"/>
      <c r="G808" s="48"/>
      <c r="H808" s="264"/>
      <c r="I808" s="265"/>
      <c r="J808" s="265"/>
      <c r="K808" s="264"/>
      <c r="L808" s="265"/>
      <c r="M808" s="264"/>
      <c r="N808" s="264"/>
      <c r="O808" s="264"/>
      <c r="P808" s="264"/>
      <c r="Q808" s="263"/>
      <c r="R808" s="263"/>
      <c r="S808" s="263"/>
      <c r="T808" s="263"/>
      <c r="U808" s="263"/>
      <c r="V808" s="109"/>
      <c r="W808" s="263"/>
      <c r="X808" s="263"/>
      <c r="Y808" s="263"/>
      <c r="Z808" s="263"/>
      <c r="AA808" s="263"/>
      <c r="AB808" s="109"/>
      <c r="AC808" s="109"/>
      <c r="AD808" s="109"/>
      <c r="AE808" s="109"/>
      <c r="AF808" s="109"/>
      <c r="AG808" s="109"/>
      <c r="AH808" s="109"/>
      <c r="AI808" s="109"/>
    </row>
    <row r="809" spans="1:35">
      <c r="A809" s="109"/>
      <c r="B809" s="263"/>
      <c r="C809" s="263"/>
      <c r="D809" s="263"/>
      <c r="E809" s="109"/>
      <c r="F809" s="109"/>
      <c r="G809" s="48"/>
      <c r="H809" s="264"/>
      <c r="I809" s="265"/>
      <c r="J809" s="265"/>
      <c r="K809" s="264"/>
      <c r="L809" s="265"/>
      <c r="M809" s="264"/>
      <c r="N809" s="264"/>
      <c r="O809" s="264"/>
      <c r="P809" s="264"/>
      <c r="Q809" s="263"/>
      <c r="R809" s="263"/>
      <c r="S809" s="263"/>
      <c r="T809" s="263"/>
      <c r="U809" s="263"/>
      <c r="V809" s="109"/>
      <c r="W809" s="263"/>
      <c r="X809" s="263"/>
      <c r="Y809" s="263"/>
      <c r="Z809" s="263"/>
      <c r="AA809" s="263"/>
      <c r="AB809" s="109"/>
      <c r="AC809" s="109"/>
      <c r="AD809" s="109"/>
      <c r="AE809" s="109"/>
      <c r="AF809" s="109"/>
      <c r="AG809" s="109"/>
      <c r="AH809" s="109"/>
      <c r="AI809" s="109"/>
    </row>
    <row r="810" spans="1:35">
      <c r="A810" s="109"/>
      <c r="B810" s="263"/>
      <c r="C810" s="263"/>
      <c r="D810" s="263"/>
      <c r="E810" s="109"/>
      <c r="F810" s="109"/>
      <c r="G810" s="48"/>
      <c r="H810" s="264"/>
      <c r="I810" s="265"/>
      <c r="J810" s="265"/>
      <c r="K810" s="264"/>
      <c r="L810" s="265"/>
      <c r="M810" s="264"/>
      <c r="N810" s="264"/>
      <c r="O810" s="264"/>
      <c r="P810" s="264"/>
      <c r="Q810" s="263"/>
      <c r="R810" s="263"/>
      <c r="S810" s="263"/>
      <c r="T810" s="263"/>
      <c r="U810" s="263"/>
      <c r="V810" s="109"/>
      <c r="W810" s="263"/>
      <c r="X810" s="263"/>
      <c r="Y810" s="263"/>
      <c r="Z810" s="263"/>
      <c r="AA810" s="263"/>
      <c r="AB810" s="109"/>
      <c r="AC810" s="109"/>
      <c r="AD810" s="109"/>
      <c r="AE810" s="109"/>
      <c r="AF810" s="109"/>
      <c r="AG810" s="109"/>
      <c r="AH810" s="109"/>
      <c r="AI810" s="109"/>
    </row>
    <row r="811" spans="1:35">
      <c r="A811" s="109"/>
      <c r="B811" s="263"/>
      <c r="C811" s="263"/>
      <c r="D811" s="263"/>
      <c r="E811" s="109"/>
      <c r="F811" s="109"/>
      <c r="G811" s="48"/>
      <c r="H811" s="264"/>
      <c r="I811" s="265"/>
      <c r="J811" s="265"/>
      <c r="K811" s="264"/>
      <c r="L811" s="265"/>
      <c r="M811" s="264"/>
      <c r="N811" s="264"/>
      <c r="O811" s="264"/>
      <c r="P811" s="264"/>
      <c r="Q811" s="263"/>
      <c r="R811" s="263"/>
      <c r="S811" s="263"/>
      <c r="T811" s="263"/>
      <c r="U811" s="263"/>
      <c r="V811" s="109"/>
      <c r="W811" s="263"/>
      <c r="X811" s="263"/>
      <c r="Y811" s="263"/>
      <c r="Z811" s="263"/>
      <c r="AA811" s="263"/>
      <c r="AB811" s="109"/>
      <c r="AC811" s="109"/>
      <c r="AD811" s="109"/>
      <c r="AE811" s="109"/>
      <c r="AF811" s="109"/>
      <c r="AG811" s="109"/>
      <c r="AH811" s="109"/>
      <c r="AI811" s="109"/>
    </row>
    <row r="812" spans="1:35">
      <c r="A812" s="109"/>
      <c r="B812" s="263"/>
      <c r="C812" s="263"/>
      <c r="D812" s="263"/>
      <c r="E812" s="109"/>
      <c r="F812" s="109"/>
      <c r="G812" s="48"/>
      <c r="H812" s="264"/>
      <c r="I812" s="265"/>
      <c r="J812" s="265"/>
      <c r="K812" s="264"/>
      <c r="L812" s="265"/>
      <c r="M812" s="264"/>
      <c r="N812" s="264"/>
      <c r="O812" s="264"/>
      <c r="P812" s="264"/>
      <c r="Q812" s="263"/>
      <c r="R812" s="263"/>
      <c r="S812" s="263"/>
      <c r="T812" s="263"/>
      <c r="U812" s="263"/>
      <c r="V812" s="109"/>
      <c r="W812" s="263"/>
      <c r="X812" s="263"/>
      <c r="Y812" s="263"/>
      <c r="Z812" s="263"/>
      <c r="AA812" s="263"/>
      <c r="AB812" s="109"/>
      <c r="AC812" s="109"/>
      <c r="AD812" s="109"/>
      <c r="AE812" s="109"/>
      <c r="AF812" s="109"/>
      <c r="AG812" s="109"/>
      <c r="AH812" s="109"/>
      <c r="AI812" s="109"/>
    </row>
    <row r="813" spans="1:35">
      <c r="A813" s="109"/>
      <c r="B813" s="263"/>
      <c r="C813" s="263"/>
      <c r="D813" s="263"/>
      <c r="E813" s="109"/>
      <c r="F813" s="109"/>
      <c r="G813" s="48"/>
      <c r="H813" s="264"/>
      <c r="I813" s="265"/>
      <c r="J813" s="265"/>
      <c r="K813" s="264"/>
      <c r="L813" s="265"/>
      <c r="M813" s="264"/>
      <c r="N813" s="264"/>
      <c r="O813" s="264"/>
      <c r="P813" s="264"/>
      <c r="Q813" s="263"/>
      <c r="R813" s="263"/>
      <c r="S813" s="263"/>
      <c r="T813" s="263"/>
      <c r="U813" s="263"/>
      <c r="V813" s="109"/>
      <c r="W813" s="263"/>
      <c r="X813" s="263"/>
      <c r="Y813" s="263"/>
      <c r="Z813" s="263"/>
      <c r="AA813" s="263"/>
      <c r="AB813" s="109"/>
      <c r="AC813" s="109"/>
      <c r="AD813" s="109"/>
      <c r="AE813" s="109"/>
      <c r="AF813" s="109"/>
      <c r="AG813" s="109"/>
      <c r="AH813" s="109"/>
      <c r="AI813" s="109"/>
    </row>
    <row r="814" spans="1:35">
      <c r="A814" s="109"/>
      <c r="B814" s="263"/>
      <c r="C814" s="263"/>
      <c r="D814" s="263"/>
      <c r="E814" s="109"/>
      <c r="F814" s="109"/>
      <c r="G814" s="48"/>
      <c r="H814" s="264"/>
      <c r="I814" s="265"/>
      <c r="J814" s="265"/>
      <c r="K814" s="264"/>
      <c r="L814" s="265"/>
      <c r="M814" s="264"/>
      <c r="N814" s="264"/>
      <c r="O814" s="264"/>
      <c r="P814" s="264"/>
      <c r="Q814" s="263"/>
      <c r="R814" s="263"/>
      <c r="S814" s="263"/>
      <c r="T814" s="263"/>
      <c r="U814" s="263"/>
      <c r="V814" s="109"/>
      <c r="W814" s="263"/>
      <c r="X814" s="263"/>
      <c r="Y814" s="263"/>
      <c r="Z814" s="263"/>
      <c r="AA814" s="263"/>
      <c r="AB814" s="109"/>
      <c r="AC814" s="109"/>
      <c r="AD814" s="109"/>
      <c r="AE814" s="109"/>
      <c r="AF814" s="109"/>
      <c r="AG814" s="109"/>
      <c r="AH814" s="109"/>
      <c r="AI814" s="109"/>
    </row>
    <row r="815" spans="1:35">
      <c r="A815" s="109"/>
      <c r="B815" s="263"/>
      <c r="C815" s="263"/>
      <c r="D815" s="263"/>
      <c r="E815" s="109"/>
      <c r="F815" s="109"/>
      <c r="G815" s="48"/>
      <c r="H815" s="264"/>
      <c r="I815" s="265"/>
      <c r="J815" s="265"/>
      <c r="K815" s="264"/>
      <c r="L815" s="265"/>
      <c r="M815" s="264"/>
      <c r="N815" s="264"/>
      <c r="O815" s="264"/>
      <c r="P815" s="264"/>
      <c r="Q815" s="263"/>
      <c r="R815" s="263"/>
      <c r="S815" s="263"/>
      <c r="T815" s="263"/>
      <c r="U815" s="263"/>
      <c r="V815" s="109"/>
      <c r="W815" s="263"/>
      <c r="X815" s="263"/>
      <c r="Y815" s="263"/>
      <c r="Z815" s="263"/>
      <c r="AA815" s="263"/>
      <c r="AB815" s="109"/>
      <c r="AC815" s="109"/>
      <c r="AD815" s="109"/>
      <c r="AE815" s="109"/>
      <c r="AF815" s="109"/>
      <c r="AG815" s="109"/>
      <c r="AH815" s="109"/>
      <c r="AI815" s="109"/>
    </row>
    <row r="816" spans="1:35">
      <c r="A816" s="109"/>
      <c r="B816" s="263"/>
      <c r="C816" s="263"/>
      <c r="D816" s="263"/>
      <c r="E816" s="109"/>
      <c r="F816" s="109"/>
      <c r="G816" s="48"/>
      <c r="H816" s="264"/>
      <c r="I816" s="265"/>
      <c r="J816" s="265"/>
      <c r="K816" s="264"/>
      <c r="L816" s="265"/>
      <c r="M816" s="264"/>
      <c r="N816" s="264"/>
      <c r="O816" s="264"/>
      <c r="P816" s="264"/>
      <c r="Q816" s="263"/>
      <c r="R816" s="263"/>
      <c r="S816" s="263"/>
      <c r="T816" s="263"/>
      <c r="U816" s="263"/>
      <c r="V816" s="109"/>
      <c r="W816" s="263"/>
      <c r="X816" s="263"/>
      <c r="Y816" s="263"/>
      <c r="Z816" s="263"/>
      <c r="AA816" s="263"/>
      <c r="AB816" s="109"/>
      <c r="AC816" s="109"/>
      <c r="AD816" s="109"/>
      <c r="AE816" s="109"/>
      <c r="AF816" s="109"/>
      <c r="AG816" s="109"/>
      <c r="AH816" s="109"/>
      <c r="AI816" s="109"/>
    </row>
    <row r="817" spans="1:35">
      <c r="A817" s="109"/>
      <c r="B817" s="263"/>
      <c r="C817" s="263"/>
      <c r="D817" s="263"/>
      <c r="E817" s="109"/>
      <c r="F817" s="109"/>
      <c r="G817" s="48"/>
      <c r="H817" s="264"/>
      <c r="I817" s="265"/>
      <c r="J817" s="265"/>
      <c r="K817" s="264"/>
      <c r="L817" s="265"/>
      <c r="M817" s="264"/>
      <c r="N817" s="264"/>
      <c r="O817" s="264"/>
      <c r="P817" s="264"/>
      <c r="Q817" s="263"/>
      <c r="R817" s="263"/>
      <c r="S817" s="263"/>
      <c r="T817" s="263"/>
      <c r="U817" s="263"/>
      <c r="V817" s="109"/>
      <c r="W817" s="263"/>
      <c r="X817" s="263"/>
      <c r="Y817" s="263"/>
      <c r="Z817" s="263"/>
      <c r="AA817" s="263"/>
      <c r="AB817" s="109"/>
      <c r="AC817" s="109"/>
      <c r="AD817" s="109"/>
      <c r="AE817" s="109"/>
      <c r="AF817" s="109"/>
      <c r="AG817" s="109"/>
      <c r="AH817" s="109"/>
      <c r="AI817" s="109"/>
    </row>
    <row r="818" spans="1:35">
      <c r="A818" s="109"/>
      <c r="B818" s="263"/>
      <c r="C818" s="263"/>
      <c r="D818" s="263"/>
      <c r="E818" s="109"/>
      <c r="F818" s="109"/>
      <c r="G818" s="48"/>
      <c r="H818" s="264"/>
      <c r="I818" s="265"/>
      <c r="J818" s="265"/>
      <c r="K818" s="264"/>
      <c r="L818" s="265"/>
      <c r="M818" s="264"/>
      <c r="N818" s="264"/>
      <c r="O818" s="264"/>
      <c r="P818" s="264"/>
      <c r="Q818" s="263"/>
      <c r="R818" s="263"/>
      <c r="S818" s="263"/>
      <c r="T818" s="263"/>
      <c r="U818" s="263"/>
      <c r="V818" s="109"/>
      <c r="W818" s="263"/>
      <c r="X818" s="263"/>
      <c r="Y818" s="263"/>
      <c r="Z818" s="263"/>
      <c r="AA818" s="263"/>
      <c r="AB818" s="109"/>
      <c r="AC818" s="109"/>
      <c r="AD818" s="109"/>
      <c r="AE818" s="109"/>
      <c r="AF818" s="109"/>
      <c r="AG818" s="109"/>
      <c r="AH818" s="109"/>
      <c r="AI818" s="109"/>
    </row>
    <row r="819" spans="1:35">
      <c r="A819" s="109"/>
      <c r="B819" s="263"/>
      <c r="C819" s="263"/>
      <c r="D819" s="263"/>
      <c r="E819" s="109"/>
      <c r="F819" s="109"/>
      <c r="G819" s="48"/>
      <c r="H819" s="264"/>
      <c r="I819" s="265"/>
      <c r="J819" s="265"/>
      <c r="K819" s="264"/>
      <c r="L819" s="265"/>
      <c r="M819" s="264"/>
      <c r="N819" s="264"/>
      <c r="O819" s="264"/>
      <c r="P819" s="264"/>
      <c r="Q819" s="263"/>
      <c r="R819" s="263"/>
      <c r="S819" s="263"/>
      <c r="T819" s="263"/>
      <c r="U819" s="263"/>
      <c r="V819" s="109"/>
      <c r="W819" s="263"/>
      <c r="X819" s="263"/>
      <c r="Y819" s="263"/>
      <c r="Z819" s="263"/>
      <c r="AA819" s="263"/>
      <c r="AB819" s="109"/>
      <c r="AC819" s="109"/>
      <c r="AD819" s="109"/>
      <c r="AE819" s="109"/>
      <c r="AF819" s="109"/>
      <c r="AG819" s="109"/>
      <c r="AH819" s="109"/>
      <c r="AI819" s="109"/>
    </row>
    <row r="820" spans="1:35">
      <c r="A820" s="109"/>
      <c r="B820" s="263"/>
      <c r="C820" s="263"/>
      <c r="D820" s="263"/>
      <c r="E820" s="109"/>
      <c r="F820" s="109"/>
      <c r="G820" s="48"/>
      <c r="H820" s="264"/>
      <c r="I820" s="265"/>
      <c r="J820" s="265"/>
      <c r="K820" s="264"/>
      <c r="L820" s="265"/>
      <c r="M820" s="264"/>
      <c r="N820" s="264"/>
      <c r="O820" s="264"/>
      <c r="P820" s="264"/>
      <c r="Q820" s="263"/>
      <c r="R820" s="263"/>
      <c r="S820" s="263"/>
      <c r="T820" s="263"/>
      <c r="U820" s="263"/>
      <c r="V820" s="109"/>
      <c r="W820" s="263"/>
      <c r="X820" s="263"/>
      <c r="Y820" s="263"/>
      <c r="Z820" s="263"/>
      <c r="AA820" s="263"/>
      <c r="AB820" s="109"/>
      <c r="AC820" s="109"/>
      <c r="AD820" s="109"/>
      <c r="AE820" s="109"/>
      <c r="AF820" s="109"/>
      <c r="AG820" s="109"/>
      <c r="AH820" s="109"/>
      <c r="AI820" s="109"/>
    </row>
    <row r="821" spans="1:35">
      <c r="A821" s="109"/>
      <c r="B821" s="263"/>
      <c r="C821" s="263"/>
      <c r="D821" s="263"/>
      <c r="E821" s="109"/>
      <c r="F821" s="109"/>
      <c r="G821" s="48"/>
      <c r="H821" s="264"/>
      <c r="I821" s="265"/>
      <c r="J821" s="265"/>
      <c r="K821" s="264"/>
      <c r="L821" s="265"/>
      <c r="M821" s="264"/>
      <c r="N821" s="264"/>
      <c r="O821" s="264"/>
      <c r="P821" s="264"/>
      <c r="Q821" s="263"/>
      <c r="R821" s="263"/>
      <c r="S821" s="263"/>
      <c r="T821" s="263"/>
      <c r="U821" s="263"/>
      <c r="V821" s="109"/>
      <c r="W821" s="263"/>
      <c r="X821" s="263"/>
      <c r="Y821" s="263"/>
      <c r="Z821" s="263"/>
      <c r="AA821" s="263"/>
      <c r="AB821" s="109"/>
      <c r="AC821" s="109"/>
      <c r="AD821" s="109"/>
      <c r="AE821" s="109"/>
      <c r="AF821" s="109"/>
      <c r="AG821" s="109"/>
      <c r="AH821" s="109"/>
      <c r="AI821" s="109"/>
    </row>
    <row r="822" spans="1:35">
      <c r="A822" s="109"/>
      <c r="B822" s="263"/>
      <c r="C822" s="263"/>
      <c r="D822" s="263"/>
      <c r="E822" s="109"/>
      <c r="F822" s="109"/>
      <c r="G822" s="48"/>
      <c r="H822" s="264"/>
      <c r="I822" s="265"/>
      <c r="J822" s="265"/>
      <c r="K822" s="264"/>
      <c r="L822" s="265"/>
      <c r="M822" s="264"/>
      <c r="N822" s="264"/>
      <c r="O822" s="264"/>
      <c r="P822" s="264"/>
      <c r="Q822" s="263"/>
      <c r="R822" s="263"/>
      <c r="S822" s="263"/>
      <c r="T822" s="263"/>
      <c r="U822" s="263"/>
      <c r="V822" s="109"/>
      <c r="W822" s="263"/>
      <c r="X822" s="263"/>
      <c r="Y822" s="263"/>
      <c r="Z822" s="263"/>
      <c r="AA822" s="263"/>
      <c r="AB822" s="109"/>
      <c r="AC822" s="109"/>
      <c r="AD822" s="109"/>
      <c r="AE822" s="109"/>
      <c r="AF822" s="109"/>
      <c r="AG822" s="109"/>
      <c r="AH822" s="109"/>
      <c r="AI822" s="109"/>
    </row>
    <row r="823" spans="1:35">
      <c r="A823" s="109"/>
      <c r="B823" s="263"/>
      <c r="C823" s="263"/>
      <c r="D823" s="263"/>
      <c r="E823" s="109"/>
      <c r="F823" s="109"/>
      <c r="G823" s="48"/>
      <c r="H823" s="264"/>
      <c r="I823" s="265"/>
      <c r="J823" s="265"/>
      <c r="K823" s="264"/>
      <c r="L823" s="265"/>
      <c r="M823" s="264"/>
      <c r="N823" s="264"/>
      <c r="O823" s="264"/>
      <c r="P823" s="264"/>
      <c r="Q823" s="263"/>
      <c r="R823" s="263"/>
      <c r="S823" s="263"/>
      <c r="T823" s="263"/>
      <c r="U823" s="263"/>
      <c r="V823" s="109"/>
      <c r="W823" s="263"/>
      <c r="X823" s="263"/>
      <c r="Y823" s="263"/>
      <c r="Z823" s="263"/>
      <c r="AA823" s="263"/>
      <c r="AB823" s="109"/>
      <c r="AC823" s="109"/>
      <c r="AD823" s="109"/>
      <c r="AE823" s="109"/>
      <c r="AF823" s="109"/>
      <c r="AG823" s="109"/>
      <c r="AH823" s="109"/>
      <c r="AI823" s="109"/>
    </row>
    <row r="824" spans="1:35">
      <c r="A824" s="109"/>
      <c r="B824" s="263"/>
      <c r="C824" s="263"/>
      <c r="D824" s="263"/>
      <c r="E824" s="109"/>
      <c r="F824" s="109"/>
      <c r="G824" s="48"/>
      <c r="H824" s="264"/>
      <c r="I824" s="265"/>
      <c r="J824" s="265"/>
      <c r="K824" s="264"/>
      <c r="L824" s="265"/>
      <c r="M824" s="264"/>
      <c r="N824" s="264"/>
      <c r="O824" s="264"/>
      <c r="P824" s="264"/>
      <c r="Q824" s="263"/>
      <c r="R824" s="263"/>
      <c r="S824" s="263"/>
      <c r="T824" s="263"/>
      <c r="U824" s="263"/>
      <c r="V824" s="109"/>
      <c r="W824" s="263"/>
      <c r="X824" s="263"/>
      <c r="Y824" s="263"/>
      <c r="Z824" s="263"/>
      <c r="AA824" s="263"/>
      <c r="AB824" s="109"/>
      <c r="AC824" s="109"/>
      <c r="AD824" s="109"/>
      <c r="AE824" s="109"/>
      <c r="AF824" s="109"/>
      <c r="AG824" s="109"/>
      <c r="AH824" s="109"/>
      <c r="AI824" s="109"/>
    </row>
    <row r="825" spans="1:35">
      <c r="A825" s="109"/>
      <c r="B825" s="263"/>
      <c r="C825" s="263"/>
      <c r="D825" s="263"/>
      <c r="E825" s="109"/>
      <c r="F825" s="109"/>
      <c r="G825" s="48"/>
      <c r="H825" s="264"/>
      <c r="I825" s="265"/>
      <c r="J825" s="265"/>
      <c r="K825" s="264"/>
      <c r="L825" s="265"/>
      <c r="M825" s="264"/>
      <c r="N825" s="264"/>
      <c r="O825" s="264"/>
      <c r="P825" s="264"/>
      <c r="Q825" s="263"/>
      <c r="R825" s="263"/>
      <c r="S825" s="263"/>
      <c r="T825" s="263"/>
      <c r="U825" s="263"/>
      <c r="V825" s="109"/>
      <c r="W825" s="263"/>
      <c r="X825" s="263"/>
      <c r="Y825" s="263"/>
      <c r="Z825" s="263"/>
      <c r="AA825" s="263"/>
      <c r="AB825" s="109"/>
      <c r="AC825" s="109"/>
      <c r="AD825" s="109"/>
      <c r="AE825" s="109"/>
      <c r="AF825" s="109"/>
      <c r="AG825" s="109"/>
      <c r="AH825" s="109"/>
      <c r="AI825" s="109"/>
    </row>
    <row r="826" spans="1:35">
      <c r="A826" s="109"/>
      <c r="B826" s="263"/>
      <c r="C826" s="263"/>
      <c r="D826" s="263"/>
      <c r="E826" s="109"/>
      <c r="F826" s="109"/>
      <c r="G826" s="48"/>
      <c r="H826" s="264"/>
      <c r="I826" s="265"/>
      <c r="J826" s="265"/>
      <c r="K826" s="264"/>
      <c r="L826" s="265"/>
      <c r="M826" s="264"/>
      <c r="N826" s="264"/>
      <c r="O826" s="264"/>
      <c r="P826" s="264"/>
      <c r="Q826" s="263"/>
      <c r="R826" s="263"/>
      <c r="S826" s="263"/>
      <c r="T826" s="263"/>
      <c r="U826" s="263"/>
      <c r="V826" s="109"/>
      <c r="W826" s="263"/>
      <c r="X826" s="263"/>
      <c r="Y826" s="263"/>
      <c r="Z826" s="263"/>
      <c r="AA826" s="263"/>
      <c r="AB826" s="109"/>
      <c r="AC826" s="109"/>
      <c r="AD826" s="109"/>
      <c r="AE826" s="109"/>
      <c r="AF826" s="109"/>
      <c r="AG826" s="109"/>
      <c r="AH826" s="109"/>
      <c r="AI826" s="109"/>
    </row>
    <row r="827" spans="1:35">
      <c r="A827" s="109"/>
      <c r="B827" s="263"/>
      <c r="C827" s="263"/>
      <c r="D827" s="263"/>
      <c r="E827" s="109"/>
      <c r="F827" s="109"/>
      <c r="G827" s="48"/>
      <c r="H827" s="264"/>
      <c r="I827" s="265"/>
      <c r="J827" s="265"/>
      <c r="K827" s="264"/>
      <c r="L827" s="265"/>
      <c r="M827" s="264"/>
      <c r="N827" s="264"/>
      <c r="O827" s="264"/>
      <c r="P827" s="264"/>
      <c r="Q827" s="263"/>
      <c r="R827" s="263"/>
      <c r="S827" s="263"/>
      <c r="T827" s="263"/>
      <c r="U827" s="263"/>
      <c r="V827" s="109"/>
      <c r="W827" s="263"/>
      <c r="X827" s="263"/>
      <c r="Y827" s="263"/>
      <c r="Z827" s="263"/>
      <c r="AA827" s="263"/>
      <c r="AB827" s="109"/>
      <c r="AC827" s="109"/>
      <c r="AD827" s="109"/>
      <c r="AE827" s="109"/>
      <c r="AF827" s="109"/>
      <c r="AG827" s="109"/>
      <c r="AH827" s="109"/>
      <c r="AI827" s="109"/>
    </row>
    <row r="828" spans="1:35">
      <c r="A828" s="109"/>
      <c r="B828" s="263"/>
      <c r="C828" s="263"/>
      <c r="D828" s="263"/>
      <c r="E828" s="109"/>
      <c r="F828" s="109"/>
      <c r="G828" s="48"/>
      <c r="H828" s="264"/>
      <c r="I828" s="265"/>
      <c r="J828" s="265"/>
      <c r="K828" s="264"/>
      <c r="L828" s="265"/>
      <c r="M828" s="264"/>
      <c r="N828" s="264"/>
      <c r="O828" s="264"/>
      <c r="P828" s="264"/>
      <c r="Q828" s="263"/>
      <c r="R828" s="263"/>
      <c r="S828" s="263"/>
      <c r="T828" s="263"/>
      <c r="U828" s="263"/>
      <c r="V828" s="109"/>
      <c r="W828" s="263"/>
      <c r="X828" s="263"/>
      <c r="Y828" s="263"/>
      <c r="Z828" s="263"/>
      <c r="AA828" s="263"/>
      <c r="AB828" s="109"/>
      <c r="AC828" s="109"/>
      <c r="AD828" s="109"/>
      <c r="AE828" s="109"/>
      <c r="AF828" s="109"/>
      <c r="AG828" s="109"/>
      <c r="AH828" s="109"/>
      <c r="AI828" s="109"/>
    </row>
    <row r="829" spans="1:35">
      <c r="A829" s="109"/>
      <c r="B829" s="263"/>
      <c r="C829" s="263"/>
      <c r="D829" s="263"/>
      <c r="E829" s="109"/>
      <c r="F829" s="109"/>
      <c r="G829" s="48"/>
      <c r="H829" s="264"/>
      <c r="I829" s="265"/>
      <c r="J829" s="265"/>
      <c r="K829" s="264"/>
      <c r="L829" s="265"/>
      <c r="M829" s="264"/>
      <c r="N829" s="264"/>
      <c r="O829" s="264"/>
      <c r="P829" s="264"/>
      <c r="Q829" s="263"/>
      <c r="R829" s="263"/>
      <c r="S829" s="263"/>
      <c r="T829" s="263"/>
      <c r="U829" s="263"/>
      <c r="V829" s="109"/>
      <c r="W829" s="263"/>
      <c r="X829" s="263"/>
      <c r="Y829" s="263"/>
      <c r="Z829" s="263"/>
      <c r="AA829" s="263"/>
      <c r="AB829" s="109"/>
      <c r="AC829" s="109"/>
      <c r="AD829" s="109"/>
      <c r="AE829" s="109"/>
      <c r="AF829" s="109"/>
      <c r="AG829" s="109"/>
      <c r="AH829" s="109"/>
      <c r="AI829" s="109"/>
    </row>
    <row r="830" spans="1:35">
      <c r="A830" s="109"/>
      <c r="B830" s="263"/>
      <c r="C830" s="263"/>
      <c r="D830" s="263"/>
      <c r="E830" s="109"/>
      <c r="F830" s="109"/>
      <c r="G830" s="48"/>
      <c r="H830" s="264"/>
      <c r="I830" s="265"/>
      <c r="J830" s="265"/>
      <c r="K830" s="264"/>
      <c r="L830" s="265"/>
      <c r="M830" s="264"/>
      <c r="N830" s="264"/>
      <c r="O830" s="264"/>
      <c r="P830" s="264"/>
      <c r="Q830" s="263"/>
      <c r="R830" s="263"/>
      <c r="S830" s="263"/>
      <c r="T830" s="263"/>
      <c r="U830" s="263"/>
      <c r="V830" s="109"/>
      <c r="W830" s="263"/>
      <c r="X830" s="263"/>
      <c r="Y830" s="263"/>
      <c r="Z830" s="263"/>
      <c r="AA830" s="263"/>
      <c r="AB830" s="109"/>
      <c r="AC830" s="109"/>
      <c r="AD830" s="109"/>
      <c r="AE830" s="109"/>
      <c r="AF830" s="109"/>
      <c r="AG830" s="109"/>
      <c r="AH830" s="109"/>
      <c r="AI830" s="109"/>
    </row>
    <row r="831" spans="1:35">
      <c r="A831" s="109"/>
      <c r="B831" s="263"/>
      <c r="C831" s="263"/>
      <c r="D831" s="263"/>
      <c r="E831" s="109"/>
      <c r="F831" s="109"/>
      <c r="G831" s="48"/>
      <c r="H831" s="264"/>
      <c r="I831" s="265"/>
      <c r="J831" s="265"/>
      <c r="K831" s="264"/>
      <c r="L831" s="265"/>
      <c r="M831" s="264"/>
      <c r="N831" s="264"/>
      <c r="O831" s="264"/>
      <c r="P831" s="264"/>
      <c r="Q831" s="263"/>
      <c r="R831" s="263"/>
      <c r="S831" s="263"/>
      <c r="T831" s="263"/>
      <c r="U831" s="263"/>
      <c r="V831" s="109"/>
      <c r="W831" s="263"/>
      <c r="X831" s="263"/>
      <c r="Y831" s="263"/>
      <c r="Z831" s="263"/>
      <c r="AA831" s="263"/>
      <c r="AB831" s="109"/>
      <c r="AC831" s="109"/>
      <c r="AD831" s="109"/>
      <c r="AE831" s="109"/>
      <c r="AF831" s="109"/>
      <c r="AG831" s="109"/>
      <c r="AH831" s="109"/>
      <c r="AI831" s="109"/>
    </row>
    <row r="832" spans="1:35">
      <c r="A832" s="109"/>
      <c r="B832" s="263"/>
      <c r="C832" s="263"/>
      <c r="D832" s="263"/>
      <c r="E832" s="109"/>
      <c r="F832" s="109"/>
      <c r="G832" s="48"/>
      <c r="H832" s="264"/>
      <c r="I832" s="265"/>
      <c r="J832" s="265"/>
      <c r="K832" s="264"/>
      <c r="L832" s="265"/>
      <c r="M832" s="264"/>
      <c r="N832" s="264"/>
      <c r="O832" s="264"/>
      <c r="P832" s="264"/>
      <c r="Q832" s="263"/>
      <c r="R832" s="263"/>
      <c r="S832" s="263"/>
      <c r="T832" s="263"/>
      <c r="U832" s="263"/>
      <c r="V832" s="109"/>
      <c r="W832" s="263"/>
      <c r="X832" s="263"/>
      <c r="Y832" s="263"/>
      <c r="Z832" s="263"/>
      <c r="AA832" s="263"/>
      <c r="AB832" s="109"/>
      <c r="AC832" s="109"/>
      <c r="AD832" s="109"/>
      <c r="AE832" s="109"/>
      <c r="AF832" s="109"/>
      <c r="AG832" s="109"/>
      <c r="AH832" s="109"/>
      <c r="AI832" s="109"/>
    </row>
    <row r="833" spans="1:35">
      <c r="A833" s="109"/>
      <c r="B833" s="263"/>
      <c r="C833" s="263"/>
      <c r="D833" s="263"/>
      <c r="E833" s="109"/>
      <c r="F833" s="109"/>
      <c r="G833" s="48"/>
      <c r="H833" s="264"/>
      <c r="I833" s="265"/>
      <c r="J833" s="265"/>
      <c r="K833" s="264"/>
      <c r="L833" s="265"/>
      <c r="M833" s="264"/>
      <c r="N833" s="264"/>
      <c r="O833" s="264"/>
      <c r="P833" s="264"/>
      <c r="Q833" s="263"/>
      <c r="R833" s="263"/>
      <c r="S833" s="263"/>
      <c r="T833" s="263"/>
      <c r="U833" s="263"/>
      <c r="V833" s="109"/>
      <c r="W833" s="263"/>
      <c r="X833" s="263"/>
      <c r="Y833" s="263"/>
      <c r="Z833" s="263"/>
      <c r="AA833" s="263"/>
      <c r="AB833" s="109"/>
      <c r="AC833" s="109"/>
      <c r="AD833" s="109"/>
      <c r="AE833" s="109"/>
      <c r="AF833" s="109"/>
      <c r="AG833" s="109"/>
      <c r="AH833" s="109"/>
      <c r="AI833" s="109"/>
    </row>
    <row r="834" spans="1:35">
      <c r="A834" s="109"/>
      <c r="B834" s="263"/>
      <c r="C834" s="263"/>
      <c r="D834" s="263"/>
      <c r="E834" s="109"/>
      <c r="F834" s="109"/>
      <c r="G834" s="48"/>
      <c r="H834" s="264"/>
      <c r="I834" s="265"/>
      <c r="J834" s="265"/>
      <c r="K834" s="264"/>
      <c r="L834" s="265"/>
      <c r="M834" s="264"/>
      <c r="N834" s="264"/>
      <c r="O834" s="264"/>
      <c r="P834" s="264"/>
      <c r="Q834" s="263"/>
      <c r="R834" s="263"/>
      <c r="S834" s="263"/>
      <c r="T834" s="263"/>
      <c r="U834" s="263"/>
      <c r="V834" s="109"/>
      <c r="W834" s="263"/>
      <c r="X834" s="263"/>
      <c r="Y834" s="263"/>
      <c r="Z834" s="263"/>
      <c r="AA834" s="263"/>
      <c r="AB834" s="109"/>
      <c r="AC834" s="109"/>
      <c r="AD834" s="109"/>
      <c r="AE834" s="109"/>
      <c r="AF834" s="109"/>
      <c r="AG834" s="109"/>
      <c r="AH834" s="109"/>
      <c r="AI834" s="109"/>
    </row>
    <row r="835" spans="1:35">
      <c r="A835" s="109"/>
      <c r="B835" s="263"/>
      <c r="C835" s="263"/>
      <c r="D835" s="263"/>
      <c r="E835" s="109"/>
      <c r="F835" s="109"/>
      <c r="G835" s="48"/>
      <c r="H835" s="264"/>
      <c r="I835" s="265"/>
      <c r="J835" s="265"/>
      <c r="K835" s="264"/>
      <c r="L835" s="265"/>
      <c r="M835" s="264"/>
      <c r="N835" s="264"/>
      <c r="O835" s="264"/>
      <c r="P835" s="264"/>
      <c r="Q835" s="263"/>
      <c r="R835" s="263"/>
      <c r="S835" s="263"/>
      <c r="T835" s="263"/>
      <c r="U835" s="263"/>
      <c r="V835" s="109"/>
      <c r="W835" s="263"/>
      <c r="X835" s="263"/>
      <c r="Y835" s="263"/>
      <c r="Z835" s="263"/>
      <c r="AA835" s="263"/>
      <c r="AB835" s="109"/>
      <c r="AC835" s="109"/>
      <c r="AD835" s="109"/>
      <c r="AE835" s="109"/>
      <c r="AF835" s="109"/>
      <c r="AG835" s="109"/>
      <c r="AH835" s="109"/>
      <c r="AI835" s="109"/>
    </row>
    <row r="836" spans="1:35">
      <c r="A836" s="109"/>
      <c r="B836" s="263"/>
      <c r="C836" s="263"/>
      <c r="D836" s="263"/>
      <c r="E836" s="109"/>
      <c r="F836" s="109"/>
      <c r="G836" s="48"/>
      <c r="H836" s="264"/>
      <c r="I836" s="265"/>
      <c r="J836" s="265"/>
      <c r="K836" s="264"/>
      <c r="L836" s="265"/>
      <c r="M836" s="264"/>
      <c r="N836" s="264"/>
      <c r="O836" s="264"/>
      <c r="P836" s="264"/>
      <c r="Q836" s="263"/>
      <c r="R836" s="263"/>
      <c r="S836" s="263"/>
      <c r="T836" s="263"/>
      <c r="U836" s="263"/>
      <c r="V836" s="109"/>
      <c r="W836" s="263"/>
      <c r="X836" s="263"/>
      <c r="Y836" s="263"/>
      <c r="Z836" s="263"/>
      <c r="AA836" s="263"/>
      <c r="AB836" s="109"/>
      <c r="AC836" s="109"/>
      <c r="AD836" s="109"/>
      <c r="AE836" s="109"/>
      <c r="AF836" s="109"/>
      <c r="AG836" s="109"/>
      <c r="AH836" s="109"/>
      <c r="AI836" s="109"/>
    </row>
    <row r="837" spans="1:35">
      <c r="A837" s="109"/>
      <c r="B837" s="263"/>
      <c r="C837" s="263"/>
      <c r="D837" s="263"/>
      <c r="E837" s="109"/>
      <c r="F837" s="109"/>
      <c r="G837" s="48"/>
      <c r="H837" s="264"/>
      <c r="I837" s="265"/>
      <c r="J837" s="265"/>
      <c r="K837" s="264"/>
      <c r="L837" s="265"/>
      <c r="M837" s="264"/>
      <c r="N837" s="264"/>
      <c r="O837" s="264"/>
      <c r="P837" s="264"/>
      <c r="Q837" s="263"/>
      <c r="R837" s="263"/>
      <c r="S837" s="263"/>
      <c r="T837" s="263"/>
      <c r="U837" s="263"/>
      <c r="V837" s="109"/>
      <c r="W837" s="263"/>
      <c r="X837" s="263"/>
      <c r="Y837" s="263"/>
      <c r="Z837" s="263"/>
      <c r="AA837" s="263"/>
      <c r="AB837" s="109"/>
      <c r="AC837" s="109"/>
      <c r="AD837" s="109"/>
      <c r="AE837" s="109"/>
      <c r="AF837" s="109"/>
      <c r="AG837" s="109"/>
      <c r="AH837" s="109"/>
      <c r="AI837" s="109"/>
    </row>
    <row r="838" spans="1:35">
      <c r="A838" s="109"/>
      <c r="B838" s="263"/>
      <c r="C838" s="263"/>
      <c r="D838" s="263"/>
      <c r="E838" s="109"/>
      <c r="F838" s="109"/>
      <c r="G838" s="48"/>
      <c r="H838" s="264"/>
      <c r="I838" s="265"/>
      <c r="J838" s="265"/>
      <c r="K838" s="264"/>
      <c r="L838" s="265"/>
      <c r="M838" s="264"/>
      <c r="N838" s="264"/>
      <c r="O838" s="264"/>
      <c r="P838" s="264"/>
      <c r="Q838" s="263"/>
      <c r="R838" s="263"/>
      <c r="S838" s="263"/>
      <c r="T838" s="263"/>
      <c r="U838" s="263"/>
      <c r="V838" s="109"/>
      <c r="W838" s="263"/>
      <c r="X838" s="263"/>
      <c r="Y838" s="263"/>
      <c r="Z838" s="263"/>
      <c r="AA838" s="263"/>
      <c r="AB838" s="109"/>
      <c r="AC838" s="109"/>
      <c r="AD838" s="109"/>
      <c r="AE838" s="109"/>
      <c r="AF838" s="109"/>
      <c r="AG838" s="109"/>
      <c r="AH838" s="109"/>
      <c r="AI838" s="109"/>
    </row>
    <row r="839" spans="1:35">
      <c r="A839" s="109"/>
      <c r="B839" s="263"/>
      <c r="C839" s="263"/>
      <c r="D839" s="263"/>
      <c r="E839" s="109"/>
      <c r="F839" s="109"/>
      <c r="G839" s="48"/>
      <c r="H839" s="264"/>
      <c r="I839" s="265"/>
      <c r="J839" s="265"/>
      <c r="K839" s="264"/>
      <c r="L839" s="265"/>
      <c r="M839" s="264"/>
      <c r="N839" s="264"/>
      <c r="O839" s="264"/>
      <c r="P839" s="264"/>
      <c r="Q839" s="263"/>
      <c r="R839" s="263"/>
      <c r="S839" s="263"/>
      <c r="T839" s="263"/>
      <c r="U839" s="263"/>
      <c r="V839" s="109"/>
      <c r="W839" s="263"/>
      <c r="X839" s="263"/>
      <c r="Y839" s="263"/>
      <c r="Z839" s="263"/>
      <c r="AA839" s="263"/>
      <c r="AB839" s="109"/>
      <c r="AC839" s="109"/>
      <c r="AD839" s="109"/>
      <c r="AE839" s="109"/>
      <c r="AF839" s="109"/>
      <c r="AG839" s="109"/>
      <c r="AH839" s="109"/>
      <c r="AI839" s="109"/>
    </row>
    <row r="840" spans="1:35">
      <c r="A840" s="109"/>
      <c r="B840" s="263"/>
      <c r="C840" s="263"/>
      <c r="D840" s="263"/>
      <c r="E840" s="109"/>
      <c r="F840" s="109"/>
      <c r="G840" s="48"/>
      <c r="H840" s="264"/>
      <c r="I840" s="265"/>
      <c r="J840" s="265"/>
      <c r="K840" s="264"/>
      <c r="L840" s="265"/>
      <c r="M840" s="264"/>
      <c r="N840" s="264"/>
      <c r="O840" s="264"/>
      <c r="P840" s="264"/>
      <c r="Q840" s="263"/>
      <c r="R840" s="263"/>
      <c r="S840" s="263"/>
      <c r="T840" s="263"/>
      <c r="U840" s="263"/>
      <c r="V840" s="109"/>
      <c r="W840" s="263"/>
      <c r="X840" s="263"/>
      <c r="Y840" s="263"/>
      <c r="Z840" s="263"/>
      <c r="AA840" s="263"/>
      <c r="AB840" s="109"/>
      <c r="AC840" s="109"/>
      <c r="AD840" s="109"/>
      <c r="AE840" s="109"/>
      <c r="AF840" s="109"/>
      <c r="AG840" s="109"/>
      <c r="AH840" s="109"/>
      <c r="AI840" s="109"/>
    </row>
    <row r="841" spans="1:35">
      <c r="A841" s="109"/>
      <c r="B841" s="263"/>
      <c r="C841" s="263"/>
      <c r="D841" s="263"/>
      <c r="E841" s="109"/>
      <c r="F841" s="109"/>
      <c r="G841" s="48"/>
      <c r="H841" s="264"/>
      <c r="I841" s="265"/>
      <c r="J841" s="265"/>
      <c r="K841" s="264"/>
      <c r="L841" s="265"/>
      <c r="M841" s="264"/>
      <c r="N841" s="264"/>
      <c r="O841" s="264"/>
      <c r="P841" s="264"/>
      <c r="Q841" s="263"/>
      <c r="R841" s="263"/>
      <c r="S841" s="263"/>
      <c r="T841" s="263"/>
      <c r="U841" s="263"/>
      <c r="V841" s="109"/>
      <c r="W841" s="263"/>
      <c r="X841" s="263"/>
      <c r="Y841" s="263"/>
      <c r="Z841" s="263"/>
      <c r="AA841" s="263"/>
      <c r="AB841" s="109"/>
      <c r="AC841" s="109"/>
      <c r="AD841" s="109"/>
      <c r="AE841" s="109"/>
      <c r="AF841" s="109"/>
      <c r="AG841" s="109"/>
      <c r="AH841" s="109"/>
      <c r="AI841" s="109"/>
    </row>
    <row r="842" spans="1:35">
      <c r="A842" s="109"/>
      <c r="B842" s="263"/>
      <c r="C842" s="263"/>
      <c r="D842" s="263"/>
      <c r="E842" s="109"/>
      <c r="F842" s="109"/>
      <c r="G842" s="48"/>
      <c r="H842" s="264"/>
      <c r="I842" s="265"/>
      <c r="J842" s="265"/>
      <c r="K842" s="264"/>
      <c r="L842" s="265"/>
      <c r="M842" s="264"/>
      <c r="N842" s="264"/>
      <c r="O842" s="264"/>
      <c r="P842" s="264"/>
      <c r="Q842" s="263"/>
      <c r="R842" s="263"/>
      <c r="S842" s="263"/>
      <c r="T842" s="263"/>
      <c r="U842" s="263"/>
      <c r="V842" s="109"/>
      <c r="W842" s="263"/>
      <c r="X842" s="263"/>
      <c r="Y842" s="263"/>
      <c r="Z842" s="263"/>
      <c r="AA842" s="263"/>
      <c r="AB842" s="109"/>
      <c r="AC842" s="109"/>
      <c r="AD842" s="109"/>
      <c r="AE842" s="109"/>
      <c r="AF842" s="109"/>
      <c r="AG842" s="109"/>
      <c r="AH842" s="109"/>
      <c r="AI842" s="109"/>
    </row>
    <row r="843" spans="1:35">
      <c r="A843" s="109"/>
      <c r="B843" s="263"/>
      <c r="C843" s="263"/>
      <c r="D843" s="263"/>
      <c r="E843" s="109"/>
      <c r="F843" s="109"/>
      <c r="G843" s="48"/>
      <c r="H843" s="264"/>
      <c r="I843" s="265"/>
      <c r="J843" s="265"/>
      <c r="K843" s="264"/>
      <c r="L843" s="265"/>
      <c r="M843" s="264"/>
      <c r="N843" s="264"/>
      <c r="O843" s="264"/>
      <c r="P843" s="264"/>
      <c r="Q843" s="263"/>
      <c r="R843" s="263"/>
      <c r="S843" s="263"/>
      <c r="T843" s="263"/>
      <c r="U843" s="263"/>
      <c r="V843" s="109"/>
      <c r="W843" s="263"/>
      <c r="X843" s="263"/>
      <c r="Y843" s="263"/>
      <c r="Z843" s="263"/>
      <c r="AA843" s="263"/>
      <c r="AB843" s="109"/>
      <c r="AC843" s="109"/>
      <c r="AD843" s="109"/>
      <c r="AE843" s="109"/>
      <c r="AF843" s="109"/>
      <c r="AG843" s="109"/>
      <c r="AH843" s="109"/>
      <c r="AI843" s="109"/>
    </row>
    <row r="844" spans="1:35">
      <c r="A844" s="109"/>
      <c r="B844" s="263"/>
      <c r="C844" s="263"/>
      <c r="D844" s="263"/>
      <c r="E844" s="109"/>
      <c r="F844" s="109"/>
      <c r="G844" s="48"/>
      <c r="H844" s="264"/>
      <c r="I844" s="265"/>
      <c r="J844" s="265"/>
      <c r="K844" s="264"/>
      <c r="L844" s="265"/>
      <c r="M844" s="264"/>
      <c r="N844" s="264"/>
      <c r="O844" s="264"/>
      <c r="P844" s="264"/>
      <c r="Q844" s="263"/>
      <c r="R844" s="263"/>
      <c r="S844" s="263"/>
      <c r="T844" s="263"/>
      <c r="U844" s="263"/>
      <c r="V844" s="109"/>
      <c r="W844" s="263"/>
      <c r="X844" s="263"/>
      <c r="Y844" s="263"/>
      <c r="Z844" s="263"/>
      <c r="AA844" s="263"/>
      <c r="AB844" s="109"/>
      <c r="AC844" s="109"/>
      <c r="AD844" s="109"/>
      <c r="AE844" s="109"/>
      <c r="AF844" s="109"/>
      <c r="AG844" s="109"/>
      <c r="AH844" s="109"/>
      <c r="AI844" s="109"/>
    </row>
    <row r="845" spans="1:35">
      <c r="A845" s="109"/>
      <c r="B845" s="263"/>
      <c r="C845" s="263"/>
      <c r="D845" s="263"/>
      <c r="E845" s="109"/>
      <c r="F845" s="109"/>
      <c r="G845" s="48"/>
      <c r="H845" s="264"/>
      <c r="I845" s="265"/>
      <c r="J845" s="265"/>
      <c r="K845" s="264"/>
      <c r="L845" s="265"/>
      <c r="M845" s="264"/>
      <c r="N845" s="264"/>
      <c r="O845" s="264"/>
      <c r="P845" s="264"/>
      <c r="Q845" s="263"/>
      <c r="R845" s="263"/>
      <c r="S845" s="263"/>
      <c r="T845" s="263"/>
      <c r="U845" s="263"/>
      <c r="V845" s="109"/>
      <c r="W845" s="263"/>
      <c r="X845" s="263"/>
      <c r="Y845" s="263"/>
      <c r="Z845" s="263"/>
      <c r="AA845" s="263"/>
      <c r="AB845" s="109"/>
      <c r="AC845" s="109"/>
      <c r="AD845" s="109"/>
      <c r="AE845" s="109"/>
      <c r="AF845" s="109"/>
      <c r="AG845" s="109"/>
      <c r="AH845" s="109"/>
      <c r="AI845" s="109"/>
    </row>
    <row r="846" spans="1:35">
      <c r="A846" s="109"/>
      <c r="B846" s="263"/>
      <c r="C846" s="263"/>
      <c r="D846" s="263"/>
      <c r="E846" s="109"/>
      <c r="F846" s="109"/>
      <c r="G846" s="48"/>
      <c r="H846" s="264"/>
      <c r="I846" s="265"/>
      <c r="J846" s="265"/>
      <c r="K846" s="264"/>
      <c r="L846" s="265"/>
      <c r="M846" s="264"/>
      <c r="N846" s="264"/>
      <c r="O846" s="264"/>
      <c r="P846" s="264"/>
      <c r="Q846" s="263"/>
      <c r="R846" s="263"/>
      <c r="S846" s="263"/>
      <c r="T846" s="263"/>
      <c r="U846" s="263"/>
      <c r="V846" s="109"/>
      <c r="W846" s="263"/>
      <c r="X846" s="263"/>
      <c r="Y846" s="263"/>
      <c r="Z846" s="263"/>
      <c r="AA846" s="263"/>
      <c r="AB846" s="109"/>
      <c r="AC846" s="109"/>
      <c r="AD846" s="109"/>
      <c r="AE846" s="109"/>
      <c r="AF846" s="109"/>
      <c r="AG846" s="109"/>
      <c r="AH846" s="109"/>
      <c r="AI846" s="109"/>
    </row>
    <row r="847" spans="1:35">
      <c r="A847" s="109"/>
      <c r="B847" s="263"/>
      <c r="C847" s="263"/>
      <c r="D847" s="263"/>
      <c r="E847" s="109"/>
      <c r="F847" s="109"/>
      <c r="G847" s="48"/>
      <c r="H847" s="264"/>
      <c r="I847" s="265"/>
      <c r="J847" s="265"/>
      <c r="K847" s="264"/>
      <c r="L847" s="265"/>
      <c r="M847" s="264"/>
      <c r="N847" s="264"/>
      <c r="O847" s="264"/>
      <c r="P847" s="264"/>
      <c r="Q847" s="263"/>
      <c r="R847" s="263"/>
      <c r="S847" s="263"/>
      <c r="T847" s="263"/>
      <c r="U847" s="263"/>
      <c r="V847" s="109"/>
      <c r="W847" s="263"/>
      <c r="X847" s="263"/>
      <c r="Y847" s="263"/>
      <c r="Z847" s="263"/>
      <c r="AA847" s="263"/>
      <c r="AB847" s="109"/>
      <c r="AC847" s="109"/>
      <c r="AD847" s="109"/>
      <c r="AE847" s="109"/>
      <c r="AF847" s="109"/>
      <c r="AG847" s="109"/>
      <c r="AH847" s="109"/>
      <c r="AI847" s="109"/>
    </row>
    <row r="848" spans="1:35">
      <c r="A848" s="109"/>
      <c r="B848" s="263"/>
      <c r="C848" s="263"/>
      <c r="D848" s="263"/>
      <c r="E848" s="109"/>
      <c r="F848" s="109"/>
      <c r="G848" s="48"/>
      <c r="H848" s="264"/>
      <c r="I848" s="265"/>
      <c r="J848" s="265"/>
      <c r="K848" s="264"/>
      <c r="L848" s="265"/>
      <c r="M848" s="264"/>
      <c r="N848" s="264"/>
      <c r="O848" s="264"/>
      <c r="P848" s="264"/>
      <c r="Q848" s="263"/>
      <c r="R848" s="263"/>
      <c r="S848" s="263"/>
      <c r="T848" s="263"/>
      <c r="U848" s="263"/>
      <c r="V848" s="109"/>
      <c r="W848" s="263"/>
      <c r="X848" s="263"/>
      <c r="Y848" s="263"/>
      <c r="Z848" s="263"/>
      <c r="AA848" s="263"/>
      <c r="AB848" s="109"/>
      <c r="AC848" s="109"/>
      <c r="AD848" s="109"/>
      <c r="AE848" s="109"/>
      <c r="AF848" s="109"/>
      <c r="AG848" s="109"/>
      <c r="AH848" s="109"/>
      <c r="AI848" s="109"/>
    </row>
    <row r="849" spans="1:35">
      <c r="A849" s="109"/>
      <c r="B849" s="263"/>
      <c r="C849" s="263"/>
      <c r="D849" s="263"/>
      <c r="E849" s="109"/>
      <c r="F849" s="109"/>
      <c r="G849" s="48"/>
      <c r="H849" s="264"/>
      <c r="I849" s="265"/>
      <c r="J849" s="265"/>
      <c r="K849" s="264"/>
      <c r="L849" s="265"/>
      <c r="M849" s="264"/>
      <c r="N849" s="264"/>
      <c r="O849" s="264"/>
      <c r="P849" s="264"/>
      <c r="Q849" s="263"/>
      <c r="R849" s="263"/>
      <c r="S849" s="263"/>
      <c r="T849" s="263"/>
      <c r="U849" s="263"/>
      <c r="V849" s="109"/>
      <c r="W849" s="263"/>
      <c r="X849" s="263"/>
      <c r="Y849" s="263"/>
      <c r="Z849" s="263"/>
      <c r="AA849" s="263"/>
      <c r="AB849" s="109"/>
      <c r="AC849" s="109"/>
      <c r="AD849" s="109"/>
      <c r="AE849" s="109"/>
      <c r="AF849" s="109"/>
      <c r="AG849" s="109"/>
      <c r="AH849" s="109"/>
      <c r="AI849" s="109"/>
    </row>
    <row r="850" spans="1:35">
      <c r="A850" s="109"/>
      <c r="B850" s="263"/>
      <c r="C850" s="263"/>
      <c r="D850" s="263"/>
      <c r="E850" s="109"/>
      <c r="F850" s="109"/>
      <c r="G850" s="48"/>
      <c r="H850" s="264"/>
      <c r="I850" s="265"/>
      <c r="J850" s="265"/>
      <c r="K850" s="264"/>
      <c r="L850" s="265"/>
      <c r="M850" s="264"/>
      <c r="N850" s="264"/>
      <c r="O850" s="264"/>
      <c r="P850" s="264"/>
      <c r="Q850" s="263"/>
      <c r="R850" s="263"/>
      <c r="S850" s="263"/>
      <c r="T850" s="263"/>
      <c r="U850" s="263"/>
      <c r="V850" s="109"/>
      <c r="W850" s="263"/>
      <c r="X850" s="263"/>
      <c r="Y850" s="263"/>
      <c r="Z850" s="263"/>
      <c r="AA850" s="263"/>
      <c r="AB850" s="109"/>
      <c r="AC850" s="109"/>
      <c r="AD850" s="109"/>
      <c r="AE850" s="109"/>
      <c r="AF850" s="109"/>
      <c r="AG850" s="109"/>
      <c r="AH850" s="109"/>
      <c r="AI850" s="109"/>
    </row>
    <row r="851" spans="1:35">
      <c r="A851" s="109"/>
      <c r="B851" s="263"/>
      <c r="C851" s="263"/>
      <c r="D851" s="263"/>
      <c r="E851" s="109"/>
      <c r="F851" s="109"/>
      <c r="G851" s="48"/>
      <c r="H851" s="264"/>
      <c r="I851" s="265"/>
      <c r="J851" s="265"/>
      <c r="K851" s="264"/>
      <c r="L851" s="265"/>
      <c r="M851" s="264"/>
      <c r="N851" s="264"/>
      <c r="O851" s="264"/>
      <c r="P851" s="264"/>
      <c r="Q851" s="263"/>
      <c r="R851" s="263"/>
      <c r="S851" s="263"/>
      <c r="T851" s="263"/>
      <c r="U851" s="263"/>
      <c r="V851" s="109"/>
      <c r="W851" s="263"/>
      <c r="X851" s="263"/>
      <c r="Y851" s="263"/>
      <c r="Z851" s="263"/>
      <c r="AA851" s="263"/>
      <c r="AB851" s="109"/>
      <c r="AC851" s="109"/>
      <c r="AD851" s="109"/>
      <c r="AE851" s="109"/>
      <c r="AF851" s="109"/>
      <c r="AG851" s="109"/>
      <c r="AH851" s="109"/>
      <c r="AI851" s="109"/>
    </row>
    <row r="852" spans="1:35">
      <c r="A852" s="109"/>
      <c r="B852" s="263"/>
      <c r="C852" s="263"/>
      <c r="D852" s="263"/>
      <c r="E852" s="109"/>
      <c r="F852" s="109"/>
      <c r="G852" s="48"/>
      <c r="H852" s="264"/>
      <c r="I852" s="265"/>
      <c r="J852" s="265"/>
      <c r="K852" s="264"/>
      <c r="L852" s="265"/>
      <c r="M852" s="264"/>
      <c r="N852" s="264"/>
      <c r="O852" s="264"/>
      <c r="P852" s="264"/>
      <c r="Q852" s="263"/>
      <c r="R852" s="263"/>
      <c r="S852" s="263"/>
      <c r="T852" s="263"/>
      <c r="U852" s="263"/>
      <c r="V852" s="109"/>
      <c r="W852" s="263"/>
      <c r="X852" s="263"/>
      <c r="Y852" s="263"/>
      <c r="Z852" s="263"/>
      <c r="AA852" s="263"/>
      <c r="AB852" s="109"/>
      <c r="AC852" s="109"/>
      <c r="AD852" s="109"/>
      <c r="AE852" s="109"/>
      <c r="AF852" s="109"/>
      <c r="AG852" s="109"/>
      <c r="AH852" s="109"/>
      <c r="AI852" s="109"/>
    </row>
    <row r="853" spans="1:35">
      <c r="A853" s="109"/>
      <c r="B853" s="263"/>
      <c r="C853" s="263"/>
      <c r="D853" s="263"/>
      <c r="E853" s="109"/>
      <c r="F853" s="109"/>
      <c r="G853" s="48"/>
      <c r="H853" s="264"/>
      <c r="I853" s="265"/>
      <c r="J853" s="265"/>
      <c r="K853" s="264"/>
      <c r="L853" s="265"/>
      <c r="M853" s="264"/>
      <c r="N853" s="264"/>
      <c r="O853" s="264"/>
      <c r="P853" s="264"/>
      <c r="Q853" s="263"/>
      <c r="R853" s="263"/>
      <c r="S853" s="263"/>
      <c r="T853" s="263"/>
      <c r="U853" s="263"/>
      <c r="V853" s="109"/>
      <c r="W853" s="263"/>
      <c r="X853" s="263"/>
      <c r="Y853" s="263"/>
      <c r="Z853" s="263"/>
      <c r="AA853" s="263"/>
      <c r="AB853" s="109"/>
      <c r="AC853" s="109"/>
      <c r="AD853" s="109"/>
      <c r="AE853" s="109"/>
      <c r="AF853" s="109"/>
      <c r="AG853" s="109"/>
      <c r="AH853" s="109"/>
      <c r="AI853" s="109"/>
    </row>
    <row r="854" spans="1:35">
      <c r="A854" s="109"/>
      <c r="B854" s="263"/>
      <c r="C854" s="263"/>
      <c r="D854" s="263"/>
      <c r="E854" s="109"/>
      <c r="F854" s="109"/>
      <c r="G854" s="48"/>
      <c r="H854" s="264"/>
      <c r="I854" s="265"/>
      <c r="J854" s="265"/>
      <c r="K854" s="264"/>
      <c r="L854" s="265"/>
      <c r="M854" s="264"/>
      <c r="N854" s="264"/>
      <c r="O854" s="264"/>
      <c r="P854" s="264"/>
      <c r="Q854" s="263"/>
      <c r="R854" s="263"/>
      <c r="S854" s="263"/>
      <c r="T854" s="263"/>
      <c r="U854" s="263"/>
      <c r="V854" s="109"/>
      <c r="W854" s="263"/>
      <c r="X854" s="263"/>
      <c r="Y854" s="263"/>
      <c r="Z854" s="263"/>
      <c r="AA854" s="263"/>
      <c r="AB854" s="109"/>
      <c r="AC854" s="109"/>
      <c r="AD854" s="109"/>
      <c r="AE854" s="109"/>
      <c r="AF854" s="109"/>
      <c r="AG854" s="109"/>
      <c r="AH854" s="109"/>
      <c r="AI854" s="109"/>
    </row>
    <row r="855" spans="1:35">
      <c r="A855" s="109"/>
      <c r="B855" s="263"/>
      <c r="C855" s="263"/>
      <c r="D855" s="263"/>
      <c r="E855" s="109"/>
      <c r="F855" s="109"/>
      <c r="G855" s="48"/>
      <c r="H855" s="264"/>
      <c r="I855" s="265"/>
      <c r="J855" s="265"/>
      <c r="K855" s="264"/>
      <c r="L855" s="265"/>
      <c r="M855" s="264"/>
      <c r="N855" s="264"/>
      <c r="O855" s="264"/>
      <c r="P855" s="264"/>
      <c r="Q855" s="263"/>
      <c r="R855" s="263"/>
      <c r="S855" s="263"/>
      <c r="T855" s="263"/>
      <c r="U855" s="263"/>
      <c r="V855" s="109"/>
      <c r="W855" s="263"/>
      <c r="X855" s="263"/>
      <c r="Y855" s="263"/>
      <c r="Z855" s="263"/>
      <c r="AA855" s="263"/>
      <c r="AB855" s="109"/>
      <c r="AC855" s="109"/>
      <c r="AD855" s="109"/>
      <c r="AE855" s="109"/>
      <c r="AF855" s="109"/>
      <c r="AG855" s="109"/>
      <c r="AH855" s="109"/>
      <c r="AI855" s="109"/>
    </row>
    <row r="856" spans="1:35">
      <c r="A856" s="109"/>
      <c r="B856" s="263"/>
      <c r="C856" s="263"/>
      <c r="D856" s="263"/>
      <c r="E856" s="109"/>
      <c r="F856" s="109"/>
      <c r="G856" s="48"/>
      <c r="H856" s="264"/>
      <c r="I856" s="265"/>
      <c r="J856" s="265"/>
      <c r="K856" s="264"/>
      <c r="L856" s="265"/>
      <c r="M856" s="264"/>
      <c r="N856" s="264"/>
      <c r="O856" s="264"/>
      <c r="P856" s="264"/>
      <c r="Q856" s="263"/>
      <c r="R856" s="263"/>
      <c r="S856" s="263"/>
      <c r="T856" s="263"/>
      <c r="U856" s="263"/>
      <c r="V856" s="109"/>
      <c r="W856" s="263"/>
      <c r="X856" s="263"/>
      <c r="Y856" s="263"/>
      <c r="Z856" s="263"/>
      <c r="AA856" s="263"/>
      <c r="AB856" s="109"/>
      <c r="AC856" s="109"/>
      <c r="AD856" s="109"/>
      <c r="AE856" s="109"/>
      <c r="AF856" s="109"/>
      <c r="AG856" s="109"/>
      <c r="AH856" s="109"/>
      <c r="AI856" s="109"/>
    </row>
    <row r="857" spans="1:35">
      <c r="A857" s="109"/>
      <c r="B857" s="263"/>
      <c r="C857" s="263"/>
      <c r="D857" s="263"/>
      <c r="E857" s="109"/>
      <c r="F857" s="109"/>
      <c r="G857" s="48"/>
      <c r="H857" s="264"/>
      <c r="I857" s="265"/>
      <c r="J857" s="265"/>
      <c r="K857" s="264"/>
      <c r="L857" s="265"/>
      <c r="M857" s="264"/>
      <c r="N857" s="264"/>
      <c r="O857" s="264"/>
      <c r="P857" s="264"/>
      <c r="Q857" s="263"/>
      <c r="R857" s="263"/>
      <c r="S857" s="263"/>
      <c r="T857" s="263"/>
      <c r="U857" s="263"/>
      <c r="V857" s="109"/>
      <c r="W857" s="263"/>
      <c r="X857" s="263"/>
      <c r="Y857" s="263"/>
      <c r="Z857" s="263"/>
      <c r="AA857" s="263"/>
      <c r="AB857" s="109"/>
      <c r="AC857" s="109"/>
      <c r="AD857" s="109"/>
      <c r="AE857" s="109"/>
      <c r="AF857" s="109"/>
      <c r="AG857" s="109"/>
      <c r="AH857" s="109"/>
      <c r="AI857" s="109"/>
    </row>
    <row r="858" spans="1:35">
      <c r="A858" s="109"/>
      <c r="B858" s="263"/>
      <c r="C858" s="263"/>
      <c r="D858" s="263"/>
      <c r="E858" s="109"/>
      <c r="F858" s="109"/>
      <c r="G858" s="48"/>
      <c r="H858" s="264"/>
      <c r="I858" s="265"/>
      <c r="J858" s="265"/>
      <c r="K858" s="264"/>
      <c r="L858" s="265"/>
      <c r="M858" s="264"/>
      <c r="N858" s="264"/>
      <c r="O858" s="264"/>
      <c r="P858" s="264"/>
      <c r="Q858" s="263"/>
      <c r="R858" s="263"/>
      <c r="S858" s="263"/>
      <c r="T858" s="263"/>
      <c r="U858" s="263"/>
      <c r="V858" s="109"/>
      <c r="W858" s="263"/>
      <c r="X858" s="263"/>
      <c r="Y858" s="263"/>
      <c r="Z858" s="263"/>
      <c r="AA858" s="263"/>
      <c r="AB858" s="109"/>
      <c r="AC858" s="109"/>
      <c r="AD858" s="109"/>
      <c r="AE858" s="109"/>
      <c r="AF858" s="109"/>
      <c r="AG858" s="109"/>
      <c r="AH858" s="109"/>
      <c r="AI858" s="109"/>
    </row>
    <row r="859" spans="1:35">
      <c r="A859" s="109"/>
      <c r="B859" s="263"/>
      <c r="C859" s="263"/>
      <c r="D859" s="263"/>
      <c r="E859" s="109"/>
      <c r="F859" s="109"/>
      <c r="G859" s="48"/>
      <c r="H859" s="264"/>
      <c r="I859" s="265"/>
      <c r="J859" s="265"/>
      <c r="K859" s="264"/>
      <c r="L859" s="265"/>
      <c r="M859" s="264"/>
      <c r="N859" s="264"/>
      <c r="O859" s="264"/>
      <c r="P859" s="264"/>
      <c r="Q859" s="263"/>
      <c r="R859" s="263"/>
      <c r="S859" s="263"/>
      <c r="T859" s="263"/>
      <c r="U859" s="263"/>
      <c r="V859" s="109"/>
      <c r="W859" s="263"/>
      <c r="X859" s="263"/>
      <c r="Y859" s="263"/>
      <c r="Z859" s="263"/>
      <c r="AA859" s="263"/>
      <c r="AB859" s="109"/>
      <c r="AC859" s="109"/>
      <c r="AD859" s="109"/>
      <c r="AE859" s="109"/>
      <c r="AF859" s="109"/>
      <c r="AG859" s="109"/>
      <c r="AH859" s="109"/>
      <c r="AI859" s="109"/>
    </row>
    <row r="860" spans="1:35">
      <c r="A860" s="109"/>
      <c r="B860" s="263"/>
      <c r="C860" s="263"/>
      <c r="D860" s="263"/>
      <c r="E860" s="109"/>
      <c r="F860" s="109"/>
      <c r="G860" s="48"/>
      <c r="H860" s="264"/>
      <c r="I860" s="265"/>
      <c r="J860" s="265"/>
      <c r="K860" s="264"/>
      <c r="L860" s="265"/>
      <c r="M860" s="264"/>
      <c r="N860" s="264"/>
      <c r="O860" s="264"/>
      <c r="P860" s="264"/>
      <c r="Q860" s="263"/>
      <c r="R860" s="263"/>
      <c r="S860" s="263"/>
      <c r="T860" s="263"/>
      <c r="U860" s="263"/>
      <c r="V860" s="109"/>
      <c r="W860" s="263"/>
      <c r="X860" s="263"/>
      <c r="Y860" s="263"/>
      <c r="Z860" s="263"/>
      <c r="AA860" s="263"/>
      <c r="AB860" s="109"/>
      <c r="AC860" s="109"/>
      <c r="AD860" s="109"/>
      <c r="AE860" s="109"/>
      <c r="AF860" s="109"/>
      <c r="AG860" s="109"/>
      <c r="AH860" s="109"/>
      <c r="AI860" s="109"/>
    </row>
    <row r="861" spans="1:35">
      <c r="A861" s="109"/>
      <c r="B861" s="263"/>
      <c r="C861" s="263"/>
      <c r="D861" s="263"/>
      <c r="E861" s="109"/>
      <c r="F861" s="109"/>
      <c r="G861" s="48"/>
      <c r="H861" s="264"/>
      <c r="I861" s="265"/>
      <c r="J861" s="265"/>
      <c r="K861" s="264"/>
      <c r="L861" s="265"/>
      <c r="M861" s="264"/>
      <c r="N861" s="264"/>
      <c r="O861" s="264"/>
      <c r="P861" s="264"/>
      <c r="Q861" s="263"/>
      <c r="R861" s="263"/>
      <c r="S861" s="263"/>
      <c r="T861" s="263"/>
      <c r="U861" s="263"/>
      <c r="V861" s="109"/>
      <c r="W861" s="263"/>
      <c r="X861" s="263"/>
      <c r="Y861" s="263"/>
      <c r="Z861" s="263"/>
      <c r="AA861" s="263"/>
      <c r="AB861" s="109"/>
      <c r="AC861" s="109"/>
      <c r="AD861" s="109"/>
      <c r="AE861" s="109"/>
      <c r="AF861" s="109"/>
      <c r="AG861" s="109"/>
      <c r="AH861" s="109"/>
      <c r="AI861" s="109"/>
    </row>
    <row r="862" spans="1:35">
      <c r="A862" s="109"/>
      <c r="B862" s="263"/>
      <c r="C862" s="263"/>
      <c r="D862" s="263"/>
      <c r="E862" s="109"/>
      <c r="F862" s="109"/>
      <c r="G862" s="48"/>
      <c r="H862" s="264"/>
      <c r="I862" s="265"/>
      <c r="J862" s="265"/>
      <c r="K862" s="264"/>
      <c r="L862" s="265"/>
      <c r="M862" s="264"/>
      <c r="N862" s="264"/>
      <c r="O862" s="264"/>
      <c r="P862" s="264"/>
      <c r="Q862" s="263"/>
      <c r="R862" s="263"/>
      <c r="S862" s="263"/>
      <c r="T862" s="263"/>
      <c r="U862" s="263"/>
      <c r="V862" s="109"/>
      <c r="W862" s="263"/>
      <c r="X862" s="263"/>
      <c r="Y862" s="263"/>
      <c r="Z862" s="263"/>
      <c r="AA862" s="263"/>
      <c r="AB862" s="109"/>
      <c r="AC862" s="109"/>
      <c r="AD862" s="109"/>
      <c r="AE862" s="109"/>
      <c r="AF862" s="109"/>
      <c r="AG862" s="109"/>
      <c r="AH862" s="109"/>
      <c r="AI862" s="109"/>
    </row>
    <row r="863" spans="1:35">
      <c r="A863" s="109"/>
      <c r="B863" s="263"/>
      <c r="C863" s="263"/>
      <c r="D863" s="263"/>
      <c r="E863" s="109"/>
      <c r="F863" s="109"/>
      <c r="G863" s="48"/>
      <c r="H863" s="264"/>
      <c r="I863" s="265"/>
      <c r="J863" s="265"/>
      <c r="K863" s="264"/>
      <c r="L863" s="265"/>
      <c r="M863" s="264"/>
      <c r="N863" s="264"/>
      <c r="O863" s="264"/>
      <c r="P863" s="264"/>
      <c r="Q863" s="263"/>
      <c r="R863" s="263"/>
      <c r="S863" s="263"/>
      <c r="T863" s="263"/>
      <c r="U863" s="263"/>
      <c r="V863" s="109"/>
      <c r="W863" s="263"/>
      <c r="X863" s="263"/>
      <c r="Y863" s="263"/>
      <c r="Z863" s="263"/>
      <c r="AA863" s="263"/>
      <c r="AB863" s="109"/>
      <c r="AC863" s="109"/>
      <c r="AD863" s="109"/>
      <c r="AE863" s="109"/>
      <c r="AF863" s="109"/>
      <c r="AG863" s="109"/>
      <c r="AH863" s="109"/>
      <c r="AI863" s="109"/>
    </row>
    <row r="864" spans="1:35">
      <c r="A864" s="109"/>
      <c r="B864" s="263"/>
      <c r="C864" s="263"/>
      <c r="D864" s="263"/>
      <c r="E864" s="109"/>
      <c r="F864" s="109"/>
      <c r="G864" s="48"/>
      <c r="H864" s="264"/>
      <c r="I864" s="265"/>
      <c r="J864" s="265"/>
      <c r="K864" s="264"/>
      <c r="L864" s="265"/>
      <c r="M864" s="264"/>
      <c r="N864" s="264"/>
      <c r="O864" s="264"/>
      <c r="P864" s="264"/>
      <c r="Q864" s="263"/>
      <c r="R864" s="263"/>
      <c r="S864" s="263"/>
      <c r="T864" s="263"/>
      <c r="U864" s="263"/>
      <c r="V864" s="109"/>
      <c r="W864" s="263"/>
      <c r="X864" s="263"/>
      <c r="Y864" s="263"/>
      <c r="Z864" s="263"/>
      <c r="AA864" s="263"/>
      <c r="AB864" s="109"/>
      <c r="AC864" s="109"/>
      <c r="AD864" s="109"/>
      <c r="AE864" s="109"/>
      <c r="AF864" s="109"/>
      <c r="AG864" s="109"/>
      <c r="AH864" s="109"/>
      <c r="AI864" s="109"/>
    </row>
    <row r="865" spans="1:35">
      <c r="A865" s="109"/>
      <c r="B865" s="263"/>
      <c r="C865" s="263"/>
      <c r="D865" s="263"/>
      <c r="E865" s="109"/>
      <c r="F865" s="109"/>
      <c r="G865" s="48"/>
      <c r="H865" s="264"/>
      <c r="I865" s="265"/>
      <c r="J865" s="265"/>
      <c r="K865" s="264"/>
      <c r="L865" s="265"/>
      <c r="M865" s="264"/>
      <c r="N865" s="264"/>
      <c r="O865" s="264"/>
      <c r="P865" s="264"/>
      <c r="Q865" s="263"/>
      <c r="R865" s="263"/>
      <c r="S865" s="263"/>
      <c r="T865" s="263"/>
      <c r="U865" s="263"/>
      <c r="V865" s="109"/>
      <c r="W865" s="263"/>
      <c r="X865" s="263"/>
      <c r="Y865" s="263"/>
      <c r="Z865" s="263"/>
      <c r="AA865" s="263"/>
      <c r="AB865" s="109"/>
      <c r="AC865" s="109"/>
      <c r="AD865" s="109"/>
      <c r="AE865" s="109"/>
      <c r="AF865" s="109"/>
      <c r="AG865" s="109"/>
      <c r="AH865" s="109"/>
      <c r="AI865" s="109"/>
    </row>
    <row r="866" spans="1:35">
      <c r="A866" s="109"/>
      <c r="B866" s="263"/>
      <c r="C866" s="263"/>
      <c r="D866" s="263"/>
      <c r="E866" s="109"/>
      <c r="F866" s="109"/>
      <c r="G866" s="48"/>
      <c r="H866" s="264"/>
      <c r="I866" s="265"/>
      <c r="J866" s="265"/>
      <c r="K866" s="264"/>
      <c r="L866" s="265"/>
      <c r="M866" s="264"/>
      <c r="N866" s="264"/>
      <c r="O866" s="264"/>
      <c r="P866" s="264"/>
      <c r="Q866" s="263"/>
      <c r="R866" s="263"/>
      <c r="S866" s="263"/>
      <c r="T866" s="263"/>
      <c r="U866" s="263"/>
      <c r="V866" s="109"/>
      <c r="W866" s="263"/>
      <c r="X866" s="263"/>
      <c r="Y866" s="263"/>
      <c r="Z866" s="263"/>
      <c r="AA866" s="263"/>
      <c r="AB866" s="109"/>
      <c r="AC866" s="109"/>
      <c r="AD866" s="109"/>
      <c r="AE866" s="109"/>
      <c r="AF866" s="109"/>
      <c r="AG866" s="109"/>
      <c r="AH866" s="109"/>
      <c r="AI866" s="109"/>
    </row>
    <row r="867" spans="1:35">
      <c r="A867" s="109"/>
      <c r="B867" s="263"/>
      <c r="C867" s="263"/>
      <c r="D867" s="263"/>
      <c r="E867" s="109"/>
      <c r="F867" s="109"/>
      <c r="G867" s="48"/>
      <c r="H867" s="264"/>
      <c r="I867" s="265"/>
      <c r="J867" s="265"/>
      <c r="K867" s="264"/>
      <c r="L867" s="265"/>
      <c r="M867" s="264"/>
      <c r="N867" s="264"/>
      <c r="O867" s="264"/>
      <c r="P867" s="264"/>
      <c r="Q867" s="263"/>
      <c r="R867" s="263"/>
      <c r="S867" s="263"/>
      <c r="T867" s="263"/>
      <c r="U867" s="263"/>
      <c r="V867" s="109"/>
      <c r="W867" s="263"/>
      <c r="X867" s="263"/>
      <c r="Y867" s="263"/>
      <c r="Z867" s="263"/>
      <c r="AA867" s="263"/>
      <c r="AB867" s="109"/>
      <c r="AC867" s="109"/>
      <c r="AD867" s="109"/>
      <c r="AE867" s="109"/>
      <c r="AF867" s="109"/>
      <c r="AG867" s="109"/>
      <c r="AH867" s="109"/>
      <c r="AI867" s="109"/>
    </row>
    <row r="868" spans="1:35">
      <c r="A868" s="109"/>
      <c r="B868" s="263"/>
      <c r="C868" s="263"/>
      <c r="D868" s="263"/>
      <c r="E868" s="109"/>
      <c r="F868" s="109"/>
      <c r="G868" s="48"/>
      <c r="H868" s="264"/>
      <c r="I868" s="265"/>
      <c r="J868" s="265"/>
      <c r="K868" s="264"/>
      <c r="L868" s="265"/>
      <c r="M868" s="264"/>
      <c r="N868" s="264"/>
      <c r="O868" s="264"/>
      <c r="P868" s="264"/>
      <c r="Q868" s="263"/>
      <c r="R868" s="263"/>
      <c r="S868" s="263"/>
      <c r="T868" s="263"/>
      <c r="U868" s="263"/>
      <c r="V868" s="109"/>
      <c r="W868" s="263"/>
      <c r="X868" s="263"/>
      <c r="Y868" s="263"/>
      <c r="Z868" s="263"/>
      <c r="AA868" s="263"/>
      <c r="AB868" s="109"/>
      <c r="AC868" s="109"/>
      <c r="AD868" s="109"/>
      <c r="AE868" s="109"/>
      <c r="AF868" s="109"/>
      <c r="AG868" s="109"/>
      <c r="AH868" s="109"/>
      <c r="AI868" s="109"/>
    </row>
    <row r="869" spans="1:35">
      <c r="A869" s="109"/>
      <c r="B869" s="263"/>
      <c r="C869" s="263"/>
      <c r="D869" s="263"/>
      <c r="E869" s="109"/>
      <c r="F869" s="109"/>
      <c r="G869" s="48"/>
      <c r="H869" s="264"/>
      <c r="I869" s="265"/>
      <c r="J869" s="265"/>
      <c r="K869" s="264"/>
      <c r="L869" s="265"/>
      <c r="M869" s="264"/>
      <c r="N869" s="264"/>
      <c r="O869" s="264"/>
      <c r="P869" s="264"/>
      <c r="Q869" s="263"/>
      <c r="R869" s="263"/>
      <c r="S869" s="263"/>
      <c r="T869" s="263"/>
      <c r="U869" s="263"/>
      <c r="V869" s="109"/>
      <c r="W869" s="263"/>
      <c r="X869" s="263"/>
      <c r="Y869" s="263"/>
      <c r="Z869" s="263"/>
      <c r="AA869" s="263"/>
      <c r="AB869" s="109"/>
      <c r="AC869" s="109"/>
      <c r="AD869" s="109"/>
      <c r="AE869" s="109"/>
      <c r="AF869" s="109"/>
      <c r="AG869" s="109"/>
      <c r="AH869" s="109"/>
      <c r="AI869" s="109"/>
    </row>
    <row r="870" spans="1:35">
      <c r="A870" s="109"/>
      <c r="B870" s="263"/>
      <c r="C870" s="263"/>
      <c r="D870" s="263"/>
      <c r="E870" s="109"/>
      <c r="F870" s="109"/>
      <c r="G870" s="48"/>
      <c r="H870" s="264"/>
      <c r="I870" s="265"/>
      <c r="J870" s="265"/>
      <c r="K870" s="264"/>
      <c r="L870" s="265"/>
      <c r="M870" s="264"/>
      <c r="N870" s="264"/>
      <c r="O870" s="264"/>
      <c r="P870" s="264"/>
      <c r="Q870" s="263"/>
      <c r="R870" s="263"/>
      <c r="S870" s="263"/>
      <c r="T870" s="263"/>
      <c r="U870" s="263"/>
      <c r="V870" s="109"/>
      <c r="W870" s="263"/>
      <c r="X870" s="263"/>
      <c r="Y870" s="263"/>
      <c r="Z870" s="263"/>
      <c r="AA870" s="263"/>
      <c r="AB870" s="109"/>
      <c r="AC870" s="109"/>
      <c r="AD870" s="109"/>
      <c r="AE870" s="109"/>
      <c r="AF870" s="109"/>
      <c r="AG870" s="109"/>
      <c r="AH870" s="109"/>
      <c r="AI870" s="109"/>
    </row>
    <row r="871" spans="1:35">
      <c r="A871" s="109"/>
      <c r="B871" s="263"/>
      <c r="C871" s="263"/>
      <c r="D871" s="263"/>
      <c r="E871" s="109"/>
      <c r="F871" s="109"/>
      <c r="G871" s="48"/>
      <c r="H871" s="264"/>
      <c r="I871" s="265"/>
      <c r="J871" s="265"/>
      <c r="K871" s="264"/>
      <c r="L871" s="265"/>
      <c r="M871" s="264"/>
      <c r="N871" s="264"/>
      <c r="O871" s="264"/>
      <c r="P871" s="264"/>
      <c r="Q871" s="263"/>
      <c r="R871" s="263"/>
      <c r="S871" s="263"/>
      <c r="T871" s="263"/>
      <c r="U871" s="263"/>
      <c r="V871" s="109"/>
      <c r="W871" s="263"/>
      <c r="X871" s="263"/>
      <c r="Y871" s="263"/>
      <c r="Z871" s="263"/>
      <c r="AA871" s="263"/>
      <c r="AB871" s="109"/>
      <c r="AC871" s="109"/>
      <c r="AD871" s="109"/>
      <c r="AE871" s="109"/>
      <c r="AF871" s="109"/>
      <c r="AG871" s="109"/>
      <c r="AH871" s="109"/>
      <c r="AI871" s="109"/>
    </row>
    <row r="872" spans="1:35">
      <c r="A872" s="109"/>
      <c r="B872" s="263"/>
      <c r="C872" s="263"/>
      <c r="D872" s="263"/>
      <c r="E872" s="109"/>
      <c r="F872" s="109"/>
      <c r="G872" s="48"/>
      <c r="H872" s="264"/>
      <c r="I872" s="265"/>
      <c r="J872" s="265"/>
      <c r="K872" s="264"/>
      <c r="L872" s="265"/>
      <c r="M872" s="264"/>
      <c r="N872" s="264"/>
      <c r="O872" s="264"/>
      <c r="P872" s="264"/>
      <c r="Q872" s="263"/>
      <c r="R872" s="263"/>
      <c r="S872" s="263"/>
      <c r="T872" s="263"/>
      <c r="U872" s="263"/>
      <c r="V872" s="109"/>
      <c r="W872" s="263"/>
      <c r="X872" s="263"/>
      <c r="Y872" s="263"/>
      <c r="Z872" s="263"/>
      <c r="AA872" s="263"/>
      <c r="AB872" s="109"/>
      <c r="AC872" s="109"/>
      <c r="AD872" s="109"/>
      <c r="AE872" s="109"/>
      <c r="AF872" s="109"/>
      <c r="AG872" s="109"/>
      <c r="AH872" s="109"/>
      <c r="AI872" s="109"/>
    </row>
    <row r="873" spans="1:35">
      <c r="A873" s="109"/>
      <c r="B873" s="263"/>
      <c r="C873" s="263"/>
      <c r="D873" s="263"/>
      <c r="E873" s="109"/>
      <c r="F873" s="109"/>
      <c r="G873" s="48"/>
      <c r="H873" s="264"/>
      <c r="I873" s="265"/>
      <c r="J873" s="265"/>
      <c r="K873" s="264"/>
      <c r="L873" s="265"/>
      <c r="M873" s="264"/>
      <c r="N873" s="264"/>
      <c r="O873" s="264"/>
      <c r="P873" s="264"/>
      <c r="Q873" s="263"/>
      <c r="R873" s="263"/>
      <c r="S873" s="263"/>
      <c r="T873" s="263"/>
      <c r="U873" s="263"/>
      <c r="V873" s="109"/>
      <c r="W873" s="263"/>
      <c r="X873" s="263"/>
      <c r="Y873" s="263"/>
      <c r="Z873" s="263"/>
      <c r="AA873" s="263"/>
      <c r="AB873" s="109"/>
      <c r="AC873" s="109"/>
      <c r="AD873" s="109"/>
      <c r="AE873" s="109"/>
      <c r="AF873" s="109"/>
      <c r="AG873" s="109"/>
      <c r="AH873" s="109"/>
      <c r="AI873" s="109"/>
    </row>
    <row r="874" spans="1:35">
      <c r="A874" s="109"/>
      <c r="B874" s="263"/>
      <c r="C874" s="263"/>
      <c r="D874" s="263"/>
      <c r="E874" s="109"/>
      <c r="F874" s="109"/>
      <c r="G874" s="48"/>
      <c r="H874" s="264"/>
      <c r="I874" s="265"/>
      <c r="J874" s="265"/>
      <c r="K874" s="264"/>
      <c r="L874" s="265"/>
      <c r="M874" s="264"/>
      <c r="N874" s="264"/>
      <c r="O874" s="264"/>
      <c r="P874" s="264"/>
      <c r="Q874" s="263"/>
      <c r="R874" s="263"/>
      <c r="S874" s="263"/>
      <c r="T874" s="263"/>
      <c r="U874" s="263"/>
      <c r="V874" s="109"/>
      <c r="W874" s="263"/>
      <c r="X874" s="263"/>
      <c r="Y874" s="263"/>
      <c r="Z874" s="263"/>
      <c r="AA874" s="263"/>
      <c r="AB874" s="109"/>
      <c r="AC874" s="109"/>
      <c r="AD874" s="109"/>
      <c r="AE874" s="109"/>
      <c r="AF874" s="109"/>
      <c r="AG874" s="109"/>
      <c r="AH874" s="109"/>
      <c r="AI874" s="109"/>
    </row>
    <row r="875" spans="1:35">
      <c r="A875" s="109"/>
      <c r="B875" s="263"/>
      <c r="C875" s="263"/>
      <c r="D875" s="263"/>
      <c r="E875" s="109"/>
      <c r="F875" s="109"/>
      <c r="G875" s="48"/>
      <c r="H875" s="264"/>
      <c r="I875" s="265"/>
      <c r="J875" s="265"/>
      <c r="K875" s="264"/>
      <c r="L875" s="265"/>
      <c r="M875" s="264"/>
      <c r="N875" s="264"/>
      <c r="O875" s="264"/>
      <c r="P875" s="264"/>
      <c r="Q875" s="263"/>
      <c r="R875" s="263"/>
      <c r="S875" s="263"/>
      <c r="T875" s="263"/>
      <c r="U875" s="263"/>
      <c r="V875" s="109"/>
      <c r="W875" s="263"/>
      <c r="X875" s="263"/>
      <c r="Y875" s="263"/>
      <c r="Z875" s="263"/>
      <c r="AA875" s="263"/>
      <c r="AB875" s="109"/>
      <c r="AC875" s="109"/>
      <c r="AD875" s="109"/>
      <c r="AE875" s="109"/>
      <c r="AF875" s="109"/>
      <c r="AG875" s="109"/>
      <c r="AH875" s="109"/>
      <c r="AI875" s="109"/>
    </row>
    <row r="876" spans="1:35">
      <c r="A876" s="109"/>
      <c r="B876" s="263"/>
      <c r="C876" s="263"/>
      <c r="D876" s="263"/>
      <c r="E876" s="109"/>
      <c r="F876" s="109"/>
      <c r="G876" s="48"/>
      <c r="H876" s="264"/>
      <c r="I876" s="265"/>
      <c r="J876" s="265"/>
      <c r="K876" s="264"/>
      <c r="L876" s="265"/>
      <c r="M876" s="264"/>
      <c r="N876" s="264"/>
      <c r="O876" s="264"/>
      <c r="P876" s="264"/>
      <c r="Q876" s="263"/>
      <c r="R876" s="263"/>
      <c r="S876" s="263"/>
      <c r="T876" s="263"/>
      <c r="U876" s="263"/>
      <c r="V876" s="109"/>
      <c r="W876" s="263"/>
      <c r="X876" s="263"/>
      <c r="Y876" s="263"/>
      <c r="Z876" s="263"/>
      <c r="AA876" s="263"/>
      <c r="AB876" s="109"/>
      <c r="AC876" s="109"/>
      <c r="AD876" s="109"/>
      <c r="AE876" s="109"/>
      <c r="AF876" s="109"/>
      <c r="AG876" s="109"/>
      <c r="AH876" s="109"/>
      <c r="AI876" s="109"/>
    </row>
    <row r="877" spans="1:35">
      <c r="A877" s="109"/>
      <c r="B877" s="263"/>
      <c r="C877" s="263"/>
      <c r="D877" s="263"/>
      <c r="E877" s="109"/>
      <c r="F877" s="109"/>
      <c r="G877" s="48"/>
      <c r="H877" s="264"/>
      <c r="I877" s="265"/>
      <c r="J877" s="265"/>
      <c r="K877" s="264"/>
      <c r="L877" s="265"/>
      <c r="M877" s="264"/>
      <c r="N877" s="264"/>
      <c r="O877" s="264"/>
      <c r="P877" s="264"/>
      <c r="Q877" s="263"/>
      <c r="R877" s="263"/>
      <c r="S877" s="263"/>
      <c r="T877" s="263"/>
      <c r="U877" s="263"/>
      <c r="V877" s="109"/>
      <c r="W877" s="263"/>
      <c r="X877" s="263"/>
      <c r="Y877" s="263"/>
      <c r="Z877" s="263"/>
      <c r="AA877" s="263"/>
      <c r="AB877" s="109"/>
      <c r="AC877" s="109"/>
      <c r="AD877" s="109"/>
      <c r="AE877" s="109"/>
      <c r="AF877" s="109"/>
      <c r="AG877" s="109"/>
      <c r="AH877" s="109"/>
      <c r="AI877" s="109"/>
    </row>
    <row r="878" spans="1:35">
      <c r="A878" s="109"/>
      <c r="B878" s="263"/>
      <c r="C878" s="263"/>
      <c r="D878" s="263"/>
      <c r="E878" s="109"/>
      <c r="F878" s="109"/>
      <c r="G878" s="48"/>
      <c r="H878" s="264"/>
      <c r="I878" s="265"/>
      <c r="J878" s="265"/>
      <c r="K878" s="264"/>
      <c r="L878" s="265"/>
      <c r="M878" s="264"/>
      <c r="N878" s="264"/>
      <c r="O878" s="264"/>
      <c r="P878" s="264"/>
      <c r="Q878" s="263"/>
      <c r="R878" s="263"/>
      <c r="S878" s="263"/>
      <c r="T878" s="263"/>
      <c r="U878" s="263"/>
      <c r="V878" s="109"/>
      <c r="W878" s="263"/>
      <c r="X878" s="263"/>
      <c r="Y878" s="263"/>
      <c r="Z878" s="263"/>
      <c r="AA878" s="263"/>
      <c r="AB878" s="109"/>
      <c r="AC878" s="109"/>
      <c r="AD878" s="109"/>
      <c r="AE878" s="109"/>
      <c r="AF878" s="109"/>
      <c r="AG878" s="109"/>
      <c r="AH878" s="109"/>
      <c r="AI878" s="109"/>
    </row>
    <row r="879" spans="1:35">
      <c r="A879" s="109"/>
      <c r="B879" s="263"/>
      <c r="C879" s="263"/>
      <c r="D879" s="263"/>
      <c r="E879" s="109"/>
      <c r="F879" s="109"/>
      <c r="G879" s="48"/>
      <c r="H879" s="264"/>
      <c r="I879" s="265"/>
      <c r="J879" s="265"/>
      <c r="K879" s="264"/>
      <c r="L879" s="265"/>
      <c r="M879" s="264"/>
      <c r="N879" s="264"/>
      <c r="O879" s="264"/>
      <c r="P879" s="264"/>
      <c r="Q879" s="263"/>
      <c r="R879" s="263"/>
      <c r="S879" s="263"/>
      <c r="T879" s="263"/>
      <c r="U879" s="263"/>
      <c r="V879" s="109"/>
      <c r="W879" s="263"/>
      <c r="X879" s="263"/>
      <c r="Y879" s="263"/>
      <c r="Z879" s="263"/>
      <c r="AA879" s="263"/>
      <c r="AB879" s="109"/>
      <c r="AC879" s="109"/>
      <c r="AD879" s="109"/>
      <c r="AE879" s="109"/>
      <c r="AF879" s="109"/>
      <c r="AG879" s="109"/>
      <c r="AH879" s="109"/>
      <c r="AI879" s="109"/>
    </row>
    <row r="880" spans="1:35">
      <c r="A880" s="109"/>
      <c r="B880" s="263"/>
      <c r="C880" s="263"/>
      <c r="D880" s="263"/>
      <c r="E880" s="109"/>
      <c r="F880" s="109"/>
      <c r="G880" s="48"/>
      <c r="H880" s="264"/>
      <c r="I880" s="265"/>
      <c r="J880" s="265"/>
      <c r="K880" s="264"/>
      <c r="L880" s="265"/>
      <c r="M880" s="264"/>
      <c r="N880" s="264"/>
      <c r="O880" s="264"/>
      <c r="P880" s="264"/>
      <c r="Q880" s="263"/>
      <c r="R880" s="263"/>
      <c r="S880" s="263"/>
      <c r="T880" s="263"/>
      <c r="U880" s="263"/>
      <c r="V880" s="109"/>
      <c r="W880" s="263"/>
      <c r="X880" s="263"/>
      <c r="Y880" s="263"/>
      <c r="Z880" s="263"/>
      <c r="AA880" s="263"/>
      <c r="AB880" s="109"/>
      <c r="AC880" s="109"/>
      <c r="AD880" s="109"/>
      <c r="AE880" s="109"/>
      <c r="AF880" s="109"/>
      <c r="AG880" s="109"/>
      <c r="AH880" s="109"/>
      <c r="AI880" s="109"/>
    </row>
    <row r="881" spans="1:35">
      <c r="A881" s="109"/>
      <c r="B881" s="263"/>
      <c r="C881" s="263"/>
      <c r="D881" s="263"/>
      <c r="E881" s="109"/>
      <c r="F881" s="109"/>
      <c r="G881" s="48"/>
      <c r="H881" s="264"/>
      <c r="I881" s="265"/>
      <c r="J881" s="265"/>
      <c r="K881" s="264"/>
      <c r="L881" s="265"/>
      <c r="M881" s="264"/>
      <c r="N881" s="264"/>
      <c r="O881" s="264"/>
      <c r="P881" s="264"/>
      <c r="Q881" s="263"/>
      <c r="R881" s="263"/>
      <c r="S881" s="263"/>
      <c r="T881" s="263"/>
      <c r="U881" s="263"/>
      <c r="V881" s="109"/>
      <c r="W881" s="263"/>
      <c r="X881" s="263"/>
      <c r="Y881" s="263"/>
      <c r="Z881" s="263"/>
      <c r="AA881" s="263"/>
      <c r="AB881" s="109"/>
      <c r="AC881" s="109"/>
      <c r="AD881" s="109"/>
      <c r="AE881" s="109"/>
      <c r="AF881" s="109"/>
      <c r="AG881" s="109"/>
      <c r="AH881" s="109"/>
      <c r="AI881" s="109"/>
    </row>
    <row r="882" spans="1:35">
      <c r="A882" s="109"/>
      <c r="B882" s="263"/>
      <c r="C882" s="263"/>
      <c r="D882" s="263"/>
      <c r="E882" s="109"/>
      <c r="F882" s="109"/>
      <c r="G882" s="48"/>
      <c r="H882" s="264"/>
      <c r="I882" s="265"/>
      <c r="J882" s="265"/>
      <c r="K882" s="264"/>
      <c r="L882" s="265"/>
      <c r="M882" s="264"/>
      <c r="N882" s="264"/>
      <c r="O882" s="264"/>
      <c r="P882" s="264"/>
      <c r="Q882" s="263"/>
      <c r="R882" s="263"/>
      <c r="S882" s="263"/>
      <c r="T882" s="263"/>
      <c r="U882" s="263"/>
      <c r="V882" s="109"/>
      <c r="W882" s="263"/>
      <c r="X882" s="263"/>
      <c r="Y882" s="263"/>
      <c r="Z882" s="263"/>
      <c r="AA882" s="263"/>
      <c r="AB882" s="109"/>
      <c r="AC882" s="109"/>
      <c r="AD882" s="109"/>
      <c r="AE882" s="109"/>
      <c r="AF882" s="109"/>
      <c r="AG882" s="109"/>
      <c r="AH882" s="109"/>
      <c r="AI882" s="109"/>
    </row>
    <row r="883" spans="1:35">
      <c r="A883" s="109"/>
      <c r="B883" s="263"/>
      <c r="C883" s="263"/>
      <c r="D883" s="263"/>
      <c r="E883" s="109"/>
      <c r="F883" s="109"/>
      <c r="G883" s="48"/>
      <c r="H883" s="264"/>
      <c r="I883" s="265"/>
      <c r="J883" s="265"/>
      <c r="K883" s="264"/>
      <c r="L883" s="265"/>
      <c r="M883" s="264"/>
      <c r="N883" s="264"/>
      <c r="O883" s="264"/>
      <c r="P883" s="264"/>
      <c r="Q883" s="263"/>
      <c r="R883" s="263"/>
      <c r="S883" s="263"/>
      <c r="T883" s="263"/>
      <c r="U883" s="263"/>
      <c r="V883" s="109"/>
      <c r="W883" s="263"/>
      <c r="X883" s="263"/>
      <c r="Y883" s="263"/>
      <c r="Z883" s="263"/>
      <c r="AA883" s="263"/>
      <c r="AB883" s="109"/>
      <c r="AC883" s="109"/>
      <c r="AD883" s="109"/>
      <c r="AE883" s="109"/>
      <c r="AF883" s="109"/>
      <c r="AG883" s="109"/>
      <c r="AH883" s="109"/>
      <c r="AI883" s="109"/>
    </row>
    <row r="884" spans="1:35">
      <c r="A884" s="109"/>
      <c r="B884" s="263"/>
      <c r="C884" s="263"/>
      <c r="D884" s="263"/>
      <c r="E884" s="109"/>
      <c r="F884" s="109"/>
      <c r="G884" s="48"/>
      <c r="H884" s="264"/>
      <c r="I884" s="265"/>
      <c r="J884" s="265"/>
      <c r="K884" s="264"/>
      <c r="L884" s="265"/>
      <c r="M884" s="264"/>
      <c r="N884" s="264"/>
      <c r="O884" s="264"/>
      <c r="P884" s="264"/>
      <c r="Q884" s="263"/>
      <c r="R884" s="263"/>
      <c r="S884" s="263"/>
      <c r="T884" s="263"/>
      <c r="U884" s="263"/>
      <c r="V884" s="109"/>
      <c r="W884" s="263"/>
      <c r="X884" s="263"/>
      <c r="Y884" s="263"/>
      <c r="Z884" s="263"/>
      <c r="AA884" s="263"/>
      <c r="AB884" s="109"/>
      <c r="AC884" s="109"/>
      <c r="AD884" s="109"/>
      <c r="AE884" s="109"/>
      <c r="AF884" s="109"/>
      <c r="AG884" s="109"/>
      <c r="AH884" s="109"/>
      <c r="AI884" s="109"/>
    </row>
    <row r="885" spans="1:35">
      <c r="A885" s="109"/>
      <c r="B885" s="263"/>
      <c r="C885" s="263"/>
      <c r="D885" s="263"/>
      <c r="E885" s="109"/>
      <c r="F885" s="109"/>
      <c r="G885" s="48"/>
      <c r="H885" s="264"/>
      <c r="I885" s="265"/>
      <c r="J885" s="265"/>
      <c r="K885" s="264"/>
      <c r="L885" s="265"/>
      <c r="M885" s="264"/>
      <c r="N885" s="264"/>
      <c r="O885" s="264"/>
      <c r="P885" s="264"/>
      <c r="Q885" s="263"/>
      <c r="R885" s="263"/>
      <c r="S885" s="263"/>
      <c r="T885" s="263"/>
      <c r="U885" s="263"/>
      <c r="V885" s="109"/>
      <c r="W885" s="263"/>
      <c r="X885" s="263"/>
      <c r="Y885" s="263"/>
      <c r="Z885" s="263"/>
      <c r="AA885" s="263"/>
      <c r="AB885" s="109"/>
      <c r="AC885" s="109"/>
      <c r="AD885" s="109"/>
      <c r="AE885" s="109"/>
      <c r="AF885" s="109"/>
      <c r="AG885" s="109"/>
      <c r="AH885" s="109"/>
      <c r="AI885" s="109"/>
    </row>
    <row r="886" spans="1:35">
      <c r="A886" s="109"/>
      <c r="B886" s="263"/>
      <c r="C886" s="263"/>
      <c r="D886" s="263"/>
      <c r="E886" s="109"/>
      <c r="F886" s="109"/>
      <c r="G886" s="48"/>
      <c r="H886" s="264"/>
      <c r="I886" s="265"/>
      <c r="J886" s="265"/>
      <c r="K886" s="264"/>
      <c r="L886" s="265"/>
      <c r="M886" s="264"/>
      <c r="N886" s="264"/>
      <c r="O886" s="264"/>
      <c r="P886" s="264"/>
      <c r="Q886" s="263"/>
      <c r="R886" s="263"/>
      <c r="S886" s="263"/>
      <c r="T886" s="263"/>
      <c r="U886" s="263"/>
      <c r="V886" s="109"/>
      <c r="W886" s="263"/>
      <c r="X886" s="263"/>
      <c r="Y886" s="263"/>
      <c r="Z886" s="263"/>
      <c r="AA886" s="263"/>
      <c r="AB886" s="109"/>
      <c r="AC886" s="109"/>
      <c r="AD886" s="109"/>
      <c r="AE886" s="109"/>
      <c r="AF886" s="109"/>
      <c r="AG886" s="109"/>
      <c r="AH886" s="109"/>
      <c r="AI886" s="109"/>
    </row>
    <row r="887" spans="1:35">
      <c r="A887" s="109"/>
      <c r="B887" s="263"/>
      <c r="C887" s="263"/>
      <c r="D887" s="263"/>
      <c r="E887" s="109"/>
      <c r="F887" s="109"/>
      <c r="G887" s="48"/>
      <c r="H887" s="264"/>
      <c r="I887" s="265"/>
      <c r="J887" s="265"/>
      <c r="K887" s="264"/>
      <c r="L887" s="265"/>
      <c r="M887" s="264"/>
      <c r="N887" s="264"/>
      <c r="O887" s="264"/>
      <c r="P887" s="264"/>
      <c r="Q887" s="263"/>
      <c r="R887" s="263"/>
      <c r="S887" s="263"/>
      <c r="T887" s="263"/>
      <c r="U887" s="263"/>
      <c r="V887" s="109"/>
      <c r="W887" s="263"/>
      <c r="X887" s="263"/>
      <c r="Y887" s="263"/>
      <c r="Z887" s="263"/>
      <c r="AA887" s="263"/>
      <c r="AB887" s="109"/>
      <c r="AC887" s="109"/>
      <c r="AD887" s="109"/>
      <c r="AE887" s="109"/>
      <c r="AF887" s="109"/>
      <c r="AG887" s="109"/>
      <c r="AH887" s="109"/>
      <c r="AI887" s="109"/>
    </row>
    <row r="888" spans="1:35">
      <c r="A888" s="109"/>
      <c r="B888" s="263"/>
      <c r="C888" s="263"/>
      <c r="D888" s="263"/>
      <c r="E888" s="109"/>
      <c r="F888" s="109"/>
      <c r="G888" s="48"/>
      <c r="H888" s="264"/>
      <c r="I888" s="265"/>
      <c r="J888" s="265"/>
      <c r="K888" s="264"/>
      <c r="L888" s="265"/>
      <c r="M888" s="264"/>
      <c r="N888" s="264"/>
      <c r="O888" s="264"/>
      <c r="P888" s="264"/>
      <c r="Q888" s="263"/>
      <c r="R888" s="263"/>
      <c r="S888" s="263"/>
      <c r="T888" s="263"/>
      <c r="U888" s="263"/>
      <c r="V888" s="109"/>
      <c r="W888" s="263"/>
      <c r="X888" s="263"/>
      <c r="Y888" s="263"/>
      <c r="Z888" s="263"/>
      <c r="AA888" s="263"/>
      <c r="AB888" s="109"/>
      <c r="AC888" s="109"/>
      <c r="AD888" s="109"/>
      <c r="AE888" s="109"/>
      <c r="AF888" s="109"/>
      <c r="AG888" s="109"/>
      <c r="AH888" s="109"/>
      <c r="AI888" s="109"/>
    </row>
    <row r="889" spans="1:35">
      <c r="A889" s="109"/>
      <c r="B889" s="263"/>
      <c r="C889" s="263"/>
      <c r="D889" s="263"/>
      <c r="E889" s="109"/>
      <c r="F889" s="109"/>
      <c r="G889" s="48"/>
      <c r="H889" s="264"/>
      <c r="I889" s="265"/>
      <c r="J889" s="265"/>
      <c r="K889" s="264"/>
      <c r="L889" s="265"/>
      <c r="M889" s="264"/>
      <c r="N889" s="264"/>
      <c r="O889" s="264"/>
      <c r="P889" s="264"/>
      <c r="Q889" s="263"/>
      <c r="R889" s="263"/>
      <c r="S889" s="263"/>
      <c r="T889" s="263"/>
      <c r="U889" s="263"/>
      <c r="V889" s="109"/>
      <c r="W889" s="263"/>
      <c r="X889" s="263"/>
      <c r="Y889" s="263"/>
      <c r="Z889" s="263"/>
      <c r="AA889" s="263"/>
      <c r="AB889" s="109"/>
      <c r="AC889" s="109"/>
      <c r="AD889" s="109"/>
      <c r="AE889" s="109"/>
      <c r="AF889" s="109"/>
      <c r="AG889" s="109"/>
      <c r="AH889" s="109"/>
      <c r="AI889" s="109"/>
    </row>
    <row r="890" spans="1:35">
      <c r="A890" s="109"/>
      <c r="B890" s="263"/>
      <c r="C890" s="263"/>
      <c r="D890" s="263"/>
      <c r="E890" s="109"/>
      <c r="F890" s="109"/>
      <c r="G890" s="48"/>
      <c r="H890" s="264"/>
      <c r="I890" s="265"/>
      <c r="J890" s="265"/>
      <c r="K890" s="264"/>
      <c r="L890" s="265"/>
      <c r="M890" s="264"/>
      <c r="N890" s="264"/>
      <c r="O890" s="264"/>
      <c r="P890" s="264"/>
      <c r="Q890" s="263"/>
      <c r="R890" s="263"/>
      <c r="S890" s="263"/>
      <c r="T890" s="263"/>
      <c r="U890" s="263"/>
      <c r="V890" s="109"/>
      <c r="W890" s="263"/>
      <c r="X890" s="263"/>
      <c r="Y890" s="263"/>
      <c r="Z890" s="263"/>
      <c r="AA890" s="263"/>
      <c r="AB890" s="109"/>
      <c r="AC890" s="109"/>
      <c r="AD890" s="109"/>
      <c r="AE890" s="109"/>
      <c r="AF890" s="109"/>
      <c r="AG890" s="109"/>
      <c r="AH890" s="109"/>
      <c r="AI890" s="109"/>
    </row>
    <row r="891" spans="1:35">
      <c r="A891" s="109"/>
      <c r="B891" s="263"/>
      <c r="C891" s="263"/>
      <c r="D891" s="263"/>
      <c r="E891" s="109"/>
      <c r="F891" s="109"/>
      <c r="G891" s="48"/>
      <c r="H891" s="264"/>
      <c r="I891" s="265"/>
      <c r="J891" s="265"/>
      <c r="K891" s="264"/>
      <c r="L891" s="265"/>
      <c r="M891" s="264"/>
      <c r="N891" s="264"/>
      <c r="O891" s="264"/>
      <c r="P891" s="264"/>
      <c r="Q891" s="263"/>
      <c r="R891" s="263"/>
      <c r="S891" s="263"/>
      <c r="T891" s="263"/>
      <c r="U891" s="263"/>
      <c r="V891" s="109"/>
      <c r="W891" s="263"/>
      <c r="X891" s="263"/>
      <c r="Y891" s="263"/>
      <c r="Z891" s="263"/>
      <c r="AA891" s="263"/>
      <c r="AB891" s="109"/>
      <c r="AC891" s="109"/>
      <c r="AD891" s="109"/>
      <c r="AE891" s="109"/>
      <c r="AF891" s="109"/>
      <c r="AG891" s="109"/>
      <c r="AH891" s="109"/>
      <c r="AI891" s="109"/>
    </row>
    <row r="892" spans="1:35">
      <c r="A892" s="109"/>
      <c r="B892" s="263"/>
      <c r="C892" s="263"/>
      <c r="D892" s="263"/>
      <c r="E892" s="109"/>
      <c r="F892" s="109"/>
      <c r="G892" s="48"/>
      <c r="H892" s="264"/>
      <c r="I892" s="265"/>
      <c r="J892" s="265"/>
      <c r="K892" s="264"/>
      <c r="L892" s="265"/>
      <c r="M892" s="264"/>
      <c r="N892" s="264"/>
      <c r="O892" s="264"/>
      <c r="P892" s="264"/>
      <c r="Q892" s="263"/>
      <c r="R892" s="263"/>
      <c r="S892" s="263"/>
      <c r="T892" s="263"/>
      <c r="U892" s="263"/>
      <c r="V892" s="109"/>
      <c r="W892" s="263"/>
      <c r="X892" s="263"/>
      <c r="Y892" s="263"/>
      <c r="Z892" s="263"/>
      <c r="AA892" s="263"/>
      <c r="AB892" s="109"/>
      <c r="AC892" s="109"/>
      <c r="AD892" s="109"/>
      <c r="AE892" s="109"/>
      <c r="AF892" s="109"/>
      <c r="AG892" s="109"/>
      <c r="AH892" s="109"/>
      <c r="AI892" s="109"/>
    </row>
    <row r="893" spans="1:35">
      <c r="A893" s="109"/>
      <c r="B893" s="263"/>
      <c r="C893" s="263"/>
      <c r="D893" s="263"/>
      <c r="E893" s="109"/>
      <c r="F893" s="109"/>
      <c r="G893" s="48"/>
      <c r="H893" s="264"/>
      <c r="I893" s="265"/>
      <c r="J893" s="265"/>
      <c r="K893" s="264"/>
      <c r="L893" s="265"/>
      <c r="M893" s="264"/>
      <c r="N893" s="264"/>
      <c r="O893" s="264"/>
      <c r="P893" s="264"/>
      <c r="Q893" s="263"/>
      <c r="R893" s="263"/>
      <c r="S893" s="263"/>
      <c r="T893" s="263"/>
      <c r="U893" s="263"/>
      <c r="V893" s="109"/>
      <c r="W893" s="263"/>
      <c r="X893" s="263"/>
      <c r="Y893" s="263"/>
      <c r="Z893" s="263"/>
      <c r="AA893" s="263"/>
      <c r="AB893" s="109"/>
      <c r="AC893" s="109"/>
      <c r="AD893" s="109"/>
      <c r="AE893" s="109"/>
      <c r="AF893" s="109"/>
      <c r="AG893" s="109"/>
      <c r="AH893" s="109"/>
      <c r="AI893" s="109"/>
    </row>
    <row r="894" spans="1:35">
      <c r="A894" s="109"/>
      <c r="B894" s="263"/>
      <c r="C894" s="263"/>
      <c r="D894" s="263"/>
      <c r="E894" s="109"/>
      <c r="F894" s="109"/>
      <c r="G894" s="48"/>
      <c r="H894" s="264"/>
      <c r="I894" s="265"/>
      <c r="J894" s="265"/>
      <c r="K894" s="264"/>
      <c r="L894" s="265"/>
      <c r="M894" s="264"/>
      <c r="N894" s="264"/>
      <c r="O894" s="264"/>
      <c r="P894" s="264"/>
      <c r="Q894" s="263"/>
      <c r="R894" s="263"/>
      <c r="S894" s="263"/>
      <c r="T894" s="263"/>
      <c r="U894" s="263"/>
      <c r="V894" s="109"/>
      <c r="W894" s="263"/>
      <c r="X894" s="263"/>
      <c r="Y894" s="263"/>
      <c r="Z894" s="263"/>
      <c r="AA894" s="263"/>
      <c r="AB894" s="109"/>
      <c r="AC894" s="109"/>
      <c r="AD894" s="109"/>
      <c r="AE894" s="109"/>
      <c r="AF894" s="109"/>
      <c r="AG894" s="109"/>
      <c r="AH894" s="109"/>
      <c r="AI894" s="109"/>
    </row>
    <row r="895" spans="1:35">
      <c r="A895" s="109"/>
      <c r="B895" s="263"/>
      <c r="C895" s="263"/>
      <c r="D895" s="263"/>
      <c r="E895" s="109"/>
      <c r="F895" s="109"/>
      <c r="G895" s="48"/>
      <c r="H895" s="264"/>
      <c r="I895" s="265"/>
      <c r="J895" s="265"/>
      <c r="K895" s="264"/>
      <c r="L895" s="265"/>
      <c r="M895" s="264"/>
      <c r="N895" s="264"/>
      <c r="O895" s="264"/>
      <c r="P895" s="264"/>
      <c r="Q895" s="263"/>
      <c r="R895" s="263"/>
      <c r="S895" s="263"/>
      <c r="T895" s="263"/>
      <c r="U895" s="263"/>
      <c r="V895" s="109"/>
      <c r="W895" s="263"/>
      <c r="X895" s="263"/>
      <c r="Y895" s="263"/>
      <c r="Z895" s="263"/>
      <c r="AA895" s="263"/>
      <c r="AB895" s="109"/>
      <c r="AC895" s="109"/>
      <c r="AD895" s="109"/>
      <c r="AE895" s="109"/>
      <c r="AF895" s="109"/>
      <c r="AG895" s="109"/>
      <c r="AH895" s="109"/>
      <c r="AI895" s="109"/>
    </row>
    <row r="896" spans="1:35">
      <c r="A896" s="109"/>
      <c r="B896" s="263"/>
      <c r="C896" s="263"/>
      <c r="D896" s="263"/>
      <c r="E896" s="109"/>
      <c r="F896" s="109"/>
      <c r="G896" s="48"/>
      <c r="H896" s="264"/>
      <c r="I896" s="265"/>
      <c r="J896" s="265"/>
      <c r="K896" s="264"/>
      <c r="L896" s="265"/>
      <c r="M896" s="264"/>
      <c r="N896" s="264"/>
      <c r="O896" s="264"/>
      <c r="P896" s="264"/>
      <c r="Q896" s="263"/>
      <c r="R896" s="263"/>
      <c r="S896" s="263"/>
      <c r="T896" s="263"/>
      <c r="U896" s="263"/>
      <c r="V896" s="109"/>
      <c r="W896" s="263"/>
      <c r="X896" s="263"/>
      <c r="Y896" s="263"/>
      <c r="Z896" s="263"/>
      <c r="AA896" s="263"/>
      <c r="AB896" s="109"/>
      <c r="AC896" s="109"/>
      <c r="AD896" s="109"/>
      <c r="AE896" s="109"/>
      <c r="AF896" s="109"/>
      <c r="AG896" s="109"/>
      <c r="AH896" s="109"/>
      <c r="AI896" s="109"/>
    </row>
    <row r="897" spans="1:35">
      <c r="A897" s="109"/>
      <c r="B897" s="263"/>
      <c r="C897" s="263"/>
      <c r="D897" s="263"/>
      <c r="E897" s="109"/>
      <c r="F897" s="109"/>
      <c r="G897" s="48"/>
      <c r="H897" s="264"/>
      <c r="I897" s="265"/>
      <c r="J897" s="265"/>
      <c r="K897" s="264"/>
      <c r="L897" s="265"/>
      <c r="M897" s="264"/>
      <c r="N897" s="264"/>
      <c r="O897" s="264"/>
      <c r="P897" s="264"/>
      <c r="Q897" s="263"/>
      <c r="R897" s="263"/>
      <c r="S897" s="263"/>
      <c r="T897" s="263"/>
      <c r="U897" s="263"/>
      <c r="V897" s="109"/>
      <c r="W897" s="263"/>
      <c r="X897" s="263"/>
      <c r="Y897" s="263"/>
      <c r="Z897" s="263"/>
      <c r="AA897" s="263"/>
      <c r="AB897" s="109"/>
      <c r="AC897" s="109"/>
      <c r="AD897" s="109"/>
      <c r="AE897" s="109"/>
      <c r="AF897" s="109"/>
      <c r="AG897" s="109"/>
      <c r="AH897" s="109"/>
      <c r="AI897" s="109"/>
    </row>
    <row r="898" spans="1:35">
      <c r="A898" s="109"/>
      <c r="B898" s="263"/>
      <c r="C898" s="263"/>
      <c r="D898" s="263"/>
      <c r="E898" s="109"/>
      <c r="F898" s="109"/>
      <c r="G898" s="48"/>
      <c r="H898" s="264"/>
      <c r="I898" s="265"/>
      <c r="J898" s="265"/>
      <c r="K898" s="264"/>
      <c r="L898" s="265"/>
      <c r="M898" s="264"/>
      <c r="N898" s="264"/>
      <c r="O898" s="264"/>
      <c r="P898" s="264"/>
      <c r="Q898" s="263"/>
      <c r="R898" s="263"/>
      <c r="S898" s="263"/>
      <c r="T898" s="263"/>
      <c r="U898" s="263"/>
      <c r="V898" s="109"/>
      <c r="W898" s="263"/>
      <c r="X898" s="263"/>
      <c r="Y898" s="263"/>
      <c r="Z898" s="263"/>
      <c r="AA898" s="263"/>
      <c r="AB898" s="109"/>
      <c r="AC898" s="109"/>
      <c r="AD898" s="109"/>
      <c r="AE898" s="109"/>
      <c r="AF898" s="109"/>
      <c r="AG898" s="109"/>
      <c r="AH898" s="109"/>
      <c r="AI898" s="109"/>
    </row>
    <row r="899" spans="1:35">
      <c r="A899" s="109"/>
      <c r="B899" s="263"/>
      <c r="C899" s="263"/>
      <c r="D899" s="263"/>
      <c r="E899" s="109"/>
      <c r="F899" s="109"/>
      <c r="G899" s="48"/>
      <c r="H899" s="264"/>
      <c r="I899" s="265"/>
      <c r="J899" s="265"/>
      <c r="K899" s="264"/>
      <c r="L899" s="265"/>
      <c r="M899" s="264"/>
      <c r="N899" s="264"/>
      <c r="O899" s="264"/>
      <c r="P899" s="264"/>
      <c r="Q899" s="263"/>
      <c r="R899" s="263"/>
      <c r="S899" s="263"/>
      <c r="T899" s="263"/>
      <c r="U899" s="263"/>
      <c r="V899" s="109"/>
      <c r="W899" s="263"/>
      <c r="X899" s="263"/>
      <c r="Y899" s="263"/>
      <c r="Z899" s="263"/>
      <c r="AA899" s="263"/>
      <c r="AB899" s="109"/>
      <c r="AC899" s="109"/>
      <c r="AD899" s="109"/>
      <c r="AE899" s="109"/>
      <c r="AF899" s="109"/>
      <c r="AG899" s="109"/>
      <c r="AH899" s="109"/>
      <c r="AI899" s="109"/>
    </row>
    <row r="900" spans="1:35">
      <c r="A900" s="109"/>
      <c r="B900" s="263"/>
      <c r="C900" s="263"/>
      <c r="D900" s="263"/>
      <c r="E900" s="109"/>
      <c r="F900" s="109"/>
      <c r="G900" s="48"/>
      <c r="H900" s="264"/>
      <c r="I900" s="265"/>
      <c r="J900" s="265"/>
      <c r="K900" s="264"/>
      <c r="L900" s="265"/>
      <c r="M900" s="264"/>
      <c r="N900" s="264"/>
      <c r="O900" s="264"/>
      <c r="P900" s="264"/>
      <c r="Q900" s="263"/>
      <c r="R900" s="263"/>
      <c r="S900" s="263"/>
      <c r="T900" s="263"/>
      <c r="U900" s="263"/>
      <c r="V900" s="109"/>
      <c r="W900" s="263"/>
      <c r="X900" s="263"/>
      <c r="Y900" s="263"/>
      <c r="Z900" s="263"/>
      <c r="AA900" s="263"/>
      <c r="AB900" s="109"/>
      <c r="AC900" s="109"/>
      <c r="AD900" s="109"/>
      <c r="AE900" s="109"/>
      <c r="AF900" s="109"/>
      <c r="AG900" s="109"/>
      <c r="AH900" s="109"/>
      <c r="AI900" s="109"/>
    </row>
    <row r="901" spans="1:35">
      <c r="A901" s="109"/>
      <c r="B901" s="263"/>
      <c r="C901" s="263"/>
      <c r="D901" s="263"/>
      <c r="E901" s="109"/>
      <c r="F901" s="109"/>
      <c r="G901" s="48"/>
      <c r="H901" s="264"/>
      <c r="I901" s="265"/>
      <c r="J901" s="265"/>
      <c r="K901" s="264"/>
      <c r="L901" s="265"/>
      <c r="M901" s="264"/>
      <c r="N901" s="264"/>
      <c r="O901" s="264"/>
      <c r="P901" s="264"/>
      <c r="Q901" s="263"/>
      <c r="R901" s="263"/>
      <c r="S901" s="263"/>
      <c r="T901" s="263"/>
      <c r="U901" s="263"/>
      <c r="V901" s="109"/>
      <c r="W901" s="263"/>
      <c r="X901" s="263"/>
      <c r="Y901" s="263"/>
      <c r="Z901" s="263"/>
      <c r="AA901" s="263"/>
      <c r="AB901" s="109"/>
      <c r="AC901" s="109"/>
      <c r="AD901" s="109"/>
      <c r="AE901" s="109"/>
      <c r="AF901" s="109"/>
      <c r="AG901" s="109"/>
      <c r="AH901" s="109"/>
      <c r="AI901" s="109"/>
    </row>
    <row r="902" spans="1:35">
      <c r="A902" s="109"/>
      <c r="B902" s="263"/>
      <c r="C902" s="263"/>
      <c r="D902" s="263"/>
      <c r="E902" s="109"/>
      <c r="F902" s="109"/>
      <c r="G902" s="48"/>
      <c r="H902" s="264"/>
      <c r="I902" s="265"/>
      <c r="J902" s="265"/>
      <c r="K902" s="264"/>
      <c r="L902" s="265"/>
      <c r="M902" s="264"/>
      <c r="N902" s="264"/>
      <c r="O902" s="264"/>
      <c r="P902" s="264"/>
      <c r="Q902" s="263"/>
      <c r="R902" s="263"/>
      <c r="S902" s="263"/>
      <c r="T902" s="263"/>
      <c r="U902" s="263"/>
      <c r="V902" s="109"/>
      <c r="W902" s="263"/>
      <c r="X902" s="263"/>
      <c r="Y902" s="263"/>
      <c r="Z902" s="263"/>
      <c r="AA902" s="263"/>
      <c r="AB902" s="109"/>
      <c r="AC902" s="109"/>
      <c r="AD902" s="109"/>
      <c r="AE902" s="109"/>
      <c r="AF902" s="109"/>
      <c r="AG902" s="109"/>
      <c r="AH902" s="109"/>
      <c r="AI902" s="109"/>
    </row>
    <row r="903" spans="1:35">
      <c r="A903" s="109"/>
      <c r="B903" s="263"/>
      <c r="C903" s="263"/>
      <c r="D903" s="263"/>
      <c r="E903" s="109"/>
      <c r="F903" s="109"/>
      <c r="G903" s="48"/>
      <c r="H903" s="264"/>
      <c r="I903" s="265"/>
      <c r="J903" s="265"/>
      <c r="K903" s="264"/>
      <c r="L903" s="265"/>
      <c r="M903" s="264"/>
      <c r="N903" s="264"/>
      <c r="O903" s="264"/>
      <c r="P903" s="264"/>
      <c r="Q903" s="263"/>
      <c r="R903" s="263"/>
      <c r="S903" s="263"/>
      <c r="T903" s="263"/>
      <c r="U903" s="263"/>
      <c r="V903" s="109"/>
      <c r="W903" s="263"/>
      <c r="X903" s="263"/>
      <c r="Y903" s="263"/>
      <c r="Z903" s="263"/>
      <c r="AA903" s="263"/>
      <c r="AB903" s="109"/>
      <c r="AC903" s="109"/>
      <c r="AD903" s="109"/>
      <c r="AE903" s="109"/>
      <c r="AF903" s="109"/>
      <c r="AG903" s="109"/>
      <c r="AH903" s="109"/>
      <c r="AI903" s="109"/>
    </row>
    <row r="904" spans="1:35">
      <c r="A904" s="109"/>
      <c r="B904" s="263"/>
      <c r="C904" s="263"/>
      <c r="D904" s="263"/>
      <c r="E904" s="109"/>
      <c r="F904" s="109"/>
      <c r="G904" s="48"/>
      <c r="H904" s="264"/>
      <c r="I904" s="265"/>
      <c r="J904" s="265"/>
      <c r="K904" s="264"/>
      <c r="L904" s="265"/>
      <c r="M904" s="264"/>
      <c r="N904" s="264"/>
      <c r="O904" s="264"/>
      <c r="P904" s="264"/>
      <c r="Q904" s="263"/>
      <c r="R904" s="263"/>
      <c r="S904" s="263"/>
      <c r="T904" s="263"/>
      <c r="U904" s="263"/>
      <c r="V904" s="109"/>
      <c r="W904" s="263"/>
      <c r="X904" s="263"/>
      <c r="Y904" s="263"/>
      <c r="Z904" s="263"/>
      <c r="AA904" s="263"/>
      <c r="AB904" s="109"/>
      <c r="AC904" s="109"/>
      <c r="AD904" s="109"/>
      <c r="AE904" s="109"/>
      <c r="AF904" s="109"/>
      <c r="AG904" s="109"/>
      <c r="AH904" s="109"/>
      <c r="AI904" s="109"/>
    </row>
    <row r="905" spans="1:35">
      <c r="A905" s="109"/>
      <c r="B905" s="263"/>
      <c r="C905" s="263"/>
      <c r="D905" s="263"/>
      <c r="E905" s="109"/>
      <c r="F905" s="109"/>
      <c r="G905" s="48"/>
      <c r="H905" s="264"/>
      <c r="I905" s="265"/>
      <c r="J905" s="265"/>
      <c r="K905" s="264"/>
      <c r="L905" s="265"/>
      <c r="M905" s="264"/>
      <c r="N905" s="264"/>
      <c r="O905" s="264"/>
      <c r="P905" s="264"/>
      <c r="Q905" s="263"/>
      <c r="R905" s="263"/>
      <c r="S905" s="263"/>
      <c r="T905" s="263"/>
      <c r="U905" s="263"/>
      <c r="V905" s="109"/>
      <c r="W905" s="263"/>
      <c r="X905" s="263"/>
      <c r="Y905" s="263"/>
      <c r="Z905" s="263"/>
      <c r="AA905" s="263"/>
      <c r="AB905" s="109"/>
      <c r="AC905" s="109"/>
      <c r="AD905" s="109"/>
      <c r="AE905" s="109"/>
      <c r="AF905" s="109"/>
      <c r="AG905" s="109"/>
      <c r="AH905" s="109"/>
      <c r="AI905" s="109"/>
    </row>
    <row r="906" spans="1:35">
      <c r="A906" s="109"/>
      <c r="B906" s="263"/>
      <c r="C906" s="263"/>
      <c r="D906" s="263"/>
      <c r="E906" s="109"/>
      <c r="F906" s="109"/>
      <c r="G906" s="48"/>
      <c r="H906" s="264"/>
      <c r="I906" s="265"/>
      <c r="J906" s="265"/>
      <c r="K906" s="264"/>
      <c r="L906" s="265"/>
      <c r="M906" s="264"/>
      <c r="N906" s="264"/>
      <c r="O906" s="264"/>
      <c r="P906" s="264"/>
      <c r="Q906" s="263"/>
      <c r="R906" s="263"/>
      <c r="S906" s="263"/>
      <c r="T906" s="263"/>
      <c r="U906" s="263"/>
      <c r="V906" s="109"/>
      <c r="W906" s="263"/>
      <c r="X906" s="263"/>
      <c r="Y906" s="263"/>
      <c r="Z906" s="263"/>
      <c r="AA906" s="263"/>
      <c r="AB906" s="109"/>
      <c r="AC906" s="109"/>
      <c r="AD906" s="109"/>
      <c r="AE906" s="109"/>
      <c r="AF906" s="109"/>
      <c r="AG906" s="109"/>
      <c r="AH906" s="109"/>
      <c r="AI906" s="109"/>
    </row>
    <row r="907" spans="1:35">
      <c r="A907" s="109"/>
      <c r="B907" s="263"/>
      <c r="C907" s="263"/>
      <c r="D907" s="263"/>
      <c r="E907" s="109"/>
      <c r="F907" s="109"/>
      <c r="G907" s="48"/>
      <c r="H907" s="264"/>
      <c r="I907" s="265"/>
      <c r="J907" s="265"/>
      <c r="K907" s="264"/>
      <c r="L907" s="265"/>
      <c r="M907" s="264"/>
      <c r="N907" s="264"/>
      <c r="O907" s="264"/>
      <c r="P907" s="264"/>
      <c r="Q907" s="263"/>
      <c r="R907" s="263"/>
      <c r="S907" s="263"/>
      <c r="T907" s="263"/>
      <c r="U907" s="263"/>
      <c r="V907" s="109"/>
      <c r="W907" s="263"/>
      <c r="X907" s="263"/>
      <c r="Y907" s="263"/>
      <c r="Z907" s="263"/>
      <c r="AA907" s="263"/>
      <c r="AB907" s="109"/>
      <c r="AC907" s="109"/>
      <c r="AD907" s="109"/>
      <c r="AE907" s="109"/>
      <c r="AF907" s="109"/>
      <c r="AG907" s="109"/>
      <c r="AH907" s="109"/>
      <c r="AI907" s="109"/>
    </row>
    <row r="908" spans="1:35">
      <c r="A908" s="109"/>
      <c r="B908" s="263"/>
      <c r="C908" s="263"/>
      <c r="D908" s="263"/>
      <c r="E908" s="109"/>
      <c r="F908" s="109"/>
      <c r="G908" s="48"/>
      <c r="H908" s="264"/>
      <c r="I908" s="265"/>
      <c r="J908" s="265"/>
      <c r="K908" s="264"/>
      <c r="L908" s="265"/>
      <c r="M908" s="264"/>
      <c r="N908" s="264"/>
      <c r="O908" s="264"/>
      <c r="P908" s="264"/>
      <c r="Q908" s="263"/>
      <c r="R908" s="263"/>
      <c r="S908" s="263"/>
      <c r="T908" s="263"/>
      <c r="U908" s="263"/>
      <c r="V908" s="109"/>
      <c r="W908" s="263"/>
      <c r="X908" s="263"/>
      <c r="Y908" s="263"/>
      <c r="Z908" s="263"/>
      <c r="AA908" s="263"/>
      <c r="AB908" s="109"/>
      <c r="AC908" s="109"/>
      <c r="AD908" s="109"/>
      <c r="AE908" s="109"/>
      <c r="AF908" s="109"/>
      <c r="AG908" s="109"/>
      <c r="AH908" s="109"/>
      <c r="AI908" s="109"/>
    </row>
    <row r="909" spans="1:35">
      <c r="A909" s="109"/>
      <c r="B909" s="263"/>
      <c r="C909" s="263"/>
      <c r="D909" s="263"/>
      <c r="E909" s="109"/>
      <c r="F909" s="109"/>
      <c r="G909" s="48"/>
      <c r="H909" s="264"/>
      <c r="I909" s="265"/>
      <c r="J909" s="265"/>
      <c r="K909" s="264"/>
      <c r="L909" s="265"/>
      <c r="M909" s="264"/>
      <c r="N909" s="264"/>
      <c r="O909" s="264"/>
      <c r="P909" s="264"/>
      <c r="Q909" s="263"/>
      <c r="R909" s="263"/>
      <c r="S909" s="263"/>
      <c r="T909" s="263"/>
      <c r="U909" s="263"/>
      <c r="V909" s="109"/>
      <c r="W909" s="263"/>
      <c r="X909" s="263"/>
      <c r="Y909" s="263"/>
      <c r="Z909" s="263"/>
      <c r="AA909" s="263"/>
      <c r="AB909" s="109"/>
      <c r="AC909" s="109"/>
      <c r="AD909" s="109"/>
      <c r="AE909" s="109"/>
      <c r="AF909" s="109"/>
      <c r="AG909" s="109"/>
      <c r="AH909" s="109"/>
      <c r="AI909" s="109"/>
    </row>
    <row r="910" spans="1:35">
      <c r="A910" s="109"/>
      <c r="B910" s="263"/>
      <c r="C910" s="263"/>
      <c r="D910" s="263"/>
      <c r="E910" s="109"/>
      <c r="F910" s="109"/>
      <c r="G910" s="48"/>
      <c r="H910" s="264"/>
      <c r="I910" s="265"/>
      <c r="J910" s="265"/>
      <c r="K910" s="264"/>
      <c r="L910" s="265"/>
      <c r="M910" s="264"/>
      <c r="N910" s="264"/>
      <c r="O910" s="264"/>
      <c r="P910" s="264"/>
      <c r="Q910" s="263"/>
      <c r="R910" s="263"/>
      <c r="S910" s="263"/>
      <c r="T910" s="263"/>
      <c r="U910" s="263"/>
      <c r="V910" s="109"/>
      <c r="W910" s="263"/>
      <c r="X910" s="263"/>
      <c r="Y910" s="263"/>
      <c r="Z910" s="263"/>
      <c r="AA910" s="263"/>
      <c r="AB910" s="109"/>
      <c r="AC910" s="109"/>
      <c r="AD910" s="109"/>
      <c r="AE910" s="109"/>
      <c r="AF910" s="109"/>
      <c r="AG910" s="109"/>
      <c r="AH910" s="109"/>
      <c r="AI910" s="109"/>
    </row>
    <row r="911" spans="1:35">
      <c r="A911" s="109"/>
      <c r="B911" s="263"/>
      <c r="C911" s="263"/>
      <c r="D911" s="263"/>
      <c r="E911" s="109"/>
      <c r="F911" s="109"/>
      <c r="G911" s="48"/>
      <c r="H911" s="264"/>
      <c r="I911" s="265"/>
      <c r="J911" s="265"/>
      <c r="K911" s="264"/>
      <c r="L911" s="265"/>
      <c r="M911" s="264"/>
      <c r="N911" s="264"/>
      <c r="O911" s="264"/>
      <c r="P911" s="264"/>
      <c r="Q911" s="263"/>
      <c r="R911" s="263"/>
      <c r="S911" s="263"/>
      <c r="T911" s="263"/>
      <c r="U911" s="263"/>
      <c r="V911" s="109"/>
      <c r="W911" s="263"/>
      <c r="X911" s="263"/>
      <c r="Y911" s="263"/>
      <c r="Z911" s="263"/>
      <c r="AA911" s="263"/>
      <c r="AB911" s="109"/>
      <c r="AC911" s="109"/>
      <c r="AD911" s="109"/>
      <c r="AE911" s="109"/>
      <c r="AF911" s="109"/>
      <c r="AG911" s="109"/>
      <c r="AH911" s="109"/>
      <c r="AI911" s="109"/>
    </row>
    <row r="912" spans="1:35">
      <c r="A912" s="109"/>
      <c r="B912" s="263"/>
      <c r="C912" s="263"/>
      <c r="D912" s="263"/>
      <c r="E912" s="109"/>
      <c r="F912" s="109"/>
      <c r="G912" s="48"/>
      <c r="H912" s="264"/>
      <c r="I912" s="265"/>
      <c r="J912" s="265"/>
      <c r="K912" s="264"/>
      <c r="L912" s="265"/>
      <c r="M912" s="264"/>
      <c r="N912" s="264"/>
      <c r="O912" s="264"/>
      <c r="P912" s="264"/>
      <c r="Q912" s="263"/>
      <c r="R912" s="263"/>
      <c r="S912" s="263"/>
      <c r="T912" s="263"/>
      <c r="U912" s="263"/>
      <c r="V912" s="109"/>
      <c r="W912" s="263"/>
      <c r="X912" s="263"/>
      <c r="Y912" s="263"/>
      <c r="Z912" s="263"/>
      <c r="AA912" s="263"/>
      <c r="AB912" s="109"/>
      <c r="AC912" s="109"/>
      <c r="AD912" s="109"/>
      <c r="AE912" s="109"/>
      <c r="AF912" s="109"/>
      <c r="AG912" s="109"/>
      <c r="AH912" s="109"/>
      <c r="AI912" s="109"/>
    </row>
    <row r="913" spans="1:35">
      <c r="A913" s="109"/>
      <c r="B913" s="263"/>
      <c r="C913" s="263"/>
      <c r="D913" s="263"/>
      <c r="E913" s="109"/>
      <c r="F913" s="109"/>
      <c r="G913" s="48"/>
      <c r="H913" s="264"/>
      <c r="I913" s="265"/>
      <c r="J913" s="265"/>
      <c r="K913" s="264"/>
      <c r="L913" s="265"/>
      <c r="M913" s="264"/>
      <c r="N913" s="264"/>
      <c r="O913" s="264"/>
      <c r="P913" s="264"/>
      <c r="Q913" s="263"/>
      <c r="R913" s="263"/>
      <c r="S913" s="263"/>
      <c r="T913" s="263"/>
      <c r="U913" s="263"/>
      <c r="V913" s="109"/>
      <c r="W913" s="263"/>
      <c r="X913" s="263"/>
      <c r="Y913" s="263"/>
      <c r="Z913" s="263"/>
      <c r="AA913" s="263"/>
      <c r="AB913" s="109"/>
      <c r="AC913" s="109"/>
      <c r="AD913" s="109"/>
      <c r="AE913" s="109"/>
      <c r="AF913" s="109"/>
      <c r="AG913" s="109"/>
      <c r="AH913" s="109"/>
      <c r="AI913" s="109"/>
    </row>
    <row r="914" spans="1:35">
      <c r="A914" s="109"/>
      <c r="B914" s="263"/>
      <c r="C914" s="263"/>
      <c r="D914" s="263"/>
      <c r="E914" s="109"/>
      <c r="F914" s="109"/>
      <c r="G914" s="48"/>
      <c r="H914" s="264"/>
      <c r="I914" s="265"/>
      <c r="J914" s="265"/>
      <c r="K914" s="264"/>
      <c r="L914" s="265"/>
      <c r="M914" s="264"/>
      <c r="N914" s="264"/>
      <c r="O914" s="264"/>
      <c r="P914" s="264"/>
      <c r="Q914" s="263"/>
      <c r="R914" s="263"/>
      <c r="S914" s="263"/>
      <c r="T914" s="263"/>
      <c r="U914" s="263"/>
      <c r="V914" s="109"/>
      <c r="W914" s="263"/>
      <c r="X914" s="263"/>
      <c r="Y914" s="263"/>
      <c r="Z914" s="263"/>
      <c r="AA914" s="263"/>
      <c r="AB914" s="109"/>
      <c r="AC914" s="109"/>
      <c r="AD914" s="109"/>
      <c r="AE914" s="109"/>
      <c r="AF914" s="109"/>
      <c r="AG914" s="109"/>
      <c r="AH914" s="109"/>
      <c r="AI914" s="109"/>
    </row>
    <row r="915" spans="1:35">
      <c r="A915" s="109"/>
      <c r="B915" s="263"/>
      <c r="C915" s="263"/>
      <c r="D915" s="263"/>
      <c r="E915" s="109"/>
      <c r="F915" s="109"/>
      <c r="G915" s="48"/>
      <c r="H915" s="264"/>
      <c r="I915" s="265"/>
      <c r="J915" s="265"/>
      <c r="K915" s="264"/>
      <c r="L915" s="265"/>
      <c r="M915" s="264"/>
      <c r="N915" s="264"/>
      <c r="O915" s="264"/>
      <c r="P915" s="264"/>
      <c r="Q915" s="263"/>
      <c r="R915" s="263"/>
      <c r="S915" s="263"/>
      <c r="T915" s="263"/>
      <c r="U915" s="263"/>
      <c r="V915" s="109"/>
      <c r="W915" s="263"/>
      <c r="X915" s="263"/>
      <c r="Y915" s="263"/>
      <c r="Z915" s="263"/>
      <c r="AA915" s="263"/>
      <c r="AB915" s="109"/>
      <c r="AC915" s="109"/>
      <c r="AD915" s="109"/>
      <c r="AE915" s="109"/>
      <c r="AF915" s="109"/>
      <c r="AG915" s="109"/>
      <c r="AH915" s="109"/>
      <c r="AI915" s="109"/>
    </row>
    <row r="916" spans="1:35">
      <c r="A916" s="109"/>
      <c r="B916" s="263"/>
      <c r="C916" s="263"/>
      <c r="D916" s="263"/>
      <c r="E916" s="109"/>
      <c r="F916" s="109"/>
      <c r="G916" s="48"/>
      <c r="H916" s="264"/>
      <c r="I916" s="265"/>
      <c r="J916" s="265"/>
      <c r="K916" s="264"/>
      <c r="L916" s="265"/>
      <c r="M916" s="264"/>
      <c r="N916" s="264"/>
      <c r="O916" s="264"/>
      <c r="P916" s="264"/>
      <c r="Q916" s="263"/>
      <c r="R916" s="263"/>
      <c r="S916" s="263"/>
      <c r="T916" s="263"/>
      <c r="U916" s="263"/>
      <c r="V916" s="109"/>
      <c r="W916" s="263"/>
      <c r="X916" s="263"/>
      <c r="Y916" s="263"/>
      <c r="Z916" s="263"/>
      <c r="AA916" s="263"/>
      <c r="AB916" s="109"/>
      <c r="AC916" s="109"/>
      <c r="AD916" s="109"/>
      <c r="AE916" s="109"/>
      <c r="AF916" s="109"/>
      <c r="AG916" s="109"/>
      <c r="AH916" s="109"/>
      <c r="AI916" s="109"/>
    </row>
    <row r="917" spans="1:35">
      <c r="A917" s="109"/>
      <c r="B917" s="263"/>
      <c r="C917" s="263"/>
      <c r="D917" s="263"/>
      <c r="E917" s="109"/>
      <c r="F917" s="109"/>
      <c r="G917" s="48"/>
      <c r="H917" s="264"/>
      <c r="I917" s="265"/>
      <c r="J917" s="265"/>
      <c r="K917" s="264"/>
      <c r="L917" s="265"/>
      <c r="M917" s="264"/>
      <c r="N917" s="264"/>
      <c r="O917" s="264"/>
      <c r="P917" s="264"/>
      <c r="Q917" s="263"/>
      <c r="R917" s="263"/>
      <c r="S917" s="263"/>
      <c r="T917" s="263"/>
      <c r="U917" s="263"/>
      <c r="V917" s="109"/>
      <c r="W917" s="263"/>
      <c r="X917" s="263"/>
      <c r="Y917" s="263"/>
      <c r="Z917" s="263"/>
      <c r="AA917" s="263"/>
      <c r="AB917" s="109"/>
      <c r="AC917" s="109"/>
      <c r="AD917" s="109"/>
      <c r="AE917" s="109"/>
      <c r="AF917" s="109"/>
      <c r="AG917" s="109"/>
      <c r="AH917" s="109"/>
      <c r="AI917" s="109"/>
    </row>
    <row r="918" spans="1:35">
      <c r="A918" s="109"/>
      <c r="B918" s="263"/>
      <c r="C918" s="263"/>
      <c r="D918" s="263"/>
      <c r="E918" s="109"/>
      <c r="F918" s="109"/>
      <c r="G918" s="48"/>
      <c r="H918" s="264"/>
      <c r="I918" s="265"/>
      <c r="J918" s="265"/>
      <c r="K918" s="264"/>
      <c r="L918" s="265"/>
      <c r="M918" s="264"/>
      <c r="N918" s="264"/>
      <c r="O918" s="264"/>
      <c r="P918" s="264"/>
      <c r="Q918" s="263"/>
      <c r="R918" s="263"/>
      <c r="S918" s="263"/>
      <c r="T918" s="263"/>
      <c r="U918" s="263"/>
      <c r="V918" s="109"/>
      <c r="W918" s="263"/>
      <c r="X918" s="263"/>
      <c r="Y918" s="263"/>
      <c r="Z918" s="263"/>
      <c r="AA918" s="263"/>
      <c r="AB918" s="109"/>
      <c r="AC918" s="109"/>
      <c r="AD918" s="109"/>
      <c r="AE918" s="109"/>
      <c r="AF918" s="109"/>
      <c r="AG918" s="109"/>
      <c r="AH918" s="109"/>
      <c r="AI918" s="109"/>
    </row>
    <row r="919" spans="1:35">
      <c r="A919" s="109"/>
      <c r="B919" s="263"/>
      <c r="C919" s="263"/>
      <c r="D919" s="263"/>
      <c r="E919" s="109"/>
      <c r="F919" s="109"/>
      <c r="G919" s="48"/>
      <c r="H919" s="264"/>
      <c r="I919" s="265"/>
      <c r="J919" s="265"/>
      <c r="K919" s="264"/>
      <c r="L919" s="265"/>
      <c r="M919" s="264"/>
      <c r="N919" s="264"/>
      <c r="O919" s="264"/>
      <c r="P919" s="264"/>
      <c r="Q919" s="263"/>
      <c r="R919" s="263"/>
      <c r="S919" s="263"/>
      <c r="T919" s="263"/>
      <c r="U919" s="263"/>
      <c r="V919" s="109"/>
      <c r="W919" s="263"/>
      <c r="X919" s="263"/>
      <c r="Y919" s="263"/>
      <c r="Z919" s="263"/>
      <c r="AA919" s="263"/>
      <c r="AB919" s="109"/>
      <c r="AC919" s="109"/>
      <c r="AD919" s="109"/>
      <c r="AE919" s="109"/>
      <c r="AF919" s="109"/>
      <c r="AG919" s="109"/>
      <c r="AH919" s="109"/>
      <c r="AI919" s="109"/>
    </row>
    <row r="920" spans="1:35">
      <c r="A920" s="109"/>
      <c r="B920" s="263"/>
      <c r="C920" s="263"/>
      <c r="D920" s="263"/>
      <c r="E920" s="109"/>
      <c r="F920" s="109"/>
      <c r="G920" s="48"/>
      <c r="H920" s="264"/>
      <c r="I920" s="265"/>
      <c r="J920" s="265"/>
      <c r="K920" s="264"/>
      <c r="L920" s="265"/>
      <c r="M920" s="264"/>
      <c r="N920" s="264"/>
      <c r="O920" s="264"/>
      <c r="P920" s="264"/>
      <c r="Q920" s="263"/>
      <c r="R920" s="263"/>
      <c r="S920" s="263"/>
      <c r="T920" s="263"/>
      <c r="U920" s="263"/>
      <c r="V920" s="109"/>
      <c r="W920" s="263"/>
      <c r="X920" s="263"/>
      <c r="Y920" s="263"/>
      <c r="Z920" s="263"/>
      <c r="AA920" s="263"/>
      <c r="AB920" s="109"/>
      <c r="AC920" s="109"/>
      <c r="AD920" s="109"/>
      <c r="AE920" s="109"/>
      <c r="AF920" s="109"/>
      <c r="AG920" s="109"/>
      <c r="AH920" s="109"/>
      <c r="AI920" s="109"/>
    </row>
    <row r="921" spans="1:35">
      <c r="A921" s="109"/>
      <c r="B921" s="263"/>
      <c r="C921" s="263"/>
      <c r="D921" s="263"/>
      <c r="E921" s="109"/>
      <c r="F921" s="109"/>
      <c r="G921" s="48"/>
      <c r="H921" s="264"/>
      <c r="I921" s="265"/>
      <c r="J921" s="265"/>
      <c r="K921" s="264"/>
      <c r="L921" s="265"/>
      <c r="M921" s="264"/>
      <c r="N921" s="264"/>
      <c r="O921" s="264"/>
      <c r="P921" s="264"/>
      <c r="Q921" s="263"/>
      <c r="R921" s="263"/>
      <c r="S921" s="263"/>
      <c r="T921" s="263"/>
      <c r="U921" s="263"/>
      <c r="V921" s="109"/>
      <c r="W921" s="263"/>
      <c r="X921" s="263"/>
      <c r="Y921" s="263"/>
      <c r="Z921" s="263"/>
      <c r="AA921" s="263"/>
      <c r="AB921" s="109"/>
      <c r="AC921" s="109"/>
      <c r="AD921" s="109"/>
      <c r="AE921" s="109"/>
      <c r="AF921" s="109"/>
      <c r="AG921" s="109"/>
      <c r="AH921" s="109"/>
      <c r="AI921" s="109"/>
    </row>
    <row r="922" spans="1:35">
      <c r="A922" s="109"/>
      <c r="B922" s="263"/>
      <c r="C922" s="263"/>
      <c r="D922" s="263"/>
      <c r="E922" s="109"/>
      <c r="F922" s="109"/>
      <c r="G922" s="48"/>
      <c r="H922" s="264"/>
      <c r="I922" s="265"/>
      <c r="J922" s="265"/>
      <c r="K922" s="264"/>
      <c r="L922" s="265"/>
      <c r="M922" s="264"/>
      <c r="N922" s="264"/>
      <c r="O922" s="264"/>
      <c r="P922" s="264"/>
      <c r="Q922" s="263"/>
      <c r="R922" s="263"/>
      <c r="S922" s="263"/>
      <c r="T922" s="263"/>
      <c r="U922" s="263"/>
      <c r="V922" s="109"/>
      <c r="W922" s="263"/>
      <c r="X922" s="263"/>
      <c r="Y922" s="263"/>
      <c r="Z922" s="263"/>
      <c r="AA922" s="263"/>
      <c r="AB922" s="109"/>
      <c r="AC922" s="109"/>
      <c r="AD922" s="109"/>
      <c r="AE922" s="109"/>
      <c r="AF922" s="109"/>
      <c r="AG922" s="109"/>
      <c r="AH922" s="109"/>
      <c r="AI922" s="109"/>
    </row>
    <row r="923" spans="1:35">
      <c r="A923" s="109"/>
      <c r="B923" s="263"/>
      <c r="C923" s="263"/>
      <c r="D923" s="263"/>
      <c r="E923" s="109"/>
      <c r="F923" s="109"/>
      <c r="G923" s="48"/>
      <c r="H923" s="264"/>
      <c r="I923" s="265"/>
      <c r="J923" s="265"/>
      <c r="K923" s="264"/>
      <c r="L923" s="265"/>
      <c r="M923" s="264"/>
      <c r="N923" s="264"/>
      <c r="O923" s="264"/>
      <c r="P923" s="264"/>
      <c r="Q923" s="263"/>
      <c r="R923" s="263"/>
      <c r="S923" s="263"/>
      <c r="T923" s="263"/>
      <c r="U923" s="263"/>
      <c r="V923" s="109"/>
      <c r="W923" s="263"/>
      <c r="X923" s="263"/>
      <c r="Y923" s="263"/>
      <c r="Z923" s="263"/>
      <c r="AA923" s="263"/>
      <c r="AB923" s="109"/>
      <c r="AC923" s="109"/>
      <c r="AD923" s="109"/>
      <c r="AE923" s="109"/>
      <c r="AF923" s="109"/>
      <c r="AG923" s="109"/>
      <c r="AH923" s="109"/>
      <c r="AI923" s="109"/>
    </row>
    <row r="924" spans="1:35">
      <c r="A924" s="109"/>
      <c r="B924" s="263"/>
      <c r="C924" s="263"/>
      <c r="D924" s="263"/>
      <c r="E924" s="109"/>
      <c r="F924" s="109"/>
      <c r="G924" s="48"/>
      <c r="H924" s="264"/>
      <c r="I924" s="265"/>
      <c r="J924" s="265"/>
      <c r="K924" s="264"/>
      <c r="L924" s="265"/>
      <c r="M924" s="264"/>
      <c r="N924" s="264"/>
      <c r="O924" s="264"/>
      <c r="P924" s="264"/>
      <c r="Q924" s="263"/>
      <c r="R924" s="263"/>
      <c r="S924" s="263"/>
      <c r="T924" s="263"/>
      <c r="U924" s="263"/>
      <c r="V924" s="109"/>
      <c r="W924" s="263"/>
      <c r="X924" s="263"/>
      <c r="Y924" s="263"/>
      <c r="Z924" s="263"/>
      <c r="AA924" s="263"/>
      <c r="AB924" s="109"/>
      <c r="AC924" s="109"/>
      <c r="AD924" s="109"/>
      <c r="AE924" s="109"/>
      <c r="AF924" s="109"/>
      <c r="AG924" s="109"/>
      <c r="AH924" s="109"/>
      <c r="AI924" s="109"/>
    </row>
    <row r="925" spans="1:35">
      <c r="A925" s="109"/>
      <c r="B925" s="263"/>
      <c r="C925" s="263"/>
      <c r="D925" s="263"/>
      <c r="E925" s="109"/>
      <c r="F925" s="109"/>
      <c r="G925" s="48"/>
      <c r="H925" s="264"/>
      <c r="I925" s="265"/>
      <c r="J925" s="265"/>
      <c r="K925" s="264"/>
      <c r="L925" s="265"/>
      <c r="M925" s="264"/>
      <c r="N925" s="264"/>
      <c r="O925" s="264"/>
      <c r="P925" s="264"/>
      <c r="Q925" s="263"/>
      <c r="R925" s="263"/>
      <c r="S925" s="263"/>
      <c r="T925" s="263"/>
      <c r="U925" s="263"/>
      <c r="V925" s="109"/>
      <c r="W925" s="263"/>
      <c r="X925" s="263"/>
      <c r="Y925" s="263"/>
      <c r="Z925" s="263"/>
      <c r="AA925" s="263"/>
      <c r="AB925" s="109"/>
      <c r="AC925" s="109"/>
      <c r="AD925" s="109"/>
      <c r="AE925" s="109"/>
      <c r="AF925" s="109"/>
      <c r="AG925" s="109"/>
      <c r="AH925" s="109"/>
      <c r="AI925" s="109"/>
    </row>
    <row r="926" spans="1:35">
      <c r="A926" s="109"/>
      <c r="B926" s="263"/>
      <c r="C926" s="263"/>
      <c r="D926" s="263"/>
      <c r="E926" s="109"/>
      <c r="F926" s="109"/>
      <c r="G926" s="48"/>
      <c r="H926" s="264"/>
      <c r="I926" s="265"/>
      <c r="J926" s="265"/>
      <c r="K926" s="264"/>
      <c r="L926" s="265"/>
      <c r="M926" s="264"/>
      <c r="N926" s="264"/>
      <c r="O926" s="264"/>
      <c r="P926" s="264"/>
      <c r="Q926" s="263"/>
      <c r="R926" s="263"/>
      <c r="S926" s="263"/>
      <c r="T926" s="263"/>
      <c r="U926" s="263"/>
      <c r="V926" s="109"/>
      <c r="W926" s="263"/>
      <c r="X926" s="263"/>
      <c r="Y926" s="263"/>
      <c r="Z926" s="263"/>
      <c r="AA926" s="263"/>
      <c r="AB926" s="109"/>
      <c r="AC926" s="109"/>
      <c r="AD926" s="109"/>
      <c r="AE926" s="109"/>
      <c r="AF926" s="109"/>
      <c r="AG926" s="109"/>
      <c r="AH926" s="109"/>
      <c r="AI926" s="109"/>
    </row>
    <row r="927" spans="1:35">
      <c r="A927" s="109"/>
      <c r="B927" s="263"/>
      <c r="C927" s="263"/>
      <c r="D927" s="263"/>
      <c r="E927" s="109"/>
      <c r="F927" s="109"/>
      <c r="G927" s="48"/>
      <c r="H927" s="264"/>
      <c r="I927" s="265"/>
      <c r="J927" s="265"/>
      <c r="K927" s="264"/>
      <c r="L927" s="265"/>
      <c r="M927" s="264"/>
      <c r="N927" s="264"/>
      <c r="O927" s="264"/>
      <c r="P927" s="264"/>
      <c r="Q927" s="263"/>
      <c r="R927" s="263"/>
      <c r="S927" s="263"/>
      <c r="T927" s="263"/>
      <c r="U927" s="263"/>
      <c r="V927" s="109"/>
      <c r="W927" s="263"/>
      <c r="X927" s="263"/>
      <c r="Y927" s="263"/>
      <c r="Z927" s="263"/>
      <c r="AA927" s="263"/>
      <c r="AB927" s="109"/>
      <c r="AC927" s="109"/>
      <c r="AD927" s="109"/>
      <c r="AE927" s="109"/>
      <c r="AF927" s="109"/>
      <c r="AG927" s="109"/>
      <c r="AH927" s="109"/>
      <c r="AI927" s="109"/>
    </row>
    <row r="928" spans="1:35">
      <c r="A928" s="109"/>
      <c r="B928" s="263"/>
      <c r="C928" s="263"/>
      <c r="D928" s="263"/>
      <c r="E928" s="109"/>
      <c r="F928" s="109"/>
      <c r="G928" s="48"/>
      <c r="H928" s="264"/>
      <c r="I928" s="265"/>
      <c r="J928" s="265"/>
      <c r="K928" s="264"/>
      <c r="L928" s="265"/>
      <c r="M928" s="264"/>
      <c r="N928" s="264"/>
      <c r="O928" s="264"/>
      <c r="P928" s="264"/>
      <c r="Q928" s="263"/>
      <c r="R928" s="263"/>
      <c r="S928" s="263"/>
      <c r="T928" s="263"/>
      <c r="U928" s="263"/>
      <c r="V928" s="109"/>
      <c r="W928" s="263"/>
      <c r="X928" s="263"/>
      <c r="Y928" s="263"/>
      <c r="Z928" s="263"/>
      <c r="AA928" s="263"/>
      <c r="AB928" s="109"/>
      <c r="AC928" s="109"/>
      <c r="AD928" s="109"/>
      <c r="AE928" s="109"/>
      <c r="AF928" s="109"/>
      <c r="AG928" s="109"/>
      <c r="AH928" s="109"/>
      <c r="AI928" s="109"/>
    </row>
    <row r="929" spans="1:35">
      <c r="A929" s="109"/>
      <c r="B929" s="263"/>
      <c r="C929" s="263"/>
      <c r="D929" s="263"/>
      <c r="E929" s="109"/>
      <c r="F929" s="109"/>
      <c r="G929" s="48"/>
      <c r="H929" s="264"/>
      <c r="I929" s="265"/>
      <c r="J929" s="265"/>
      <c r="K929" s="264"/>
      <c r="L929" s="265"/>
      <c r="M929" s="264"/>
      <c r="N929" s="264"/>
      <c r="O929" s="264"/>
      <c r="P929" s="264"/>
      <c r="Q929" s="263"/>
      <c r="R929" s="263"/>
      <c r="S929" s="263"/>
      <c r="T929" s="263"/>
      <c r="U929" s="263"/>
      <c r="V929" s="109"/>
      <c r="W929" s="263"/>
      <c r="X929" s="263"/>
      <c r="Y929" s="263"/>
      <c r="Z929" s="263"/>
      <c r="AA929" s="263"/>
      <c r="AB929" s="109"/>
      <c r="AC929" s="109"/>
      <c r="AD929" s="109"/>
      <c r="AE929" s="109"/>
      <c r="AF929" s="109"/>
      <c r="AG929" s="109"/>
      <c r="AH929" s="109"/>
      <c r="AI929" s="109"/>
    </row>
    <row r="930" spans="1:35">
      <c r="A930" s="109"/>
      <c r="B930" s="263"/>
      <c r="C930" s="263"/>
      <c r="D930" s="263"/>
      <c r="E930" s="109"/>
      <c r="F930" s="109"/>
      <c r="G930" s="48"/>
      <c r="H930" s="264"/>
      <c r="I930" s="265"/>
      <c r="J930" s="265"/>
      <c r="K930" s="264"/>
      <c r="L930" s="265"/>
      <c r="M930" s="264"/>
      <c r="N930" s="264"/>
      <c r="O930" s="264"/>
      <c r="P930" s="264"/>
      <c r="Q930" s="263"/>
      <c r="R930" s="263"/>
      <c r="S930" s="263"/>
      <c r="T930" s="263"/>
      <c r="U930" s="263"/>
      <c r="V930" s="109"/>
      <c r="W930" s="263"/>
      <c r="X930" s="263"/>
      <c r="Y930" s="263"/>
      <c r="Z930" s="263"/>
      <c r="AA930" s="263"/>
      <c r="AB930" s="109"/>
      <c r="AC930" s="109"/>
      <c r="AD930" s="109"/>
      <c r="AE930" s="109"/>
      <c r="AF930" s="109"/>
      <c r="AG930" s="109"/>
      <c r="AH930" s="109"/>
      <c r="AI930" s="109"/>
    </row>
    <row r="931" spans="1:35">
      <c r="A931" s="109"/>
      <c r="B931" s="263"/>
      <c r="C931" s="263"/>
      <c r="D931" s="263"/>
      <c r="E931" s="109"/>
      <c r="F931" s="109"/>
      <c r="G931" s="48"/>
      <c r="H931" s="264"/>
      <c r="I931" s="265"/>
      <c r="J931" s="265"/>
      <c r="K931" s="264"/>
      <c r="L931" s="265"/>
      <c r="M931" s="264"/>
      <c r="N931" s="264"/>
      <c r="O931" s="264"/>
      <c r="P931" s="264"/>
      <c r="Q931" s="263"/>
      <c r="R931" s="263"/>
      <c r="S931" s="263"/>
      <c r="T931" s="263"/>
      <c r="U931" s="263"/>
      <c r="V931" s="109"/>
      <c r="W931" s="263"/>
      <c r="X931" s="263"/>
      <c r="Y931" s="263"/>
      <c r="Z931" s="263"/>
      <c r="AA931" s="263"/>
      <c r="AB931" s="109"/>
      <c r="AC931" s="109"/>
      <c r="AD931" s="109"/>
      <c r="AE931" s="109"/>
      <c r="AF931" s="109"/>
      <c r="AG931" s="109"/>
      <c r="AH931" s="109"/>
      <c r="AI931" s="109"/>
    </row>
    <row r="932" spans="1:35">
      <c r="A932" s="109"/>
      <c r="B932" s="263"/>
      <c r="C932" s="263"/>
      <c r="D932" s="263"/>
      <c r="E932" s="109"/>
      <c r="F932" s="109"/>
      <c r="G932" s="48"/>
      <c r="H932" s="264"/>
      <c r="I932" s="265"/>
      <c r="J932" s="265"/>
      <c r="K932" s="264"/>
      <c r="L932" s="265"/>
      <c r="M932" s="264"/>
      <c r="N932" s="264"/>
      <c r="O932" s="264"/>
      <c r="P932" s="264"/>
      <c r="Q932" s="263"/>
      <c r="R932" s="263"/>
      <c r="S932" s="263"/>
      <c r="T932" s="263"/>
      <c r="U932" s="263"/>
      <c r="V932" s="109"/>
      <c r="W932" s="263"/>
      <c r="X932" s="263"/>
      <c r="Y932" s="263"/>
      <c r="Z932" s="263"/>
      <c r="AA932" s="263"/>
      <c r="AB932" s="109"/>
      <c r="AC932" s="109"/>
      <c r="AD932" s="109"/>
      <c r="AE932" s="109"/>
      <c r="AF932" s="109"/>
      <c r="AG932" s="109"/>
      <c r="AH932" s="109"/>
      <c r="AI932" s="109"/>
    </row>
    <row r="933" spans="1:35">
      <c r="A933" s="109"/>
      <c r="B933" s="263"/>
      <c r="C933" s="263"/>
      <c r="D933" s="263"/>
      <c r="E933" s="109"/>
      <c r="F933" s="109"/>
      <c r="G933" s="48"/>
      <c r="H933" s="264"/>
      <c r="I933" s="265"/>
      <c r="J933" s="265"/>
      <c r="K933" s="264"/>
      <c r="L933" s="265"/>
      <c r="M933" s="264"/>
      <c r="N933" s="264"/>
      <c r="O933" s="264"/>
      <c r="P933" s="264"/>
      <c r="Q933" s="263"/>
      <c r="R933" s="263"/>
      <c r="S933" s="263"/>
      <c r="T933" s="263"/>
      <c r="U933" s="263"/>
      <c r="V933" s="109"/>
      <c r="W933" s="263"/>
      <c r="X933" s="263"/>
      <c r="Y933" s="263"/>
      <c r="Z933" s="263"/>
      <c r="AA933" s="263"/>
      <c r="AB933" s="109"/>
      <c r="AC933" s="109"/>
      <c r="AD933" s="109"/>
      <c r="AE933" s="109"/>
      <c r="AF933" s="109"/>
      <c r="AG933" s="109"/>
      <c r="AH933" s="109"/>
      <c r="AI933" s="109"/>
    </row>
    <row r="934" spans="1:35">
      <c r="A934" s="109"/>
      <c r="B934" s="263"/>
      <c r="C934" s="263"/>
      <c r="D934" s="263"/>
      <c r="E934" s="109"/>
      <c r="F934" s="109"/>
      <c r="G934" s="48"/>
      <c r="H934" s="264"/>
      <c r="I934" s="265"/>
      <c r="J934" s="265"/>
      <c r="K934" s="264"/>
      <c r="L934" s="265"/>
      <c r="M934" s="264"/>
      <c r="N934" s="264"/>
      <c r="O934" s="264"/>
      <c r="P934" s="264"/>
      <c r="Q934" s="263"/>
      <c r="R934" s="263"/>
      <c r="S934" s="263"/>
      <c r="T934" s="263"/>
      <c r="U934" s="263"/>
      <c r="V934" s="109"/>
      <c r="W934" s="263"/>
      <c r="X934" s="263"/>
      <c r="Y934" s="263"/>
      <c r="Z934" s="263"/>
      <c r="AA934" s="263"/>
      <c r="AB934" s="109"/>
      <c r="AC934" s="109"/>
      <c r="AD934" s="109"/>
      <c r="AE934" s="109"/>
      <c r="AF934" s="109"/>
      <c r="AG934" s="109"/>
      <c r="AH934" s="109"/>
      <c r="AI934" s="109"/>
    </row>
    <row r="935" spans="1:35">
      <c r="A935" s="109"/>
      <c r="B935" s="263"/>
      <c r="C935" s="263"/>
      <c r="D935" s="263"/>
      <c r="E935" s="109"/>
      <c r="F935" s="109"/>
      <c r="G935" s="48"/>
      <c r="H935" s="264"/>
      <c r="I935" s="265"/>
      <c r="J935" s="265"/>
      <c r="K935" s="264"/>
      <c r="L935" s="265"/>
      <c r="M935" s="264"/>
      <c r="N935" s="264"/>
      <c r="O935" s="264"/>
      <c r="P935" s="264"/>
      <c r="Q935" s="263"/>
      <c r="R935" s="263"/>
      <c r="S935" s="263"/>
      <c r="T935" s="263"/>
      <c r="U935" s="263"/>
      <c r="V935" s="109"/>
      <c r="W935" s="263"/>
      <c r="X935" s="263"/>
      <c r="Y935" s="263"/>
      <c r="Z935" s="263"/>
      <c r="AA935" s="263"/>
      <c r="AB935" s="109"/>
      <c r="AC935" s="109"/>
      <c r="AD935" s="109"/>
      <c r="AE935" s="109"/>
      <c r="AF935" s="109"/>
      <c r="AG935" s="109"/>
      <c r="AH935" s="109"/>
      <c r="AI935" s="109"/>
    </row>
    <row r="936" spans="1:35">
      <c r="A936" s="109"/>
      <c r="B936" s="263"/>
      <c r="C936" s="263"/>
      <c r="D936" s="263"/>
      <c r="E936" s="109"/>
      <c r="F936" s="109"/>
      <c r="G936" s="48"/>
      <c r="H936" s="264"/>
      <c r="I936" s="265"/>
      <c r="J936" s="265"/>
      <c r="K936" s="264"/>
      <c r="L936" s="265"/>
      <c r="M936" s="264"/>
      <c r="N936" s="264"/>
      <c r="O936" s="264"/>
      <c r="P936" s="264"/>
      <c r="Q936" s="263"/>
      <c r="R936" s="263"/>
      <c r="S936" s="263"/>
      <c r="T936" s="263"/>
      <c r="U936" s="263"/>
      <c r="V936" s="109"/>
      <c r="W936" s="263"/>
      <c r="X936" s="263"/>
      <c r="Y936" s="263"/>
      <c r="Z936" s="263"/>
      <c r="AA936" s="263"/>
      <c r="AB936" s="109"/>
      <c r="AC936" s="109"/>
      <c r="AD936" s="109"/>
      <c r="AE936" s="109"/>
      <c r="AF936" s="109"/>
      <c r="AG936" s="109"/>
      <c r="AH936" s="109"/>
      <c r="AI936" s="109"/>
    </row>
    <row r="937" spans="1:35">
      <c r="A937" s="109"/>
      <c r="B937" s="263"/>
      <c r="C937" s="263"/>
      <c r="D937" s="263"/>
      <c r="E937" s="109"/>
      <c r="F937" s="109"/>
      <c r="G937" s="48"/>
      <c r="H937" s="264"/>
      <c r="I937" s="265"/>
      <c r="J937" s="265"/>
      <c r="K937" s="264"/>
      <c r="L937" s="265"/>
      <c r="M937" s="264"/>
      <c r="N937" s="264"/>
      <c r="O937" s="264"/>
      <c r="P937" s="264"/>
      <c r="Q937" s="263"/>
      <c r="R937" s="263"/>
      <c r="S937" s="263"/>
      <c r="T937" s="263"/>
      <c r="U937" s="263"/>
      <c r="V937" s="109"/>
      <c r="W937" s="263"/>
      <c r="X937" s="263"/>
      <c r="Y937" s="263"/>
      <c r="Z937" s="263"/>
      <c r="AA937" s="263"/>
      <c r="AB937" s="109"/>
      <c r="AC937" s="109"/>
      <c r="AD937" s="109"/>
      <c r="AE937" s="109"/>
      <c r="AF937" s="109"/>
      <c r="AG937" s="109"/>
      <c r="AH937" s="109"/>
      <c r="AI937" s="109"/>
    </row>
    <row r="938" spans="1:35">
      <c r="A938" s="109"/>
      <c r="B938" s="263"/>
      <c r="C938" s="263"/>
      <c r="D938" s="263"/>
      <c r="E938" s="109"/>
      <c r="F938" s="109"/>
      <c r="G938" s="48"/>
      <c r="H938" s="264"/>
      <c r="I938" s="265"/>
      <c r="J938" s="265"/>
      <c r="K938" s="264"/>
      <c r="L938" s="265"/>
      <c r="M938" s="264"/>
      <c r="N938" s="264"/>
      <c r="O938" s="264"/>
      <c r="P938" s="264"/>
      <c r="Q938" s="263"/>
      <c r="R938" s="263"/>
      <c r="S938" s="263"/>
      <c r="T938" s="263"/>
      <c r="U938" s="263"/>
      <c r="V938" s="109"/>
      <c r="W938" s="263"/>
      <c r="X938" s="263"/>
      <c r="Y938" s="263"/>
      <c r="Z938" s="263"/>
      <c r="AA938" s="263"/>
      <c r="AB938" s="109"/>
      <c r="AC938" s="109"/>
      <c r="AD938" s="109"/>
      <c r="AE938" s="109"/>
      <c r="AF938" s="109"/>
      <c r="AG938" s="109"/>
      <c r="AH938" s="109"/>
      <c r="AI938" s="109"/>
    </row>
    <row r="939" spans="1:35">
      <c r="A939" s="109"/>
      <c r="B939" s="263"/>
      <c r="C939" s="263"/>
      <c r="D939" s="263"/>
      <c r="E939" s="109"/>
      <c r="F939" s="109"/>
      <c r="G939" s="48"/>
      <c r="H939" s="264"/>
      <c r="I939" s="265"/>
      <c r="J939" s="265"/>
      <c r="K939" s="264"/>
      <c r="L939" s="265"/>
      <c r="M939" s="264"/>
      <c r="N939" s="264"/>
      <c r="O939" s="264"/>
      <c r="P939" s="264"/>
      <c r="Q939" s="263"/>
      <c r="R939" s="263"/>
      <c r="S939" s="263"/>
      <c r="T939" s="263"/>
      <c r="U939" s="263"/>
      <c r="V939" s="109"/>
      <c r="W939" s="263"/>
      <c r="X939" s="263"/>
      <c r="Y939" s="263"/>
      <c r="Z939" s="263"/>
      <c r="AA939" s="263"/>
      <c r="AB939" s="109"/>
      <c r="AC939" s="109"/>
      <c r="AD939" s="109"/>
      <c r="AE939" s="109"/>
      <c r="AF939" s="109"/>
      <c r="AG939" s="109"/>
      <c r="AH939" s="109"/>
      <c r="AI939" s="109"/>
    </row>
    <row r="940" spans="1:35">
      <c r="A940" s="109"/>
      <c r="B940" s="263"/>
      <c r="C940" s="263"/>
      <c r="D940" s="263"/>
      <c r="E940" s="109"/>
      <c r="F940" s="109"/>
      <c r="G940" s="48"/>
      <c r="H940" s="264"/>
      <c r="I940" s="265"/>
      <c r="J940" s="265"/>
      <c r="K940" s="264"/>
      <c r="L940" s="265"/>
      <c r="M940" s="264"/>
      <c r="N940" s="264"/>
      <c r="O940" s="264"/>
      <c r="P940" s="264"/>
      <c r="Q940" s="263"/>
      <c r="R940" s="263"/>
      <c r="S940" s="263"/>
      <c r="T940" s="263"/>
      <c r="U940" s="263"/>
      <c r="V940" s="109"/>
      <c r="W940" s="263"/>
      <c r="X940" s="263"/>
      <c r="Y940" s="263"/>
      <c r="Z940" s="263"/>
      <c r="AA940" s="263"/>
      <c r="AB940" s="109"/>
      <c r="AC940" s="109"/>
      <c r="AD940" s="109"/>
      <c r="AE940" s="109"/>
      <c r="AF940" s="109"/>
      <c r="AG940" s="109"/>
      <c r="AH940" s="109"/>
      <c r="AI940" s="109"/>
    </row>
    <row r="941" spans="1:35">
      <c r="A941" s="109"/>
      <c r="B941" s="263"/>
      <c r="C941" s="263"/>
      <c r="D941" s="263"/>
      <c r="E941" s="109"/>
      <c r="F941" s="109"/>
      <c r="G941" s="48"/>
      <c r="H941" s="264"/>
      <c r="I941" s="265"/>
      <c r="J941" s="265"/>
      <c r="K941" s="264"/>
      <c r="L941" s="265"/>
      <c r="M941" s="264"/>
      <c r="N941" s="264"/>
      <c r="O941" s="264"/>
      <c r="P941" s="264"/>
      <c r="Q941" s="263"/>
      <c r="R941" s="263"/>
      <c r="S941" s="263"/>
      <c r="T941" s="263"/>
      <c r="U941" s="263"/>
      <c r="V941" s="109"/>
      <c r="W941" s="263"/>
      <c r="X941" s="263"/>
      <c r="Y941" s="263"/>
      <c r="Z941" s="263"/>
      <c r="AA941" s="263"/>
      <c r="AB941" s="109"/>
      <c r="AC941" s="109"/>
      <c r="AD941" s="109"/>
      <c r="AE941" s="109"/>
      <c r="AF941" s="109"/>
      <c r="AG941" s="109"/>
      <c r="AH941" s="109"/>
      <c r="AI941" s="109"/>
    </row>
    <row r="942" spans="1:35">
      <c r="A942" s="109"/>
      <c r="B942" s="263"/>
      <c r="C942" s="263"/>
      <c r="D942" s="263"/>
      <c r="E942" s="109"/>
      <c r="F942" s="109"/>
      <c r="G942" s="48"/>
      <c r="H942" s="264"/>
      <c r="I942" s="265"/>
      <c r="J942" s="265"/>
      <c r="K942" s="264"/>
      <c r="L942" s="265"/>
      <c r="M942" s="264"/>
      <c r="N942" s="264"/>
      <c r="O942" s="264"/>
      <c r="P942" s="264"/>
      <c r="Q942" s="263"/>
      <c r="R942" s="263"/>
      <c r="S942" s="263"/>
      <c r="T942" s="263"/>
      <c r="U942" s="263"/>
      <c r="V942" s="109"/>
      <c r="W942" s="263"/>
      <c r="X942" s="263"/>
      <c r="Y942" s="263"/>
      <c r="Z942" s="263"/>
      <c r="AA942" s="263"/>
      <c r="AB942" s="109"/>
      <c r="AC942" s="109"/>
      <c r="AD942" s="109"/>
      <c r="AE942" s="109"/>
      <c r="AF942" s="109"/>
      <c r="AG942" s="109"/>
      <c r="AH942" s="109"/>
      <c r="AI942" s="109"/>
    </row>
    <row r="943" spans="1:35">
      <c r="A943" s="109"/>
      <c r="B943" s="263"/>
      <c r="C943" s="263"/>
      <c r="D943" s="263"/>
      <c r="E943" s="109"/>
      <c r="F943" s="109"/>
      <c r="G943" s="48"/>
      <c r="H943" s="264"/>
      <c r="I943" s="265"/>
      <c r="J943" s="265"/>
      <c r="K943" s="264"/>
      <c r="L943" s="265"/>
      <c r="M943" s="264"/>
      <c r="N943" s="264"/>
      <c r="O943" s="264"/>
      <c r="P943" s="264"/>
      <c r="Q943" s="263"/>
      <c r="R943" s="263"/>
      <c r="S943" s="263"/>
      <c r="T943" s="263"/>
      <c r="U943" s="263"/>
      <c r="V943" s="109"/>
      <c r="W943" s="263"/>
      <c r="X943" s="263"/>
      <c r="Y943" s="263"/>
      <c r="Z943" s="263"/>
      <c r="AA943" s="263"/>
      <c r="AB943" s="109"/>
      <c r="AC943" s="109"/>
      <c r="AD943" s="109"/>
      <c r="AE943" s="109"/>
      <c r="AF943" s="109"/>
      <c r="AG943" s="109"/>
      <c r="AH943" s="109"/>
      <c r="AI943" s="109"/>
    </row>
    <row r="944" spans="1:35">
      <c r="A944" s="109"/>
      <c r="B944" s="263"/>
      <c r="C944" s="263"/>
      <c r="D944" s="263"/>
      <c r="E944" s="109"/>
      <c r="F944" s="109"/>
      <c r="G944" s="48"/>
      <c r="H944" s="264"/>
      <c r="I944" s="265"/>
      <c r="J944" s="265"/>
      <c r="K944" s="264"/>
      <c r="L944" s="265"/>
      <c r="M944" s="264"/>
      <c r="N944" s="264"/>
      <c r="O944" s="264"/>
      <c r="P944" s="264"/>
      <c r="Q944" s="263"/>
      <c r="R944" s="263"/>
      <c r="S944" s="263"/>
      <c r="T944" s="263"/>
      <c r="U944" s="263"/>
      <c r="V944" s="109"/>
      <c r="W944" s="263"/>
      <c r="X944" s="263"/>
      <c r="Y944" s="263"/>
      <c r="Z944" s="263"/>
      <c r="AA944" s="263"/>
      <c r="AB944" s="109"/>
      <c r="AC944" s="109"/>
      <c r="AD944" s="109"/>
      <c r="AE944" s="109"/>
      <c r="AF944" s="109"/>
      <c r="AG944" s="109"/>
      <c r="AH944" s="109"/>
      <c r="AI944" s="109"/>
    </row>
    <row r="945" spans="1:35">
      <c r="A945" s="109"/>
      <c r="B945" s="263"/>
      <c r="C945" s="263"/>
      <c r="D945" s="263"/>
      <c r="E945" s="109"/>
      <c r="F945" s="109"/>
      <c r="G945" s="48"/>
      <c r="H945" s="264"/>
      <c r="I945" s="265"/>
      <c r="J945" s="265"/>
      <c r="K945" s="264"/>
      <c r="L945" s="265"/>
      <c r="M945" s="264"/>
      <c r="N945" s="264"/>
      <c r="O945" s="264"/>
      <c r="P945" s="264"/>
      <c r="Q945" s="263"/>
      <c r="R945" s="263"/>
      <c r="S945" s="263"/>
      <c r="T945" s="263"/>
      <c r="U945" s="263"/>
      <c r="V945" s="109"/>
      <c r="W945" s="263"/>
      <c r="X945" s="263"/>
      <c r="Y945" s="263"/>
      <c r="Z945" s="263"/>
      <c r="AA945" s="263"/>
      <c r="AB945" s="109"/>
      <c r="AC945" s="109"/>
      <c r="AD945" s="109"/>
      <c r="AE945" s="109"/>
      <c r="AF945" s="109"/>
      <c r="AG945" s="109"/>
      <c r="AH945" s="109"/>
      <c r="AI945" s="109"/>
    </row>
    <row r="946" spans="1:35">
      <c r="A946" s="109"/>
      <c r="B946" s="263"/>
      <c r="C946" s="263"/>
      <c r="D946" s="263"/>
      <c r="E946" s="109"/>
      <c r="F946" s="109"/>
      <c r="G946" s="48"/>
      <c r="H946" s="264"/>
      <c r="I946" s="265"/>
      <c r="J946" s="265"/>
      <c r="K946" s="264"/>
      <c r="L946" s="265"/>
      <c r="M946" s="264"/>
      <c r="N946" s="264"/>
      <c r="O946" s="264"/>
      <c r="P946" s="264"/>
      <c r="Q946" s="263"/>
      <c r="R946" s="263"/>
      <c r="S946" s="263"/>
      <c r="T946" s="263"/>
      <c r="U946" s="263"/>
      <c r="V946" s="109"/>
      <c r="W946" s="263"/>
      <c r="X946" s="263"/>
      <c r="Y946" s="263"/>
      <c r="Z946" s="263"/>
      <c r="AA946" s="263"/>
      <c r="AB946" s="109"/>
      <c r="AC946" s="109"/>
      <c r="AD946" s="109"/>
      <c r="AE946" s="109"/>
      <c r="AF946" s="109"/>
      <c r="AG946" s="109"/>
      <c r="AH946" s="109"/>
      <c r="AI946" s="109"/>
    </row>
    <row r="947" spans="1:35">
      <c r="A947" s="109"/>
      <c r="B947" s="263"/>
      <c r="C947" s="263"/>
      <c r="D947" s="263"/>
      <c r="E947" s="109"/>
      <c r="F947" s="109"/>
      <c r="G947" s="48"/>
      <c r="H947" s="264"/>
      <c r="I947" s="265"/>
      <c r="J947" s="265"/>
      <c r="K947" s="264"/>
      <c r="L947" s="265"/>
      <c r="M947" s="264"/>
      <c r="N947" s="264"/>
      <c r="O947" s="264"/>
      <c r="P947" s="264"/>
      <c r="Q947" s="263"/>
      <c r="R947" s="263"/>
      <c r="S947" s="263"/>
      <c r="T947" s="263"/>
      <c r="U947" s="263"/>
      <c r="V947" s="109"/>
      <c r="W947" s="263"/>
      <c r="X947" s="263"/>
      <c r="Y947" s="263"/>
      <c r="Z947" s="263"/>
      <c r="AA947" s="263"/>
      <c r="AB947" s="109"/>
      <c r="AC947" s="109"/>
      <c r="AD947" s="109"/>
      <c r="AE947" s="109"/>
      <c r="AF947" s="109"/>
      <c r="AG947" s="109"/>
      <c r="AH947" s="109"/>
      <c r="AI947" s="109"/>
    </row>
    <row r="948" spans="1:35">
      <c r="A948" s="109"/>
      <c r="B948" s="263"/>
      <c r="C948" s="263"/>
      <c r="D948" s="263"/>
      <c r="E948" s="109"/>
      <c r="F948" s="109"/>
      <c r="G948" s="48"/>
      <c r="H948" s="264"/>
      <c r="I948" s="265"/>
      <c r="J948" s="265"/>
      <c r="K948" s="264"/>
      <c r="L948" s="265"/>
      <c r="M948" s="264"/>
      <c r="N948" s="264"/>
      <c r="O948" s="264"/>
      <c r="P948" s="264"/>
      <c r="Q948" s="263"/>
      <c r="R948" s="263"/>
      <c r="S948" s="263"/>
      <c r="T948" s="263"/>
      <c r="U948" s="263"/>
      <c r="V948" s="109"/>
      <c r="W948" s="263"/>
      <c r="X948" s="263"/>
      <c r="Y948" s="263"/>
      <c r="Z948" s="263"/>
      <c r="AA948" s="263"/>
      <c r="AB948" s="109"/>
      <c r="AC948" s="109"/>
      <c r="AD948" s="109"/>
      <c r="AE948" s="109"/>
      <c r="AF948" s="109"/>
      <c r="AG948" s="109"/>
      <c r="AH948" s="109"/>
      <c r="AI948" s="109"/>
    </row>
    <row r="949" spans="1:35">
      <c r="A949" s="109"/>
      <c r="B949" s="263"/>
      <c r="C949" s="263"/>
      <c r="D949" s="263"/>
      <c r="E949" s="109"/>
      <c r="F949" s="109"/>
      <c r="G949" s="48"/>
      <c r="H949" s="264"/>
      <c r="I949" s="265"/>
      <c r="J949" s="265"/>
      <c r="K949" s="264"/>
      <c r="L949" s="265"/>
      <c r="M949" s="264"/>
      <c r="N949" s="264"/>
      <c r="O949" s="264"/>
      <c r="P949" s="264"/>
      <c r="Q949" s="263"/>
      <c r="R949" s="263"/>
      <c r="S949" s="263"/>
      <c r="T949" s="263"/>
      <c r="U949" s="263"/>
      <c r="V949" s="109"/>
      <c r="W949" s="263"/>
      <c r="X949" s="263"/>
      <c r="Y949" s="263"/>
      <c r="Z949" s="263"/>
      <c r="AA949" s="263"/>
      <c r="AB949" s="109"/>
      <c r="AC949" s="109"/>
      <c r="AD949" s="109"/>
      <c r="AE949" s="109"/>
      <c r="AF949" s="109"/>
      <c r="AG949" s="109"/>
      <c r="AH949" s="109"/>
      <c r="AI949" s="109"/>
    </row>
    <row r="950" spans="1:35">
      <c r="A950" s="109"/>
      <c r="B950" s="263"/>
      <c r="C950" s="263"/>
      <c r="D950" s="263"/>
      <c r="E950" s="109"/>
      <c r="F950" s="109"/>
      <c r="G950" s="48"/>
      <c r="H950" s="264"/>
      <c r="I950" s="265"/>
      <c r="J950" s="265"/>
      <c r="K950" s="264"/>
      <c r="L950" s="265"/>
      <c r="M950" s="264"/>
      <c r="N950" s="264"/>
      <c r="O950" s="264"/>
      <c r="P950" s="264"/>
      <c r="Q950" s="263"/>
      <c r="R950" s="263"/>
      <c r="S950" s="263"/>
      <c r="T950" s="263"/>
      <c r="U950" s="263"/>
      <c r="V950" s="109"/>
      <c r="W950" s="263"/>
      <c r="X950" s="263"/>
      <c r="Y950" s="263"/>
      <c r="Z950" s="263"/>
      <c r="AA950" s="263"/>
      <c r="AB950" s="109"/>
      <c r="AC950" s="109"/>
      <c r="AD950" s="109"/>
      <c r="AE950" s="109"/>
      <c r="AF950" s="109"/>
      <c r="AG950" s="109"/>
      <c r="AH950" s="109"/>
      <c r="AI950" s="109"/>
    </row>
    <row r="951" spans="1:35">
      <c r="A951" s="109"/>
      <c r="B951" s="263"/>
      <c r="C951" s="263"/>
      <c r="D951" s="263"/>
      <c r="E951" s="109"/>
      <c r="F951" s="109"/>
      <c r="G951" s="48"/>
      <c r="H951" s="264"/>
      <c r="I951" s="265"/>
      <c r="J951" s="265"/>
      <c r="K951" s="264"/>
      <c r="L951" s="265"/>
      <c r="M951" s="264"/>
      <c r="N951" s="264"/>
      <c r="O951" s="264"/>
      <c r="P951" s="264"/>
      <c r="Q951" s="263"/>
      <c r="R951" s="263"/>
      <c r="S951" s="263"/>
      <c r="T951" s="263"/>
      <c r="U951" s="263"/>
      <c r="V951" s="109"/>
      <c r="W951" s="263"/>
      <c r="X951" s="263"/>
      <c r="Y951" s="263"/>
      <c r="Z951" s="263"/>
      <c r="AA951" s="263"/>
      <c r="AB951" s="109"/>
      <c r="AC951" s="109"/>
      <c r="AD951" s="109"/>
      <c r="AE951" s="109"/>
      <c r="AF951" s="109"/>
      <c r="AG951" s="109"/>
      <c r="AH951" s="109"/>
      <c r="AI951" s="109"/>
    </row>
    <row r="952" spans="1:35">
      <c r="A952" s="109"/>
      <c r="B952" s="263"/>
      <c r="C952" s="263"/>
      <c r="D952" s="263"/>
      <c r="E952" s="109"/>
      <c r="F952" s="109"/>
      <c r="G952" s="48"/>
      <c r="H952" s="264"/>
      <c r="I952" s="265"/>
      <c r="J952" s="265"/>
      <c r="K952" s="264"/>
      <c r="L952" s="265"/>
      <c r="M952" s="264"/>
      <c r="N952" s="264"/>
      <c r="O952" s="264"/>
      <c r="P952" s="264"/>
      <c r="Q952" s="263"/>
      <c r="R952" s="263"/>
      <c r="S952" s="263"/>
      <c r="T952" s="263"/>
      <c r="U952" s="263"/>
      <c r="V952" s="109"/>
      <c r="W952" s="263"/>
      <c r="X952" s="263"/>
      <c r="Y952" s="263"/>
      <c r="Z952" s="263"/>
      <c r="AA952" s="263"/>
      <c r="AB952" s="109"/>
      <c r="AC952" s="109"/>
      <c r="AD952" s="109"/>
      <c r="AE952" s="109"/>
      <c r="AF952" s="109"/>
      <c r="AG952" s="109"/>
      <c r="AH952" s="109"/>
      <c r="AI952" s="109"/>
    </row>
    <row r="953" spans="1:35">
      <c r="A953" s="109"/>
      <c r="B953" s="263"/>
      <c r="C953" s="263"/>
      <c r="D953" s="263"/>
      <c r="E953" s="109"/>
      <c r="F953" s="109"/>
      <c r="G953" s="48"/>
      <c r="H953" s="264"/>
      <c r="I953" s="265"/>
      <c r="J953" s="265"/>
      <c r="K953" s="264"/>
      <c r="L953" s="265"/>
      <c r="M953" s="264"/>
      <c r="N953" s="264"/>
      <c r="O953" s="264"/>
      <c r="P953" s="264"/>
      <c r="Q953" s="263"/>
      <c r="R953" s="263"/>
      <c r="S953" s="263"/>
      <c r="T953" s="263"/>
      <c r="U953" s="263"/>
      <c r="V953" s="109"/>
      <c r="W953" s="263"/>
      <c r="X953" s="263"/>
      <c r="Y953" s="263"/>
      <c r="Z953" s="263"/>
      <c r="AA953" s="263"/>
      <c r="AB953" s="109"/>
      <c r="AC953" s="109"/>
      <c r="AD953" s="109"/>
      <c r="AE953" s="109"/>
      <c r="AF953" s="109"/>
      <c r="AG953" s="109"/>
      <c r="AH953" s="109"/>
      <c r="AI953" s="109"/>
    </row>
    <row r="954" spans="1:35">
      <c r="A954" s="109"/>
      <c r="B954" s="263"/>
      <c r="C954" s="263"/>
      <c r="D954" s="263"/>
      <c r="E954" s="109"/>
      <c r="F954" s="109"/>
      <c r="G954" s="48"/>
      <c r="H954" s="264"/>
      <c r="I954" s="265"/>
      <c r="J954" s="265"/>
      <c r="K954" s="264"/>
      <c r="L954" s="265"/>
      <c r="M954" s="264"/>
      <c r="N954" s="264"/>
      <c r="O954" s="264"/>
      <c r="P954" s="264"/>
      <c r="Q954" s="263"/>
      <c r="R954" s="263"/>
      <c r="S954" s="263"/>
      <c r="T954" s="263"/>
      <c r="U954" s="263"/>
      <c r="V954" s="109"/>
      <c r="W954" s="263"/>
      <c r="X954" s="263"/>
      <c r="Y954" s="263"/>
      <c r="Z954" s="263"/>
      <c r="AA954" s="263"/>
      <c r="AB954" s="109"/>
      <c r="AC954" s="109"/>
      <c r="AD954" s="109"/>
      <c r="AE954" s="109"/>
      <c r="AF954" s="109"/>
      <c r="AG954" s="109"/>
      <c r="AH954" s="109"/>
      <c r="AI954" s="109"/>
    </row>
    <row r="955" spans="1:35">
      <c r="A955" s="109"/>
      <c r="B955" s="263"/>
      <c r="C955" s="263"/>
      <c r="D955" s="263"/>
      <c r="E955" s="109"/>
      <c r="F955" s="109"/>
      <c r="G955" s="48"/>
      <c r="H955" s="264"/>
      <c r="I955" s="265"/>
      <c r="J955" s="265"/>
      <c r="K955" s="264"/>
      <c r="L955" s="265"/>
      <c r="M955" s="264"/>
      <c r="N955" s="264"/>
      <c r="O955" s="264"/>
      <c r="P955" s="264"/>
      <c r="Q955" s="263"/>
      <c r="R955" s="263"/>
      <c r="S955" s="263"/>
      <c r="T955" s="263"/>
      <c r="U955" s="263"/>
      <c r="V955" s="109"/>
      <c r="W955" s="263"/>
      <c r="X955" s="263"/>
      <c r="Y955" s="263"/>
      <c r="Z955" s="263"/>
      <c r="AA955" s="263"/>
      <c r="AB955" s="109"/>
      <c r="AC955" s="109"/>
      <c r="AD955" s="109"/>
      <c r="AE955" s="109"/>
      <c r="AF955" s="109"/>
      <c r="AG955" s="109"/>
      <c r="AH955" s="109"/>
      <c r="AI955" s="109"/>
    </row>
    <row r="956" spans="1:35">
      <c r="A956" s="109"/>
      <c r="B956" s="263"/>
      <c r="C956" s="263"/>
      <c r="D956" s="263"/>
      <c r="E956" s="109"/>
      <c r="F956" s="109"/>
      <c r="G956" s="48"/>
      <c r="H956" s="264"/>
      <c r="I956" s="265"/>
      <c r="J956" s="265"/>
      <c r="K956" s="264"/>
      <c r="L956" s="265"/>
      <c r="M956" s="264"/>
      <c r="N956" s="264"/>
      <c r="O956" s="264"/>
      <c r="P956" s="264"/>
      <c r="Q956" s="263"/>
      <c r="R956" s="263"/>
      <c r="S956" s="263"/>
      <c r="T956" s="263"/>
      <c r="U956" s="263"/>
      <c r="V956" s="109"/>
      <c r="W956" s="263"/>
      <c r="X956" s="263"/>
      <c r="Y956" s="263"/>
      <c r="Z956" s="263"/>
      <c r="AA956" s="263"/>
      <c r="AB956" s="109"/>
      <c r="AC956" s="109"/>
      <c r="AD956" s="109"/>
      <c r="AE956" s="109"/>
      <c r="AF956" s="109"/>
      <c r="AG956" s="109"/>
      <c r="AH956" s="109"/>
      <c r="AI956" s="109"/>
    </row>
    <row r="957" spans="1:35">
      <c r="A957" s="109"/>
      <c r="B957" s="263"/>
      <c r="C957" s="263"/>
      <c r="D957" s="263"/>
      <c r="E957" s="109"/>
      <c r="F957" s="109"/>
      <c r="G957" s="48"/>
      <c r="H957" s="264"/>
      <c r="I957" s="265"/>
      <c r="J957" s="265"/>
      <c r="K957" s="264"/>
      <c r="L957" s="265"/>
      <c r="M957" s="264"/>
      <c r="N957" s="264"/>
      <c r="O957" s="264"/>
      <c r="P957" s="264"/>
      <c r="Q957" s="263"/>
      <c r="R957" s="263"/>
      <c r="S957" s="263"/>
      <c r="T957" s="263"/>
      <c r="U957" s="263"/>
      <c r="V957" s="109"/>
      <c r="W957" s="263"/>
      <c r="X957" s="263"/>
      <c r="Y957" s="263"/>
      <c r="Z957" s="263"/>
      <c r="AA957" s="263"/>
      <c r="AB957" s="109"/>
      <c r="AC957" s="109"/>
      <c r="AD957" s="109"/>
      <c r="AE957" s="109"/>
      <c r="AF957" s="109"/>
      <c r="AG957" s="109"/>
      <c r="AH957" s="109"/>
      <c r="AI957" s="109"/>
    </row>
    <row r="958" spans="1:35">
      <c r="A958" s="109"/>
      <c r="B958" s="263"/>
      <c r="C958" s="263"/>
      <c r="D958" s="263"/>
      <c r="E958" s="109"/>
      <c r="F958" s="109"/>
      <c r="G958" s="48"/>
      <c r="H958" s="264"/>
      <c r="I958" s="265"/>
      <c r="J958" s="265"/>
      <c r="K958" s="264"/>
      <c r="L958" s="265"/>
      <c r="M958" s="264"/>
      <c r="N958" s="264"/>
      <c r="O958" s="264"/>
      <c r="P958" s="264"/>
      <c r="Q958" s="263"/>
      <c r="R958" s="263"/>
      <c r="S958" s="263"/>
      <c r="T958" s="263"/>
      <c r="U958" s="263"/>
      <c r="V958" s="109"/>
      <c r="W958" s="263"/>
      <c r="X958" s="263"/>
      <c r="Y958" s="263"/>
      <c r="Z958" s="263"/>
      <c r="AA958" s="263"/>
      <c r="AB958" s="109"/>
      <c r="AC958" s="109"/>
      <c r="AD958" s="109"/>
      <c r="AE958" s="109"/>
      <c r="AF958" s="109"/>
      <c r="AG958" s="109"/>
      <c r="AH958" s="109"/>
      <c r="AI958" s="109"/>
    </row>
    <row r="959" spans="1:35">
      <c r="A959" s="109"/>
      <c r="B959" s="263"/>
      <c r="C959" s="263"/>
      <c r="D959" s="263"/>
      <c r="E959" s="109"/>
      <c r="F959" s="109"/>
      <c r="G959" s="48"/>
      <c r="H959" s="264"/>
      <c r="I959" s="265"/>
      <c r="J959" s="265"/>
      <c r="K959" s="264"/>
      <c r="L959" s="265"/>
      <c r="M959" s="264"/>
      <c r="N959" s="264"/>
      <c r="O959" s="264"/>
      <c r="P959" s="264"/>
      <c r="Q959" s="263"/>
      <c r="R959" s="263"/>
      <c r="S959" s="263"/>
      <c r="T959" s="263"/>
      <c r="U959" s="263"/>
      <c r="V959" s="109"/>
      <c r="W959" s="263"/>
      <c r="X959" s="263"/>
      <c r="Y959" s="263"/>
      <c r="Z959" s="263"/>
      <c r="AA959" s="263"/>
      <c r="AB959" s="109"/>
      <c r="AC959" s="109"/>
      <c r="AD959" s="109"/>
      <c r="AE959" s="109"/>
      <c r="AF959" s="109"/>
      <c r="AG959" s="109"/>
      <c r="AH959" s="109"/>
      <c r="AI959" s="109"/>
    </row>
    <row r="960" spans="1:35">
      <c r="A960" s="109"/>
      <c r="B960" s="263"/>
      <c r="C960" s="263"/>
      <c r="D960" s="263"/>
      <c r="E960" s="109"/>
      <c r="F960" s="109"/>
      <c r="G960" s="48"/>
      <c r="H960" s="264"/>
      <c r="I960" s="265"/>
      <c r="J960" s="265"/>
      <c r="K960" s="264"/>
      <c r="L960" s="265"/>
      <c r="M960" s="264"/>
      <c r="N960" s="264"/>
      <c r="O960" s="264"/>
      <c r="P960" s="264"/>
      <c r="Q960" s="263"/>
      <c r="R960" s="263"/>
      <c r="S960" s="263"/>
      <c r="T960" s="263"/>
      <c r="U960" s="263"/>
      <c r="V960" s="109"/>
      <c r="W960" s="263"/>
      <c r="X960" s="263"/>
      <c r="Y960" s="263"/>
      <c r="Z960" s="263"/>
      <c r="AA960" s="263"/>
      <c r="AB960" s="109"/>
      <c r="AC960" s="109"/>
      <c r="AD960" s="109"/>
      <c r="AE960" s="109"/>
      <c r="AF960" s="109"/>
      <c r="AG960" s="109"/>
      <c r="AH960" s="109"/>
      <c r="AI960" s="109"/>
    </row>
    <row r="961" spans="1:35">
      <c r="A961" s="109"/>
      <c r="B961" s="263"/>
      <c r="C961" s="263"/>
      <c r="D961" s="263"/>
      <c r="E961" s="109"/>
      <c r="F961" s="109"/>
      <c r="G961" s="48"/>
      <c r="H961" s="264"/>
      <c r="I961" s="265"/>
      <c r="J961" s="265"/>
      <c r="K961" s="264"/>
      <c r="L961" s="265"/>
      <c r="M961" s="264"/>
      <c r="N961" s="264"/>
      <c r="O961" s="264"/>
      <c r="P961" s="264"/>
      <c r="Q961" s="263"/>
      <c r="R961" s="263"/>
      <c r="S961" s="263"/>
      <c r="T961" s="263"/>
      <c r="U961" s="263"/>
      <c r="V961" s="109"/>
      <c r="W961" s="263"/>
      <c r="X961" s="263"/>
      <c r="Y961" s="263"/>
      <c r="Z961" s="263"/>
      <c r="AA961" s="263"/>
      <c r="AB961" s="109"/>
      <c r="AC961" s="109"/>
      <c r="AD961" s="109"/>
      <c r="AE961" s="109"/>
      <c r="AF961" s="109"/>
      <c r="AG961" s="109"/>
      <c r="AH961" s="109"/>
      <c r="AI961" s="109"/>
    </row>
    <row r="962" spans="1:35">
      <c r="A962" s="109"/>
      <c r="B962" s="263"/>
      <c r="C962" s="263"/>
      <c r="D962" s="263"/>
      <c r="E962" s="109"/>
      <c r="F962" s="109"/>
      <c r="G962" s="48"/>
      <c r="H962" s="264"/>
      <c r="I962" s="265"/>
      <c r="J962" s="265"/>
      <c r="K962" s="264"/>
      <c r="L962" s="265"/>
      <c r="M962" s="264"/>
      <c r="N962" s="264"/>
      <c r="O962" s="264"/>
      <c r="P962" s="264"/>
      <c r="Q962" s="263"/>
      <c r="R962" s="263"/>
      <c r="S962" s="263"/>
      <c r="T962" s="263"/>
      <c r="U962" s="263"/>
      <c r="V962" s="109"/>
      <c r="W962" s="263"/>
      <c r="X962" s="263"/>
      <c r="Y962" s="263"/>
      <c r="Z962" s="263"/>
      <c r="AA962" s="263"/>
      <c r="AB962" s="109"/>
      <c r="AC962" s="109"/>
      <c r="AD962" s="109"/>
      <c r="AE962" s="109"/>
      <c r="AF962" s="109"/>
      <c r="AG962" s="109"/>
      <c r="AH962" s="109"/>
      <c r="AI962" s="109"/>
    </row>
    <row r="963" spans="1:35">
      <c r="A963" s="109"/>
      <c r="B963" s="263"/>
      <c r="C963" s="263"/>
      <c r="D963" s="263"/>
      <c r="E963" s="109"/>
      <c r="F963" s="109"/>
      <c r="G963" s="48"/>
      <c r="H963" s="264"/>
      <c r="I963" s="265"/>
      <c r="J963" s="265"/>
      <c r="K963" s="264"/>
      <c r="L963" s="265"/>
      <c r="M963" s="264"/>
      <c r="N963" s="264"/>
      <c r="O963" s="264"/>
      <c r="P963" s="264"/>
      <c r="Q963" s="263"/>
      <c r="R963" s="263"/>
      <c r="S963" s="263"/>
      <c r="T963" s="263"/>
      <c r="U963" s="263"/>
      <c r="V963" s="109"/>
      <c r="W963" s="263"/>
      <c r="X963" s="263"/>
      <c r="Y963" s="263"/>
      <c r="Z963" s="263"/>
      <c r="AA963" s="263"/>
      <c r="AB963" s="109"/>
      <c r="AC963" s="109"/>
      <c r="AD963" s="109"/>
      <c r="AE963" s="109"/>
      <c r="AF963" s="109"/>
      <c r="AG963" s="109"/>
      <c r="AH963" s="109"/>
      <c r="AI963" s="109"/>
    </row>
    <row r="964" spans="1:35">
      <c r="A964" s="109"/>
      <c r="B964" s="263"/>
      <c r="C964" s="263"/>
      <c r="D964" s="263"/>
      <c r="E964" s="109"/>
      <c r="F964" s="109"/>
      <c r="G964" s="48"/>
      <c r="H964" s="264"/>
      <c r="I964" s="265"/>
      <c r="J964" s="265"/>
      <c r="K964" s="264"/>
      <c r="L964" s="265"/>
      <c r="M964" s="264"/>
      <c r="N964" s="264"/>
      <c r="O964" s="264"/>
      <c r="P964" s="264"/>
      <c r="Q964" s="263"/>
      <c r="R964" s="263"/>
      <c r="S964" s="263"/>
      <c r="T964" s="263"/>
      <c r="U964" s="263"/>
      <c r="V964" s="109"/>
      <c r="W964" s="263"/>
      <c r="X964" s="263"/>
      <c r="Y964" s="263"/>
      <c r="Z964" s="263"/>
      <c r="AA964" s="263"/>
      <c r="AB964" s="109"/>
      <c r="AC964" s="109"/>
      <c r="AD964" s="109"/>
      <c r="AE964" s="109"/>
      <c r="AF964" s="109"/>
      <c r="AG964" s="109"/>
      <c r="AH964" s="109"/>
      <c r="AI964" s="109"/>
    </row>
    <row r="965" spans="1:35">
      <c r="A965" s="109"/>
      <c r="B965" s="263"/>
      <c r="C965" s="263"/>
      <c r="D965" s="263"/>
      <c r="E965" s="109"/>
      <c r="F965" s="109"/>
      <c r="G965" s="48"/>
      <c r="H965" s="264"/>
      <c r="I965" s="265"/>
      <c r="J965" s="265"/>
      <c r="K965" s="264"/>
      <c r="L965" s="265"/>
      <c r="M965" s="264"/>
      <c r="N965" s="264"/>
      <c r="O965" s="264"/>
      <c r="P965" s="264"/>
      <c r="Q965" s="263"/>
      <c r="R965" s="263"/>
      <c r="S965" s="263"/>
      <c r="T965" s="263"/>
      <c r="U965" s="263"/>
      <c r="V965" s="109"/>
      <c r="W965" s="263"/>
      <c r="X965" s="263"/>
      <c r="Y965" s="263"/>
      <c r="Z965" s="263"/>
      <c r="AA965" s="263"/>
      <c r="AB965" s="109"/>
      <c r="AC965" s="109"/>
      <c r="AD965" s="109"/>
      <c r="AE965" s="109"/>
      <c r="AF965" s="109"/>
      <c r="AG965" s="109"/>
      <c r="AH965" s="109"/>
      <c r="AI965" s="109"/>
    </row>
    <row r="966" spans="1:35">
      <c r="A966" s="109"/>
      <c r="B966" s="263"/>
      <c r="C966" s="263"/>
      <c r="D966" s="263"/>
      <c r="E966" s="109"/>
      <c r="F966" s="109"/>
      <c r="G966" s="48"/>
      <c r="H966" s="264"/>
      <c r="I966" s="265"/>
      <c r="J966" s="265"/>
      <c r="K966" s="264"/>
      <c r="L966" s="265"/>
      <c r="M966" s="264"/>
      <c r="N966" s="264"/>
      <c r="O966" s="264"/>
      <c r="P966" s="264"/>
      <c r="Q966" s="263"/>
      <c r="R966" s="263"/>
      <c r="S966" s="263"/>
      <c r="T966" s="263"/>
      <c r="U966" s="263"/>
      <c r="V966" s="109"/>
      <c r="W966" s="263"/>
      <c r="X966" s="263"/>
      <c r="Y966" s="263"/>
      <c r="Z966" s="263"/>
      <c r="AA966" s="263"/>
      <c r="AB966" s="109"/>
      <c r="AC966" s="109"/>
      <c r="AD966" s="109"/>
      <c r="AE966" s="109"/>
      <c r="AF966" s="109"/>
      <c r="AG966" s="109"/>
      <c r="AH966" s="109"/>
      <c r="AI966" s="109"/>
    </row>
    <row r="967" spans="1:35">
      <c r="A967" s="109"/>
      <c r="B967" s="263"/>
      <c r="C967" s="263"/>
      <c r="D967" s="263"/>
      <c r="E967" s="109"/>
      <c r="F967" s="109"/>
      <c r="G967" s="48"/>
      <c r="H967" s="264"/>
      <c r="I967" s="265"/>
      <c r="J967" s="265"/>
      <c r="K967" s="264"/>
      <c r="L967" s="265"/>
      <c r="M967" s="264"/>
      <c r="N967" s="264"/>
      <c r="O967" s="264"/>
      <c r="P967" s="264"/>
      <c r="Q967" s="263"/>
      <c r="R967" s="263"/>
      <c r="S967" s="263"/>
      <c r="T967" s="263"/>
      <c r="U967" s="263"/>
      <c r="V967" s="109"/>
      <c r="W967" s="263"/>
      <c r="X967" s="263"/>
      <c r="Y967" s="263"/>
      <c r="Z967" s="263"/>
      <c r="AA967" s="263"/>
      <c r="AB967" s="109"/>
      <c r="AC967" s="109"/>
      <c r="AD967" s="109"/>
      <c r="AE967" s="109"/>
      <c r="AF967" s="109"/>
      <c r="AG967" s="109"/>
      <c r="AH967" s="109"/>
      <c r="AI967" s="109"/>
    </row>
    <row r="968" spans="1:35">
      <c r="A968" s="109"/>
      <c r="B968" s="263"/>
      <c r="C968" s="263"/>
      <c r="D968" s="263"/>
      <c r="E968" s="109"/>
      <c r="F968" s="109"/>
      <c r="G968" s="48"/>
      <c r="H968" s="264"/>
      <c r="I968" s="265"/>
      <c r="J968" s="265"/>
      <c r="K968" s="264"/>
      <c r="L968" s="265"/>
      <c r="M968" s="264"/>
      <c r="N968" s="264"/>
      <c r="O968" s="264"/>
      <c r="P968" s="264"/>
      <c r="Q968" s="263"/>
      <c r="R968" s="263"/>
      <c r="S968" s="263"/>
      <c r="T968" s="263"/>
      <c r="U968" s="263"/>
      <c r="V968" s="109"/>
      <c r="W968" s="263"/>
      <c r="X968" s="263"/>
      <c r="Y968" s="263"/>
      <c r="Z968" s="263"/>
      <c r="AA968" s="263"/>
      <c r="AB968" s="109"/>
      <c r="AC968" s="109"/>
      <c r="AD968" s="109"/>
      <c r="AE968" s="109"/>
      <c r="AF968" s="109"/>
      <c r="AG968" s="109"/>
      <c r="AH968" s="109"/>
      <c r="AI968" s="109"/>
    </row>
    <row r="969" spans="1:35">
      <c r="A969" s="109"/>
      <c r="B969" s="263"/>
      <c r="C969" s="263"/>
      <c r="D969" s="263"/>
      <c r="E969" s="109"/>
      <c r="F969" s="109"/>
      <c r="G969" s="48"/>
      <c r="H969" s="264"/>
      <c r="I969" s="265"/>
      <c r="J969" s="265"/>
      <c r="K969" s="264"/>
      <c r="L969" s="265"/>
      <c r="M969" s="264"/>
      <c r="N969" s="264"/>
      <c r="O969" s="264"/>
      <c r="P969" s="264"/>
      <c r="Q969" s="263"/>
      <c r="R969" s="263"/>
      <c r="S969" s="263"/>
      <c r="T969" s="263"/>
      <c r="U969" s="263"/>
      <c r="V969" s="109"/>
      <c r="W969" s="263"/>
      <c r="X969" s="263"/>
      <c r="Y969" s="263"/>
      <c r="Z969" s="263"/>
      <c r="AA969" s="263"/>
      <c r="AB969" s="109"/>
      <c r="AC969" s="109"/>
      <c r="AD969" s="109"/>
      <c r="AE969" s="109"/>
      <c r="AF969" s="109"/>
      <c r="AG969" s="109"/>
      <c r="AH969" s="109"/>
      <c r="AI969" s="109"/>
    </row>
    <row r="970" spans="1:35">
      <c r="A970" s="109"/>
      <c r="B970" s="263"/>
      <c r="C970" s="263"/>
      <c r="D970" s="263"/>
      <c r="E970" s="109"/>
      <c r="F970" s="109"/>
      <c r="G970" s="48"/>
      <c r="H970" s="264"/>
      <c r="I970" s="265"/>
      <c r="J970" s="265"/>
      <c r="K970" s="264"/>
      <c r="L970" s="265"/>
      <c r="M970" s="264"/>
      <c r="N970" s="264"/>
      <c r="O970" s="264"/>
      <c r="P970" s="264"/>
      <c r="Q970" s="263"/>
      <c r="R970" s="263"/>
      <c r="S970" s="263"/>
      <c r="T970" s="263"/>
      <c r="U970" s="263"/>
      <c r="V970" s="109"/>
      <c r="W970" s="263"/>
      <c r="X970" s="263"/>
      <c r="Y970" s="263"/>
      <c r="Z970" s="263"/>
      <c r="AA970" s="263"/>
      <c r="AB970" s="109"/>
      <c r="AC970" s="109"/>
      <c r="AD970" s="109"/>
      <c r="AE970" s="109"/>
      <c r="AF970" s="109"/>
      <c r="AG970" s="109"/>
      <c r="AH970" s="109"/>
      <c r="AI970" s="109"/>
    </row>
    <row r="971" spans="1:35">
      <c r="A971" s="109"/>
      <c r="B971" s="263"/>
      <c r="C971" s="263"/>
      <c r="D971" s="263"/>
      <c r="E971" s="109"/>
      <c r="F971" s="109"/>
      <c r="G971" s="48"/>
      <c r="H971" s="264"/>
      <c r="I971" s="265"/>
      <c r="J971" s="265"/>
      <c r="K971" s="264"/>
      <c r="L971" s="265"/>
      <c r="M971" s="264"/>
      <c r="N971" s="264"/>
      <c r="O971" s="264"/>
      <c r="P971" s="264"/>
      <c r="Q971" s="263"/>
      <c r="R971" s="263"/>
      <c r="S971" s="263"/>
      <c r="T971" s="263"/>
      <c r="U971" s="263"/>
      <c r="V971" s="109"/>
      <c r="W971" s="263"/>
      <c r="X971" s="263"/>
      <c r="Y971" s="263"/>
      <c r="Z971" s="263"/>
      <c r="AA971" s="263"/>
      <c r="AB971" s="109"/>
      <c r="AC971" s="109"/>
      <c r="AD971" s="109"/>
      <c r="AE971" s="109"/>
      <c r="AF971" s="109"/>
      <c r="AG971" s="109"/>
      <c r="AH971" s="109"/>
      <c r="AI971" s="109"/>
    </row>
    <row r="972" spans="1:35">
      <c r="A972" s="109"/>
      <c r="B972" s="263"/>
      <c r="C972" s="263"/>
      <c r="D972" s="263"/>
      <c r="E972" s="109"/>
      <c r="F972" s="109"/>
      <c r="G972" s="48"/>
      <c r="H972" s="264"/>
      <c r="I972" s="265"/>
      <c r="J972" s="265"/>
      <c r="K972" s="264"/>
      <c r="L972" s="265"/>
      <c r="M972" s="264"/>
      <c r="N972" s="264"/>
      <c r="O972" s="264"/>
      <c r="P972" s="264"/>
      <c r="Q972" s="263"/>
      <c r="R972" s="263"/>
      <c r="S972" s="263"/>
      <c r="T972" s="263"/>
      <c r="U972" s="263"/>
      <c r="V972" s="109"/>
      <c r="W972" s="263"/>
      <c r="X972" s="263"/>
      <c r="Y972" s="263"/>
      <c r="Z972" s="263"/>
      <c r="AA972" s="263"/>
      <c r="AB972" s="109"/>
      <c r="AC972" s="109"/>
      <c r="AD972" s="109"/>
      <c r="AE972" s="109"/>
      <c r="AF972" s="109"/>
      <c r="AG972" s="109"/>
      <c r="AH972" s="109"/>
      <c r="AI972" s="109"/>
    </row>
    <row r="973" spans="1:35">
      <c r="A973" s="109"/>
      <c r="B973" s="263"/>
      <c r="C973" s="263"/>
      <c r="D973" s="263"/>
      <c r="E973" s="109"/>
      <c r="F973" s="109"/>
      <c r="G973" s="48"/>
      <c r="H973" s="264"/>
      <c r="I973" s="265"/>
      <c r="J973" s="265"/>
      <c r="K973" s="264"/>
      <c r="L973" s="265"/>
      <c r="M973" s="264"/>
      <c r="N973" s="264"/>
      <c r="O973" s="264"/>
      <c r="P973" s="264"/>
      <c r="Q973" s="263"/>
      <c r="R973" s="263"/>
      <c r="S973" s="263"/>
      <c r="T973" s="263"/>
      <c r="U973" s="263"/>
      <c r="V973" s="109"/>
      <c r="W973" s="263"/>
      <c r="X973" s="263"/>
      <c r="Y973" s="263"/>
      <c r="Z973" s="263"/>
      <c r="AA973" s="263"/>
      <c r="AB973" s="109"/>
      <c r="AC973" s="109"/>
      <c r="AD973" s="109"/>
      <c r="AE973" s="109"/>
      <c r="AF973" s="109"/>
      <c r="AG973" s="109"/>
      <c r="AH973" s="109"/>
      <c r="AI973" s="109"/>
    </row>
    <row r="974" spans="1:35">
      <c r="A974" s="109"/>
      <c r="B974" s="263"/>
      <c r="C974" s="263"/>
      <c r="D974" s="263"/>
      <c r="E974" s="109"/>
      <c r="F974" s="109"/>
      <c r="G974" s="48"/>
      <c r="H974" s="264"/>
      <c r="I974" s="265"/>
      <c r="J974" s="265"/>
      <c r="K974" s="264"/>
      <c r="L974" s="265"/>
      <c r="M974" s="264"/>
      <c r="N974" s="264"/>
      <c r="O974" s="264"/>
      <c r="P974" s="264"/>
      <c r="Q974" s="263"/>
      <c r="R974" s="263"/>
      <c r="S974" s="263"/>
      <c r="T974" s="263"/>
      <c r="U974" s="263"/>
      <c r="V974" s="109"/>
      <c r="W974" s="263"/>
      <c r="X974" s="263"/>
      <c r="Y974" s="263"/>
      <c r="Z974" s="263"/>
      <c r="AA974" s="263"/>
      <c r="AB974" s="109"/>
      <c r="AC974" s="109"/>
      <c r="AD974" s="109"/>
      <c r="AE974" s="109"/>
      <c r="AF974" s="109"/>
      <c r="AG974" s="109"/>
      <c r="AH974" s="109"/>
      <c r="AI974" s="109"/>
    </row>
    <row r="975" spans="1:35">
      <c r="A975" s="109"/>
      <c r="B975" s="263"/>
      <c r="C975" s="263"/>
      <c r="D975" s="263"/>
      <c r="E975" s="109"/>
      <c r="F975" s="109"/>
      <c r="G975" s="48"/>
      <c r="H975" s="264"/>
      <c r="I975" s="265"/>
      <c r="J975" s="265"/>
      <c r="K975" s="264"/>
      <c r="L975" s="265"/>
      <c r="M975" s="264"/>
      <c r="N975" s="264"/>
      <c r="O975" s="264"/>
      <c r="P975" s="264"/>
      <c r="Q975" s="263"/>
      <c r="R975" s="263"/>
      <c r="S975" s="263"/>
      <c r="T975" s="263"/>
      <c r="U975" s="263"/>
      <c r="V975" s="109"/>
      <c r="W975" s="263"/>
      <c r="X975" s="263"/>
      <c r="Y975" s="263"/>
      <c r="Z975" s="263"/>
      <c r="AA975" s="263"/>
      <c r="AB975" s="109"/>
      <c r="AC975" s="109"/>
      <c r="AD975" s="109"/>
      <c r="AE975" s="109"/>
      <c r="AF975" s="109"/>
      <c r="AG975" s="109"/>
      <c r="AH975" s="109"/>
      <c r="AI975" s="109"/>
    </row>
    <row r="976" spans="1:35">
      <c r="A976" s="109"/>
      <c r="B976" s="263"/>
      <c r="C976" s="263"/>
      <c r="D976" s="263"/>
      <c r="E976" s="109"/>
      <c r="F976" s="109"/>
      <c r="G976" s="48"/>
      <c r="H976" s="264"/>
      <c r="I976" s="265"/>
      <c r="J976" s="265"/>
      <c r="K976" s="264"/>
      <c r="L976" s="265"/>
      <c r="M976" s="264"/>
      <c r="N976" s="264"/>
      <c r="O976" s="264"/>
      <c r="P976" s="264"/>
      <c r="Q976" s="263"/>
      <c r="R976" s="263"/>
      <c r="S976" s="263"/>
      <c r="T976" s="263"/>
      <c r="U976" s="263"/>
      <c r="V976" s="109"/>
      <c r="W976" s="263"/>
      <c r="X976" s="263"/>
      <c r="Y976" s="263"/>
      <c r="Z976" s="263"/>
      <c r="AA976" s="263"/>
      <c r="AB976" s="109"/>
      <c r="AC976" s="109"/>
      <c r="AD976" s="109"/>
      <c r="AE976" s="109"/>
      <c r="AF976" s="109"/>
      <c r="AG976" s="109"/>
      <c r="AH976" s="109"/>
      <c r="AI976" s="109"/>
    </row>
    <row r="977" spans="1:35">
      <c r="A977" s="109"/>
      <c r="B977" s="263"/>
      <c r="C977" s="263"/>
      <c r="D977" s="263"/>
      <c r="E977" s="109"/>
      <c r="F977" s="109"/>
      <c r="G977" s="48"/>
      <c r="H977" s="264"/>
      <c r="I977" s="265"/>
      <c r="J977" s="265"/>
      <c r="K977" s="264"/>
      <c r="L977" s="265"/>
      <c r="M977" s="264"/>
      <c r="N977" s="264"/>
      <c r="O977" s="264"/>
      <c r="P977" s="264"/>
      <c r="Q977" s="263"/>
      <c r="R977" s="263"/>
      <c r="S977" s="263"/>
      <c r="T977" s="263"/>
      <c r="U977" s="263"/>
      <c r="V977" s="109"/>
      <c r="W977" s="263"/>
      <c r="X977" s="263"/>
      <c r="Y977" s="263"/>
      <c r="Z977" s="263"/>
      <c r="AA977" s="263"/>
      <c r="AB977" s="109"/>
      <c r="AC977" s="109"/>
      <c r="AD977" s="109"/>
      <c r="AE977" s="109"/>
      <c r="AF977" s="109"/>
      <c r="AG977" s="109"/>
      <c r="AH977" s="109"/>
      <c r="AI977" s="109"/>
    </row>
    <row r="978" spans="1:35">
      <c r="A978" s="109"/>
      <c r="B978" s="263"/>
      <c r="C978" s="263"/>
      <c r="D978" s="263"/>
      <c r="E978" s="109"/>
      <c r="F978" s="109"/>
      <c r="G978" s="48"/>
      <c r="H978" s="264"/>
      <c r="I978" s="265"/>
      <c r="J978" s="265"/>
      <c r="K978" s="264"/>
      <c r="L978" s="265"/>
      <c r="M978" s="264"/>
      <c r="N978" s="264"/>
      <c r="O978" s="264"/>
      <c r="P978" s="264"/>
      <c r="Q978" s="263"/>
      <c r="R978" s="263"/>
      <c r="S978" s="263"/>
      <c r="T978" s="263"/>
      <c r="U978" s="263"/>
      <c r="V978" s="109"/>
      <c r="W978" s="263"/>
      <c r="X978" s="263"/>
      <c r="Y978" s="263"/>
      <c r="Z978" s="263"/>
      <c r="AA978" s="263"/>
      <c r="AB978" s="109"/>
      <c r="AC978" s="109"/>
      <c r="AD978" s="109"/>
      <c r="AE978" s="109"/>
      <c r="AF978" s="109"/>
      <c r="AG978" s="109"/>
      <c r="AH978" s="109"/>
      <c r="AI978" s="109"/>
    </row>
    <row r="979" spans="1:35">
      <c r="A979" s="109"/>
      <c r="B979" s="263"/>
      <c r="C979" s="263"/>
      <c r="D979" s="263"/>
      <c r="E979" s="109"/>
      <c r="F979" s="109"/>
      <c r="G979" s="48"/>
      <c r="H979" s="264"/>
      <c r="I979" s="265"/>
      <c r="J979" s="265"/>
      <c r="K979" s="264"/>
      <c r="L979" s="265"/>
      <c r="M979" s="264"/>
      <c r="N979" s="264"/>
      <c r="O979" s="264"/>
      <c r="P979" s="264"/>
      <c r="Q979" s="263"/>
      <c r="R979" s="263"/>
      <c r="S979" s="263"/>
      <c r="T979" s="263"/>
      <c r="U979" s="263"/>
      <c r="V979" s="109"/>
      <c r="W979" s="263"/>
      <c r="X979" s="263"/>
      <c r="Y979" s="263"/>
      <c r="Z979" s="263"/>
      <c r="AA979" s="263"/>
      <c r="AB979" s="109"/>
      <c r="AC979" s="109"/>
      <c r="AD979" s="109"/>
      <c r="AE979" s="109"/>
      <c r="AF979" s="109"/>
      <c r="AG979" s="109"/>
      <c r="AH979" s="109"/>
      <c r="AI979" s="109"/>
    </row>
    <row r="980" spans="1:35">
      <c r="A980" s="109"/>
      <c r="B980" s="263"/>
      <c r="C980" s="263"/>
      <c r="D980" s="263"/>
      <c r="E980" s="109"/>
      <c r="F980" s="109"/>
      <c r="G980" s="48"/>
      <c r="H980" s="264"/>
      <c r="I980" s="265"/>
      <c r="J980" s="265"/>
      <c r="K980" s="264"/>
      <c r="L980" s="265"/>
      <c r="M980" s="264"/>
      <c r="N980" s="264"/>
      <c r="O980" s="264"/>
      <c r="P980" s="264"/>
      <c r="Q980" s="263"/>
      <c r="R980" s="263"/>
      <c r="S980" s="263"/>
      <c r="T980" s="263"/>
      <c r="U980" s="263"/>
      <c r="V980" s="109"/>
      <c r="W980" s="263"/>
      <c r="X980" s="263"/>
      <c r="Y980" s="263"/>
      <c r="Z980" s="263"/>
      <c r="AA980" s="263"/>
      <c r="AB980" s="109"/>
      <c r="AC980" s="109"/>
      <c r="AD980" s="109"/>
      <c r="AE980" s="109"/>
      <c r="AF980" s="109"/>
      <c r="AG980" s="109"/>
      <c r="AH980" s="109"/>
      <c r="AI980" s="109"/>
    </row>
    <row r="981" spans="1:35">
      <c r="A981" s="109"/>
      <c r="B981" s="263"/>
      <c r="C981" s="263"/>
      <c r="D981" s="263"/>
      <c r="E981" s="109"/>
      <c r="F981" s="109"/>
      <c r="G981" s="48"/>
      <c r="H981" s="264"/>
      <c r="I981" s="265"/>
      <c r="J981" s="265"/>
      <c r="K981" s="264"/>
      <c r="L981" s="265"/>
      <c r="M981" s="264"/>
      <c r="N981" s="264"/>
      <c r="O981" s="264"/>
      <c r="P981" s="264"/>
      <c r="Q981" s="263"/>
      <c r="R981" s="263"/>
      <c r="S981" s="263"/>
      <c r="T981" s="263"/>
      <c r="U981" s="263"/>
      <c r="V981" s="109"/>
      <c r="W981" s="263"/>
      <c r="X981" s="263"/>
      <c r="Y981" s="263"/>
      <c r="Z981" s="263"/>
      <c r="AA981" s="263"/>
      <c r="AB981" s="109"/>
      <c r="AC981" s="109"/>
      <c r="AD981" s="109"/>
      <c r="AE981" s="109"/>
      <c r="AF981" s="109"/>
      <c r="AG981" s="109"/>
      <c r="AH981" s="109"/>
      <c r="AI981" s="109"/>
    </row>
    <row r="982" spans="1:35">
      <c r="A982" s="109"/>
      <c r="B982" s="263"/>
      <c r="C982" s="263"/>
      <c r="D982" s="263"/>
      <c r="E982" s="109"/>
      <c r="F982" s="109"/>
      <c r="G982" s="48"/>
      <c r="H982" s="264"/>
      <c r="I982" s="265"/>
      <c r="J982" s="265"/>
      <c r="K982" s="264"/>
      <c r="L982" s="265"/>
      <c r="M982" s="264"/>
      <c r="N982" s="264"/>
      <c r="O982" s="264"/>
      <c r="P982" s="264"/>
      <c r="Q982" s="263"/>
      <c r="R982" s="263"/>
      <c r="S982" s="263"/>
      <c r="T982" s="263"/>
      <c r="U982" s="263"/>
      <c r="V982" s="109"/>
      <c r="W982" s="263"/>
      <c r="X982" s="263"/>
      <c r="Y982" s="263"/>
      <c r="Z982" s="263"/>
      <c r="AA982" s="263"/>
      <c r="AB982" s="109"/>
      <c r="AC982" s="109"/>
      <c r="AD982" s="109"/>
      <c r="AE982" s="109"/>
      <c r="AF982" s="109"/>
      <c r="AG982" s="109"/>
      <c r="AH982" s="109"/>
      <c r="AI982" s="109"/>
    </row>
    <row r="983" spans="1:35">
      <c r="A983" s="109"/>
      <c r="B983" s="263"/>
      <c r="C983" s="263"/>
      <c r="D983" s="263"/>
      <c r="E983" s="109"/>
      <c r="F983" s="109"/>
      <c r="G983" s="48"/>
      <c r="H983" s="264"/>
      <c r="I983" s="265"/>
      <c r="J983" s="265"/>
      <c r="K983" s="264"/>
      <c r="L983" s="265"/>
      <c r="M983" s="264"/>
      <c r="N983" s="264"/>
      <c r="O983" s="264"/>
      <c r="P983" s="264"/>
      <c r="Q983" s="263"/>
      <c r="R983" s="263"/>
      <c r="S983" s="263"/>
      <c r="T983" s="263"/>
      <c r="U983" s="263"/>
      <c r="V983" s="109"/>
      <c r="W983" s="263"/>
      <c r="X983" s="263"/>
      <c r="Y983" s="263"/>
      <c r="Z983" s="263"/>
      <c r="AA983" s="263"/>
      <c r="AB983" s="109"/>
      <c r="AC983" s="109"/>
      <c r="AD983" s="109"/>
      <c r="AE983" s="109"/>
      <c r="AF983" s="109"/>
      <c r="AG983" s="109"/>
      <c r="AH983" s="109"/>
      <c r="AI983" s="109"/>
    </row>
    <row r="984" spans="1:35">
      <c r="A984" s="109"/>
      <c r="B984" s="263"/>
      <c r="C984" s="263"/>
      <c r="D984" s="263"/>
      <c r="E984" s="109"/>
      <c r="F984" s="109"/>
      <c r="G984" s="48"/>
      <c r="H984" s="264"/>
      <c r="I984" s="265"/>
      <c r="J984" s="265"/>
      <c r="K984" s="264"/>
      <c r="L984" s="265"/>
      <c r="M984" s="264"/>
      <c r="N984" s="264"/>
      <c r="O984" s="264"/>
      <c r="P984" s="264"/>
      <c r="Q984" s="263"/>
      <c r="R984" s="263"/>
      <c r="S984" s="263"/>
      <c r="T984" s="263"/>
      <c r="U984" s="263"/>
      <c r="V984" s="109"/>
      <c r="W984" s="263"/>
      <c r="X984" s="263"/>
      <c r="Y984" s="263"/>
      <c r="Z984" s="263"/>
      <c r="AA984" s="263"/>
      <c r="AB984" s="109"/>
      <c r="AC984" s="109"/>
      <c r="AD984" s="109"/>
      <c r="AE984" s="109"/>
      <c r="AF984" s="109"/>
      <c r="AG984" s="109"/>
      <c r="AH984" s="109"/>
      <c r="AI984" s="109"/>
    </row>
    <row r="985" spans="1:35">
      <c r="A985" s="109"/>
      <c r="B985" s="263"/>
      <c r="C985" s="263"/>
      <c r="D985" s="263"/>
      <c r="E985" s="109"/>
      <c r="F985" s="109"/>
      <c r="G985" s="48"/>
      <c r="H985" s="264"/>
      <c r="I985" s="265"/>
      <c r="J985" s="265"/>
      <c r="K985" s="264"/>
      <c r="L985" s="265"/>
      <c r="M985" s="264"/>
      <c r="N985" s="264"/>
      <c r="O985" s="264"/>
      <c r="P985" s="264"/>
      <c r="Q985" s="263"/>
      <c r="R985" s="263"/>
      <c r="S985" s="263"/>
      <c r="T985" s="263"/>
      <c r="U985" s="263"/>
      <c r="V985" s="109"/>
      <c r="W985" s="263"/>
      <c r="X985" s="263"/>
      <c r="Y985" s="263"/>
      <c r="Z985" s="263"/>
      <c r="AA985" s="263"/>
      <c r="AB985" s="109"/>
      <c r="AC985" s="109"/>
      <c r="AD985" s="109"/>
      <c r="AE985" s="109"/>
      <c r="AF985" s="109"/>
      <c r="AG985" s="109"/>
      <c r="AH985" s="109"/>
      <c r="AI985" s="109"/>
    </row>
    <row r="986" spans="1:35">
      <c r="A986" s="109"/>
      <c r="B986" s="263"/>
      <c r="C986" s="263"/>
      <c r="D986" s="263"/>
      <c r="E986" s="109"/>
      <c r="F986" s="109"/>
      <c r="G986" s="48"/>
      <c r="H986" s="264"/>
      <c r="I986" s="265"/>
      <c r="J986" s="265"/>
      <c r="K986" s="264"/>
      <c r="L986" s="265"/>
      <c r="M986" s="264"/>
      <c r="N986" s="264"/>
      <c r="O986" s="264"/>
      <c r="P986" s="264"/>
      <c r="Q986" s="263"/>
      <c r="R986" s="263"/>
      <c r="S986" s="263"/>
      <c r="T986" s="263"/>
      <c r="U986" s="263"/>
      <c r="V986" s="109"/>
      <c r="W986" s="263"/>
      <c r="X986" s="263"/>
      <c r="Y986" s="263"/>
      <c r="Z986" s="263"/>
      <c r="AA986" s="263"/>
      <c r="AB986" s="109"/>
      <c r="AC986" s="109"/>
      <c r="AD986" s="109"/>
      <c r="AE986" s="109"/>
      <c r="AF986" s="109"/>
      <c r="AG986" s="109"/>
      <c r="AH986" s="109"/>
      <c r="AI986" s="109"/>
    </row>
    <row r="987" spans="1:35">
      <c r="A987" s="109"/>
      <c r="B987" s="263"/>
      <c r="C987" s="263"/>
      <c r="D987" s="263"/>
      <c r="E987" s="109"/>
      <c r="F987" s="109"/>
      <c r="G987" s="48"/>
      <c r="H987" s="264"/>
      <c r="I987" s="265"/>
      <c r="J987" s="265"/>
      <c r="K987" s="264"/>
      <c r="L987" s="265"/>
      <c r="M987" s="264"/>
      <c r="N987" s="264"/>
      <c r="O987" s="264"/>
      <c r="P987" s="264"/>
      <c r="Q987" s="263"/>
      <c r="R987" s="263"/>
      <c r="S987" s="263"/>
      <c r="T987" s="263"/>
      <c r="U987" s="263"/>
      <c r="V987" s="109"/>
      <c r="W987" s="263"/>
      <c r="X987" s="263"/>
      <c r="Y987" s="263"/>
      <c r="Z987" s="263"/>
      <c r="AA987" s="263"/>
      <c r="AB987" s="109"/>
      <c r="AC987" s="109"/>
      <c r="AD987" s="109"/>
      <c r="AE987" s="109"/>
      <c r="AF987" s="109"/>
      <c r="AG987" s="109"/>
      <c r="AH987" s="109"/>
      <c r="AI987" s="109"/>
    </row>
    <row r="988" spans="1:35">
      <c r="A988" s="109"/>
      <c r="B988" s="263"/>
      <c r="C988" s="263"/>
      <c r="D988" s="263"/>
      <c r="E988" s="109"/>
      <c r="F988" s="109"/>
      <c r="G988" s="48"/>
      <c r="H988" s="264"/>
      <c r="I988" s="265"/>
      <c r="J988" s="265"/>
      <c r="K988" s="264"/>
      <c r="L988" s="265"/>
      <c r="M988" s="264"/>
      <c r="N988" s="264"/>
      <c r="O988" s="264"/>
      <c r="P988" s="264"/>
      <c r="Q988" s="263"/>
      <c r="R988" s="263"/>
      <c r="S988" s="263"/>
      <c r="T988" s="263"/>
      <c r="U988" s="263"/>
      <c r="V988" s="109"/>
      <c r="W988" s="263"/>
      <c r="X988" s="263"/>
      <c r="Y988" s="263"/>
      <c r="Z988" s="263"/>
      <c r="AA988" s="263"/>
      <c r="AB988" s="109"/>
      <c r="AC988" s="109"/>
      <c r="AD988" s="109"/>
      <c r="AE988" s="109"/>
      <c r="AF988" s="109"/>
      <c r="AG988" s="109"/>
      <c r="AH988" s="109"/>
      <c r="AI988" s="109"/>
    </row>
    <row r="989" spans="1:35">
      <c r="A989" s="109"/>
      <c r="B989" s="263"/>
      <c r="C989" s="263"/>
      <c r="D989" s="263"/>
      <c r="E989" s="109"/>
      <c r="F989" s="109"/>
      <c r="G989" s="48"/>
      <c r="H989" s="264"/>
      <c r="I989" s="265"/>
      <c r="J989" s="265"/>
      <c r="K989" s="264"/>
      <c r="L989" s="265"/>
      <c r="M989" s="264"/>
      <c r="N989" s="264"/>
      <c r="O989" s="264"/>
      <c r="P989" s="264"/>
      <c r="Q989" s="263"/>
      <c r="R989" s="263"/>
      <c r="S989" s="263"/>
      <c r="T989" s="263"/>
      <c r="U989" s="263"/>
      <c r="V989" s="109"/>
      <c r="W989" s="263"/>
      <c r="X989" s="263"/>
      <c r="Y989" s="263"/>
      <c r="Z989" s="263"/>
      <c r="AA989" s="263"/>
      <c r="AB989" s="109"/>
      <c r="AC989" s="109"/>
      <c r="AD989" s="109"/>
      <c r="AE989" s="109"/>
      <c r="AF989" s="109"/>
      <c r="AG989" s="109"/>
      <c r="AH989" s="109"/>
      <c r="AI989" s="109"/>
    </row>
    <row r="990" spans="1:35">
      <c r="A990" s="109"/>
      <c r="B990" s="263"/>
      <c r="C990" s="263"/>
      <c r="D990" s="263"/>
      <c r="E990" s="109"/>
      <c r="F990" s="109"/>
      <c r="G990" s="48"/>
      <c r="H990" s="264"/>
      <c r="I990" s="265"/>
      <c r="J990" s="265"/>
      <c r="K990" s="264"/>
      <c r="L990" s="265"/>
      <c r="M990" s="264"/>
      <c r="N990" s="264"/>
      <c r="O990" s="264"/>
      <c r="P990" s="264"/>
      <c r="Q990" s="263"/>
      <c r="R990" s="263"/>
      <c r="S990" s="263"/>
      <c r="T990" s="263"/>
      <c r="U990" s="263"/>
      <c r="V990" s="109"/>
      <c r="W990" s="263"/>
      <c r="X990" s="263"/>
      <c r="Y990" s="263"/>
      <c r="Z990" s="263"/>
      <c r="AA990" s="263"/>
      <c r="AB990" s="109"/>
      <c r="AC990" s="109"/>
      <c r="AD990" s="109"/>
      <c r="AE990" s="109"/>
      <c r="AF990" s="109"/>
      <c r="AG990" s="109"/>
      <c r="AH990" s="109"/>
      <c r="AI990" s="109"/>
    </row>
    <row r="991" spans="1:35">
      <c r="A991" s="109"/>
      <c r="B991" s="263"/>
      <c r="C991" s="263"/>
      <c r="D991" s="263"/>
      <c r="E991" s="109"/>
      <c r="F991" s="109"/>
      <c r="G991" s="48"/>
      <c r="H991" s="264"/>
      <c r="I991" s="265"/>
      <c r="J991" s="265"/>
      <c r="K991" s="264"/>
      <c r="L991" s="265"/>
      <c r="M991" s="264"/>
      <c r="N991" s="264"/>
      <c r="O991" s="264"/>
      <c r="P991" s="264"/>
      <c r="Q991" s="263"/>
      <c r="R991" s="263"/>
      <c r="S991" s="263"/>
      <c r="T991" s="263"/>
      <c r="U991" s="263"/>
      <c r="V991" s="109"/>
      <c r="W991" s="263"/>
      <c r="X991" s="263"/>
      <c r="Y991" s="263"/>
      <c r="Z991" s="263"/>
      <c r="AA991" s="263"/>
      <c r="AB991" s="109"/>
      <c r="AC991" s="109"/>
      <c r="AD991" s="109"/>
      <c r="AE991" s="109"/>
      <c r="AF991" s="109"/>
      <c r="AG991" s="109"/>
      <c r="AH991" s="109"/>
      <c r="AI991" s="109"/>
    </row>
    <row r="992" spans="1:35">
      <c r="A992" s="109"/>
      <c r="B992" s="263"/>
      <c r="C992" s="263"/>
      <c r="D992" s="263"/>
      <c r="E992" s="109"/>
      <c r="F992" s="109"/>
      <c r="G992" s="48"/>
      <c r="H992" s="264"/>
      <c r="I992" s="265"/>
      <c r="J992" s="265"/>
      <c r="K992" s="264"/>
      <c r="L992" s="265"/>
      <c r="M992" s="264"/>
      <c r="N992" s="264"/>
      <c r="O992" s="264"/>
      <c r="P992" s="264"/>
      <c r="Q992" s="263"/>
      <c r="R992" s="263"/>
      <c r="S992" s="263"/>
      <c r="T992" s="263"/>
      <c r="U992" s="263"/>
      <c r="V992" s="109"/>
      <c r="W992" s="263"/>
      <c r="X992" s="263"/>
      <c r="Y992" s="263"/>
      <c r="Z992" s="263"/>
      <c r="AA992" s="263"/>
      <c r="AB992" s="109"/>
      <c r="AC992" s="109"/>
      <c r="AD992" s="109"/>
      <c r="AE992" s="109"/>
      <c r="AF992" s="109"/>
      <c r="AG992" s="109"/>
      <c r="AH992" s="109"/>
      <c r="AI992" s="109"/>
    </row>
    <row r="993" spans="1:35">
      <c r="A993" s="109"/>
      <c r="B993" s="263"/>
      <c r="C993" s="263"/>
      <c r="D993" s="263"/>
      <c r="E993" s="109"/>
      <c r="F993" s="109"/>
      <c r="G993" s="48"/>
      <c r="H993" s="264"/>
      <c r="I993" s="265"/>
      <c r="J993" s="265"/>
      <c r="K993" s="264"/>
      <c r="L993" s="265"/>
      <c r="M993" s="264"/>
      <c r="N993" s="264"/>
      <c r="O993" s="264"/>
      <c r="P993" s="264"/>
      <c r="Q993" s="263"/>
      <c r="R993" s="263"/>
      <c r="S993" s="263"/>
      <c r="T993" s="263"/>
      <c r="U993" s="263"/>
      <c r="V993" s="109"/>
      <c r="W993" s="263"/>
      <c r="X993" s="263"/>
      <c r="Y993" s="263"/>
      <c r="Z993" s="263"/>
      <c r="AA993" s="263"/>
      <c r="AB993" s="109"/>
      <c r="AC993" s="109"/>
      <c r="AD993" s="109"/>
      <c r="AE993" s="109"/>
      <c r="AF993" s="109"/>
      <c r="AG993" s="109"/>
      <c r="AH993" s="109"/>
      <c r="AI993" s="109"/>
    </row>
    <row r="994" spans="1:35">
      <c r="A994" s="109"/>
      <c r="B994" s="263"/>
      <c r="C994" s="263"/>
      <c r="D994" s="263"/>
      <c r="E994" s="109"/>
      <c r="F994" s="109"/>
      <c r="G994" s="48"/>
      <c r="H994" s="264"/>
      <c r="I994" s="265"/>
      <c r="J994" s="265"/>
      <c r="K994" s="264"/>
      <c r="L994" s="265"/>
      <c r="M994" s="264"/>
      <c r="N994" s="264"/>
      <c r="O994" s="264"/>
      <c r="P994" s="264"/>
      <c r="Q994" s="263"/>
      <c r="R994" s="263"/>
      <c r="S994" s="263"/>
      <c r="T994" s="263"/>
      <c r="U994" s="263"/>
      <c r="V994" s="109"/>
      <c r="W994" s="263"/>
      <c r="X994" s="263"/>
      <c r="Y994" s="263"/>
      <c r="Z994" s="263"/>
      <c r="AA994" s="263"/>
      <c r="AB994" s="109"/>
      <c r="AC994" s="109"/>
      <c r="AD994" s="109"/>
      <c r="AE994" s="109"/>
      <c r="AF994" s="109"/>
      <c r="AG994" s="109"/>
      <c r="AH994" s="109"/>
      <c r="AI994" s="109"/>
    </row>
    <row r="995" spans="1:35">
      <c r="A995" s="109"/>
      <c r="B995" s="263"/>
      <c r="C995" s="263"/>
      <c r="D995" s="263"/>
      <c r="E995" s="109"/>
      <c r="F995" s="109"/>
      <c r="G995" s="48"/>
      <c r="H995" s="264"/>
      <c r="I995" s="265"/>
      <c r="J995" s="265"/>
      <c r="K995" s="264"/>
      <c r="L995" s="265"/>
      <c r="M995" s="264"/>
      <c r="N995" s="264"/>
      <c r="O995" s="264"/>
      <c r="P995" s="264"/>
      <c r="Q995" s="263"/>
      <c r="R995" s="263"/>
      <c r="S995" s="263"/>
      <c r="T995" s="263"/>
      <c r="U995" s="263"/>
      <c r="V995" s="109"/>
      <c r="W995" s="263"/>
      <c r="X995" s="263"/>
      <c r="Y995" s="263"/>
      <c r="Z995" s="263"/>
      <c r="AA995" s="263"/>
      <c r="AB995" s="109"/>
      <c r="AC995" s="109"/>
      <c r="AD995" s="109"/>
      <c r="AE995" s="109"/>
      <c r="AF995" s="109"/>
      <c r="AG995" s="109"/>
      <c r="AH995" s="109"/>
      <c r="AI995" s="109"/>
    </row>
    <row r="996" spans="1:35">
      <c r="A996" s="109"/>
      <c r="B996" s="263"/>
      <c r="C996" s="263"/>
      <c r="D996" s="263"/>
      <c r="E996" s="109"/>
      <c r="F996" s="109"/>
      <c r="G996" s="48"/>
      <c r="H996" s="264"/>
      <c r="I996" s="265"/>
      <c r="J996" s="265"/>
      <c r="K996" s="264"/>
      <c r="L996" s="265"/>
      <c r="M996" s="264"/>
      <c r="N996" s="264"/>
      <c r="O996" s="264"/>
      <c r="P996" s="264"/>
      <c r="Q996" s="263"/>
      <c r="R996" s="263"/>
      <c r="S996" s="263"/>
      <c r="T996" s="263"/>
      <c r="U996" s="263"/>
      <c r="V996" s="109"/>
      <c r="W996" s="263"/>
      <c r="X996" s="263"/>
      <c r="Y996" s="263"/>
      <c r="Z996" s="263"/>
      <c r="AA996" s="263"/>
      <c r="AB996" s="109"/>
      <c r="AC996" s="109"/>
      <c r="AD996" s="109"/>
      <c r="AE996" s="109"/>
      <c r="AF996" s="109"/>
      <c r="AG996" s="109"/>
      <c r="AH996" s="109"/>
      <c r="AI996" s="109"/>
    </row>
    <row r="997" spans="1:35">
      <c r="A997" s="109"/>
      <c r="B997" s="263"/>
      <c r="C997" s="263"/>
      <c r="D997" s="263"/>
      <c r="E997" s="109"/>
      <c r="F997" s="109"/>
      <c r="G997" s="48"/>
      <c r="H997" s="264"/>
      <c r="I997" s="265"/>
      <c r="J997" s="265"/>
      <c r="K997" s="264"/>
      <c r="L997" s="265"/>
      <c r="M997" s="264"/>
      <c r="N997" s="264"/>
      <c r="O997" s="264"/>
      <c r="P997" s="264"/>
      <c r="Q997" s="263"/>
      <c r="R997" s="263"/>
      <c r="S997" s="263"/>
      <c r="T997" s="263"/>
      <c r="U997" s="263"/>
      <c r="V997" s="109"/>
      <c r="W997" s="263"/>
      <c r="X997" s="263"/>
      <c r="Y997" s="263"/>
      <c r="Z997" s="263"/>
      <c r="AA997" s="263"/>
      <c r="AB997" s="109"/>
      <c r="AC997" s="109"/>
      <c r="AD997" s="109"/>
      <c r="AE997" s="109"/>
      <c r="AF997" s="109"/>
      <c r="AG997" s="109"/>
      <c r="AH997" s="109"/>
      <c r="AI997" s="109"/>
    </row>
    <row r="998" spans="1:35">
      <c r="A998" s="109"/>
      <c r="B998" s="263"/>
      <c r="C998" s="263"/>
      <c r="D998" s="263"/>
      <c r="E998" s="109"/>
      <c r="F998" s="109"/>
      <c r="G998" s="48"/>
      <c r="H998" s="264"/>
      <c r="I998" s="265"/>
      <c r="J998" s="265"/>
      <c r="K998" s="264"/>
      <c r="L998" s="265"/>
      <c r="M998" s="264"/>
      <c r="N998" s="264"/>
      <c r="O998" s="264"/>
      <c r="P998" s="264"/>
      <c r="Q998" s="263"/>
      <c r="R998" s="263"/>
      <c r="S998" s="263"/>
      <c r="T998" s="263"/>
      <c r="U998" s="263"/>
      <c r="V998" s="109"/>
      <c r="W998" s="263"/>
      <c r="X998" s="263"/>
      <c r="Y998" s="263"/>
      <c r="Z998" s="263"/>
      <c r="AA998" s="263"/>
      <c r="AB998" s="109"/>
      <c r="AC998" s="109"/>
      <c r="AD998" s="109"/>
      <c r="AE998" s="109"/>
      <c r="AF998" s="109"/>
      <c r="AG998" s="109"/>
      <c r="AH998" s="109"/>
      <c r="AI998" s="109"/>
    </row>
    <row r="999" spans="1:35">
      <c r="A999" s="109"/>
      <c r="B999" s="263"/>
      <c r="C999" s="263"/>
      <c r="D999" s="263"/>
      <c r="E999" s="109"/>
      <c r="F999" s="109"/>
      <c r="G999" s="48"/>
      <c r="H999" s="264"/>
      <c r="I999" s="265"/>
      <c r="J999" s="265"/>
      <c r="K999" s="264"/>
      <c r="L999" s="265"/>
      <c r="M999" s="264"/>
      <c r="N999" s="264"/>
      <c r="O999" s="264"/>
      <c r="P999" s="264"/>
      <c r="Q999" s="263"/>
      <c r="R999" s="263"/>
      <c r="S999" s="263"/>
      <c r="T999" s="263"/>
      <c r="U999" s="263"/>
      <c r="V999" s="109"/>
      <c r="W999" s="263"/>
      <c r="X999" s="263"/>
      <c r="Y999" s="263"/>
      <c r="Z999" s="263"/>
      <c r="AA999" s="263"/>
      <c r="AB999" s="109"/>
      <c r="AC999" s="109"/>
      <c r="AD999" s="109"/>
      <c r="AE999" s="109"/>
      <c r="AF999" s="109"/>
      <c r="AG999" s="109"/>
      <c r="AH999" s="109"/>
      <c r="AI999" s="109"/>
    </row>
    <row r="1000" spans="1:35">
      <c r="A1000" s="109"/>
      <c r="B1000" s="263"/>
      <c r="C1000" s="263"/>
      <c r="D1000" s="263"/>
      <c r="E1000" s="109"/>
      <c r="F1000" s="109"/>
      <c r="G1000" s="48"/>
      <c r="H1000" s="264"/>
      <c r="I1000" s="265"/>
      <c r="J1000" s="265"/>
      <c r="K1000" s="264"/>
      <c r="L1000" s="265"/>
      <c r="M1000" s="264"/>
      <c r="N1000" s="264"/>
      <c r="O1000" s="264"/>
      <c r="P1000" s="264"/>
      <c r="Q1000" s="263"/>
      <c r="R1000" s="263"/>
      <c r="S1000" s="263"/>
      <c r="T1000" s="263"/>
      <c r="U1000" s="263"/>
      <c r="V1000" s="109"/>
      <c r="W1000" s="263"/>
      <c r="X1000" s="263"/>
      <c r="Y1000" s="263"/>
      <c r="Z1000" s="263"/>
      <c r="AA1000" s="263"/>
      <c r="AB1000" s="109"/>
      <c r="AC1000" s="109"/>
      <c r="AD1000" s="109"/>
      <c r="AE1000" s="109"/>
      <c r="AF1000" s="109"/>
      <c r="AG1000" s="109"/>
      <c r="AH1000" s="109"/>
      <c r="AI1000" s="109"/>
    </row>
    <row r="1001" spans="1:35">
      <c r="A1001" s="109"/>
      <c r="B1001" s="263"/>
      <c r="C1001" s="263"/>
      <c r="D1001" s="263"/>
      <c r="E1001" s="109"/>
      <c r="F1001" s="109"/>
      <c r="G1001" s="48"/>
      <c r="H1001" s="264"/>
      <c r="I1001" s="265"/>
      <c r="J1001" s="265"/>
      <c r="K1001" s="264"/>
      <c r="L1001" s="265"/>
      <c r="M1001" s="264"/>
      <c r="N1001" s="264"/>
      <c r="O1001" s="264"/>
      <c r="P1001" s="264"/>
      <c r="Q1001" s="263"/>
      <c r="R1001" s="263"/>
      <c r="S1001" s="263"/>
      <c r="T1001" s="263"/>
      <c r="U1001" s="263"/>
      <c r="V1001" s="109"/>
      <c r="W1001" s="263"/>
      <c r="X1001" s="263"/>
      <c r="Y1001" s="263"/>
      <c r="Z1001" s="263"/>
      <c r="AA1001" s="263"/>
      <c r="AB1001" s="109"/>
      <c r="AC1001" s="109"/>
      <c r="AD1001" s="109"/>
      <c r="AE1001" s="109"/>
      <c r="AF1001" s="109"/>
      <c r="AG1001" s="109"/>
      <c r="AH1001" s="109"/>
      <c r="AI1001" s="109"/>
    </row>
    <row r="1002" spans="1:35">
      <c r="A1002" s="109"/>
      <c r="B1002" s="263"/>
      <c r="C1002" s="263"/>
      <c r="D1002" s="263"/>
      <c r="E1002" s="109"/>
      <c r="F1002" s="109"/>
      <c r="G1002" s="48"/>
      <c r="H1002" s="264"/>
      <c r="I1002" s="265"/>
      <c r="J1002" s="265"/>
      <c r="K1002" s="264"/>
      <c r="L1002" s="265"/>
      <c r="M1002" s="264"/>
      <c r="N1002" s="264"/>
      <c r="O1002" s="264"/>
      <c r="P1002" s="264"/>
      <c r="Q1002" s="263"/>
      <c r="R1002" s="263"/>
      <c r="S1002" s="263"/>
      <c r="T1002" s="263"/>
      <c r="U1002" s="263"/>
      <c r="V1002" s="109"/>
      <c r="W1002" s="263"/>
      <c r="X1002" s="263"/>
      <c r="Y1002" s="263"/>
      <c r="Z1002" s="263"/>
      <c r="AA1002" s="263"/>
      <c r="AB1002" s="109"/>
      <c r="AC1002" s="109"/>
      <c r="AD1002" s="109"/>
      <c r="AE1002" s="109"/>
      <c r="AF1002" s="109"/>
      <c r="AG1002" s="109"/>
      <c r="AH1002" s="109"/>
      <c r="AI1002" s="109"/>
    </row>
    <row r="1003" spans="1:35">
      <c r="A1003" s="109"/>
      <c r="B1003" s="263"/>
      <c r="C1003" s="263"/>
      <c r="D1003" s="263"/>
      <c r="E1003" s="109"/>
      <c r="F1003" s="109"/>
      <c r="G1003" s="48"/>
      <c r="H1003" s="264"/>
      <c r="I1003" s="265"/>
      <c r="J1003" s="265"/>
      <c r="K1003" s="264"/>
      <c r="L1003" s="265"/>
      <c r="M1003" s="264"/>
      <c r="N1003" s="264"/>
      <c r="O1003" s="264"/>
      <c r="P1003" s="264"/>
      <c r="Q1003" s="263"/>
      <c r="R1003" s="263"/>
      <c r="S1003" s="263"/>
      <c r="T1003" s="263"/>
      <c r="U1003" s="263"/>
      <c r="V1003" s="109"/>
      <c r="W1003" s="263"/>
      <c r="X1003" s="263"/>
      <c r="Y1003" s="263"/>
      <c r="Z1003" s="263"/>
      <c r="AA1003" s="263"/>
      <c r="AB1003" s="109"/>
      <c r="AC1003" s="109"/>
      <c r="AD1003" s="109"/>
      <c r="AE1003" s="109"/>
      <c r="AF1003" s="109"/>
      <c r="AG1003" s="109"/>
      <c r="AH1003" s="109"/>
      <c r="AI1003" s="109"/>
    </row>
    <row r="1004" spans="1:35">
      <c r="A1004" s="109"/>
      <c r="B1004" s="263"/>
      <c r="C1004" s="263"/>
      <c r="D1004" s="263"/>
      <c r="E1004" s="109"/>
      <c r="F1004" s="109"/>
      <c r="G1004" s="48"/>
      <c r="H1004" s="264"/>
      <c r="I1004" s="265"/>
      <c r="J1004" s="265"/>
      <c r="K1004" s="264"/>
      <c r="L1004" s="265"/>
      <c r="M1004" s="264"/>
      <c r="N1004" s="264"/>
      <c r="O1004" s="264"/>
      <c r="P1004" s="264"/>
      <c r="Q1004" s="263"/>
      <c r="R1004" s="263"/>
      <c r="S1004" s="263"/>
      <c r="T1004" s="263"/>
      <c r="U1004" s="263"/>
      <c r="V1004" s="109"/>
      <c r="W1004" s="263"/>
      <c r="X1004" s="263"/>
      <c r="Y1004" s="263"/>
      <c r="Z1004" s="263"/>
      <c r="AA1004" s="263"/>
      <c r="AB1004" s="109"/>
      <c r="AC1004" s="109"/>
      <c r="AD1004" s="109"/>
      <c r="AE1004" s="109"/>
      <c r="AF1004" s="109"/>
      <c r="AG1004" s="109"/>
      <c r="AH1004" s="109"/>
      <c r="AI1004" s="109"/>
    </row>
    <row r="1005" spans="1:35">
      <c r="A1005" s="109"/>
      <c r="B1005" s="263"/>
      <c r="C1005" s="263"/>
      <c r="D1005" s="263"/>
      <c r="E1005" s="109"/>
      <c r="F1005" s="109"/>
      <c r="G1005" s="48"/>
      <c r="H1005" s="264"/>
      <c r="I1005" s="265"/>
      <c r="J1005" s="265"/>
      <c r="K1005" s="264"/>
      <c r="L1005" s="265"/>
      <c r="M1005" s="264"/>
      <c r="N1005" s="264"/>
      <c r="O1005" s="264"/>
      <c r="P1005" s="264"/>
      <c r="Q1005" s="263"/>
      <c r="R1005" s="263"/>
      <c r="S1005" s="263"/>
      <c r="T1005" s="263"/>
      <c r="U1005" s="263"/>
      <c r="V1005" s="109"/>
      <c r="W1005" s="263"/>
      <c r="X1005" s="263"/>
      <c r="Y1005" s="263"/>
      <c r="Z1005" s="263"/>
      <c r="AA1005" s="263"/>
      <c r="AB1005" s="109"/>
      <c r="AC1005" s="109"/>
      <c r="AD1005" s="109"/>
      <c r="AE1005" s="109"/>
      <c r="AF1005" s="109"/>
      <c r="AG1005" s="109"/>
      <c r="AH1005" s="109"/>
      <c r="AI1005" s="109"/>
    </row>
  </sheetData>
  <mergeCells count="9">
    <mergeCell ref="AC2:AD2"/>
    <mergeCell ref="R2:U2"/>
    <mergeCell ref="M2:P2"/>
    <mergeCell ref="C10:D10"/>
    <mergeCell ref="C11:D11"/>
    <mergeCell ref="G2:H2"/>
    <mergeCell ref="J2:K2"/>
    <mergeCell ref="W2:X2"/>
    <mergeCell ref="Z2:AA2"/>
  </mergeCells>
  <dataValidations count="1">
    <dataValidation type="list" allowBlank="1" sqref="C10:C11">
      <formula1>$B$52:$B$54</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66"/>
    <outlinePr summaryBelow="0" summaryRight="0"/>
  </sheetPr>
  <dimension ref="A1:AM897"/>
  <sheetViews>
    <sheetView showGridLines="0" topLeftCell="G1" workbookViewId="0">
      <selection activeCell="V27" sqref="V27"/>
    </sheetView>
  </sheetViews>
  <sheetFormatPr defaultColWidth="14.42578125" defaultRowHeight="15" customHeight="1"/>
  <cols>
    <col min="1" max="1" width="2.5703125" customWidth="1"/>
    <col min="2" max="2" width="21" customWidth="1"/>
    <col min="3" max="25" width="11.140625" customWidth="1"/>
    <col min="26" max="26" width="30.5703125" customWidth="1"/>
    <col min="27" max="39" width="11.140625" customWidth="1"/>
  </cols>
  <sheetData>
    <row r="1" spans="1:39">
      <c r="A1" s="69"/>
      <c r="B1" s="69"/>
      <c r="C1" s="327"/>
      <c r="D1" s="327"/>
      <c r="E1" s="327"/>
      <c r="F1" s="327"/>
      <c r="G1" s="327"/>
      <c r="H1" s="327"/>
      <c r="I1" s="327"/>
      <c r="J1" s="327"/>
      <c r="K1" s="327"/>
      <c r="L1" s="327"/>
      <c r="M1" s="327"/>
      <c r="N1" s="327"/>
      <c r="O1" s="327"/>
      <c r="P1" s="327"/>
      <c r="Q1" s="327"/>
      <c r="R1" s="327"/>
      <c r="S1" s="327"/>
      <c r="T1" s="327"/>
      <c r="U1" s="327"/>
      <c r="V1" s="327"/>
      <c r="W1" s="327"/>
      <c r="X1" s="327"/>
      <c r="Y1" s="327"/>
      <c r="Z1" s="327"/>
      <c r="AA1" s="327"/>
      <c r="AB1" s="327"/>
      <c r="AC1" s="327"/>
      <c r="AD1" s="327"/>
      <c r="AE1" s="327"/>
      <c r="AF1" s="327"/>
      <c r="AG1" s="327"/>
      <c r="AH1" s="327"/>
      <c r="AI1" s="327"/>
      <c r="AJ1" s="327"/>
      <c r="AK1" s="327"/>
      <c r="AL1" s="327"/>
      <c r="AM1" s="327"/>
    </row>
    <row r="2" spans="1:39">
      <c r="A2" s="69"/>
      <c r="B2" s="328" t="s">
        <v>827</v>
      </c>
      <c r="C2" s="329"/>
      <c r="D2" s="330"/>
      <c r="E2" s="330"/>
      <c r="F2" s="330"/>
      <c r="G2" s="330"/>
      <c r="H2" s="330"/>
      <c r="I2" s="330"/>
      <c r="J2" s="330"/>
      <c r="K2" s="330"/>
      <c r="L2" s="330"/>
      <c r="M2" s="329"/>
      <c r="N2" s="329"/>
      <c r="O2" s="329"/>
      <c r="P2" s="329"/>
      <c r="Q2" s="329"/>
      <c r="R2" s="329"/>
      <c r="S2" s="329"/>
      <c r="T2" s="329"/>
      <c r="U2" s="329"/>
      <c r="V2" s="329"/>
      <c r="W2" s="329"/>
      <c r="X2" s="329"/>
      <c r="Y2" s="69"/>
      <c r="Z2" s="331" t="s">
        <v>828</v>
      </c>
      <c r="AA2" s="332"/>
      <c r="AB2" s="332"/>
      <c r="AC2" s="332"/>
      <c r="AD2" s="332"/>
      <c r="AE2" s="332"/>
      <c r="AF2" s="332"/>
      <c r="AG2" s="332"/>
      <c r="AH2" s="332"/>
      <c r="AI2" s="332"/>
      <c r="AJ2" s="332"/>
      <c r="AK2" s="332"/>
      <c r="AL2" s="333"/>
      <c r="AM2" s="69"/>
    </row>
    <row r="3" spans="1:39">
      <c r="A3" s="69"/>
      <c r="B3" s="334" t="s">
        <v>829</v>
      </c>
      <c r="C3" s="335">
        <v>2006</v>
      </c>
      <c r="D3" s="335">
        <v>2007</v>
      </c>
      <c r="E3" s="335">
        <v>2008</v>
      </c>
      <c r="F3" s="335">
        <v>2009</v>
      </c>
      <c r="G3" s="335">
        <v>2010</v>
      </c>
      <c r="H3" s="335">
        <v>2011</v>
      </c>
      <c r="I3" s="335">
        <v>2012</v>
      </c>
      <c r="J3" s="335">
        <v>2013</v>
      </c>
      <c r="K3" s="335">
        <v>2014</v>
      </c>
      <c r="L3" s="335">
        <v>2015</v>
      </c>
      <c r="M3" s="335">
        <v>2016</v>
      </c>
      <c r="N3" s="335">
        <v>2017</v>
      </c>
      <c r="O3" s="335">
        <f t="shared" ref="O3:X3" si="0">N3+1</f>
        <v>2018</v>
      </c>
      <c r="P3" s="335">
        <f t="shared" si="0"/>
        <v>2019</v>
      </c>
      <c r="Q3" s="335">
        <f t="shared" si="0"/>
        <v>2020</v>
      </c>
      <c r="R3" s="335">
        <f t="shared" si="0"/>
        <v>2021</v>
      </c>
      <c r="S3" s="335">
        <f t="shared" si="0"/>
        <v>2022</v>
      </c>
      <c r="T3" s="335">
        <f t="shared" si="0"/>
        <v>2023</v>
      </c>
      <c r="U3" s="335">
        <f t="shared" si="0"/>
        <v>2024</v>
      </c>
      <c r="V3" s="335">
        <f t="shared" si="0"/>
        <v>2025</v>
      </c>
      <c r="W3" s="335">
        <f t="shared" si="0"/>
        <v>2026</v>
      </c>
      <c r="X3" s="335">
        <f t="shared" si="0"/>
        <v>2027</v>
      </c>
      <c r="Y3" s="69"/>
      <c r="Z3" s="336">
        <v>2016</v>
      </c>
      <c r="AA3" s="336">
        <v>2017</v>
      </c>
      <c r="AB3" s="336">
        <v>2018</v>
      </c>
      <c r="AC3" s="336">
        <v>2019</v>
      </c>
      <c r="AD3" s="336">
        <v>2020</v>
      </c>
      <c r="AE3" s="336">
        <v>2021</v>
      </c>
      <c r="AF3" s="336">
        <v>2022</v>
      </c>
      <c r="AG3" s="336">
        <v>2023</v>
      </c>
      <c r="AH3" s="336">
        <v>2024</v>
      </c>
      <c r="AI3" s="336">
        <v>2025</v>
      </c>
      <c r="AJ3" s="336">
        <v>2026</v>
      </c>
      <c r="AK3" s="336">
        <v>2027</v>
      </c>
      <c r="AL3" s="333"/>
      <c r="AM3" s="69"/>
    </row>
    <row r="4" spans="1:39">
      <c r="A4" s="69"/>
      <c r="B4" s="334"/>
      <c r="C4" s="335">
        <f t="shared" ref="C4:X4" si="1">COLUMN(C3)-1</f>
        <v>2</v>
      </c>
      <c r="D4" s="335">
        <f t="shared" si="1"/>
        <v>3</v>
      </c>
      <c r="E4" s="335">
        <f t="shared" si="1"/>
        <v>4</v>
      </c>
      <c r="F4" s="335">
        <f t="shared" si="1"/>
        <v>5</v>
      </c>
      <c r="G4" s="335">
        <f t="shared" si="1"/>
        <v>6</v>
      </c>
      <c r="H4" s="335">
        <f t="shared" si="1"/>
        <v>7</v>
      </c>
      <c r="I4" s="335">
        <f t="shared" si="1"/>
        <v>8</v>
      </c>
      <c r="J4" s="335">
        <f t="shared" si="1"/>
        <v>9</v>
      </c>
      <c r="K4" s="335">
        <f t="shared" si="1"/>
        <v>10</v>
      </c>
      <c r="L4" s="335">
        <f t="shared" si="1"/>
        <v>11</v>
      </c>
      <c r="M4" s="335">
        <f t="shared" si="1"/>
        <v>12</v>
      </c>
      <c r="N4" s="335">
        <f t="shared" si="1"/>
        <v>13</v>
      </c>
      <c r="O4" s="335">
        <f t="shared" si="1"/>
        <v>14</v>
      </c>
      <c r="P4" s="335">
        <f t="shared" si="1"/>
        <v>15</v>
      </c>
      <c r="Q4" s="335">
        <f t="shared" si="1"/>
        <v>16</v>
      </c>
      <c r="R4" s="335">
        <f t="shared" si="1"/>
        <v>17</v>
      </c>
      <c r="S4" s="335">
        <f t="shared" si="1"/>
        <v>18</v>
      </c>
      <c r="T4" s="335">
        <f t="shared" si="1"/>
        <v>19</v>
      </c>
      <c r="U4" s="335">
        <f t="shared" si="1"/>
        <v>20</v>
      </c>
      <c r="V4" s="335">
        <f t="shared" si="1"/>
        <v>21</v>
      </c>
      <c r="W4" s="335">
        <f t="shared" si="1"/>
        <v>22</v>
      </c>
      <c r="X4" s="335">
        <f t="shared" si="1"/>
        <v>23</v>
      </c>
      <c r="Y4" s="69"/>
      <c r="Z4" s="336"/>
      <c r="AA4" s="336"/>
      <c r="AB4" s="336"/>
      <c r="AC4" s="336"/>
      <c r="AD4" s="336"/>
      <c r="AE4" s="336"/>
      <c r="AF4" s="336"/>
      <c r="AG4" s="336"/>
      <c r="AH4" s="336"/>
      <c r="AI4" s="336"/>
      <c r="AJ4" s="336"/>
      <c r="AK4" s="336"/>
      <c r="AL4" s="333"/>
      <c r="AM4" s="69"/>
    </row>
    <row r="5" spans="1:39">
      <c r="A5" s="69"/>
      <c r="B5" s="337" t="s">
        <v>830</v>
      </c>
      <c r="C5" s="338">
        <v>65085</v>
      </c>
      <c r="D5" s="338">
        <f t="shared" ref="D5:X5" si="2">($C5/$C137)*D137</f>
        <v>69875.520304568519</v>
      </c>
      <c r="E5" s="338">
        <f t="shared" si="2"/>
        <v>70536.28172588833</v>
      </c>
      <c r="F5" s="338">
        <f t="shared" si="2"/>
        <v>79456.560913705587</v>
      </c>
      <c r="G5" s="338">
        <f t="shared" si="2"/>
        <v>82347.392131979694</v>
      </c>
      <c r="H5" s="338">
        <f t="shared" si="2"/>
        <v>79869.53680203046</v>
      </c>
      <c r="I5" s="338">
        <f t="shared" si="2"/>
        <v>83503.724619289336</v>
      </c>
      <c r="J5" s="338">
        <f t="shared" si="2"/>
        <v>84247.081218274107</v>
      </c>
      <c r="K5" s="338">
        <f t="shared" si="2"/>
        <v>87798.673857868023</v>
      </c>
      <c r="L5" s="338">
        <f t="shared" si="2"/>
        <v>87385.697969543151</v>
      </c>
      <c r="M5" s="338">
        <f t="shared" si="2"/>
        <v>89780.958121827411</v>
      </c>
      <c r="N5" s="338">
        <f t="shared" si="2"/>
        <v>96223.381979695434</v>
      </c>
      <c r="O5" s="338">
        <f t="shared" si="2"/>
        <v>96336.011767419914</v>
      </c>
      <c r="P5" s="338">
        <f t="shared" si="2"/>
        <v>98588.607521919432</v>
      </c>
      <c r="Q5" s="338">
        <f t="shared" si="2"/>
        <v>100841.20327641895</v>
      </c>
      <c r="R5" s="338">
        <f t="shared" si="2"/>
        <v>103093.79903091845</v>
      </c>
      <c r="S5" s="338">
        <f t="shared" si="2"/>
        <v>105346.39478541797</v>
      </c>
      <c r="T5" s="338">
        <f t="shared" si="2"/>
        <v>107598.99053991673</v>
      </c>
      <c r="U5" s="338">
        <f t="shared" si="2"/>
        <v>109851.58629441625</v>
      </c>
      <c r="V5" s="338">
        <f t="shared" si="2"/>
        <v>112104.18204891575</v>
      </c>
      <c r="W5" s="338">
        <f t="shared" si="2"/>
        <v>114356.77780341452</v>
      </c>
      <c r="X5" s="338">
        <f t="shared" si="2"/>
        <v>116609.37355791403</v>
      </c>
      <c r="Y5" s="69"/>
      <c r="Z5" s="338">
        <f t="shared" ref="Z5:AK5" si="3">N5/$AA137</f>
        <v>2405.584549492386</v>
      </c>
      <c r="AA5" s="338">
        <f t="shared" si="3"/>
        <v>2408.4002941854978</v>
      </c>
      <c r="AB5" s="338">
        <f t="shared" si="3"/>
        <v>2464.715188047986</v>
      </c>
      <c r="AC5" s="338">
        <f t="shared" si="3"/>
        <v>2521.0300819104737</v>
      </c>
      <c r="AD5" s="338">
        <f t="shared" si="3"/>
        <v>2577.3449757729613</v>
      </c>
      <c r="AE5" s="338">
        <f t="shared" si="3"/>
        <v>2633.6598696354495</v>
      </c>
      <c r="AF5" s="338">
        <f t="shared" si="3"/>
        <v>2689.9747634979185</v>
      </c>
      <c r="AG5" s="338">
        <f t="shared" si="3"/>
        <v>2746.2896573604062</v>
      </c>
      <c r="AH5" s="338">
        <f t="shared" si="3"/>
        <v>2802.6045512228939</v>
      </c>
      <c r="AI5" s="338">
        <f t="shared" si="3"/>
        <v>2858.9194450853629</v>
      </c>
      <c r="AJ5" s="338">
        <f t="shared" si="3"/>
        <v>2915.234338947851</v>
      </c>
      <c r="AK5" s="338">
        <f t="shared" si="3"/>
        <v>0</v>
      </c>
      <c r="AL5" s="333"/>
      <c r="AM5" s="69"/>
    </row>
    <row r="6" spans="1:39">
      <c r="A6" s="69"/>
      <c r="B6" s="337" t="s">
        <v>832</v>
      </c>
      <c r="C6" s="338">
        <v>68228</v>
      </c>
      <c r="D6" s="338">
        <f t="shared" ref="D6:X6" si="4">($C6/$C138)*D138</f>
        <v>69839.050767414403</v>
      </c>
      <c r="E6" s="338">
        <f t="shared" si="4"/>
        <v>72336.179456906728</v>
      </c>
      <c r="F6" s="338">
        <f t="shared" si="4"/>
        <v>74913.860684769767</v>
      </c>
      <c r="G6" s="338">
        <f t="shared" si="4"/>
        <v>77410.989374262092</v>
      </c>
      <c r="H6" s="338">
        <f t="shared" si="4"/>
        <v>79183.145218417936</v>
      </c>
      <c r="I6" s="338">
        <f t="shared" si="4"/>
        <v>81358.063754427392</v>
      </c>
      <c r="J6" s="338">
        <f t="shared" si="4"/>
        <v>82566.351829988183</v>
      </c>
      <c r="K6" s="338">
        <f t="shared" si="4"/>
        <v>83049.667060212509</v>
      </c>
      <c r="L6" s="338">
        <f t="shared" si="4"/>
        <v>83049.667060212509</v>
      </c>
      <c r="M6" s="338">
        <f t="shared" si="4"/>
        <v>83210.77213695395</v>
      </c>
      <c r="N6" s="338">
        <f t="shared" si="4"/>
        <v>84338.507674144043</v>
      </c>
      <c r="O6" s="338">
        <f t="shared" si="4"/>
        <v>87663.130621444798</v>
      </c>
      <c r="P6" s="338">
        <f t="shared" si="4"/>
        <v>89072.80004293166</v>
      </c>
      <c r="Q6" s="338">
        <f t="shared" si="4"/>
        <v>90482.469464419264</v>
      </c>
      <c r="R6" s="338">
        <f t="shared" si="4"/>
        <v>91892.138885906868</v>
      </c>
      <c r="S6" s="338">
        <f t="shared" si="4"/>
        <v>93301.808307394473</v>
      </c>
      <c r="T6" s="338">
        <f t="shared" si="4"/>
        <v>94711.477728882077</v>
      </c>
      <c r="U6" s="338">
        <f t="shared" si="4"/>
        <v>96121.147150369681</v>
      </c>
      <c r="V6" s="338">
        <f t="shared" si="4"/>
        <v>97530.816571857285</v>
      </c>
      <c r="W6" s="338">
        <f t="shared" si="4"/>
        <v>98940.48599334489</v>
      </c>
      <c r="X6" s="338">
        <f t="shared" si="4"/>
        <v>100350.15541483249</v>
      </c>
      <c r="Y6" s="69"/>
      <c r="Z6" s="338">
        <f t="shared" ref="Z6:AK6" si="5">N6/$AA138</f>
        <v>1724.7138583669539</v>
      </c>
      <c r="AA6" s="338">
        <f t="shared" si="5"/>
        <v>1792.7020576982577</v>
      </c>
      <c r="AB6" s="338">
        <f t="shared" si="5"/>
        <v>1821.5296532296863</v>
      </c>
      <c r="AC6" s="338">
        <f t="shared" si="5"/>
        <v>1850.3572487611302</v>
      </c>
      <c r="AD6" s="338">
        <f t="shared" si="5"/>
        <v>1879.1848442925741</v>
      </c>
      <c r="AE6" s="338">
        <f t="shared" si="5"/>
        <v>1908.012439824018</v>
      </c>
      <c r="AF6" s="338">
        <f t="shared" si="5"/>
        <v>1936.8400353554619</v>
      </c>
      <c r="AG6" s="338">
        <f t="shared" si="5"/>
        <v>1965.6676308869055</v>
      </c>
      <c r="AH6" s="338">
        <f t="shared" si="5"/>
        <v>1994.4952264183494</v>
      </c>
      <c r="AI6" s="338">
        <f t="shared" si="5"/>
        <v>2023.3228219497933</v>
      </c>
      <c r="AJ6" s="338">
        <f t="shared" si="5"/>
        <v>2052.1504174812371</v>
      </c>
      <c r="AK6" s="338">
        <f t="shared" si="5"/>
        <v>0</v>
      </c>
      <c r="AL6" s="333"/>
      <c r="AM6" s="69"/>
    </row>
    <row r="7" spans="1:39">
      <c r="A7" s="69"/>
      <c r="B7" s="344" t="s">
        <v>197</v>
      </c>
      <c r="C7" s="333"/>
      <c r="D7" s="333"/>
      <c r="E7" s="333"/>
      <c r="F7" s="333"/>
      <c r="G7" s="333"/>
      <c r="H7" s="333"/>
      <c r="I7" s="333"/>
      <c r="J7" s="333"/>
      <c r="K7" s="333"/>
      <c r="L7" s="333"/>
      <c r="M7" s="333"/>
      <c r="N7" s="333">
        <f t="shared" ref="N7:X7" si="6">AVERAGE(Z$5:Z$6,Z$9:Z$11,Z$13:Z$30,Z$32)*$AA139</f>
        <v>21949.670679582538</v>
      </c>
      <c r="O7" s="333">
        <f t="shared" si="6"/>
        <v>21910.660988875654</v>
      </c>
      <c r="P7" s="333">
        <f t="shared" si="6"/>
        <v>22396.875896546695</v>
      </c>
      <c r="Q7" s="333">
        <f t="shared" si="6"/>
        <v>22883.090804217885</v>
      </c>
      <c r="R7" s="333">
        <f t="shared" si="6"/>
        <v>23369.30571188905</v>
      </c>
      <c r="S7" s="333">
        <f t="shared" si="6"/>
        <v>23855.520619560208</v>
      </c>
      <c r="T7" s="333">
        <f t="shared" si="6"/>
        <v>24341.735527231413</v>
      </c>
      <c r="U7" s="333">
        <f t="shared" si="6"/>
        <v>24827.950434902588</v>
      </c>
      <c r="V7" s="333">
        <f t="shared" si="6"/>
        <v>25314.165342573731</v>
      </c>
      <c r="W7" s="333">
        <f t="shared" si="6"/>
        <v>25800.380250244962</v>
      </c>
      <c r="X7" s="333">
        <f t="shared" si="6"/>
        <v>26286.595157916101</v>
      </c>
      <c r="Y7" s="69"/>
      <c r="Z7" s="338"/>
      <c r="AA7" s="338"/>
      <c r="AB7" s="338"/>
      <c r="AC7" s="338"/>
      <c r="AD7" s="338"/>
      <c r="AE7" s="338"/>
      <c r="AF7" s="338"/>
      <c r="AG7" s="338"/>
      <c r="AH7" s="338"/>
      <c r="AI7" s="338"/>
      <c r="AJ7" s="338"/>
      <c r="AK7" s="338"/>
      <c r="AL7" s="333"/>
      <c r="AM7" s="69"/>
    </row>
    <row r="8" spans="1:39">
      <c r="A8" s="69"/>
      <c r="B8" s="344" t="s">
        <v>833</v>
      </c>
      <c r="C8" s="333"/>
      <c r="D8" s="333"/>
      <c r="E8" s="333"/>
      <c r="F8" s="333"/>
      <c r="G8" s="333"/>
      <c r="H8" s="333"/>
      <c r="I8" s="333"/>
      <c r="J8" s="333"/>
      <c r="K8" s="333"/>
      <c r="L8" s="333"/>
      <c r="M8" s="333"/>
      <c r="N8" s="333">
        <f t="shared" ref="N8:X8" si="7">AVERAGE(Z$5:Z$6,Z$9:Z$11,Z$13:Z$30,Z$32)*$AA140</f>
        <v>55625.877749626983</v>
      </c>
      <c r="O8" s="333">
        <f t="shared" si="7"/>
        <v>55527.017574547892</v>
      </c>
      <c r="P8" s="333">
        <f t="shared" si="7"/>
        <v>56759.206039193676</v>
      </c>
      <c r="Q8" s="333">
        <f t="shared" si="7"/>
        <v>57991.394503839852</v>
      </c>
      <c r="R8" s="333">
        <f t="shared" si="7"/>
        <v>59223.582968485949</v>
      </c>
      <c r="S8" s="333">
        <f t="shared" si="7"/>
        <v>60455.771433132039</v>
      </c>
      <c r="T8" s="333">
        <f t="shared" si="7"/>
        <v>61687.959897778237</v>
      </c>
      <c r="U8" s="333">
        <f t="shared" si="7"/>
        <v>62920.14836242437</v>
      </c>
      <c r="V8" s="333">
        <f t="shared" si="7"/>
        <v>64152.336827070416</v>
      </c>
      <c r="W8" s="333">
        <f t="shared" si="7"/>
        <v>65384.525291716687</v>
      </c>
      <c r="X8" s="333">
        <f t="shared" si="7"/>
        <v>66616.713756362733</v>
      </c>
      <c r="Y8" s="69"/>
      <c r="Z8" s="338"/>
      <c r="AA8" s="338"/>
      <c r="AB8" s="338"/>
      <c r="AC8" s="338"/>
      <c r="AD8" s="338"/>
      <c r="AE8" s="338"/>
      <c r="AF8" s="338"/>
      <c r="AG8" s="338"/>
      <c r="AH8" s="338"/>
      <c r="AI8" s="338"/>
      <c r="AJ8" s="338"/>
      <c r="AK8" s="338"/>
      <c r="AL8" s="333"/>
      <c r="AM8" s="69"/>
    </row>
    <row r="9" spans="1:39">
      <c r="A9" s="69"/>
      <c r="B9" s="337" t="s">
        <v>834</v>
      </c>
      <c r="C9" s="338">
        <v>56096</v>
      </c>
      <c r="D9" s="338">
        <f t="shared" ref="D9:X9" si="8">($C9/$C141)*D141</f>
        <v>59637.414141414141</v>
      </c>
      <c r="E9" s="338">
        <f t="shared" si="8"/>
        <v>63603.797979797979</v>
      </c>
      <c r="F9" s="338">
        <f t="shared" si="8"/>
        <v>73023.95959595959</v>
      </c>
      <c r="G9" s="338">
        <f t="shared" si="8"/>
        <v>69765.858585858587</v>
      </c>
      <c r="H9" s="338">
        <f t="shared" si="8"/>
        <v>70049.171717171717</v>
      </c>
      <c r="I9" s="338">
        <f t="shared" si="8"/>
        <v>70899.111111111109</v>
      </c>
      <c r="J9" s="338">
        <f t="shared" si="8"/>
        <v>67286.868686868693</v>
      </c>
      <c r="K9" s="338">
        <f t="shared" si="8"/>
        <v>68561.777777777781</v>
      </c>
      <c r="L9" s="338">
        <f t="shared" si="8"/>
        <v>69128.404040404042</v>
      </c>
      <c r="M9" s="338">
        <f t="shared" si="8"/>
        <v>69836.686868686869</v>
      </c>
      <c r="N9" s="338">
        <f t="shared" si="8"/>
        <v>70049.171717171717</v>
      </c>
      <c r="O9" s="338">
        <f t="shared" si="8"/>
        <v>71629.286317722595</v>
      </c>
      <c r="P9" s="338">
        <f t="shared" si="8"/>
        <v>72175.951882461042</v>
      </c>
      <c r="Q9" s="338">
        <f t="shared" si="8"/>
        <v>72722.617447199314</v>
      </c>
      <c r="R9" s="338">
        <f t="shared" si="8"/>
        <v>73269.283011937587</v>
      </c>
      <c r="S9" s="338">
        <f t="shared" si="8"/>
        <v>73815.948576675873</v>
      </c>
      <c r="T9" s="338">
        <f t="shared" si="8"/>
        <v>74362.614141414146</v>
      </c>
      <c r="U9" s="338">
        <f t="shared" si="8"/>
        <v>74909.279706152432</v>
      </c>
      <c r="V9" s="338">
        <f t="shared" si="8"/>
        <v>75455.945270890705</v>
      </c>
      <c r="W9" s="338">
        <f t="shared" si="8"/>
        <v>76002.610835628977</v>
      </c>
      <c r="X9" s="338">
        <f t="shared" si="8"/>
        <v>76549.276400367424</v>
      </c>
      <c r="Y9" s="69"/>
      <c r="Z9" s="338"/>
      <c r="AA9" s="338"/>
      <c r="AB9" s="338"/>
      <c r="AC9" s="338"/>
      <c r="AD9" s="338"/>
      <c r="AE9" s="338"/>
      <c r="AF9" s="338"/>
      <c r="AG9" s="338"/>
      <c r="AH9" s="338"/>
      <c r="AI9" s="338"/>
      <c r="AJ9" s="338"/>
      <c r="AK9" s="338"/>
      <c r="AL9" s="333"/>
      <c r="AM9" s="69"/>
    </row>
    <row r="10" spans="1:39">
      <c r="A10" s="69"/>
      <c r="B10" s="347" t="s">
        <v>835</v>
      </c>
      <c r="C10" s="338">
        <v>46925</v>
      </c>
      <c r="D10" s="338">
        <f t="shared" ref="D10:X10" si="9">($C10/$C142)*D142</f>
        <v>52364.629888268166</v>
      </c>
      <c r="E10" s="338">
        <f t="shared" si="9"/>
        <v>56493.505586592182</v>
      </c>
      <c r="F10" s="338">
        <f t="shared" si="9"/>
        <v>60163.617318435754</v>
      </c>
      <c r="G10" s="338">
        <f t="shared" si="9"/>
        <v>63833.72905027934</v>
      </c>
      <c r="H10" s="338">
        <f t="shared" si="9"/>
        <v>65865.398044692745</v>
      </c>
      <c r="I10" s="338">
        <f t="shared" si="9"/>
        <v>66324.16201117319</v>
      </c>
      <c r="J10" s="338">
        <f t="shared" si="9"/>
        <v>65210.020949720674</v>
      </c>
      <c r="K10" s="338">
        <f t="shared" si="9"/>
        <v>67045.07681564246</v>
      </c>
      <c r="L10" s="338">
        <f t="shared" si="9"/>
        <v>71829.329608938555</v>
      </c>
      <c r="M10" s="338">
        <f t="shared" si="9"/>
        <v>72484.706703910619</v>
      </c>
      <c r="N10" s="338">
        <f t="shared" si="9"/>
        <v>73074.546089385476</v>
      </c>
      <c r="O10" s="338">
        <f t="shared" si="9"/>
        <v>76332.366048755735</v>
      </c>
      <c r="P10" s="338">
        <f t="shared" si="9"/>
        <v>78225.81005586512</v>
      </c>
      <c r="Q10" s="338">
        <f t="shared" si="9"/>
        <v>80119.254062975087</v>
      </c>
      <c r="R10" s="338">
        <f t="shared" si="9"/>
        <v>82012.698070085666</v>
      </c>
      <c r="S10" s="338">
        <f t="shared" si="9"/>
        <v>83906.142077195647</v>
      </c>
      <c r="T10" s="338">
        <f t="shared" si="9"/>
        <v>85799.586084306211</v>
      </c>
      <c r="U10" s="338">
        <f t="shared" si="9"/>
        <v>87693.030091416193</v>
      </c>
      <c r="V10" s="338">
        <f t="shared" si="9"/>
        <v>89586.474098526174</v>
      </c>
      <c r="W10" s="338">
        <f t="shared" si="9"/>
        <v>91479.918105636738</v>
      </c>
      <c r="X10" s="338">
        <f t="shared" si="9"/>
        <v>93373.36211274672</v>
      </c>
      <c r="Y10" s="69"/>
      <c r="Z10" s="338">
        <f t="shared" ref="Z10:AK10" si="10">N10/$AA142</f>
        <v>5074.6212562073242</v>
      </c>
      <c r="AA10" s="338">
        <f t="shared" si="10"/>
        <v>5300.8587533858145</v>
      </c>
      <c r="AB10" s="338">
        <f t="shared" si="10"/>
        <v>5432.347920546189</v>
      </c>
      <c r="AC10" s="338">
        <f t="shared" si="10"/>
        <v>5563.8370877066036</v>
      </c>
      <c r="AD10" s="338">
        <f t="shared" si="10"/>
        <v>5695.32625486706</v>
      </c>
      <c r="AE10" s="338">
        <f t="shared" si="10"/>
        <v>5826.8154220274755</v>
      </c>
      <c r="AF10" s="338">
        <f t="shared" si="10"/>
        <v>5958.304589187931</v>
      </c>
      <c r="AG10" s="338">
        <f t="shared" si="10"/>
        <v>6089.7937563483465</v>
      </c>
      <c r="AH10" s="338">
        <f t="shared" si="10"/>
        <v>6221.282923508762</v>
      </c>
      <c r="AI10" s="338">
        <f t="shared" si="10"/>
        <v>6352.7720906692175</v>
      </c>
      <c r="AJ10" s="338">
        <f t="shared" si="10"/>
        <v>6484.261257829633</v>
      </c>
      <c r="AK10" s="338">
        <f t="shared" si="10"/>
        <v>0</v>
      </c>
      <c r="AL10" s="333"/>
      <c r="AM10" s="69"/>
    </row>
    <row r="11" spans="1:39">
      <c r="A11" s="69"/>
      <c r="B11" s="337" t="s">
        <v>836</v>
      </c>
      <c r="C11" s="338">
        <v>65476</v>
      </c>
      <c r="D11" s="338">
        <f t="shared" ref="D11:X11" si="11">($C11/$C143)*D143</f>
        <v>67784.202115158638</v>
      </c>
      <c r="E11" s="338">
        <f t="shared" si="11"/>
        <v>70784.864864864867</v>
      </c>
      <c r="F11" s="338">
        <f t="shared" si="11"/>
        <v>72015.905992949469</v>
      </c>
      <c r="G11" s="338">
        <f t="shared" si="11"/>
        <v>74093.287896592257</v>
      </c>
      <c r="H11" s="338">
        <f t="shared" si="11"/>
        <v>76401.490011750895</v>
      </c>
      <c r="I11" s="338">
        <f t="shared" si="11"/>
        <v>77017.010575793189</v>
      </c>
      <c r="J11" s="338">
        <f t="shared" si="11"/>
        <v>79556.032902467705</v>
      </c>
      <c r="K11" s="338">
        <f t="shared" si="11"/>
        <v>80556.253819036443</v>
      </c>
      <c r="L11" s="338">
        <f t="shared" si="11"/>
        <v>82941.396004700364</v>
      </c>
      <c r="M11" s="338">
        <f t="shared" si="11"/>
        <v>84403.25734430083</v>
      </c>
      <c r="N11" s="338">
        <f t="shared" si="11"/>
        <v>86018.998824911876</v>
      </c>
      <c r="O11" s="338">
        <f t="shared" si="11"/>
        <v>88025.036299541069</v>
      </c>
      <c r="P11" s="338">
        <f t="shared" si="11"/>
        <v>89793.25901078897</v>
      </c>
      <c r="Q11" s="338">
        <f t="shared" si="11"/>
        <v>91561.481722037555</v>
      </c>
      <c r="R11" s="338">
        <f t="shared" si="11"/>
        <v>93329.704433286141</v>
      </c>
      <c r="S11" s="338">
        <f t="shared" si="11"/>
        <v>95097.927144535439</v>
      </c>
      <c r="T11" s="338">
        <f t="shared" si="11"/>
        <v>96866.149855784024</v>
      </c>
      <c r="U11" s="338">
        <f t="shared" si="11"/>
        <v>98634.372567032609</v>
      </c>
      <c r="V11" s="338">
        <f t="shared" si="11"/>
        <v>100402.59527828119</v>
      </c>
      <c r="W11" s="338">
        <f t="shared" si="11"/>
        <v>102170.81798953049</v>
      </c>
      <c r="X11" s="338">
        <f t="shared" si="11"/>
        <v>103939.04070077908</v>
      </c>
      <c r="Y11" s="69"/>
      <c r="Z11" s="338">
        <f t="shared" ref="Z11:AK11" si="12">N11/$AA143</f>
        <v>1696.6271957576305</v>
      </c>
      <c r="AA11" s="338">
        <f t="shared" si="12"/>
        <v>1736.194009852881</v>
      </c>
      <c r="AB11" s="338">
        <f t="shared" si="12"/>
        <v>1771.0701974514589</v>
      </c>
      <c r="AC11" s="338">
        <f t="shared" si="12"/>
        <v>1805.9463850500504</v>
      </c>
      <c r="AD11" s="338">
        <f t="shared" si="12"/>
        <v>1840.8225726486417</v>
      </c>
      <c r="AE11" s="338">
        <f t="shared" si="12"/>
        <v>1875.6987602472473</v>
      </c>
      <c r="AF11" s="338">
        <f t="shared" si="12"/>
        <v>1910.5749478458386</v>
      </c>
      <c r="AG11" s="338">
        <f t="shared" si="12"/>
        <v>1945.4511354444301</v>
      </c>
      <c r="AH11" s="338">
        <f t="shared" si="12"/>
        <v>1980.3273230430216</v>
      </c>
      <c r="AI11" s="338">
        <f t="shared" si="12"/>
        <v>2015.203510641627</v>
      </c>
      <c r="AJ11" s="338">
        <f t="shared" si="12"/>
        <v>2050.0796982402185</v>
      </c>
      <c r="AK11" s="338">
        <f t="shared" si="12"/>
        <v>0</v>
      </c>
      <c r="AL11" s="333"/>
      <c r="AM11" s="69"/>
    </row>
    <row r="12" spans="1:39">
      <c r="A12" s="69"/>
      <c r="B12" s="337" t="s">
        <v>837</v>
      </c>
      <c r="C12" s="338" t="s">
        <v>838</v>
      </c>
      <c r="D12" s="338" t="s">
        <v>838</v>
      </c>
      <c r="E12" s="338" t="s">
        <v>838</v>
      </c>
      <c r="F12" s="338" t="s">
        <v>838</v>
      </c>
      <c r="G12" s="338" t="s">
        <v>838</v>
      </c>
      <c r="H12" s="338" t="s">
        <v>838</v>
      </c>
      <c r="I12" s="338" t="s">
        <v>838</v>
      </c>
      <c r="J12" s="338" t="s">
        <v>838</v>
      </c>
      <c r="K12" s="338" t="s">
        <v>838</v>
      </c>
      <c r="L12" s="338" t="s">
        <v>838</v>
      </c>
      <c r="M12" s="338" t="s">
        <v>838</v>
      </c>
      <c r="N12" s="333">
        <f t="shared" ref="N12:X12" si="13">AVERAGE(Z$5:Z$6,Z$9:Z$11,Z$13:Z$30,Z$32)*$AA144</f>
        <v>43297.980518628574</v>
      </c>
      <c r="O12" s="333">
        <f t="shared" si="13"/>
        <v>43221.029895864303</v>
      </c>
      <c r="P12" s="333">
        <f t="shared" si="13"/>
        <v>44180.138754831838</v>
      </c>
      <c r="Q12" s="333">
        <f t="shared" si="13"/>
        <v>45139.247613799671</v>
      </c>
      <c r="R12" s="333">
        <f t="shared" si="13"/>
        <v>46098.356472767438</v>
      </c>
      <c r="S12" s="333">
        <f t="shared" si="13"/>
        <v>47057.465331735206</v>
      </c>
      <c r="T12" s="333">
        <f t="shared" si="13"/>
        <v>48016.574190703061</v>
      </c>
      <c r="U12" s="333">
        <f t="shared" si="13"/>
        <v>48975.683049670857</v>
      </c>
      <c r="V12" s="333">
        <f t="shared" si="13"/>
        <v>49934.791908638595</v>
      </c>
      <c r="W12" s="333">
        <f t="shared" si="13"/>
        <v>50893.900767606501</v>
      </c>
      <c r="X12" s="333">
        <f t="shared" si="13"/>
        <v>51853.009626574232</v>
      </c>
      <c r="Y12" s="69"/>
      <c r="Z12" s="338"/>
      <c r="AA12" s="338"/>
      <c r="AB12" s="338"/>
      <c r="AC12" s="338"/>
      <c r="AD12" s="338"/>
      <c r="AE12" s="338"/>
      <c r="AF12" s="338"/>
      <c r="AG12" s="338"/>
      <c r="AH12" s="338"/>
      <c r="AI12" s="338"/>
      <c r="AJ12" s="338"/>
      <c r="AK12" s="338"/>
      <c r="AL12" s="333"/>
      <c r="AM12" s="69"/>
    </row>
    <row r="13" spans="1:39">
      <c r="A13" s="69"/>
      <c r="B13" s="337" t="s">
        <v>839</v>
      </c>
      <c r="C13" s="338">
        <v>37407</v>
      </c>
      <c r="D13" s="338">
        <f t="shared" ref="D13:X13" si="14">($C13/$C145)*D145</f>
        <v>42505.515064562409</v>
      </c>
      <c r="E13" s="338">
        <f t="shared" si="14"/>
        <v>43739.892395982781</v>
      </c>
      <c r="F13" s="338">
        <f t="shared" si="14"/>
        <v>46154.97847919655</v>
      </c>
      <c r="G13" s="338">
        <f t="shared" si="14"/>
        <v>47335.687230989955</v>
      </c>
      <c r="H13" s="338">
        <f t="shared" si="14"/>
        <v>50770.476327116201</v>
      </c>
      <c r="I13" s="338">
        <f t="shared" si="14"/>
        <v>54741.951219512186</v>
      </c>
      <c r="J13" s="338">
        <f t="shared" si="14"/>
        <v>54849.288378766134</v>
      </c>
      <c r="K13" s="338">
        <f t="shared" si="14"/>
        <v>52863.550932568141</v>
      </c>
      <c r="L13" s="338">
        <f t="shared" si="14"/>
        <v>53292.899569583926</v>
      </c>
      <c r="M13" s="338">
        <f t="shared" si="14"/>
        <v>54151.596843615494</v>
      </c>
      <c r="N13" s="338">
        <f t="shared" si="14"/>
        <v>53239.230989956952</v>
      </c>
      <c r="O13" s="338">
        <f t="shared" si="14"/>
        <v>57523.935228902752</v>
      </c>
      <c r="P13" s="338">
        <f t="shared" si="14"/>
        <v>58722.696139298205</v>
      </c>
      <c r="Q13" s="338">
        <f t="shared" si="14"/>
        <v>59921.457049693658</v>
      </c>
      <c r="R13" s="338">
        <f t="shared" si="14"/>
        <v>61120.217960088623</v>
      </c>
      <c r="S13" s="338">
        <f t="shared" si="14"/>
        <v>62318.978870484068</v>
      </c>
      <c r="T13" s="338">
        <f t="shared" si="14"/>
        <v>63517.739780879034</v>
      </c>
      <c r="U13" s="338">
        <f t="shared" si="14"/>
        <v>64716.500691274487</v>
      </c>
      <c r="V13" s="338">
        <f t="shared" si="14"/>
        <v>65915.261601669452</v>
      </c>
      <c r="W13" s="338">
        <f t="shared" si="14"/>
        <v>67114.022512064897</v>
      </c>
      <c r="X13" s="338">
        <f t="shared" si="14"/>
        <v>68312.783422459863</v>
      </c>
      <c r="Y13" s="69"/>
      <c r="Z13" s="338">
        <f t="shared" ref="Z13:AK13" si="15">N13/$AA145</f>
        <v>1341.0385639787644</v>
      </c>
      <c r="AA13" s="338">
        <f t="shared" si="15"/>
        <v>1448.9656228942758</v>
      </c>
      <c r="AB13" s="338">
        <f t="shared" si="15"/>
        <v>1479.1611118211133</v>
      </c>
      <c r="AC13" s="338">
        <f t="shared" si="15"/>
        <v>1509.356600747951</v>
      </c>
      <c r="AD13" s="338">
        <f t="shared" si="15"/>
        <v>1539.5520896747762</v>
      </c>
      <c r="AE13" s="338">
        <f t="shared" si="15"/>
        <v>1569.7475786016137</v>
      </c>
      <c r="AF13" s="338">
        <f t="shared" si="15"/>
        <v>1599.9430675284391</v>
      </c>
      <c r="AG13" s="338">
        <f t="shared" si="15"/>
        <v>1630.1385564552766</v>
      </c>
      <c r="AH13" s="338">
        <f t="shared" si="15"/>
        <v>1660.334045382102</v>
      </c>
      <c r="AI13" s="338">
        <f t="shared" si="15"/>
        <v>1690.5295343089394</v>
      </c>
      <c r="AJ13" s="338">
        <f t="shared" si="15"/>
        <v>1720.7250232357646</v>
      </c>
      <c r="AK13" s="338">
        <f t="shared" si="15"/>
        <v>0</v>
      </c>
      <c r="AL13" s="333"/>
      <c r="AM13" s="69"/>
    </row>
    <row r="14" spans="1:39">
      <c r="A14" s="69"/>
      <c r="B14" s="337" t="s">
        <v>840</v>
      </c>
      <c r="C14" s="338">
        <v>40705</v>
      </c>
      <c r="D14" s="338">
        <f t="shared" ref="D14:X14" si="16">($C14/$C146)*D146</f>
        <v>42377.808219178085</v>
      </c>
      <c r="E14" s="338">
        <f t="shared" si="16"/>
        <v>43167.745433789962</v>
      </c>
      <c r="F14" s="338">
        <f t="shared" si="16"/>
        <v>43585.947488584476</v>
      </c>
      <c r="G14" s="338">
        <f t="shared" si="16"/>
        <v>44654.686073059362</v>
      </c>
      <c r="H14" s="338">
        <f t="shared" si="16"/>
        <v>45816.358447488587</v>
      </c>
      <c r="I14" s="338">
        <f t="shared" si="16"/>
        <v>46931.563926940646</v>
      </c>
      <c r="J14" s="338">
        <f t="shared" si="16"/>
        <v>47442.699771689498</v>
      </c>
      <c r="K14" s="338">
        <f t="shared" si="16"/>
        <v>47628.567351598176</v>
      </c>
      <c r="L14" s="338">
        <f t="shared" si="16"/>
        <v>48650.839041095896</v>
      </c>
      <c r="M14" s="338">
        <f t="shared" si="16"/>
        <v>49022.574200913245</v>
      </c>
      <c r="N14" s="338">
        <f t="shared" si="16"/>
        <v>50277.180365296808</v>
      </c>
      <c r="O14" s="338">
        <f t="shared" si="16"/>
        <v>50996.994811124845</v>
      </c>
      <c r="P14" s="338">
        <f t="shared" si="16"/>
        <v>51775.948941469527</v>
      </c>
      <c r="Q14" s="338">
        <f t="shared" si="16"/>
        <v>52554.903071813991</v>
      </c>
      <c r="R14" s="338">
        <f t="shared" si="16"/>
        <v>53333.857202158462</v>
      </c>
      <c r="S14" s="338">
        <f t="shared" si="16"/>
        <v>54112.811332503137</v>
      </c>
      <c r="T14" s="338">
        <f t="shared" si="16"/>
        <v>54891.765462847601</v>
      </c>
      <c r="U14" s="338">
        <f t="shared" si="16"/>
        <v>55670.719593192072</v>
      </c>
      <c r="V14" s="338">
        <f t="shared" si="16"/>
        <v>56449.673723536747</v>
      </c>
      <c r="W14" s="338">
        <f t="shared" si="16"/>
        <v>57228.627853881218</v>
      </c>
      <c r="X14" s="338">
        <f t="shared" si="16"/>
        <v>58007.581984225682</v>
      </c>
      <c r="Y14" s="69"/>
      <c r="Z14" s="338">
        <f t="shared" ref="Z14:AK14" si="17">N14/$AA146</f>
        <v>1076.5991512911521</v>
      </c>
      <c r="AA14" s="338">
        <f t="shared" si="17"/>
        <v>1092.0127368549217</v>
      </c>
      <c r="AB14" s="338">
        <f t="shared" si="17"/>
        <v>1108.6926968194759</v>
      </c>
      <c r="AC14" s="338">
        <f t="shared" si="17"/>
        <v>1125.3726567840254</v>
      </c>
      <c r="AD14" s="338">
        <f t="shared" si="17"/>
        <v>1142.0526167485752</v>
      </c>
      <c r="AE14" s="338">
        <f t="shared" si="17"/>
        <v>1158.7325767131292</v>
      </c>
      <c r="AF14" s="338">
        <f t="shared" si="17"/>
        <v>1175.4125366776786</v>
      </c>
      <c r="AG14" s="338">
        <f t="shared" si="17"/>
        <v>1192.0924966422285</v>
      </c>
      <c r="AH14" s="338">
        <f t="shared" si="17"/>
        <v>1208.7724566067825</v>
      </c>
      <c r="AI14" s="338">
        <f t="shared" si="17"/>
        <v>1225.4524165713322</v>
      </c>
      <c r="AJ14" s="338">
        <f t="shared" si="17"/>
        <v>1242.1323765358818</v>
      </c>
      <c r="AK14" s="338">
        <f t="shared" si="17"/>
        <v>0</v>
      </c>
      <c r="AL14" s="333"/>
      <c r="AM14" s="69"/>
    </row>
    <row r="15" spans="1:39">
      <c r="A15" s="69"/>
      <c r="B15" s="337" t="s">
        <v>841</v>
      </c>
      <c r="C15" s="338">
        <v>49723</v>
      </c>
      <c r="D15" s="338">
        <f t="shared" ref="D15:X15" si="18">($C15/$C147)*D147</f>
        <v>51135.250887573973</v>
      </c>
      <c r="E15" s="338">
        <f t="shared" si="18"/>
        <v>53547.846153846156</v>
      </c>
      <c r="F15" s="338">
        <f t="shared" si="18"/>
        <v>53371.314792899415</v>
      </c>
      <c r="G15" s="338">
        <f t="shared" si="18"/>
        <v>55430.847337278115</v>
      </c>
      <c r="H15" s="338">
        <f t="shared" si="18"/>
        <v>57372.692307692312</v>
      </c>
      <c r="I15" s="338">
        <f t="shared" si="18"/>
        <v>59491.068639053257</v>
      </c>
      <c r="J15" s="338">
        <f t="shared" si="18"/>
        <v>58843.786982248523</v>
      </c>
      <c r="K15" s="338">
        <f t="shared" si="18"/>
        <v>61785.976331360951</v>
      </c>
      <c r="L15" s="338">
        <f t="shared" si="18"/>
        <v>63080.53964497042</v>
      </c>
      <c r="M15" s="338">
        <f t="shared" si="18"/>
        <v>64551.634319526631</v>
      </c>
      <c r="N15" s="338">
        <f t="shared" si="18"/>
        <v>66081.572781065086</v>
      </c>
      <c r="O15" s="338">
        <f t="shared" si="18"/>
        <v>67447.818526089497</v>
      </c>
      <c r="P15" s="338">
        <f t="shared" si="18"/>
        <v>68921.052974717255</v>
      </c>
      <c r="Q15" s="338">
        <f t="shared" si="18"/>
        <v>70394.287423345551</v>
      </c>
      <c r="R15" s="338">
        <f t="shared" si="18"/>
        <v>71867.521871973848</v>
      </c>
      <c r="S15" s="338">
        <f t="shared" si="18"/>
        <v>73340.756320602144</v>
      </c>
      <c r="T15" s="338">
        <f t="shared" si="18"/>
        <v>74813.990769230426</v>
      </c>
      <c r="U15" s="338">
        <f t="shared" si="18"/>
        <v>76287.225217858722</v>
      </c>
      <c r="V15" s="338">
        <f t="shared" si="18"/>
        <v>77760.459666487019</v>
      </c>
      <c r="W15" s="338">
        <f t="shared" si="18"/>
        <v>79233.694115115315</v>
      </c>
      <c r="X15" s="338">
        <f t="shared" si="18"/>
        <v>80706.928563743611</v>
      </c>
      <c r="Y15" s="69"/>
      <c r="Z15" s="338">
        <f t="shared" ref="Z15:AK15" si="19">N15/$AA147</f>
        <v>1596.1732555812823</v>
      </c>
      <c r="AA15" s="338">
        <f t="shared" si="19"/>
        <v>1629.1743605335628</v>
      </c>
      <c r="AB15" s="338">
        <f t="shared" si="19"/>
        <v>1664.7597336888227</v>
      </c>
      <c r="AC15" s="338">
        <f t="shared" si="19"/>
        <v>1700.3451068440954</v>
      </c>
      <c r="AD15" s="338">
        <f t="shared" si="19"/>
        <v>1735.9304799993683</v>
      </c>
      <c r="AE15" s="338">
        <f t="shared" si="19"/>
        <v>1771.5158531546413</v>
      </c>
      <c r="AF15" s="338">
        <f t="shared" si="19"/>
        <v>1807.1012263099137</v>
      </c>
      <c r="AG15" s="338">
        <f t="shared" si="19"/>
        <v>1842.6865994651866</v>
      </c>
      <c r="AH15" s="338">
        <f t="shared" si="19"/>
        <v>1878.2719726204596</v>
      </c>
      <c r="AI15" s="338">
        <f t="shared" si="19"/>
        <v>1913.8573457757323</v>
      </c>
      <c r="AJ15" s="338">
        <f t="shared" si="19"/>
        <v>1949.4427189310052</v>
      </c>
      <c r="AK15" s="338">
        <f t="shared" si="19"/>
        <v>0</v>
      </c>
      <c r="AL15" s="333"/>
      <c r="AM15" s="69"/>
    </row>
    <row r="16" spans="1:39">
      <c r="A16" s="69"/>
      <c r="B16" s="337" t="s">
        <v>842</v>
      </c>
      <c r="C16" s="338">
        <v>29276</v>
      </c>
      <c r="D16" s="338">
        <f t="shared" ref="D16:X16" si="20">($C16/$C148)*D148</f>
        <v>29900.887940234796</v>
      </c>
      <c r="E16" s="338">
        <f t="shared" si="20"/>
        <v>28776.089647812165</v>
      </c>
      <c r="F16" s="338">
        <f t="shared" si="20"/>
        <v>33712.704375667025</v>
      </c>
      <c r="G16" s="338">
        <f t="shared" si="20"/>
        <v>32119.240128068304</v>
      </c>
      <c r="H16" s="338">
        <f t="shared" si="20"/>
        <v>31931.773745997867</v>
      </c>
      <c r="I16" s="338">
        <f t="shared" si="20"/>
        <v>30057.109925293491</v>
      </c>
      <c r="J16" s="338">
        <f t="shared" si="20"/>
        <v>23245.831376734262</v>
      </c>
      <c r="K16" s="338">
        <f t="shared" si="20"/>
        <v>22652.187833511209</v>
      </c>
      <c r="L16" s="338">
        <f t="shared" si="20"/>
        <v>19465.259338313768</v>
      </c>
      <c r="M16" s="338">
        <f t="shared" si="20"/>
        <v>17621.83991462113</v>
      </c>
      <c r="N16" s="338">
        <f t="shared" si="20"/>
        <v>17215.662753468518</v>
      </c>
      <c r="O16" s="338">
        <f t="shared" si="20"/>
        <v>16332.298437954996</v>
      </c>
      <c r="P16" s="338">
        <f t="shared" si="20"/>
        <v>14710.430193072505</v>
      </c>
      <c r="Q16" s="338">
        <f t="shared" si="20"/>
        <v>13088.561948190581</v>
      </c>
      <c r="R16" s="338">
        <f t="shared" si="20"/>
        <v>11466.69370330866</v>
      </c>
      <c r="S16" s="338">
        <f t="shared" si="20"/>
        <v>9844.8254584261686</v>
      </c>
      <c r="T16" s="338">
        <f t="shared" si="20"/>
        <v>8222.957213544245</v>
      </c>
      <c r="U16" s="338">
        <f t="shared" si="20"/>
        <v>6601.0889686623232</v>
      </c>
      <c r="V16" s="338">
        <f t="shared" si="20"/>
        <v>4979.220723779832</v>
      </c>
      <c r="W16" s="338">
        <f t="shared" si="20"/>
        <v>3357.3524788979089</v>
      </c>
      <c r="X16" s="338">
        <f t="shared" si="20"/>
        <v>1735.4842340159862</v>
      </c>
      <c r="Y16" s="69"/>
      <c r="Z16" s="338">
        <f t="shared" ref="Z16:AK16" si="21">N16/$AA148</f>
        <v>1956.3253128941496</v>
      </c>
      <c r="AA16" s="338">
        <f t="shared" si="21"/>
        <v>1855.9430043130676</v>
      </c>
      <c r="AB16" s="338">
        <f t="shared" si="21"/>
        <v>1671.6397946673301</v>
      </c>
      <c r="AC16" s="338">
        <f t="shared" si="21"/>
        <v>1487.3365850216569</v>
      </c>
      <c r="AD16" s="338">
        <f t="shared" si="21"/>
        <v>1303.033375375984</v>
      </c>
      <c r="AE16" s="338">
        <f t="shared" si="21"/>
        <v>1118.7301657302464</v>
      </c>
      <c r="AF16" s="338">
        <f t="shared" si="21"/>
        <v>934.42695608457325</v>
      </c>
      <c r="AG16" s="338">
        <f t="shared" si="21"/>
        <v>750.1237464389003</v>
      </c>
      <c r="AH16" s="338">
        <f t="shared" si="21"/>
        <v>565.82053679316266</v>
      </c>
      <c r="AI16" s="338">
        <f t="shared" si="21"/>
        <v>381.5173271474896</v>
      </c>
      <c r="AJ16" s="338">
        <f t="shared" si="21"/>
        <v>197.21411750181659</v>
      </c>
      <c r="AK16" s="338">
        <f t="shared" si="21"/>
        <v>0</v>
      </c>
      <c r="AL16" s="333"/>
      <c r="AM16" s="69"/>
    </row>
    <row r="17" spans="1:39">
      <c r="A17" s="69"/>
      <c r="B17" s="350" t="s">
        <v>843</v>
      </c>
      <c r="C17" s="338">
        <v>39377</v>
      </c>
      <c r="D17" s="338">
        <f t="shared" ref="D17:X17" si="22">($C17/$C149)*D149</f>
        <v>46186.556390977443</v>
      </c>
      <c r="E17" s="338">
        <f t="shared" si="22"/>
        <v>54654.0917293233</v>
      </c>
      <c r="F17" s="338">
        <f t="shared" si="22"/>
        <v>53232.966917293234</v>
      </c>
      <c r="G17" s="338">
        <f t="shared" si="22"/>
        <v>53173.753383458643</v>
      </c>
      <c r="H17" s="338">
        <f t="shared" si="22"/>
        <v>55601.508270676692</v>
      </c>
      <c r="I17" s="338">
        <f t="shared" si="22"/>
        <v>61108.366917293228</v>
      </c>
      <c r="J17" s="338">
        <f t="shared" si="22"/>
        <v>58621.398496240596</v>
      </c>
      <c r="K17" s="338">
        <f t="shared" si="22"/>
        <v>62707.132330827066</v>
      </c>
      <c r="L17" s="338">
        <f t="shared" si="22"/>
        <v>66141.517293233075</v>
      </c>
      <c r="M17" s="338">
        <f t="shared" si="22"/>
        <v>69753.542857142849</v>
      </c>
      <c r="N17" s="338">
        <f t="shared" si="22"/>
        <v>76148.604511278187</v>
      </c>
      <c r="O17" s="338">
        <f t="shared" si="22"/>
        <v>74540.149610389664</v>
      </c>
      <c r="P17" s="338">
        <f t="shared" si="22"/>
        <v>77003.970922760753</v>
      </c>
      <c r="Q17" s="338">
        <f t="shared" si="22"/>
        <v>79467.792235132903</v>
      </c>
      <c r="R17" s="338">
        <f t="shared" si="22"/>
        <v>81931.613547503977</v>
      </c>
      <c r="S17" s="338">
        <f t="shared" si="22"/>
        <v>84395.434859876143</v>
      </c>
      <c r="T17" s="338">
        <f t="shared" si="22"/>
        <v>86859.256172248293</v>
      </c>
      <c r="U17" s="338">
        <f t="shared" si="22"/>
        <v>89323.077484619367</v>
      </c>
      <c r="V17" s="338">
        <f t="shared" si="22"/>
        <v>91786.898796991532</v>
      </c>
      <c r="W17" s="338">
        <f t="shared" si="22"/>
        <v>94250.720109363683</v>
      </c>
      <c r="X17" s="338">
        <f t="shared" si="22"/>
        <v>96714.541421734757</v>
      </c>
      <c r="Y17" s="69"/>
      <c r="Z17" s="338">
        <f t="shared" ref="Z17:AK17" si="23">N17/$AA149</f>
        <v>6043.5400405776336</v>
      </c>
      <c r="AA17" s="338">
        <f t="shared" si="23"/>
        <v>5915.8848897134658</v>
      </c>
      <c r="AB17" s="338">
        <f t="shared" si="23"/>
        <v>6111.4262637111706</v>
      </c>
      <c r="AC17" s="338">
        <f t="shared" si="23"/>
        <v>6306.9676377089609</v>
      </c>
      <c r="AD17" s="338">
        <f t="shared" si="23"/>
        <v>6502.5090117066648</v>
      </c>
      <c r="AE17" s="338">
        <f t="shared" si="23"/>
        <v>6698.0503857044559</v>
      </c>
      <c r="AF17" s="338">
        <f t="shared" si="23"/>
        <v>6893.5917597022453</v>
      </c>
      <c r="AG17" s="338">
        <f t="shared" si="23"/>
        <v>7089.1331336999501</v>
      </c>
      <c r="AH17" s="338">
        <f t="shared" si="23"/>
        <v>7284.6745076977413</v>
      </c>
      <c r="AI17" s="338">
        <f t="shared" si="23"/>
        <v>7480.2158816955307</v>
      </c>
      <c r="AJ17" s="338">
        <f t="shared" si="23"/>
        <v>7675.7572556932346</v>
      </c>
      <c r="AK17" s="338">
        <f t="shared" si="23"/>
        <v>0</v>
      </c>
      <c r="AL17" s="333"/>
      <c r="AM17" s="69"/>
    </row>
    <row r="18" spans="1:39">
      <c r="A18" s="69"/>
      <c r="B18" s="350" t="s">
        <v>844</v>
      </c>
      <c r="C18" s="338">
        <v>59806</v>
      </c>
      <c r="D18" s="338">
        <f t="shared" ref="D18:X18" si="24">($C18/$C150)*D150</f>
        <v>60177.850777202075</v>
      </c>
      <c r="E18" s="338">
        <f t="shared" si="24"/>
        <v>62346.980310880834</v>
      </c>
      <c r="F18" s="338">
        <f t="shared" si="24"/>
        <v>61665.253886010367</v>
      </c>
      <c r="G18" s="338">
        <f t="shared" si="24"/>
        <v>57946.74611398964</v>
      </c>
      <c r="H18" s="338">
        <f t="shared" si="24"/>
        <v>63214.632124352334</v>
      </c>
      <c r="I18" s="338">
        <f t="shared" si="24"/>
        <v>61975.129533678759</v>
      </c>
      <c r="J18" s="338">
        <f t="shared" si="24"/>
        <v>62037.104663212434</v>
      </c>
      <c r="K18" s="338">
        <f t="shared" si="24"/>
        <v>60301.801036269433</v>
      </c>
      <c r="L18" s="338">
        <f t="shared" si="24"/>
        <v>61045.502590673583</v>
      </c>
      <c r="M18" s="338">
        <f t="shared" si="24"/>
        <v>64020.30880829016</v>
      </c>
      <c r="N18" s="338">
        <f t="shared" si="24"/>
        <v>67119.065284974102</v>
      </c>
      <c r="O18" s="338">
        <f t="shared" si="24"/>
        <v>64335.818558643405</v>
      </c>
      <c r="P18" s="338">
        <f t="shared" si="24"/>
        <v>64727.38869524248</v>
      </c>
      <c r="Q18" s="338">
        <f t="shared" si="24"/>
        <v>65118.958831841701</v>
      </c>
      <c r="R18" s="338">
        <f t="shared" si="24"/>
        <v>65510.528968440776</v>
      </c>
      <c r="S18" s="338">
        <f t="shared" si="24"/>
        <v>65902.09910503999</v>
      </c>
      <c r="T18" s="338">
        <f t="shared" si="24"/>
        <v>66293.669241639072</v>
      </c>
      <c r="U18" s="338">
        <f t="shared" si="24"/>
        <v>66685.239378238286</v>
      </c>
      <c r="V18" s="338">
        <f t="shared" si="24"/>
        <v>67076.809514837369</v>
      </c>
      <c r="W18" s="338">
        <f t="shared" si="24"/>
        <v>67468.379651436582</v>
      </c>
      <c r="X18" s="338">
        <f t="shared" si="24"/>
        <v>67859.949788035665</v>
      </c>
      <c r="Y18" s="69"/>
      <c r="Z18" s="338">
        <f t="shared" ref="Z18:AK18" si="25">N18/$AA150</f>
        <v>1854.1178255517707</v>
      </c>
      <c r="AA18" s="338">
        <f t="shared" si="25"/>
        <v>1777.2325568686022</v>
      </c>
      <c r="AB18" s="338">
        <f t="shared" si="25"/>
        <v>1788.0494114707867</v>
      </c>
      <c r="AC18" s="338">
        <f t="shared" si="25"/>
        <v>1798.8662660729751</v>
      </c>
      <c r="AD18" s="338">
        <f t="shared" si="25"/>
        <v>1809.6831206751594</v>
      </c>
      <c r="AE18" s="338">
        <f t="shared" si="25"/>
        <v>1820.4999752773476</v>
      </c>
      <c r="AF18" s="338">
        <f t="shared" si="25"/>
        <v>1831.3168298795322</v>
      </c>
      <c r="AG18" s="338">
        <f t="shared" si="25"/>
        <v>1842.1336844817204</v>
      </c>
      <c r="AH18" s="338">
        <f t="shared" si="25"/>
        <v>1852.9505390839051</v>
      </c>
      <c r="AI18" s="338">
        <f t="shared" si="25"/>
        <v>1863.7673936860933</v>
      </c>
      <c r="AJ18" s="338">
        <f t="shared" si="25"/>
        <v>1874.5842482882779</v>
      </c>
      <c r="AK18" s="338">
        <f t="shared" si="25"/>
        <v>0</v>
      </c>
      <c r="AL18" s="333"/>
      <c r="AM18" s="69"/>
    </row>
    <row r="19" spans="1:39">
      <c r="A19" s="69"/>
      <c r="B19" s="350" t="s">
        <v>845</v>
      </c>
      <c r="C19" s="338">
        <v>36575</v>
      </c>
      <c r="D19" s="338">
        <f t="shared" ref="D19:X19" si="26">($C19/$C151)*D151</f>
        <v>35725.359513274328</v>
      </c>
      <c r="E19" s="338">
        <f t="shared" si="26"/>
        <v>37950.608407079642</v>
      </c>
      <c r="F19" s="338">
        <f t="shared" si="26"/>
        <v>39649.889380530971</v>
      </c>
      <c r="G19" s="338">
        <f t="shared" si="26"/>
        <v>40256.775442477876</v>
      </c>
      <c r="H19" s="338">
        <f t="shared" si="26"/>
        <v>41146.875</v>
      </c>
      <c r="I19" s="338">
        <f t="shared" si="26"/>
        <v>40418.611725663715</v>
      </c>
      <c r="J19" s="338">
        <f t="shared" si="26"/>
        <v>40094.939159292029</v>
      </c>
      <c r="K19" s="338">
        <f t="shared" si="26"/>
        <v>39852.18473451327</v>
      </c>
      <c r="L19" s="338">
        <f t="shared" si="26"/>
        <v>41146.875</v>
      </c>
      <c r="M19" s="338">
        <f t="shared" si="26"/>
        <v>41430.088495575219</v>
      </c>
      <c r="N19" s="338">
        <f t="shared" si="26"/>
        <v>42684.319690265482</v>
      </c>
      <c r="O19" s="338">
        <f t="shared" si="26"/>
        <v>42832.914823008898</v>
      </c>
      <c r="P19" s="338">
        <f t="shared" si="26"/>
        <v>43299.665376106088</v>
      </c>
      <c r="Q19" s="338">
        <f t="shared" si="26"/>
        <v>43766.415929203475</v>
      </c>
      <c r="R19" s="338">
        <f t="shared" si="26"/>
        <v>44233.166482300665</v>
      </c>
      <c r="S19" s="338">
        <f t="shared" si="26"/>
        <v>44699.917035398052</v>
      </c>
      <c r="T19" s="338">
        <f t="shared" si="26"/>
        <v>45166.667588495431</v>
      </c>
      <c r="U19" s="338">
        <f t="shared" si="26"/>
        <v>45633.418141592811</v>
      </c>
      <c r="V19" s="338">
        <f t="shared" si="26"/>
        <v>46100.16869469019</v>
      </c>
      <c r="W19" s="338">
        <f t="shared" si="26"/>
        <v>46566.919247787388</v>
      </c>
      <c r="X19" s="338">
        <f t="shared" si="26"/>
        <v>47033.669800884767</v>
      </c>
      <c r="Y19" s="69"/>
      <c r="Z19" s="338">
        <f t="shared" ref="Z19:AK19" si="27">N19/$AA151</f>
        <v>1255.4211673607495</v>
      </c>
      <c r="AA19" s="338">
        <f t="shared" si="27"/>
        <v>1259.7916124414382</v>
      </c>
      <c r="AB19" s="338">
        <f t="shared" si="27"/>
        <v>1273.5195698854732</v>
      </c>
      <c r="AC19" s="338">
        <f t="shared" si="27"/>
        <v>1287.247527329514</v>
      </c>
      <c r="AD19" s="338">
        <f t="shared" si="27"/>
        <v>1300.9754847735489</v>
      </c>
      <c r="AE19" s="338">
        <f t="shared" si="27"/>
        <v>1314.7034422175898</v>
      </c>
      <c r="AF19" s="338">
        <f t="shared" si="27"/>
        <v>1328.4313996616304</v>
      </c>
      <c r="AG19" s="338">
        <f t="shared" si="27"/>
        <v>1342.159357105671</v>
      </c>
      <c r="AH19" s="338">
        <f t="shared" si="27"/>
        <v>1355.8873145497114</v>
      </c>
      <c r="AI19" s="338">
        <f t="shared" si="27"/>
        <v>1369.6152719937468</v>
      </c>
      <c r="AJ19" s="338">
        <f t="shared" si="27"/>
        <v>1383.3432294377872</v>
      </c>
      <c r="AK19" s="338">
        <f t="shared" si="27"/>
        <v>0</v>
      </c>
      <c r="AL19" s="333"/>
      <c r="AM19" s="69"/>
    </row>
    <row r="20" spans="1:39">
      <c r="A20" s="69"/>
      <c r="B20" s="350" t="s">
        <v>846</v>
      </c>
      <c r="C20" s="338">
        <v>24691</v>
      </c>
      <c r="D20" s="338">
        <f t="shared" ref="D20:X20" si="28">($C20/$C152)*D152</f>
        <v>31559.395149786022</v>
      </c>
      <c r="E20" s="338">
        <f t="shared" si="28"/>
        <v>35116.87161198289</v>
      </c>
      <c r="F20" s="338">
        <f t="shared" si="28"/>
        <v>34940.758915834529</v>
      </c>
      <c r="G20" s="338">
        <f t="shared" si="28"/>
        <v>35926.990014265342</v>
      </c>
      <c r="H20" s="338">
        <f t="shared" si="28"/>
        <v>35257.761768901568</v>
      </c>
      <c r="I20" s="338">
        <f t="shared" si="28"/>
        <v>35645.209700427964</v>
      </c>
      <c r="J20" s="338">
        <f t="shared" si="28"/>
        <v>36279.215406562056</v>
      </c>
      <c r="K20" s="338">
        <f t="shared" si="28"/>
        <v>37652.894436519266</v>
      </c>
      <c r="L20" s="338">
        <f t="shared" si="28"/>
        <v>39519.689015691874</v>
      </c>
      <c r="M20" s="338">
        <f t="shared" si="28"/>
        <v>41668.263908701854</v>
      </c>
      <c r="N20" s="338">
        <f t="shared" si="28"/>
        <v>46247.194008559207</v>
      </c>
      <c r="O20" s="338">
        <f t="shared" si="28"/>
        <v>43684.273972247596</v>
      </c>
      <c r="P20" s="338">
        <f t="shared" si="28"/>
        <v>44755.679574633621</v>
      </c>
      <c r="Q20" s="338">
        <f t="shared" si="28"/>
        <v>45827.085177019653</v>
      </c>
      <c r="R20" s="338">
        <f t="shared" si="28"/>
        <v>46898.490779405998</v>
      </c>
      <c r="S20" s="338">
        <f t="shared" si="28"/>
        <v>47969.89638179203</v>
      </c>
      <c r="T20" s="338">
        <f t="shared" si="28"/>
        <v>49041.301984178375</v>
      </c>
      <c r="U20" s="338">
        <f t="shared" si="28"/>
        <v>50112.707586564407</v>
      </c>
      <c r="V20" s="338">
        <f t="shared" si="28"/>
        <v>51184.113188950752</v>
      </c>
      <c r="W20" s="338">
        <f t="shared" si="28"/>
        <v>52255.518791337105</v>
      </c>
      <c r="X20" s="338">
        <f t="shared" si="28"/>
        <v>53326.924393723129</v>
      </c>
      <c r="Y20" s="69"/>
      <c r="Z20" s="338">
        <f t="shared" ref="Z20:AK20" si="29">N20/$AA152</f>
        <v>4362.9428309961513</v>
      </c>
      <c r="AA20" s="338">
        <f t="shared" si="29"/>
        <v>4121.1579219101504</v>
      </c>
      <c r="AB20" s="338">
        <f t="shared" si="29"/>
        <v>4222.2339221352477</v>
      </c>
      <c r="AC20" s="338">
        <f t="shared" si="29"/>
        <v>4323.3099223603449</v>
      </c>
      <c r="AD20" s="338">
        <f t="shared" si="29"/>
        <v>4424.3859225854712</v>
      </c>
      <c r="AE20" s="338">
        <f t="shared" si="29"/>
        <v>4525.4619228105694</v>
      </c>
      <c r="AF20" s="338">
        <f t="shared" si="29"/>
        <v>4626.5379230356957</v>
      </c>
      <c r="AG20" s="338">
        <f t="shared" si="29"/>
        <v>4727.6139232607929</v>
      </c>
      <c r="AH20" s="338">
        <f t="shared" si="29"/>
        <v>4828.6899234859202</v>
      </c>
      <c r="AI20" s="338">
        <f t="shared" si="29"/>
        <v>4929.7659237110474</v>
      </c>
      <c r="AJ20" s="338">
        <f t="shared" si="29"/>
        <v>5030.8419239361447</v>
      </c>
      <c r="AK20" s="338">
        <f t="shared" si="29"/>
        <v>0</v>
      </c>
      <c r="AL20" s="333"/>
      <c r="AM20" s="69"/>
    </row>
    <row r="21" spans="1:39">
      <c r="A21" s="69"/>
      <c r="B21" s="350" t="s">
        <v>847</v>
      </c>
      <c r="C21" s="338">
        <v>46813</v>
      </c>
      <c r="D21" s="338">
        <f t="shared" ref="D21:X21" si="30">($C21/$C153)*D153</f>
        <v>52923.918562874249</v>
      </c>
      <c r="E21" s="338">
        <f t="shared" si="30"/>
        <v>58922.710179640708</v>
      </c>
      <c r="F21" s="338">
        <f t="shared" si="30"/>
        <v>54493.695808383229</v>
      </c>
      <c r="G21" s="338">
        <f t="shared" si="30"/>
        <v>54886.140119760479</v>
      </c>
      <c r="H21" s="338">
        <f t="shared" si="30"/>
        <v>55783.155688622748</v>
      </c>
      <c r="I21" s="338">
        <f t="shared" si="30"/>
        <v>56792.298203592807</v>
      </c>
      <c r="J21" s="338">
        <f t="shared" si="30"/>
        <v>59090.900598802393</v>
      </c>
      <c r="K21" s="338">
        <f t="shared" si="30"/>
        <v>61613.756886227544</v>
      </c>
      <c r="L21" s="338">
        <f t="shared" si="30"/>
        <v>65762.453892215563</v>
      </c>
      <c r="M21" s="338">
        <f t="shared" si="30"/>
        <v>70527.849101796397</v>
      </c>
      <c r="N21" s="338">
        <f t="shared" si="30"/>
        <v>77816.100598802397</v>
      </c>
      <c r="O21" s="338">
        <f t="shared" si="30"/>
        <v>72862.128252585244</v>
      </c>
      <c r="P21" s="338">
        <f t="shared" si="30"/>
        <v>74875.316603156272</v>
      </c>
      <c r="Q21" s="338">
        <f t="shared" si="30"/>
        <v>76888.50495372781</v>
      </c>
      <c r="R21" s="338">
        <f t="shared" si="30"/>
        <v>78901.693304299348</v>
      </c>
      <c r="S21" s="338">
        <f t="shared" si="30"/>
        <v>80914.881654870886</v>
      </c>
      <c r="T21" s="338">
        <f t="shared" si="30"/>
        <v>82928.070005442423</v>
      </c>
      <c r="U21" s="338">
        <f t="shared" si="30"/>
        <v>84941.25835601447</v>
      </c>
      <c r="V21" s="338">
        <f t="shared" si="30"/>
        <v>86954.446706586008</v>
      </c>
      <c r="W21" s="338">
        <f t="shared" si="30"/>
        <v>88967.635057157546</v>
      </c>
      <c r="X21" s="338">
        <f t="shared" si="30"/>
        <v>90980.823407729084</v>
      </c>
      <c r="Y21" s="69"/>
      <c r="Z21" s="338">
        <f t="shared" ref="Z21:AK21" si="31">N21/$AA153</f>
        <v>7704.5644157230099</v>
      </c>
      <c r="AA21" s="338">
        <f t="shared" si="31"/>
        <v>7214.0721042163614</v>
      </c>
      <c r="AB21" s="338">
        <f t="shared" si="31"/>
        <v>7413.3976834808191</v>
      </c>
      <c r="AC21" s="338">
        <f t="shared" si="31"/>
        <v>7612.7232627453277</v>
      </c>
      <c r="AD21" s="338">
        <f t="shared" si="31"/>
        <v>7812.0488420098363</v>
      </c>
      <c r="AE21" s="338">
        <f t="shared" si="31"/>
        <v>8011.374421274345</v>
      </c>
      <c r="AF21" s="338">
        <f t="shared" si="31"/>
        <v>8210.7000005388545</v>
      </c>
      <c r="AG21" s="338">
        <f t="shared" si="31"/>
        <v>8410.0255798034141</v>
      </c>
      <c r="AH21" s="338">
        <f t="shared" si="31"/>
        <v>8609.3511590679227</v>
      </c>
      <c r="AI21" s="338">
        <f t="shared" si="31"/>
        <v>8808.6767383324313</v>
      </c>
      <c r="AJ21" s="338">
        <f t="shared" si="31"/>
        <v>9008.00231759694</v>
      </c>
      <c r="AK21" s="338">
        <f t="shared" si="31"/>
        <v>0</v>
      </c>
      <c r="AL21" s="333"/>
      <c r="AM21" s="69"/>
    </row>
    <row r="22" spans="1:39">
      <c r="A22" s="69"/>
      <c r="B22" s="350" t="s">
        <v>848</v>
      </c>
      <c r="C22" s="338">
        <v>52344</v>
      </c>
      <c r="D22" s="338">
        <f t="shared" ref="D22:X22" si="32">($C22/$C154)*D154</f>
        <v>53233.339805825235</v>
      </c>
      <c r="E22" s="338">
        <f t="shared" si="32"/>
        <v>57171.844660194169</v>
      </c>
      <c r="F22" s="338">
        <f t="shared" si="32"/>
        <v>58061.184466019418</v>
      </c>
      <c r="G22" s="338">
        <f t="shared" si="32"/>
        <v>59776.339805825235</v>
      </c>
      <c r="H22" s="338">
        <f t="shared" si="32"/>
        <v>63968.941747572811</v>
      </c>
      <c r="I22" s="338">
        <f t="shared" si="32"/>
        <v>65112.378640776697</v>
      </c>
      <c r="J22" s="338">
        <f t="shared" si="32"/>
        <v>67081.631067961149</v>
      </c>
      <c r="K22" s="338">
        <f t="shared" si="32"/>
        <v>68352.116504854363</v>
      </c>
      <c r="L22" s="338">
        <f t="shared" si="32"/>
        <v>67843.922330097077</v>
      </c>
      <c r="M22" s="338">
        <f t="shared" si="32"/>
        <v>72036.524271844653</v>
      </c>
      <c r="N22" s="338">
        <f t="shared" si="32"/>
        <v>74132.825242718449</v>
      </c>
      <c r="O22" s="338">
        <f t="shared" si="32"/>
        <v>75901.109973521336</v>
      </c>
      <c r="P22" s="338">
        <f t="shared" si="32"/>
        <v>77842.64271844599</v>
      </c>
      <c r="Q22" s="338">
        <f t="shared" si="32"/>
        <v>79784.175463371226</v>
      </c>
      <c r="R22" s="338">
        <f t="shared" si="32"/>
        <v>81725.708208296463</v>
      </c>
      <c r="S22" s="338">
        <f t="shared" si="32"/>
        <v>83667.240953221117</v>
      </c>
      <c r="T22" s="338">
        <f t="shared" si="32"/>
        <v>85608.773698146353</v>
      </c>
      <c r="U22" s="338">
        <f t="shared" si="32"/>
        <v>87550.306443071007</v>
      </c>
      <c r="V22" s="338">
        <f t="shared" si="32"/>
        <v>89491.839187996244</v>
      </c>
      <c r="W22" s="338">
        <f t="shared" si="32"/>
        <v>91433.371932920898</v>
      </c>
      <c r="X22" s="338">
        <f t="shared" si="32"/>
        <v>93374.904677846134</v>
      </c>
      <c r="Y22" s="69"/>
      <c r="Z22" s="338">
        <f t="shared" ref="Z22:AK22" si="33">N22/$AA154</f>
        <v>1528.5118606746073</v>
      </c>
      <c r="AA22" s="338">
        <f t="shared" si="33"/>
        <v>1564.9713396602338</v>
      </c>
      <c r="AB22" s="338">
        <f t="shared" si="33"/>
        <v>1605.0029426483709</v>
      </c>
      <c r="AC22" s="338">
        <f t="shared" si="33"/>
        <v>1645.0345456365201</v>
      </c>
      <c r="AD22" s="338">
        <f t="shared" si="33"/>
        <v>1685.0661486246693</v>
      </c>
      <c r="AE22" s="338">
        <f t="shared" si="33"/>
        <v>1725.0977516128066</v>
      </c>
      <c r="AF22" s="338">
        <f t="shared" si="33"/>
        <v>1765.1293546009558</v>
      </c>
      <c r="AG22" s="338">
        <f t="shared" si="33"/>
        <v>1805.160957589093</v>
      </c>
      <c r="AH22" s="338">
        <f t="shared" si="33"/>
        <v>1845.1925605772421</v>
      </c>
      <c r="AI22" s="338">
        <f t="shared" si="33"/>
        <v>1885.2241635653793</v>
      </c>
      <c r="AJ22" s="338">
        <f t="shared" si="33"/>
        <v>1925.2557665535285</v>
      </c>
      <c r="AK22" s="338">
        <f t="shared" si="33"/>
        <v>0</v>
      </c>
      <c r="AL22" s="333"/>
      <c r="AM22" s="69"/>
    </row>
    <row r="23" spans="1:39">
      <c r="A23" s="69"/>
      <c r="B23" s="350" t="s">
        <v>849</v>
      </c>
      <c r="C23" s="338">
        <v>69480</v>
      </c>
      <c r="D23" s="338">
        <f t="shared" ref="D23:X23" si="34">($C23/$C155)*D155</f>
        <v>72606.981339187711</v>
      </c>
      <c r="E23" s="338">
        <f t="shared" si="34"/>
        <v>60632.930845225026</v>
      </c>
      <c r="F23" s="338">
        <f t="shared" si="34"/>
        <v>68259.714599341387</v>
      </c>
      <c r="G23" s="338">
        <f t="shared" si="34"/>
        <v>76344.105378704713</v>
      </c>
      <c r="H23" s="338">
        <f t="shared" si="34"/>
        <v>77488.122941822163</v>
      </c>
      <c r="I23" s="338">
        <f t="shared" si="34"/>
        <v>79166.01536772777</v>
      </c>
      <c r="J23" s="338">
        <f t="shared" si="34"/>
        <v>88089.352360043908</v>
      </c>
      <c r="K23" s="338">
        <f t="shared" si="34"/>
        <v>94114.511525795839</v>
      </c>
      <c r="L23" s="338">
        <f t="shared" si="34"/>
        <v>100063.40285400658</v>
      </c>
      <c r="M23" s="338">
        <f t="shared" si="34"/>
        <v>99224.456641053781</v>
      </c>
      <c r="N23" s="338">
        <f t="shared" si="34"/>
        <v>100139.67069154776</v>
      </c>
      <c r="O23" s="338">
        <f t="shared" si="34"/>
        <v>106934.44167248937</v>
      </c>
      <c r="P23" s="338">
        <f t="shared" si="34"/>
        <v>110876.10218541125</v>
      </c>
      <c r="Q23" s="338">
        <f t="shared" si="34"/>
        <v>114817.76269833451</v>
      </c>
      <c r="R23" s="338">
        <f t="shared" si="34"/>
        <v>118759.42321125777</v>
      </c>
      <c r="S23" s="338">
        <f t="shared" si="34"/>
        <v>122701.08372417965</v>
      </c>
      <c r="T23" s="338">
        <f t="shared" si="34"/>
        <v>126642.74423710292</v>
      </c>
      <c r="U23" s="338">
        <f t="shared" si="34"/>
        <v>130584.40475002618</v>
      </c>
      <c r="V23" s="338">
        <f t="shared" si="34"/>
        <v>134526.06526294805</v>
      </c>
      <c r="W23" s="338">
        <f t="shared" si="34"/>
        <v>138467.72577587134</v>
      </c>
      <c r="X23" s="338">
        <f t="shared" si="34"/>
        <v>142409.3862887946</v>
      </c>
      <c r="Y23" s="69"/>
      <c r="Z23" s="338">
        <f t="shared" ref="Z23:AK23" si="35">N23/$AA155</f>
        <v>7152.8336208248393</v>
      </c>
      <c r="AA23" s="338">
        <f t="shared" si="35"/>
        <v>7638.1744051778123</v>
      </c>
      <c r="AB23" s="338">
        <f t="shared" si="35"/>
        <v>7919.721584672232</v>
      </c>
      <c r="AC23" s="338">
        <f t="shared" si="35"/>
        <v>8201.2687641667508</v>
      </c>
      <c r="AD23" s="338">
        <f t="shared" si="35"/>
        <v>8482.8159436612696</v>
      </c>
      <c r="AE23" s="338">
        <f t="shared" si="35"/>
        <v>8764.3631231556901</v>
      </c>
      <c r="AF23" s="338">
        <f t="shared" si="35"/>
        <v>9045.9103026502089</v>
      </c>
      <c r="AG23" s="338">
        <f t="shared" si="35"/>
        <v>9327.4574821447277</v>
      </c>
      <c r="AH23" s="338">
        <f t="shared" si="35"/>
        <v>9609.0046616391464</v>
      </c>
      <c r="AI23" s="338">
        <f t="shared" si="35"/>
        <v>9890.551841133667</v>
      </c>
      <c r="AJ23" s="338">
        <f t="shared" si="35"/>
        <v>10172.099020628186</v>
      </c>
      <c r="AK23" s="338">
        <f t="shared" si="35"/>
        <v>0</v>
      </c>
      <c r="AL23" s="333"/>
      <c r="AM23" s="69"/>
    </row>
    <row r="24" spans="1:39">
      <c r="A24" s="69"/>
      <c r="B24" s="350" t="s">
        <v>850</v>
      </c>
      <c r="C24" s="338">
        <v>64080</v>
      </c>
      <c r="D24" s="338">
        <f t="shared" ref="D24:X24" si="36">($C24/$C156)*D156</f>
        <v>68267.257876312709</v>
      </c>
      <c r="E24" s="338">
        <f t="shared" si="36"/>
        <v>70061.796966161026</v>
      </c>
      <c r="F24" s="338">
        <f t="shared" si="36"/>
        <v>69388.844807467904</v>
      </c>
      <c r="G24" s="338">
        <f t="shared" si="36"/>
        <v>72529.28821470245</v>
      </c>
      <c r="H24" s="338">
        <f t="shared" si="36"/>
        <v>73576.102683780628</v>
      </c>
      <c r="I24" s="338">
        <f t="shared" si="36"/>
        <v>75520.186697782963</v>
      </c>
      <c r="J24" s="338">
        <f t="shared" si="36"/>
        <v>75744.504084013999</v>
      </c>
      <c r="K24" s="338">
        <f t="shared" si="36"/>
        <v>77239.953325554263</v>
      </c>
      <c r="L24" s="338">
        <f t="shared" si="36"/>
        <v>74323.827304550767</v>
      </c>
      <c r="M24" s="338">
        <f t="shared" si="36"/>
        <v>73949.964994165697</v>
      </c>
      <c r="N24" s="338">
        <f t="shared" si="36"/>
        <v>73949.964994165697</v>
      </c>
      <c r="O24" s="338">
        <f t="shared" si="36"/>
        <v>76978.929457939827</v>
      </c>
      <c r="P24" s="338">
        <f t="shared" si="36"/>
        <v>77618.573883525838</v>
      </c>
      <c r="Q24" s="338">
        <f t="shared" si="36"/>
        <v>78258.21830911201</v>
      </c>
      <c r="R24" s="338">
        <f t="shared" si="36"/>
        <v>78897.862734698021</v>
      </c>
      <c r="S24" s="338">
        <f t="shared" si="36"/>
        <v>79537.507160284207</v>
      </c>
      <c r="T24" s="338">
        <f t="shared" si="36"/>
        <v>80177.151585870219</v>
      </c>
      <c r="U24" s="338">
        <f t="shared" si="36"/>
        <v>80816.79601145623</v>
      </c>
      <c r="V24" s="338">
        <f t="shared" si="36"/>
        <v>81456.440437042402</v>
      </c>
      <c r="W24" s="338">
        <f t="shared" si="36"/>
        <v>82096.084862628413</v>
      </c>
      <c r="X24" s="338">
        <f t="shared" si="36"/>
        <v>82735.729288214599</v>
      </c>
      <c r="Y24" s="69"/>
      <c r="Z24" s="338">
        <f t="shared" ref="Z24:AK24" si="37">N24/$AA156</f>
        <v>1711.8047452353169</v>
      </c>
      <c r="AA24" s="338">
        <f t="shared" si="37"/>
        <v>1781.9196633782367</v>
      </c>
      <c r="AB24" s="338">
        <f t="shared" si="37"/>
        <v>1796.7262473038388</v>
      </c>
      <c r="AC24" s="338">
        <f t="shared" si="37"/>
        <v>1811.5328312294446</v>
      </c>
      <c r="AD24" s="338">
        <f t="shared" si="37"/>
        <v>1826.3394151550467</v>
      </c>
      <c r="AE24" s="338">
        <f t="shared" si="37"/>
        <v>1841.1459990806529</v>
      </c>
      <c r="AF24" s="338">
        <f t="shared" si="37"/>
        <v>1855.9525830062551</v>
      </c>
      <c r="AG24" s="338">
        <f t="shared" si="37"/>
        <v>1870.759166931857</v>
      </c>
      <c r="AH24" s="338">
        <f t="shared" si="37"/>
        <v>1885.5657508574629</v>
      </c>
      <c r="AI24" s="338">
        <f t="shared" si="37"/>
        <v>1900.3723347830651</v>
      </c>
      <c r="AJ24" s="338">
        <f t="shared" si="37"/>
        <v>1915.1789187086711</v>
      </c>
      <c r="AK24" s="338">
        <f t="shared" si="37"/>
        <v>0</v>
      </c>
      <c r="AL24" s="333"/>
      <c r="AM24" s="69"/>
    </row>
    <row r="25" spans="1:39">
      <c r="A25" s="69"/>
      <c r="B25" s="350" t="s">
        <v>851</v>
      </c>
      <c r="C25" s="338">
        <v>27865</v>
      </c>
      <c r="D25" s="338">
        <f t="shared" ref="D25:X25" si="38">($C25/$C157)*D157</f>
        <v>31149.748344370866</v>
      </c>
      <c r="E25" s="338">
        <f t="shared" si="38"/>
        <v>25798.192052980135</v>
      </c>
      <c r="F25" s="338">
        <f t="shared" si="38"/>
        <v>35763.158940397356</v>
      </c>
      <c r="G25" s="338">
        <f t="shared" si="38"/>
        <v>35652.437086092716</v>
      </c>
      <c r="H25" s="338">
        <f t="shared" si="38"/>
        <v>36279.860927152316</v>
      </c>
      <c r="I25" s="338">
        <f t="shared" si="38"/>
        <v>37534.708609271525</v>
      </c>
      <c r="J25" s="338">
        <f t="shared" si="38"/>
        <v>38863.370860927156</v>
      </c>
      <c r="K25" s="338">
        <f t="shared" si="38"/>
        <v>40745.642384105966</v>
      </c>
      <c r="L25" s="338">
        <f t="shared" si="38"/>
        <v>42148.119205298019</v>
      </c>
      <c r="M25" s="338">
        <f t="shared" si="38"/>
        <v>42960.079470198682</v>
      </c>
      <c r="N25" s="338">
        <f t="shared" si="38"/>
        <v>47241.324503311262</v>
      </c>
      <c r="O25" s="338">
        <f t="shared" si="38"/>
        <v>47523.161950631897</v>
      </c>
      <c r="P25" s="338">
        <f t="shared" si="38"/>
        <v>49168.891330523627</v>
      </c>
      <c r="Q25" s="338">
        <f t="shared" si="38"/>
        <v>50814.620710415358</v>
      </c>
      <c r="R25" s="338">
        <f t="shared" si="38"/>
        <v>52460.350090306412</v>
      </c>
      <c r="S25" s="338">
        <f t="shared" si="38"/>
        <v>54106.079470198143</v>
      </c>
      <c r="T25" s="338">
        <f t="shared" si="38"/>
        <v>55751.808850089874</v>
      </c>
      <c r="U25" s="338">
        <f t="shared" si="38"/>
        <v>57397.538229981597</v>
      </c>
      <c r="V25" s="338">
        <f t="shared" si="38"/>
        <v>59043.267609873328</v>
      </c>
      <c r="W25" s="338">
        <f t="shared" si="38"/>
        <v>60688.996989765059</v>
      </c>
      <c r="X25" s="338">
        <f t="shared" si="38"/>
        <v>62334.72636965612</v>
      </c>
      <c r="Y25" s="69"/>
      <c r="Z25" s="338">
        <f t="shared" ref="Z25:AK25" si="39">N25/$AA157</f>
        <v>4003.5020765518016</v>
      </c>
      <c r="AA25" s="338">
        <f t="shared" si="39"/>
        <v>4027.3866059857537</v>
      </c>
      <c r="AB25" s="338">
        <f t="shared" si="39"/>
        <v>4166.8551975020018</v>
      </c>
      <c r="AC25" s="338">
        <f t="shared" si="39"/>
        <v>4306.3237890182509</v>
      </c>
      <c r="AD25" s="338">
        <f t="shared" si="39"/>
        <v>4445.7923805344417</v>
      </c>
      <c r="AE25" s="338">
        <f t="shared" si="39"/>
        <v>4585.2609720506898</v>
      </c>
      <c r="AF25" s="338">
        <f t="shared" si="39"/>
        <v>4724.7295635669379</v>
      </c>
      <c r="AG25" s="338">
        <f t="shared" si="39"/>
        <v>4864.1981550831861</v>
      </c>
      <c r="AH25" s="338">
        <f t="shared" si="39"/>
        <v>5003.6667465994342</v>
      </c>
      <c r="AI25" s="338">
        <f t="shared" si="39"/>
        <v>5143.1353381156823</v>
      </c>
      <c r="AJ25" s="338">
        <f t="shared" si="39"/>
        <v>5282.6039296318741</v>
      </c>
      <c r="AK25" s="338">
        <f t="shared" si="39"/>
        <v>0</v>
      </c>
      <c r="AL25" s="333"/>
      <c r="AM25" s="69"/>
    </row>
    <row r="26" spans="1:39">
      <c r="A26" s="69"/>
      <c r="B26" s="350" t="s">
        <v>852</v>
      </c>
      <c r="C26" s="338">
        <v>22673</v>
      </c>
      <c r="D26" s="338">
        <f t="shared" ref="D26:X26" si="40">($C26/$C158)*D158</f>
        <v>25812.33846153846</v>
      </c>
      <c r="E26" s="338">
        <f t="shared" si="40"/>
        <v>25936.915384615382</v>
      </c>
      <c r="F26" s="338">
        <f t="shared" si="40"/>
        <v>26509.969230769231</v>
      </c>
      <c r="G26" s="338">
        <f t="shared" si="40"/>
        <v>26534.884615384617</v>
      </c>
      <c r="H26" s="338">
        <f t="shared" si="40"/>
        <v>25388.776923076926</v>
      </c>
      <c r="I26" s="338">
        <f t="shared" si="40"/>
        <v>25363.861538461537</v>
      </c>
      <c r="J26" s="338">
        <f t="shared" si="40"/>
        <v>25239.284615384615</v>
      </c>
      <c r="K26" s="338">
        <f t="shared" si="40"/>
        <v>24815.723076923077</v>
      </c>
      <c r="L26" s="338">
        <f t="shared" si="40"/>
        <v>26460.138461538463</v>
      </c>
      <c r="M26" s="338">
        <f t="shared" si="40"/>
        <v>27357.092307692306</v>
      </c>
      <c r="N26" s="338">
        <f t="shared" si="40"/>
        <v>26759.123076923079</v>
      </c>
      <c r="O26" s="338">
        <f t="shared" si="40"/>
        <v>26380.409230769244</v>
      </c>
      <c r="P26" s="338">
        <f t="shared" si="40"/>
        <v>26441.112167832169</v>
      </c>
      <c r="Q26" s="338">
        <f t="shared" si="40"/>
        <v>26501.815104895108</v>
      </c>
      <c r="R26" s="338">
        <f t="shared" si="40"/>
        <v>26562.518041958047</v>
      </c>
      <c r="S26" s="338">
        <f t="shared" si="40"/>
        <v>26623.220979020985</v>
      </c>
      <c r="T26" s="338">
        <f t="shared" si="40"/>
        <v>26683.923916083924</v>
      </c>
      <c r="U26" s="338">
        <f t="shared" si="40"/>
        <v>26744.626853146863</v>
      </c>
      <c r="V26" s="338">
        <f t="shared" si="40"/>
        <v>26805.329790209798</v>
      </c>
      <c r="W26" s="338">
        <f t="shared" si="40"/>
        <v>26866.032727272737</v>
      </c>
      <c r="X26" s="338">
        <f t="shared" si="40"/>
        <v>26926.735664335676</v>
      </c>
      <c r="Y26" s="69"/>
      <c r="Z26" s="338">
        <f t="shared" ref="Z26:AK26" si="41">N26/$AA158</f>
        <v>1324.7090632140139</v>
      </c>
      <c r="AA26" s="338">
        <f t="shared" si="41"/>
        <v>1305.9608530083785</v>
      </c>
      <c r="AB26" s="338">
        <f t="shared" si="41"/>
        <v>1308.9659489025826</v>
      </c>
      <c r="AC26" s="338">
        <f t="shared" si="41"/>
        <v>1311.9710447967875</v>
      </c>
      <c r="AD26" s="338">
        <f t="shared" si="41"/>
        <v>1314.9761406909925</v>
      </c>
      <c r="AE26" s="338">
        <f t="shared" si="41"/>
        <v>1317.9812365851974</v>
      </c>
      <c r="AF26" s="338">
        <f t="shared" si="41"/>
        <v>1320.9863324794023</v>
      </c>
      <c r="AG26" s="338">
        <f t="shared" si="41"/>
        <v>1323.9914283736071</v>
      </c>
      <c r="AH26" s="338">
        <f t="shared" si="41"/>
        <v>1326.9965242678118</v>
      </c>
      <c r="AI26" s="338">
        <f t="shared" si="41"/>
        <v>1330.0016201620167</v>
      </c>
      <c r="AJ26" s="338">
        <f t="shared" si="41"/>
        <v>1333.0067160562216</v>
      </c>
      <c r="AK26" s="338">
        <f t="shared" si="41"/>
        <v>0</v>
      </c>
      <c r="AL26" s="333"/>
      <c r="AM26" s="69"/>
    </row>
    <row r="27" spans="1:39">
      <c r="A27" s="69"/>
      <c r="B27" s="350" t="s">
        <v>853</v>
      </c>
      <c r="C27" s="338">
        <v>19333</v>
      </c>
      <c r="D27" s="338">
        <f t="shared" ref="D27:X27" si="42">($C27/$C159)*D159</f>
        <v>24138.943502824859</v>
      </c>
      <c r="E27" s="338">
        <f t="shared" si="42"/>
        <v>29927.920903954804</v>
      </c>
      <c r="F27" s="338">
        <f t="shared" si="42"/>
        <v>31202.224105461395</v>
      </c>
      <c r="G27" s="338">
        <f t="shared" si="42"/>
        <v>32112.440677966104</v>
      </c>
      <c r="H27" s="338">
        <f t="shared" si="42"/>
        <v>35025.133709981172</v>
      </c>
      <c r="I27" s="338">
        <f t="shared" si="42"/>
        <v>37755.783427495291</v>
      </c>
      <c r="J27" s="338">
        <f t="shared" si="42"/>
        <v>39867.485875706217</v>
      </c>
      <c r="K27" s="338">
        <f t="shared" si="42"/>
        <v>40632.067796610165</v>
      </c>
      <c r="L27" s="338">
        <f t="shared" si="42"/>
        <v>42416.092278719399</v>
      </c>
      <c r="M27" s="338">
        <f t="shared" si="42"/>
        <v>47695.348399246701</v>
      </c>
      <c r="N27" s="338">
        <f t="shared" si="42"/>
        <v>51190.580037664782</v>
      </c>
      <c r="O27" s="338">
        <f t="shared" si="42"/>
        <v>51734.062078411363</v>
      </c>
      <c r="P27" s="338">
        <f t="shared" si="42"/>
        <v>54114.526656393748</v>
      </c>
      <c r="Q27" s="338">
        <f t="shared" si="42"/>
        <v>56494.991234376794</v>
      </c>
      <c r="R27" s="338">
        <f t="shared" si="42"/>
        <v>58875.455812359833</v>
      </c>
      <c r="S27" s="338">
        <f t="shared" si="42"/>
        <v>61255.920390343541</v>
      </c>
      <c r="T27" s="338">
        <f t="shared" si="42"/>
        <v>63636.384968326587</v>
      </c>
      <c r="U27" s="338">
        <f t="shared" si="42"/>
        <v>66016.849546309633</v>
      </c>
      <c r="V27" s="338">
        <f t="shared" si="42"/>
        <v>68397.314124292679</v>
      </c>
      <c r="W27" s="338">
        <f t="shared" si="42"/>
        <v>70777.77870227638</v>
      </c>
      <c r="X27" s="338">
        <f t="shared" si="42"/>
        <v>73158.243280259427</v>
      </c>
      <c r="Y27" s="69"/>
      <c r="Z27" s="338">
        <f t="shared" ref="Z27:AK27" si="43">N27/$AA159</f>
        <v>6022.4211809017388</v>
      </c>
      <c r="AA27" s="338">
        <f t="shared" si="43"/>
        <v>6086.3602445189836</v>
      </c>
      <c r="AB27" s="338">
        <f t="shared" si="43"/>
        <v>6366.4149007522055</v>
      </c>
      <c r="AC27" s="338">
        <f t="shared" si="43"/>
        <v>6646.4695569855048</v>
      </c>
      <c r="AD27" s="338">
        <f t="shared" si="43"/>
        <v>6926.5242132188041</v>
      </c>
      <c r="AE27" s="338">
        <f t="shared" si="43"/>
        <v>7206.5788694521816</v>
      </c>
      <c r="AF27" s="338">
        <f t="shared" si="43"/>
        <v>7486.6335256854809</v>
      </c>
      <c r="AG27" s="338">
        <f t="shared" si="43"/>
        <v>7766.6881819187802</v>
      </c>
      <c r="AH27" s="338">
        <f t="shared" si="43"/>
        <v>8046.7428381520804</v>
      </c>
      <c r="AI27" s="338">
        <f t="shared" si="43"/>
        <v>8326.797494385457</v>
      </c>
      <c r="AJ27" s="338">
        <f t="shared" si="43"/>
        <v>8606.8521506187553</v>
      </c>
      <c r="AK27" s="338">
        <f t="shared" si="43"/>
        <v>0</v>
      </c>
      <c r="AL27" s="333"/>
      <c r="AM27" s="69"/>
    </row>
    <row r="28" spans="1:39">
      <c r="A28" s="69"/>
      <c r="B28" s="350" t="s">
        <v>854</v>
      </c>
      <c r="C28" s="338">
        <v>30644</v>
      </c>
      <c r="D28" s="338">
        <f t="shared" ref="D28:X28" si="44">($C28/$C160)*D160</f>
        <v>31892.709251101325</v>
      </c>
      <c r="E28" s="338">
        <f t="shared" si="44"/>
        <v>32803.929515418502</v>
      </c>
      <c r="F28" s="338">
        <f t="shared" si="44"/>
        <v>37191.286343612337</v>
      </c>
      <c r="G28" s="338">
        <f t="shared" si="44"/>
        <v>35098.854625550666</v>
      </c>
      <c r="H28" s="338">
        <f t="shared" si="44"/>
        <v>35031.356828193835</v>
      </c>
      <c r="I28" s="338">
        <f t="shared" si="44"/>
        <v>33107.669603524228</v>
      </c>
      <c r="J28" s="338">
        <f t="shared" si="44"/>
        <v>38271.251101321592</v>
      </c>
      <c r="K28" s="338">
        <f t="shared" si="44"/>
        <v>38035.00881057269</v>
      </c>
      <c r="L28" s="338">
        <f t="shared" si="44"/>
        <v>36246.317180616745</v>
      </c>
      <c r="M28" s="338">
        <f t="shared" si="44"/>
        <v>37866.264317180619</v>
      </c>
      <c r="N28" s="338">
        <f t="shared" si="44"/>
        <v>43367.334801762117</v>
      </c>
      <c r="O28" s="338">
        <f t="shared" si="44"/>
        <v>40841.076331597607</v>
      </c>
      <c r="P28" s="338">
        <f t="shared" si="44"/>
        <v>41603.80144172984</v>
      </c>
      <c r="Q28" s="338">
        <f t="shared" si="44"/>
        <v>42366.526551862073</v>
      </c>
      <c r="R28" s="338">
        <f t="shared" si="44"/>
        <v>43129.251661994305</v>
      </c>
      <c r="S28" s="338">
        <f t="shared" si="44"/>
        <v>43891.976772126538</v>
      </c>
      <c r="T28" s="338">
        <f t="shared" si="44"/>
        <v>44654.701882258465</v>
      </c>
      <c r="U28" s="338">
        <f t="shared" si="44"/>
        <v>45417.426992390698</v>
      </c>
      <c r="V28" s="338">
        <f t="shared" si="44"/>
        <v>46180.15210252293</v>
      </c>
      <c r="W28" s="338">
        <f t="shared" si="44"/>
        <v>46942.877212655163</v>
      </c>
      <c r="X28" s="338">
        <f t="shared" si="44"/>
        <v>47705.602322787083</v>
      </c>
      <c r="Y28" s="69"/>
      <c r="Z28" s="338">
        <f t="shared" ref="Z28:AK28" si="45">N28/$AA160</f>
        <v>3097.6667715544368</v>
      </c>
      <c r="AA28" s="338">
        <f t="shared" si="45"/>
        <v>2917.2197379712575</v>
      </c>
      <c r="AB28" s="338">
        <f t="shared" si="45"/>
        <v>2971.7001029807029</v>
      </c>
      <c r="AC28" s="338">
        <f t="shared" si="45"/>
        <v>3026.1804679901479</v>
      </c>
      <c r="AD28" s="338">
        <f t="shared" si="45"/>
        <v>3080.6608329995934</v>
      </c>
      <c r="AE28" s="338">
        <f t="shared" si="45"/>
        <v>3135.1411980090384</v>
      </c>
      <c r="AF28" s="338">
        <f t="shared" si="45"/>
        <v>3189.621563018462</v>
      </c>
      <c r="AG28" s="338">
        <f t="shared" si="45"/>
        <v>3244.101928027907</v>
      </c>
      <c r="AH28" s="338">
        <f t="shared" si="45"/>
        <v>3298.582293037352</v>
      </c>
      <c r="AI28" s="338">
        <f t="shared" si="45"/>
        <v>3353.0626580467974</v>
      </c>
      <c r="AJ28" s="338">
        <f t="shared" si="45"/>
        <v>3407.5430230562201</v>
      </c>
      <c r="AK28" s="338">
        <f t="shared" si="45"/>
        <v>0</v>
      </c>
      <c r="AL28" s="333"/>
      <c r="AM28" s="69"/>
    </row>
    <row r="29" spans="1:39">
      <c r="A29" s="69"/>
      <c r="B29" s="350" t="s">
        <v>855</v>
      </c>
      <c r="C29" s="338">
        <v>34335</v>
      </c>
      <c r="D29" s="338">
        <f t="shared" ref="D29:X29" si="46">($C29/$C161)*D161</f>
        <v>35351.49671052632</v>
      </c>
      <c r="E29" s="338">
        <f t="shared" si="46"/>
        <v>39643.371710526313</v>
      </c>
      <c r="F29" s="338">
        <f t="shared" si="46"/>
        <v>37836.26644736842</v>
      </c>
      <c r="G29" s="338">
        <f t="shared" si="46"/>
        <v>40019.851973684206</v>
      </c>
      <c r="H29" s="338">
        <f t="shared" si="46"/>
        <v>39041.003289473687</v>
      </c>
      <c r="I29" s="338">
        <f t="shared" si="46"/>
        <v>35916.21710526316</v>
      </c>
      <c r="J29" s="338">
        <f t="shared" si="46"/>
        <v>38777.46710526316</v>
      </c>
      <c r="K29" s="338">
        <f t="shared" si="46"/>
        <v>37271.54605263158</v>
      </c>
      <c r="L29" s="338">
        <f t="shared" si="46"/>
        <v>35615.03289473684</v>
      </c>
      <c r="M29" s="338">
        <f t="shared" si="46"/>
        <v>38250.394736842107</v>
      </c>
      <c r="N29" s="338">
        <f t="shared" si="46"/>
        <v>40358.68421052632</v>
      </c>
      <c r="O29" s="338">
        <f t="shared" si="46"/>
        <v>38391.403708133956</v>
      </c>
      <c r="P29" s="338">
        <f t="shared" si="46"/>
        <v>38455.405352870817</v>
      </c>
      <c r="Q29" s="338">
        <f t="shared" si="46"/>
        <v>38519.406997607664</v>
      </c>
      <c r="R29" s="338">
        <f t="shared" si="46"/>
        <v>38583.408642344511</v>
      </c>
      <c r="S29" s="338">
        <f t="shared" si="46"/>
        <v>38647.410287081359</v>
      </c>
      <c r="T29" s="338">
        <f t="shared" si="46"/>
        <v>38711.411931818191</v>
      </c>
      <c r="U29" s="338">
        <f t="shared" si="46"/>
        <v>38775.413576555038</v>
      </c>
      <c r="V29" s="338">
        <f t="shared" si="46"/>
        <v>38839.415221291885</v>
      </c>
      <c r="W29" s="338">
        <f t="shared" si="46"/>
        <v>38903.416866028732</v>
      </c>
      <c r="X29" s="338">
        <f t="shared" si="46"/>
        <v>38967.418510765579</v>
      </c>
      <c r="Y29" s="69"/>
      <c r="Z29" s="338">
        <f t="shared" ref="Z29:AK29" si="47">N29/$AA161</f>
        <v>2059.1165413533836</v>
      </c>
      <c r="AA29" s="338">
        <f t="shared" si="47"/>
        <v>1958.7450871496915</v>
      </c>
      <c r="AB29" s="338">
        <f t="shared" si="47"/>
        <v>1962.0104771872864</v>
      </c>
      <c r="AC29" s="338">
        <f t="shared" si="47"/>
        <v>1965.2758672248806</v>
      </c>
      <c r="AD29" s="338">
        <f t="shared" si="47"/>
        <v>1968.541257262475</v>
      </c>
      <c r="AE29" s="338">
        <f t="shared" si="47"/>
        <v>1971.8066473000692</v>
      </c>
      <c r="AF29" s="338">
        <f t="shared" si="47"/>
        <v>1975.0720373376628</v>
      </c>
      <c r="AG29" s="338">
        <f t="shared" si="47"/>
        <v>1978.337427375257</v>
      </c>
      <c r="AH29" s="338">
        <f t="shared" si="47"/>
        <v>1981.6028174128512</v>
      </c>
      <c r="AI29" s="338">
        <f t="shared" si="47"/>
        <v>1984.8682074504454</v>
      </c>
      <c r="AJ29" s="338">
        <f t="shared" si="47"/>
        <v>1988.1335974880396</v>
      </c>
      <c r="AK29" s="338">
        <f t="shared" si="47"/>
        <v>0</v>
      </c>
      <c r="AL29" s="333"/>
      <c r="AM29" s="69"/>
    </row>
    <row r="30" spans="1:39">
      <c r="A30" s="69"/>
      <c r="B30" s="350" t="s">
        <v>856</v>
      </c>
      <c r="C30" s="338">
        <v>40543</v>
      </c>
      <c r="D30" s="338">
        <f t="shared" ref="D30:X30" si="48">($C30/$C162)*D162</f>
        <v>42091.517361111109</v>
      </c>
      <c r="E30" s="338">
        <f t="shared" si="48"/>
        <v>44250.056712962956</v>
      </c>
      <c r="F30" s="338">
        <f t="shared" si="48"/>
        <v>45657.799768518518</v>
      </c>
      <c r="G30" s="338">
        <f t="shared" si="48"/>
        <v>45798.574074074066</v>
      </c>
      <c r="H30" s="338">
        <f t="shared" si="48"/>
        <v>46643.219907407409</v>
      </c>
      <c r="I30" s="338">
        <f t="shared" si="48"/>
        <v>47018.618055555555</v>
      </c>
      <c r="J30" s="338">
        <f t="shared" si="48"/>
        <v>47863.263888888883</v>
      </c>
      <c r="K30" s="338">
        <f t="shared" si="48"/>
        <v>47534.790509259255</v>
      </c>
      <c r="L30" s="338">
        <f t="shared" si="48"/>
        <v>48801.759259259255</v>
      </c>
      <c r="M30" s="338">
        <f t="shared" si="48"/>
        <v>48848.684027777774</v>
      </c>
      <c r="N30" s="338">
        <f t="shared" si="48"/>
        <v>50068.728009259255</v>
      </c>
      <c r="O30" s="338">
        <f t="shared" si="48"/>
        <v>50729.087478956179</v>
      </c>
      <c r="P30" s="338">
        <f t="shared" si="48"/>
        <v>51387.314004629727</v>
      </c>
      <c r="Q30" s="338">
        <f t="shared" si="48"/>
        <v>52045.540530303064</v>
      </c>
      <c r="R30" s="338">
        <f t="shared" si="48"/>
        <v>52703.767055976401</v>
      </c>
      <c r="S30" s="338">
        <f t="shared" si="48"/>
        <v>53361.993581649738</v>
      </c>
      <c r="T30" s="338">
        <f t="shared" si="48"/>
        <v>54020.220107323286</v>
      </c>
      <c r="U30" s="338">
        <f t="shared" si="48"/>
        <v>54678.446632996624</v>
      </c>
      <c r="V30" s="338">
        <f t="shared" si="48"/>
        <v>55336.673158669953</v>
      </c>
      <c r="W30" s="338">
        <f t="shared" si="48"/>
        <v>55994.899684343502</v>
      </c>
      <c r="X30" s="338">
        <f t="shared" si="48"/>
        <v>56653.126210016839</v>
      </c>
      <c r="Y30" s="69"/>
      <c r="Z30" s="338">
        <f t="shared" ref="Z30:AK30" si="49">N30/$AA162</f>
        <v>2018.9003229540021</v>
      </c>
      <c r="AA30" s="338">
        <f t="shared" si="49"/>
        <v>2045.5277209256524</v>
      </c>
      <c r="AB30" s="338">
        <f t="shared" si="49"/>
        <v>2072.0691130899081</v>
      </c>
      <c r="AC30" s="338">
        <f t="shared" si="49"/>
        <v>2098.6105052541557</v>
      </c>
      <c r="AD30" s="338">
        <f t="shared" si="49"/>
        <v>2125.1518974184032</v>
      </c>
      <c r="AE30" s="338">
        <f t="shared" si="49"/>
        <v>2151.6932895826508</v>
      </c>
      <c r="AF30" s="338">
        <f t="shared" si="49"/>
        <v>2178.2346817469065</v>
      </c>
      <c r="AG30" s="338">
        <f t="shared" si="49"/>
        <v>2204.7760739111541</v>
      </c>
      <c r="AH30" s="338">
        <f t="shared" si="49"/>
        <v>2231.3174660754012</v>
      </c>
      <c r="AI30" s="338">
        <f t="shared" si="49"/>
        <v>2257.8588582396574</v>
      </c>
      <c r="AJ30" s="338">
        <f t="shared" si="49"/>
        <v>2284.4002504039049</v>
      </c>
      <c r="AK30" s="338">
        <f t="shared" si="49"/>
        <v>0</v>
      </c>
      <c r="AL30" s="333"/>
      <c r="AM30" s="69"/>
    </row>
    <row r="31" spans="1:39">
      <c r="A31" s="69"/>
      <c r="B31" s="344" t="s">
        <v>857</v>
      </c>
      <c r="C31" s="333"/>
      <c r="D31" s="333"/>
      <c r="E31" s="333"/>
      <c r="F31" s="333"/>
      <c r="G31" s="333"/>
      <c r="H31" s="333"/>
      <c r="I31" s="333"/>
      <c r="J31" s="333"/>
      <c r="K31" s="333"/>
      <c r="L31" s="333"/>
      <c r="M31" s="333"/>
      <c r="N31" s="333">
        <f t="shared" ref="N31:X31" si="50">AVERAGE(Z$5:Z$6,Z$9:Z$11,Z$13:Z$30,Z$32)*$AA163</f>
        <v>146732.04509090792</v>
      </c>
      <c r="O31" s="333">
        <f t="shared" si="50"/>
        <v>146471.26798042902</v>
      </c>
      <c r="P31" s="333">
        <f t="shared" si="50"/>
        <v>149721.58133581898</v>
      </c>
      <c r="Q31" s="333">
        <f t="shared" si="50"/>
        <v>152971.89469120998</v>
      </c>
      <c r="R31" s="333">
        <f t="shared" si="50"/>
        <v>156222.20804660078</v>
      </c>
      <c r="S31" s="333">
        <f t="shared" si="50"/>
        <v>159472.52140199151</v>
      </c>
      <c r="T31" s="333">
        <f t="shared" si="50"/>
        <v>162722.83475738257</v>
      </c>
      <c r="U31" s="333">
        <f t="shared" si="50"/>
        <v>165973.14811277346</v>
      </c>
      <c r="V31" s="333">
        <f t="shared" si="50"/>
        <v>169223.46146816411</v>
      </c>
      <c r="W31" s="333">
        <f t="shared" si="50"/>
        <v>172473.77482355537</v>
      </c>
      <c r="X31" s="333">
        <f t="shared" si="50"/>
        <v>175724.088178946</v>
      </c>
      <c r="Y31" s="69"/>
      <c r="Z31" s="338"/>
      <c r="AA31" s="338"/>
      <c r="AB31" s="338"/>
      <c r="AC31" s="338"/>
      <c r="AD31" s="338"/>
      <c r="AE31" s="338"/>
      <c r="AF31" s="338"/>
      <c r="AG31" s="338"/>
      <c r="AH31" s="338"/>
      <c r="AI31" s="338"/>
      <c r="AJ31" s="338"/>
      <c r="AK31" s="338"/>
      <c r="AL31" s="333"/>
      <c r="AM31" s="69"/>
    </row>
    <row r="32" spans="1:39">
      <c r="A32" s="69"/>
      <c r="B32" s="350" t="s">
        <v>858</v>
      </c>
      <c r="C32" s="338">
        <v>60360</v>
      </c>
      <c r="D32" s="338">
        <f t="shared" ref="D32:X32" si="51">($C32/$C164)*D164</f>
        <v>61800.409090909081</v>
      </c>
      <c r="E32" s="338">
        <f t="shared" si="51"/>
        <v>65778.681818181823</v>
      </c>
      <c r="F32" s="338">
        <f t="shared" si="51"/>
        <v>65161.363636363632</v>
      </c>
      <c r="G32" s="338">
        <f t="shared" si="51"/>
        <v>68728.090909090912</v>
      </c>
      <c r="H32" s="338">
        <f t="shared" si="51"/>
        <v>69688.363636363632</v>
      </c>
      <c r="I32" s="338">
        <f t="shared" si="51"/>
        <v>68110.772727272721</v>
      </c>
      <c r="J32" s="338">
        <f t="shared" si="51"/>
        <v>67150.5</v>
      </c>
      <c r="K32" s="338">
        <f t="shared" si="51"/>
        <v>68385.136363636368</v>
      </c>
      <c r="L32" s="338">
        <f t="shared" si="51"/>
        <v>69688.363636363632</v>
      </c>
      <c r="M32" s="338">
        <f t="shared" si="51"/>
        <v>68590.909090909088</v>
      </c>
      <c r="N32" s="338">
        <f t="shared" si="51"/>
        <v>70991.590909090912</v>
      </c>
      <c r="O32" s="338">
        <f t="shared" si="51"/>
        <v>71328.309917355378</v>
      </c>
      <c r="P32" s="338">
        <f t="shared" si="51"/>
        <v>71942.510330578574</v>
      </c>
      <c r="Q32" s="338">
        <f t="shared" si="51"/>
        <v>72556.710743801785</v>
      </c>
      <c r="R32" s="338">
        <f t="shared" si="51"/>
        <v>73170.911157024835</v>
      </c>
      <c r="S32" s="338">
        <f t="shared" si="51"/>
        <v>73785.111570248046</v>
      </c>
      <c r="T32" s="338">
        <f t="shared" si="51"/>
        <v>74399.311983471096</v>
      </c>
      <c r="U32" s="338">
        <f t="shared" si="51"/>
        <v>75013.512396694292</v>
      </c>
      <c r="V32" s="338">
        <f t="shared" si="51"/>
        <v>75627.712809917342</v>
      </c>
      <c r="W32" s="338">
        <f t="shared" si="51"/>
        <v>76241.913223140553</v>
      </c>
      <c r="X32" s="338">
        <f t="shared" si="51"/>
        <v>76856.113636363763</v>
      </c>
      <c r="Y32" s="69"/>
      <c r="Z32" s="338">
        <f t="shared" ref="Z32:AK32" si="52">N32/$AA164</f>
        <v>2144.7610546553146</v>
      </c>
      <c r="AA32" s="338">
        <f t="shared" si="52"/>
        <v>2154.9338343611894</v>
      </c>
      <c r="AB32" s="338">
        <f t="shared" si="52"/>
        <v>2173.4897380839448</v>
      </c>
      <c r="AC32" s="338">
        <f t="shared" si="52"/>
        <v>2192.0456418067001</v>
      </c>
      <c r="AD32" s="338">
        <f t="shared" si="52"/>
        <v>2210.601545529451</v>
      </c>
      <c r="AE32" s="338">
        <f t="shared" si="52"/>
        <v>2229.1574492522068</v>
      </c>
      <c r="AF32" s="338">
        <f t="shared" si="52"/>
        <v>2247.7133529749576</v>
      </c>
      <c r="AG32" s="338">
        <f t="shared" si="52"/>
        <v>2266.2692566977125</v>
      </c>
      <c r="AH32" s="338">
        <f t="shared" si="52"/>
        <v>2284.8251604204634</v>
      </c>
      <c r="AI32" s="338">
        <f t="shared" si="52"/>
        <v>2303.3810641432192</v>
      </c>
      <c r="AJ32" s="338">
        <f t="shared" si="52"/>
        <v>2321.9369678659746</v>
      </c>
      <c r="AK32" s="338">
        <f t="shared" si="52"/>
        <v>0</v>
      </c>
      <c r="AL32" s="333"/>
      <c r="AM32" s="69"/>
    </row>
    <row r="33" spans="1:39">
      <c r="A33" s="69"/>
      <c r="B33" s="351" t="s">
        <v>824</v>
      </c>
      <c r="C33" s="352">
        <v>45326.666666666664</v>
      </c>
      <c r="D33" s="352">
        <f t="shared" ref="D33:X33" si="53">AVERAGE(D32,D13:D30,D9:D11,D5:D6)</f>
        <v>48264.087561091459</v>
      </c>
      <c r="E33" s="352">
        <f t="shared" si="53"/>
        <v>50165.962752275351</v>
      </c>
      <c r="F33" s="352">
        <f t="shared" si="53"/>
        <v>52308.884453980812</v>
      </c>
      <c r="G33" s="352">
        <f t="shared" si="53"/>
        <v>53407.374593474793</v>
      </c>
      <c r="H33" s="352">
        <f t="shared" si="53"/>
        <v>54599.7857529057</v>
      </c>
      <c r="I33" s="352">
        <f t="shared" si="53"/>
        <v>55452.899734849248</v>
      </c>
      <c r="J33" s="352">
        <f t="shared" si="53"/>
        <v>56096.651307515742</v>
      </c>
      <c r="K33" s="352">
        <f t="shared" si="53"/>
        <v>57133.166564744817</v>
      </c>
      <c r="L33" s="352">
        <f t="shared" si="53"/>
        <v>58168.62689478181</v>
      </c>
      <c r="M33" s="352">
        <f t="shared" si="53"/>
        <v>59551.824911782249</v>
      </c>
      <c r="N33" s="352">
        <f t="shared" si="53"/>
        <v>61863.890156081041</v>
      </c>
      <c r="O33" s="352">
        <f t="shared" si="53"/>
        <v>62386.839794818225</v>
      </c>
      <c r="P33" s="352">
        <f t="shared" si="53"/>
        <v>63587.477416931863</v>
      </c>
      <c r="Q33" s="352">
        <f t="shared" si="53"/>
        <v>64788.115039045777</v>
      </c>
      <c r="R33" s="352">
        <f t="shared" si="53"/>
        <v>65988.75266115964</v>
      </c>
      <c r="S33" s="352">
        <f t="shared" si="53"/>
        <v>67189.390283273548</v>
      </c>
      <c r="T33" s="352">
        <f t="shared" si="53"/>
        <v>68390.02790538744</v>
      </c>
      <c r="U33" s="352">
        <f t="shared" si="53"/>
        <v>69590.665527501333</v>
      </c>
      <c r="V33" s="352">
        <f t="shared" si="53"/>
        <v>70791.303149615182</v>
      </c>
      <c r="W33" s="352">
        <f t="shared" si="53"/>
        <v>71991.940771729161</v>
      </c>
      <c r="X33" s="352">
        <f t="shared" si="53"/>
        <v>73192.57839384301</v>
      </c>
      <c r="Y33" s="69"/>
      <c r="Z33" s="352"/>
      <c r="AA33" s="352"/>
      <c r="AB33" s="352"/>
      <c r="AC33" s="352"/>
      <c r="AD33" s="352"/>
      <c r="AE33" s="352"/>
      <c r="AF33" s="352"/>
      <c r="AG33" s="352"/>
      <c r="AH33" s="352"/>
      <c r="AI33" s="352"/>
      <c r="AJ33" s="352"/>
      <c r="AK33" s="352"/>
      <c r="AL33" s="333"/>
      <c r="AM33" s="69"/>
    </row>
    <row r="34" spans="1:39">
      <c r="A34" s="69"/>
      <c r="B34" s="350" t="s">
        <v>193</v>
      </c>
      <c r="C34" s="353" t="s">
        <v>859</v>
      </c>
      <c r="D34" s="354"/>
      <c r="E34" s="354"/>
      <c r="F34" s="354"/>
      <c r="G34" s="354"/>
      <c r="H34" s="354"/>
      <c r="I34" s="338">
        <f t="shared" ref="I34:N34" si="54">I33</f>
        <v>55452.899734849248</v>
      </c>
      <c r="J34" s="338">
        <f t="shared" si="54"/>
        <v>56096.651307515742</v>
      </c>
      <c r="K34" s="338">
        <f t="shared" si="54"/>
        <v>57133.166564744817</v>
      </c>
      <c r="L34" s="338">
        <f t="shared" si="54"/>
        <v>58168.62689478181</v>
      </c>
      <c r="M34" s="338">
        <f t="shared" si="54"/>
        <v>59551.824911782249</v>
      </c>
      <c r="N34" s="338">
        <f t="shared" si="54"/>
        <v>61863.890156081041</v>
      </c>
      <c r="O34" s="338"/>
      <c r="P34" s="338"/>
      <c r="Q34" s="338"/>
      <c r="R34" s="338"/>
      <c r="S34" s="338"/>
      <c r="T34" s="338"/>
      <c r="U34" s="338"/>
      <c r="V34" s="338"/>
      <c r="W34" s="338"/>
      <c r="X34" s="338"/>
      <c r="Y34" s="354"/>
      <c r="Z34" s="354"/>
      <c r="AA34" s="354"/>
      <c r="AB34" s="354"/>
      <c r="AC34" s="354"/>
      <c r="AD34" s="354"/>
      <c r="AE34" s="354"/>
      <c r="AF34" s="354"/>
      <c r="AG34" s="354"/>
      <c r="AH34" s="354"/>
      <c r="AI34" s="354"/>
      <c r="AJ34" s="354"/>
      <c r="AK34" s="354"/>
      <c r="AL34" s="333"/>
      <c r="AM34" s="354"/>
    </row>
    <row r="35" spans="1:39">
      <c r="A35" s="69"/>
      <c r="B35" s="355"/>
      <c r="C35" s="354"/>
      <c r="D35" s="354"/>
      <c r="E35" s="354"/>
      <c r="F35" s="354"/>
      <c r="G35" s="354"/>
      <c r="H35" s="354"/>
      <c r="I35" s="354"/>
      <c r="J35" s="354"/>
      <c r="K35" s="354"/>
      <c r="L35" s="354"/>
      <c r="M35" s="354"/>
      <c r="N35" s="354"/>
      <c r="O35" s="354"/>
      <c r="P35" s="354"/>
      <c r="Q35" s="354"/>
      <c r="R35" s="354"/>
      <c r="S35" s="354"/>
      <c r="T35" s="354"/>
      <c r="U35" s="354"/>
      <c r="V35" s="354"/>
      <c r="W35" s="354"/>
      <c r="X35" s="354"/>
      <c r="Y35" s="69"/>
      <c r="Z35" s="354"/>
      <c r="AA35" s="354"/>
      <c r="AB35" s="354"/>
      <c r="AC35" s="354"/>
      <c r="AD35" s="354"/>
      <c r="AE35" s="354"/>
      <c r="AF35" s="354"/>
      <c r="AG35" s="354"/>
      <c r="AH35" s="354"/>
      <c r="AI35" s="354"/>
      <c r="AJ35" s="354"/>
      <c r="AK35" s="354"/>
      <c r="AL35" s="333"/>
      <c r="AM35" s="69"/>
    </row>
    <row r="36" spans="1:39">
      <c r="A36" s="69"/>
      <c r="B36" s="328" t="s">
        <v>860</v>
      </c>
      <c r="C36" s="329"/>
      <c r="D36" s="330"/>
      <c r="E36" s="330"/>
      <c r="F36" s="330"/>
      <c r="G36" s="330"/>
      <c r="H36" s="330"/>
      <c r="I36" s="330"/>
      <c r="J36" s="330"/>
      <c r="K36" s="330"/>
      <c r="L36" s="330"/>
      <c r="M36" s="329"/>
      <c r="N36" s="329"/>
      <c r="O36" s="329"/>
      <c r="P36" s="329"/>
      <c r="Q36" s="329"/>
      <c r="R36" s="329"/>
      <c r="S36" s="329"/>
      <c r="T36" s="329"/>
      <c r="U36" s="329"/>
      <c r="V36" s="329"/>
      <c r="W36" s="329"/>
      <c r="X36" s="329"/>
      <c r="Y36" s="69"/>
      <c r="Z36" s="331" t="s">
        <v>828</v>
      </c>
      <c r="AA36" s="332"/>
      <c r="AB36" s="332"/>
      <c r="AC36" s="332"/>
      <c r="AD36" s="332"/>
      <c r="AE36" s="332"/>
      <c r="AF36" s="332"/>
      <c r="AG36" s="332"/>
      <c r="AH36" s="332"/>
      <c r="AI36" s="332"/>
      <c r="AJ36" s="332"/>
      <c r="AK36" s="332"/>
      <c r="AL36" s="333"/>
      <c r="AM36" s="69"/>
    </row>
    <row r="37" spans="1:39">
      <c r="A37" s="69"/>
      <c r="B37" s="356"/>
      <c r="C37" s="335">
        <v>2006</v>
      </c>
      <c r="D37" s="335">
        <v>2007</v>
      </c>
      <c r="E37" s="335">
        <v>2008</v>
      </c>
      <c r="F37" s="335">
        <v>2009</v>
      </c>
      <c r="G37" s="335">
        <v>2010</v>
      </c>
      <c r="H37" s="335">
        <v>2011</v>
      </c>
      <c r="I37" s="335">
        <v>2012</v>
      </c>
      <c r="J37" s="335">
        <v>2013</v>
      </c>
      <c r="K37" s="335">
        <v>2014</v>
      </c>
      <c r="L37" s="335">
        <v>2015</v>
      </c>
      <c r="M37" s="335">
        <v>2016</v>
      </c>
      <c r="N37" s="335">
        <v>2017</v>
      </c>
      <c r="O37" s="335">
        <f t="shared" ref="O37:X37" si="55">N37+1</f>
        <v>2018</v>
      </c>
      <c r="P37" s="335">
        <f t="shared" si="55"/>
        <v>2019</v>
      </c>
      <c r="Q37" s="335">
        <f t="shared" si="55"/>
        <v>2020</v>
      </c>
      <c r="R37" s="335">
        <f t="shared" si="55"/>
        <v>2021</v>
      </c>
      <c r="S37" s="335">
        <f t="shared" si="55"/>
        <v>2022</v>
      </c>
      <c r="T37" s="335">
        <f t="shared" si="55"/>
        <v>2023</v>
      </c>
      <c r="U37" s="335">
        <f t="shared" si="55"/>
        <v>2024</v>
      </c>
      <c r="V37" s="335">
        <f t="shared" si="55"/>
        <v>2025</v>
      </c>
      <c r="W37" s="335">
        <f t="shared" si="55"/>
        <v>2026</v>
      </c>
      <c r="X37" s="335">
        <f t="shared" si="55"/>
        <v>2027</v>
      </c>
      <c r="Y37" s="69"/>
      <c r="Z37" s="336">
        <v>2016</v>
      </c>
      <c r="AA37" s="336">
        <v>2017</v>
      </c>
      <c r="AB37" s="336">
        <v>2018</v>
      </c>
      <c r="AC37" s="336">
        <v>2019</v>
      </c>
      <c r="AD37" s="336">
        <v>2020</v>
      </c>
      <c r="AE37" s="336">
        <v>2021</v>
      </c>
      <c r="AF37" s="336">
        <v>2022</v>
      </c>
      <c r="AG37" s="336">
        <v>2023</v>
      </c>
      <c r="AH37" s="336">
        <v>2024</v>
      </c>
      <c r="AI37" s="336">
        <v>2025</v>
      </c>
      <c r="AJ37" s="336">
        <v>2026</v>
      </c>
      <c r="AK37" s="336">
        <v>2027</v>
      </c>
      <c r="AL37" s="333"/>
      <c r="AM37" s="69"/>
    </row>
    <row r="38" spans="1:39">
      <c r="A38" s="69"/>
      <c r="B38" s="350" t="s">
        <v>830</v>
      </c>
      <c r="C38" s="338">
        <v>49182</v>
      </c>
      <c r="D38" s="338">
        <f t="shared" ref="D38:X38" si="56">($C38/$C137)*D137</f>
        <v>52801.99492385787</v>
      </c>
      <c r="E38" s="338">
        <f t="shared" si="56"/>
        <v>53301.304568527921</v>
      </c>
      <c r="F38" s="338">
        <f t="shared" si="56"/>
        <v>60041.98477157361</v>
      </c>
      <c r="G38" s="338">
        <f t="shared" si="56"/>
        <v>62226.464467005084</v>
      </c>
      <c r="H38" s="338">
        <f t="shared" si="56"/>
        <v>60354.053299492392</v>
      </c>
      <c r="I38" s="338">
        <f t="shared" si="56"/>
        <v>63100.256345177666</v>
      </c>
      <c r="J38" s="338">
        <f t="shared" si="56"/>
        <v>63661.979695431473</v>
      </c>
      <c r="K38" s="338">
        <f t="shared" si="56"/>
        <v>66345.769035532998</v>
      </c>
      <c r="L38" s="338">
        <f t="shared" si="56"/>
        <v>66033.700507614209</v>
      </c>
      <c r="M38" s="338">
        <f t="shared" si="56"/>
        <v>67843.697969543151</v>
      </c>
      <c r="N38" s="338">
        <f t="shared" si="56"/>
        <v>72711.967005076149</v>
      </c>
      <c r="O38" s="338">
        <f t="shared" si="56"/>
        <v>72797.076603599082</v>
      </c>
      <c r="P38" s="338">
        <f t="shared" si="56"/>
        <v>74499.268574065325</v>
      </c>
      <c r="Q38" s="338">
        <f t="shared" si="56"/>
        <v>76201.460544531568</v>
      </c>
      <c r="R38" s="338">
        <f t="shared" si="56"/>
        <v>77903.652514997797</v>
      </c>
      <c r="S38" s="338">
        <f t="shared" si="56"/>
        <v>79605.84448546404</v>
      </c>
      <c r="T38" s="338">
        <f t="shared" si="56"/>
        <v>81308.036455929701</v>
      </c>
      <c r="U38" s="338">
        <f t="shared" si="56"/>
        <v>83010.228426395945</v>
      </c>
      <c r="V38" s="338">
        <f t="shared" si="56"/>
        <v>84712.420396862173</v>
      </c>
      <c r="W38" s="338">
        <f t="shared" si="56"/>
        <v>86414.612367327849</v>
      </c>
      <c r="X38" s="338">
        <f t="shared" si="56"/>
        <v>88116.804337794092</v>
      </c>
      <c r="Y38" s="69"/>
      <c r="Z38" s="338">
        <f t="shared" ref="Z38:AK38" si="57">N38/$AA137</f>
        <v>1817.7991751269037</v>
      </c>
      <c r="AA38" s="338">
        <f t="shared" si="57"/>
        <v>1819.926915089977</v>
      </c>
      <c r="AB38" s="338">
        <f t="shared" si="57"/>
        <v>1862.4817143516332</v>
      </c>
      <c r="AC38" s="338">
        <f t="shared" si="57"/>
        <v>1905.0365136132891</v>
      </c>
      <c r="AD38" s="338">
        <f t="shared" si="57"/>
        <v>1947.5913128749448</v>
      </c>
      <c r="AE38" s="338">
        <f t="shared" si="57"/>
        <v>1990.146112136601</v>
      </c>
      <c r="AF38" s="338">
        <f t="shared" si="57"/>
        <v>2032.7009113982426</v>
      </c>
      <c r="AG38" s="338">
        <f t="shared" si="57"/>
        <v>2075.2557106598988</v>
      </c>
      <c r="AH38" s="338">
        <f t="shared" si="57"/>
        <v>2117.8105099215545</v>
      </c>
      <c r="AI38" s="338">
        <f t="shared" si="57"/>
        <v>2160.3653091831961</v>
      </c>
      <c r="AJ38" s="338">
        <f t="shared" si="57"/>
        <v>2202.9201084448523</v>
      </c>
      <c r="AK38" s="338">
        <f t="shared" si="57"/>
        <v>0</v>
      </c>
      <c r="AL38" s="333"/>
      <c r="AM38" s="69"/>
    </row>
    <row r="39" spans="1:39">
      <c r="A39" s="69"/>
      <c r="B39" s="350" t="s">
        <v>832</v>
      </c>
      <c r="C39" s="338">
        <v>63306</v>
      </c>
      <c r="D39" s="338">
        <f t="shared" ref="D39:X39" si="58">($C39/$C138)*D138</f>
        <v>64800.828807556078</v>
      </c>
      <c r="E39" s="338">
        <f t="shared" si="58"/>
        <v>67117.813459268</v>
      </c>
      <c r="F39" s="338">
        <f t="shared" si="58"/>
        <v>69509.539551357724</v>
      </c>
      <c r="G39" s="338">
        <f t="shared" si="58"/>
        <v>71826.524203069654</v>
      </c>
      <c r="H39" s="338">
        <f t="shared" si="58"/>
        <v>73470.835891381343</v>
      </c>
      <c r="I39" s="338">
        <f t="shared" si="58"/>
        <v>75488.854781582049</v>
      </c>
      <c r="J39" s="338">
        <f t="shared" si="58"/>
        <v>76609.976387249102</v>
      </c>
      <c r="K39" s="338">
        <f t="shared" si="58"/>
        <v>77058.425029515929</v>
      </c>
      <c r="L39" s="338">
        <f t="shared" si="58"/>
        <v>77058.425029515929</v>
      </c>
      <c r="M39" s="338">
        <f t="shared" si="58"/>
        <v>77207.907910271533</v>
      </c>
      <c r="N39" s="338">
        <f t="shared" si="58"/>
        <v>78254.288075560806</v>
      </c>
      <c r="O39" s="338">
        <f t="shared" si="58"/>
        <v>81339.071160244828</v>
      </c>
      <c r="P39" s="338">
        <f t="shared" si="58"/>
        <v>82647.04636685572</v>
      </c>
      <c r="Q39" s="338">
        <f t="shared" si="58"/>
        <v>83955.021573467282</v>
      </c>
      <c r="R39" s="338">
        <f t="shared" si="58"/>
        <v>85262.996780078858</v>
      </c>
      <c r="S39" s="338">
        <f t="shared" si="58"/>
        <v>86570.97198669042</v>
      </c>
      <c r="T39" s="338">
        <f t="shared" si="58"/>
        <v>87878.947193301996</v>
      </c>
      <c r="U39" s="338">
        <f t="shared" si="58"/>
        <v>89186.922399913572</v>
      </c>
      <c r="V39" s="338">
        <f t="shared" si="58"/>
        <v>90494.897606525134</v>
      </c>
      <c r="W39" s="338">
        <f t="shared" si="58"/>
        <v>91802.87281313671</v>
      </c>
      <c r="X39" s="338">
        <f t="shared" si="58"/>
        <v>93110.848019748271</v>
      </c>
      <c r="Y39" s="69"/>
      <c r="Z39" s="338">
        <f t="shared" ref="Z39:AK39" si="59">N39/$AA138</f>
        <v>1600.2921896842702</v>
      </c>
      <c r="AA39" s="338">
        <f t="shared" si="59"/>
        <v>1663.3756883485651</v>
      </c>
      <c r="AB39" s="338">
        <f t="shared" si="59"/>
        <v>1690.1236475839617</v>
      </c>
      <c r="AC39" s="338">
        <f t="shared" si="59"/>
        <v>1716.8716068193719</v>
      </c>
      <c r="AD39" s="338">
        <f t="shared" si="59"/>
        <v>1743.6195660547824</v>
      </c>
      <c r="AE39" s="338">
        <f t="shared" si="59"/>
        <v>1770.3675252901926</v>
      </c>
      <c r="AF39" s="338">
        <f t="shared" si="59"/>
        <v>1797.1154845256033</v>
      </c>
      <c r="AG39" s="338">
        <f t="shared" si="59"/>
        <v>1823.8634437610137</v>
      </c>
      <c r="AH39" s="338">
        <f t="shared" si="59"/>
        <v>1850.611402996424</v>
      </c>
      <c r="AI39" s="338">
        <f t="shared" si="59"/>
        <v>1877.3593622318347</v>
      </c>
      <c r="AJ39" s="338">
        <f t="shared" si="59"/>
        <v>1904.1073214672449</v>
      </c>
      <c r="AK39" s="338">
        <f t="shared" si="59"/>
        <v>0</v>
      </c>
      <c r="AL39" s="333"/>
      <c r="AM39" s="69"/>
    </row>
    <row r="40" spans="1:39">
      <c r="A40" s="69"/>
      <c r="B40" s="344" t="s">
        <v>197</v>
      </c>
      <c r="C40" s="333"/>
      <c r="D40" s="333"/>
      <c r="E40" s="333"/>
      <c r="F40" s="333"/>
      <c r="G40" s="333"/>
      <c r="H40" s="333"/>
      <c r="I40" s="333"/>
      <c r="J40" s="333"/>
      <c r="K40" s="333"/>
      <c r="L40" s="333"/>
      <c r="M40" s="333"/>
      <c r="N40" s="333">
        <f t="shared" ref="N40:X40" si="60">AVERAGE(Z$38:Z$39,Z$43:Z$59,Z$61:Z$65)*$AA139</f>
        <v>17220.307633193279</v>
      </c>
      <c r="O40" s="333">
        <f t="shared" si="60"/>
        <v>17055.380168269658</v>
      </c>
      <c r="P40" s="333">
        <f t="shared" si="60"/>
        <v>17342.035871511725</v>
      </c>
      <c r="Q40" s="333">
        <f t="shared" si="60"/>
        <v>17628.691574753881</v>
      </c>
      <c r="R40" s="333">
        <f t="shared" si="60"/>
        <v>17915.347277996028</v>
      </c>
      <c r="S40" s="333">
        <f t="shared" si="60"/>
        <v>18202.002981238144</v>
      </c>
      <c r="T40" s="333">
        <f t="shared" si="60"/>
        <v>18488.65868448031</v>
      </c>
      <c r="U40" s="333">
        <f t="shared" si="60"/>
        <v>18775.31438772245</v>
      </c>
      <c r="V40" s="333">
        <f t="shared" si="60"/>
        <v>19061.970090964584</v>
      </c>
      <c r="W40" s="333">
        <f t="shared" si="60"/>
        <v>19348.625794206764</v>
      </c>
      <c r="X40" s="333">
        <f t="shared" si="60"/>
        <v>19635.281497448872</v>
      </c>
      <c r="Y40" s="69"/>
      <c r="Z40" s="338"/>
      <c r="AA40" s="338"/>
      <c r="AB40" s="338"/>
      <c r="AC40" s="338"/>
      <c r="AD40" s="338"/>
      <c r="AE40" s="338"/>
      <c r="AF40" s="338"/>
      <c r="AG40" s="338"/>
      <c r="AH40" s="338"/>
      <c r="AI40" s="338"/>
      <c r="AJ40" s="338"/>
      <c r="AK40" s="338"/>
      <c r="AL40" s="333"/>
      <c r="AM40" s="69"/>
    </row>
    <row r="41" spans="1:39">
      <c r="A41" s="69"/>
      <c r="B41" s="344" t="s">
        <v>833</v>
      </c>
      <c r="C41" s="333"/>
      <c r="D41" s="333"/>
      <c r="E41" s="333"/>
      <c r="F41" s="333"/>
      <c r="G41" s="333"/>
      <c r="H41" s="333"/>
      <c r="I41" s="333"/>
      <c r="J41" s="333"/>
      <c r="K41" s="333"/>
      <c r="L41" s="333"/>
      <c r="M41" s="333"/>
      <c r="N41" s="333">
        <f t="shared" ref="N41:X41" si="61">AVERAGE(Z$38:Z$39,Z$43:Z$59,Z$61:Z$65)*$AA140</f>
        <v>43640.505645763791</v>
      </c>
      <c r="O41" s="333">
        <f t="shared" si="61"/>
        <v>43222.538782601194</v>
      </c>
      <c r="P41" s="333">
        <f t="shared" si="61"/>
        <v>43948.995016844783</v>
      </c>
      <c r="Q41" s="333">
        <f t="shared" si="61"/>
        <v>44675.451251088605</v>
      </c>
      <c r="R41" s="333">
        <f t="shared" si="61"/>
        <v>45401.907485332405</v>
      </c>
      <c r="S41" s="333">
        <f t="shared" si="61"/>
        <v>46128.363719576118</v>
      </c>
      <c r="T41" s="333">
        <f t="shared" si="61"/>
        <v>46854.819953819962</v>
      </c>
      <c r="U41" s="333">
        <f t="shared" si="61"/>
        <v>47581.276188063748</v>
      </c>
      <c r="V41" s="333">
        <f t="shared" si="61"/>
        <v>48307.732422307505</v>
      </c>
      <c r="W41" s="333">
        <f t="shared" si="61"/>
        <v>49034.188656551385</v>
      </c>
      <c r="X41" s="333">
        <f t="shared" si="61"/>
        <v>49760.644890795083</v>
      </c>
      <c r="Y41" s="69"/>
      <c r="Z41" s="338"/>
      <c r="AA41" s="338"/>
      <c r="AB41" s="338"/>
      <c r="AC41" s="338"/>
      <c r="AD41" s="338"/>
      <c r="AE41" s="338"/>
      <c r="AF41" s="338"/>
      <c r="AG41" s="338"/>
      <c r="AH41" s="338"/>
      <c r="AI41" s="338"/>
      <c r="AJ41" s="338"/>
      <c r="AK41" s="338"/>
      <c r="AL41" s="333"/>
      <c r="AM41" s="69"/>
    </row>
    <row r="42" spans="1:39">
      <c r="A42" s="69"/>
      <c r="B42" s="350" t="s">
        <v>834</v>
      </c>
      <c r="C42" s="338">
        <v>50687</v>
      </c>
      <c r="D42" s="338">
        <f t="shared" ref="D42:X42" si="62">($C42/$C141)*D141</f>
        <v>53886.936868686862</v>
      </c>
      <c r="E42" s="338">
        <f t="shared" si="62"/>
        <v>57470.866161616155</v>
      </c>
      <c r="F42" s="338">
        <f t="shared" si="62"/>
        <v>65982.698232323222</v>
      </c>
      <c r="G42" s="338">
        <f t="shared" si="62"/>
        <v>63038.756313131307</v>
      </c>
      <c r="H42" s="338">
        <f t="shared" si="62"/>
        <v>63294.751262626261</v>
      </c>
      <c r="I42" s="338">
        <f t="shared" si="62"/>
        <v>64062.736111111102</v>
      </c>
      <c r="J42" s="338">
        <f t="shared" si="62"/>
        <v>60798.800505050502</v>
      </c>
      <c r="K42" s="338">
        <f t="shared" si="62"/>
        <v>61950.777777777766</v>
      </c>
      <c r="L42" s="338">
        <f t="shared" si="62"/>
        <v>62462.767676767668</v>
      </c>
      <c r="M42" s="338">
        <f t="shared" si="62"/>
        <v>63102.755050505039</v>
      </c>
      <c r="N42" s="338">
        <f t="shared" si="62"/>
        <v>63294.751262626261</v>
      </c>
      <c r="O42" s="338">
        <f t="shared" si="62"/>
        <v>64722.504912763921</v>
      </c>
      <c r="P42" s="338">
        <f t="shared" si="62"/>
        <v>65216.458803948626</v>
      </c>
      <c r="Q42" s="338">
        <f t="shared" si="62"/>
        <v>65710.412695133185</v>
      </c>
      <c r="R42" s="338">
        <f t="shared" si="62"/>
        <v>66204.366586317745</v>
      </c>
      <c r="S42" s="338">
        <f t="shared" si="62"/>
        <v>66698.320477502304</v>
      </c>
      <c r="T42" s="338">
        <f t="shared" si="62"/>
        <v>67192.274368686863</v>
      </c>
      <c r="U42" s="338">
        <f t="shared" si="62"/>
        <v>67686.228259871423</v>
      </c>
      <c r="V42" s="338">
        <f t="shared" si="62"/>
        <v>68180.182151055982</v>
      </c>
      <c r="W42" s="338">
        <f t="shared" si="62"/>
        <v>68674.136042240541</v>
      </c>
      <c r="X42" s="338">
        <f t="shared" si="62"/>
        <v>69168.089933425261</v>
      </c>
      <c r="Y42" s="69"/>
      <c r="Z42" s="338"/>
      <c r="AA42" s="338"/>
      <c r="AB42" s="338"/>
      <c r="AC42" s="338"/>
      <c r="AD42" s="338"/>
      <c r="AE42" s="338"/>
      <c r="AF42" s="338"/>
      <c r="AG42" s="338"/>
      <c r="AH42" s="338"/>
      <c r="AI42" s="338"/>
      <c r="AJ42" s="338"/>
      <c r="AK42" s="338"/>
      <c r="AL42" s="333"/>
      <c r="AM42" s="69"/>
    </row>
    <row r="43" spans="1:39">
      <c r="A43" s="69"/>
      <c r="B43" s="357" t="s">
        <v>835</v>
      </c>
      <c r="C43" s="338">
        <v>34217</v>
      </c>
      <c r="D43" s="338">
        <f t="shared" ref="D43:X43" si="63">($C43/$C142)*D142</f>
        <v>38183.495810055872</v>
      </c>
      <c r="E43" s="338">
        <f t="shared" si="63"/>
        <v>41194.209497206706</v>
      </c>
      <c r="F43" s="338">
        <f t="shared" si="63"/>
        <v>43870.399441340785</v>
      </c>
      <c r="G43" s="338">
        <f t="shared" si="63"/>
        <v>46546.589385474865</v>
      </c>
      <c r="H43" s="338">
        <f t="shared" si="63"/>
        <v>48028.051675977658</v>
      </c>
      <c r="I43" s="338">
        <f t="shared" si="63"/>
        <v>48362.57541899442</v>
      </c>
      <c r="J43" s="338">
        <f t="shared" si="63"/>
        <v>47550.160614525143</v>
      </c>
      <c r="K43" s="338">
        <f t="shared" si="63"/>
        <v>48888.255586592182</v>
      </c>
      <c r="L43" s="338">
        <f t="shared" si="63"/>
        <v>52376.860335195532</v>
      </c>
      <c r="M43" s="338">
        <f t="shared" si="63"/>
        <v>52854.751396648047</v>
      </c>
      <c r="N43" s="338">
        <f t="shared" si="63"/>
        <v>53284.853351955309</v>
      </c>
      <c r="O43" s="338">
        <f t="shared" si="63"/>
        <v>55660.40637379382</v>
      </c>
      <c r="P43" s="338">
        <f t="shared" si="63"/>
        <v>57041.077094971479</v>
      </c>
      <c r="Q43" s="338">
        <f t="shared" si="63"/>
        <v>58421.747816149575</v>
      </c>
      <c r="R43" s="338">
        <f t="shared" si="63"/>
        <v>59802.418537328107</v>
      </c>
      <c r="S43" s="338">
        <f t="shared" si="63"/>
        <v>61183.089258506196</v>
      </c>
      <c r="T43" s="338">
        <f t="shared" si="63"/>
        <v>62563.759979684728</v>
      </c>
      <c r="U43" s="338">
        <f t="shared" si="63"/>
        <v>63944.430700862824</v>
      </c>
      <c r="V43" s="338">
        <f t="shared" si="63"/>
        <v>65325.101422040912</v>
      </c>
      <c r="W43" s="338">
        <f t="shared" si="63"/>
        <v>66705.772143219438</v>
      </c>
      <c r="X43" s="338">
        <f t="shared" si="63"/>
        <v>68086.442864397541</v>
      </c>
      <c r="Y43" s="69"/>
      <c r="Z43" s="338">
        <f t="shared" ref="Z43:AK43" si="64">N43/$AA142</f>
        <v>3700.3370383302299</v>
      </c>
      <c r="AA43" s="338">
        <f t="shared" si="64"/>
        <v>3865.3059981801262</v>
      </c>
      <c r="AB43" s="338">
        <f t="shared" si="64"/>
        <v>3961.1859093730191</v>
      </c>
      <c r="AC43" s="338">
        <f t="shared" si="64"/>
        <v>4057.0658205659424</v>
      </c>
      <c r="AD43" s="338">
        <f t="shared" si="64"/>
        <v>4152.9457317588958</v>
      </c>
      <c r="AE43" s="338">
        <f t="shared" si="64"/>
        <v>4248.8256429518187</v>
      </c>
      <c r="AF43" s="338">
        <f t="shared" si="64"/>
        <v>4344.7055541447726</v>
      </c>
      <c r="AG43" s="338">
        <f t="shared" si="64"/>
        <v>4440.5854653376964</v>
      </c>
      <c r="AH43" s="338">
        <f t="shared" si="64"/>
        <v>4536.4653765306184</v>
      </c>
      <c r="AI43" s="338">
        <f t="shared" si="64"/>
        <v>4632.3452877235723</v>
      </c>
      <c r="AJ43" s="338">
        <f t="shared" si="64"/>
        <v>4728.2251989164961</v>
      </c>
      <c r="AK43" s="338">
        <f t="shared" si="64"/>
        <v>0</v>
      </c>
      <c r="AL43" s="333"/>
      <c r="AM43" s="69"/>
    </row>
    <row r="44" spans="1:39">
      <c r="A44" s="69"/>
      <c r="B44" s="350" t="s">
        <v>836</v>
      </c>
      <c r="C44" s="338">
        <v>41849</v>
      </c>
      <c r="D44" s="338">
        <f t="shared" ref="D44:X44" si="65">($C44/$C143)*D143</f>
        <v>43324.287896592243</v>
      </c>
      <c r="E44" s="338">
        <f t="shared" si="65"/>
        <v>45242.162162162167</v>
      </c>
      <c r="F44" s="338">
        <f t="shared" si="65"/>
        <v>46028.982373678031</v>
      </c>
      <c r="G44" s="338">
        <f t="shared" si="65"/>
        <v>47356.741480611046</v>
      </c>
      <c r="H44" s="338">
        <f t="shared" si="65"/>
        <v>48832.029377203296</v>
      </c>
      <c r="I44" s="338">
        <f t="shared" si="65"/>
        <v>49225.439482961221</v>
      </c>
      <c r="J44" s="338">
        <f t="shared" si="65"/>
        <v>50848.256169212698</v>
      </c>
      <c r="K44" s="338">
        <f t="shared" si="65"/>
        <v>51487.547591069335</v>
      </c>
      <c r="L44" s="338">
        <f t="shared" si="65"/>
        <v>53012.01175088132</v>
      </c>
      <c r="M44" s="338">
        <f t="shared" si="65"/>
        <v>53946.360752056411</v>
      </c>
      <c r="N44" s="338">
        <f t="shared" si="65"/>
        <v>54979.062279670979</v>
      </c>
      <c r="O44" s="338">
        <f t="shared" si="65"/>
        <v>56261.221578891418</v>
      </c>
      <c r="P44" s="338">
        <f t="shared" si="65"/>
        <v>57391.381519068163</v>
      </c>
      <c r="Q44" s="338">
        <f t="shared" si="65"/>
        <v>58521.541459245367</v>
      </c>
      <c r="R44" s="338">
        <f t="shared" si="65"/>
        <v>59651.701399422564</v>
      </c>
      <c r="S44" s="338">
        <f t="shared" si="65"/>
        <v>60781.861339600211</v>
      </c>
      <c r="T44" s="338">
        <f t="shared" si="65"/>
        <v>61912.021279777407</v>
      </c>
      <c r="U44" s="338">
        <f t="shared" si="65"/>
        <v>63042.181219954604</v>
      </c>
      <c r="V44" s="338">
        <f t="shared" si="65"/>
        <v>64172.3411601318</v>
      </c>
      <c r="W44" s="338">
        <f t="shared" si="65"/>
        <v>65302.501100309448</v>
      </c>
      <c r="X44" s="338">
        <f t="shared" si="65"/>
        <v>66432.661040486651</v>
      </c>
      <c r="Y44" s="69"/>
      <c r="Z44" s="338">
        <f t="shared" ref="Z44:AK44" si="66">N44/$AA143</f>
        <v>1084.399650486607</v>
      </c>
      <c r="AA44" s="338">
        <f t="shared" si="66"/>
        <v>1109.6887885382921</v>
      </c>
      <c r="AB44" s="338">
        <f t="shared" si="66"/>
        <v>1131.9799116187014</v>
      </c>
      <c r="AC44" s="338">
        <f t="shared" si="66"/>
        <v>1154.2710346991196</v>
      </c>
      <c r="AD44" s="338">
        <f t="shared" si="66"/>
        <v>1176.5621577795378</v>
      </c>
      <c r="AE44" s="338">
        <f t="shared" si="66"/>
        <v>1198.8532808599646</v>
      </c>
      <c r="AF44" s="338">
        <f t="shared" si="66"/>
        <v>1221.1444039403827</v>
      </c>
      <c r="AG44" s="338">
        <f t="shared" si="66"/>
        <v>1243.4355270208007</v>
      </c>
      <c r="AH44" s="338">
        <f t="shared" si="66"/>
        <v>1265.7266501012189</v>
      </c>
      <c r="AI44" s="338">
        <f t="shared" si="66"/>
        <v>1288.0177731816459</v>
      </c>
      <c r="AJ44" s="338">
        <f t="shared" si="66"/>
        <v>1310.3088962620641</v>
      </c>
      <c r="AK44" s="338">
        <f t="shared" si="66"/>
        <v>0</v>
      </c>
      <c r="AL44" s="333"/>
      <c r="AM44" s="69"/>
    </row>
    <row r="45" spans="1:39">
      <c r="A45" s="69"/>
      <c r="B45" s="350" t="s">
        <v>837</v>
      </c>
      <c r="C45" s="338">
        <v>13856</v>
      </c>
      <c r="D45" s="338">
        <f t="shared" ref="D45:X45" si="67">($C45/$C144)*D144</f>
        <v>14048.687737041722</v>
      </c>
      <c r="E45" s="338">
        <f t="shared" si="67"/>
        <v>15362.467762326172</v>
      </c>
      <c r="F45" s="338">
        <f t="shared" si="67"/>
        <v>14469.097345132745</v>
      </c>
      <c r="G45" s="338">
        <f t="shared" si="67"/>
        <v>15309.916561314794</v>
      </c>
      <c r="H45" s="338">
        <f t="shared" si="67"/>
        <v>16816.384323640963</v>
      </c>
      <c r="I45" s="338">
        <f t="shared" si="67"/>
        <v>18603.125158027815</v>
      </c>
      <c r="J45" s="338">
        <f t="shared" si="67"/>
        <v>17411.964601769916</v>
      </c>
      <c r="K45" s="338">
        <f t="shared" si="67"/>
        <v>19233.739570164351</v>
      </c>
      <c r="L45" s="338">
        <f t="shared" si="67"/>
        <v>20617.587863463974</v>
      </c>
      <c r="M45" s="338">
        <f t="shared" si="67"/>
        <v>20827.792667509486</v>
      </c>
      <c r="N45" s="338">
        <f t="shared" si="67"/>
        <v>23595.489254108725</v>
      </c>
      <c r="O45" s="338">
        <f t="shared" si="67"/>
        <v>23107.877807148459</v>
      </c>
      <c r="P45" s="338">
        <f t="shared" si="67"/>
        <v>23985.00512584746</v>
      </c>
      <c r="Q45" s="338">
        <f t="shared" si="67"/>
        <v>24862.13244454646</v>
      </c>
      <c r="R45" s="338">
        <f t="shared" si="67"/>
        <v>25739.259763245456</v>
      </c>
      <c r="S45" s="338">
        <f t="shared" si="67"/>
        <v>26616.38708194414</v>
      </c>
      <c r="T45" s="338">
        <f t="shared" si="67"/>
        <v>27493.514400643136</v>
      </c>
      <c r="U45" s="338">
        <f t="shared" si="67"/>
        <v>28370.641719342137</v>
      </c>
      <c r="V45" s="338">
        <f t="shared" si="67"/>
        <v>29247.769038041137</v>
      </c>
      <c r="W45" s="338">
        <f t="shared" si="67"/>
        <v>30124.896356740133</v>
      </c>
      <c r="X45" s="338">
        <f t="shared" si="67"/>
        <v>31002.023675439134</v>
      </c>
      <c r="Y45" s="69"/>
      <c r="Z45" s="338">
        <f t="shared" ref="Z45:AK45" si="68">N45/$AA144</f>
        <v>1638.5756426464391</v>
      </c>
      <c r="AA45" s="338">
        <f t="shared" si="68"/>
        <v>1604.7137366075319</v>
      </c>
      <c r="AB45" s="338">
        <f t="shared" si="68"/>
        <v>1665.6253559616291</v>
      </c>
      <c r="AC45" s="338">
        <f t="shared" si="68"/>
        <v>1726.5369753157263</v>
      </c>
      <c r="AD45" s="338">
        <f t="shared" si="68"/>
        <v>1787.4485946698233</v>
      </c>
      <c r="AE45" s="338">
        <f t="shared" si="68"/>
        <v>1848.3602140238986</v>
      </c>
      <c r="AF45" s="338">
        <f t="shared" si="68"/>
        <v>1909.2718333779956</v>
      </c>
      <c r="AG45" s="338">
        <f t="shared" si="68"/>
        <v>1970.1834527320927</v>
      </c>
      <c r="AH45" s="338">
        <f t="shared" si="68"/>
        <v>2031.0950720861899</v>
      </c>
      <c r="AI45" s="338">
        <f t="shared" si="68"/>
        <v>2092.0066914402869</v>
      </c>
      <c r="AJ45" s="338">
        <f t="shared" si="68"/>
        <v>2152.9183107943841</v>
      </c>
      <c r="AK45" s="338">
        <f t="shared" si="68"/>
        <v>0</v>
      </c>
      <c r="AL45" s="333"/>
      <c r="AM45" s="69"/>
    </row>
    <row r="46" spans="1:39">
      <c r="A46" s="69"/>
      <c r="B46" s="350" t="s">
        <v>839</v>
      </c>
      <c r="C46" s="338">
        <v>37173</v>
      </c>
      <c r="D46" s="338">
        <f t="shared" ref="D46:X46" si="69">($C46/$C145)*D145</f>
        <v>42239.62123385939</v>
      </c>
      <c r="E46" s="338">
        <f t="shared" si="69"/>
        <v>43466.276901004298</v>
      </c>
      <c r="F46" s="338">
        <f t="shared" si="69"/>
        <v>45866.255380200855</v>
      </c>
      <c r="G46" s="338">
        <f t="shared" si="69"/>
        <v>47039.578192252506</v>
      </c>
      <c r="H46" s="338">
        <f t="shared" si="69"/>
        <v>50452.880918220937</v>
      </c>
      <c r="I46" s="338">
        <f t="shared" si="69"/>
        <v>54399.512195121941</v>
      </c>
      <c r="J46" s="338">
        <f t="shared" si="69"/>
        <v>54506.177905308461</v>
      </c>
      <c r="K46" s="338">
        <f t="shared" si="69"/>
        <v>52532.862266857956</v>
      </c>
      <c r="L46" s="338">
        <f t="shared" si="69"/>
        <v>52959.525107604008</v>
      </c>
      <c r="M46" s="338">
        <f t="shared" si="69"/>
        <v>53812.850789096119</v>
      </c>
      <c r="N46" s="338">
        <f t="shared" si="69"/>
        <v>52906.192252510758</v>
      </c>
      <c r="O46" s="338">
        <f t="shared" si="69"/>
        <v>57164.093465501159</v>
      </c>
      <c r="P46" s="338">
        <f t="shared" si="69"/>
        <v>58355.355510629881</v>
      </c>
      <c r="Q46" s="338">
        <f t="shared" si="69"/>
        <v>59546.61755575861</v>
      </c>
      <c r="R46" s="338">
        <f t="shared" si="69"/>
        <v>60737.879600886845</v>
      </c>
      <c r="S46" s="338">
        <f t="shared" si="69"/>
        <v>61929.141646015567</v>
      </c>
      <c r="T46" s="338">
        <f t="shared" si="69"/>
        <v>63120.403691143809</v>
      </c>
      <c r="U46" s="338">
        <f t="shared" si="69"/>
        <v>64311.665736272531</v>
      </c>
      <c r="V46" s="338">
        <f t="shared" si="69"/>
        <v>65502.927781400766</v>
      </c>
      <c r="W46" s="338">
        <f t="shared" si="69"/>
        <v>66694.189826529488</v>
      </c>
      <c r="X46" s="338">
        <f t="shared" si="69"/>
        <v>67885.451871657729</v>
      </c>
      <c r="Y46" s="69"/>
      <c r="Z46" s="338">
        <f t="shared" ref="Z46:AK46" si="70">N46/$AA145</f>
        <v>1332.649678904553</v>
      </c>
      <c r="AA46" s="338">
        <f t="shared" si="70"/>
        <v>1439.9015986272332</v>
      </c>
      <c r="AB46" s="338">
        <f t="shared" si="70"/>
        <v>1469.9081992601984</v>
      </c>
      <c r="AC46" s="338">
        <f t="shared" si="70"/>
        <v>1499.9147998931639</v>
      </c>
      <c r="AD46" s="338">
        <f t="shared" si="70"/>
        <v>1529.9214005261169</v>
      </c>
      <c r="AE46" s="338">
        <f t="shared" si="70"/>
        <v>1559.9280011590822</v>
      </c>
      <c r="AF46" s="338">
        <f t="shared" si="70"/>
        <v>1589.9346017920354</v>
      </c>
      <c r="AG46" s="338">
        <f t="shared" si="70"/>
        <v>1619.9412024250007</v>
      </c>
      <c r="AH46" s="338">
        <f t="shared" si="70"/>
        <v>1649.9478030579537</v>
      </c>
      <c r="AI46" s="338">
        <f t="shared" si="70"/>
        <v>1679.954403690919</v>
      </c>
      <c r="AJ46" s="338">
        <f t="shared" si="70"/>
        <v>1709.9610043238722</v>
      </c>
      <c r="AK46" s="338">
        <f t="shared" si="70"/>
        <v>0</v>
      </c>
      <c r="AL46" s="333"/>
      <c r="AM46" s="69"/>
    </row>
    <row r="47" spans="1:39">
      <c r="A47" s="69"/>
      <c r="B47" s="350" t="s">
        <v>840</v>
      </c>
      <c r="C47" s="338">
        <v>52058</v>
      </c>
      <c r="D47" s="338">
        <f t="shared" ref="D47:X47" si="71">($C47/$C146)*D146</f>
        <v>54197.369863013708</v>
      </c>
      <c r="E47" s="338">
        <f t="shared" si="71"/>
        <v>55207.627853881284</v>
      </c>
      <c r="F47" s="338">
        <f t="shared" si="71"/>
        <v>55742.470319634704</v>
      </c>
      <c r="G47" s="338">
        <f t="shared" si="71"/>
        <v>57109.289954337903</v>
      </c>
      <c r="H47" s="338">
        <f t="shared" si="71"/>
        <v>58594.963470319635</v>
      </c>
      <c r="I47" s="338">
        <f t="shared" si="71"/>
        <v>60021.210045662105</v>
      </c>
      <c r="J47" s="338">
        <f t="shared" si="71"/>
        <v>60674.906392694065</v>
      </c>
      <c r="K47" s="338">
        <f t="shared" si="71"/>
        <v>60912.614155251147</v>
      </c>
      <c r="L47" s="338">
        <f t="shared" si="71"/>
        <v>62220.006849315076</v>
      </c>
      <c r="M47" s="338">
        <f t="shared" si="71"/>
        <v>62695.422374429232</v>
      </c>
      <c r="N47" s="338">
        <f t="shared" si="71"/>
        <v>64299.949771689506</v>
      </c>
      <c r="O47" s="338">
        <f t="shared" si="71"/>
        <v>65220.527106683141</v>
      </c>
      <c r="P47" s="338">
        <f t="shared" si="71"/>
        <v>66216.738729763441</v>
      </c>
      <c r="Q47" s="338">
        <f t="shared" si="71"/>
        <v>67212.950352843458</v>
      </c>
      <c r="R47" s="338">
        <f t="shared" si="71"/>
        <v>68209.161975923475</v>
      </c>
      <c r="S47" s="338">
        <f t="shared" si="71"/>
        <v>69205.373599003768</v>
      </c>
      <c r="T47" s="338">
        <f t="shared" si="71"/>
        <v>70201.585222083784</v>
      </c>
      <c r="U47" s="338">
        <f t="shared" si="71"/>
        <v>71197.796845163815</v>
      </c>
      <c r="V47" s="338">
        <f t="shared" si="71"/>
        <v>72194.008468244094</v>
      </c>
      <c r="W47" s="338">
        <f t="shared" si="71"/>
        <v>73190.220091324125</v>
      </c>
      <c r="X47" s="338">
        <f t="shared" si="71"/>
        <v>74186.431714404142</v>
      </c>
      <c r="Y47" s="69"/>
      <c r="Z47" s="338">
        <f t="shared" ref="Z47:AK47" si="72">N47/$AA146</f>
        <v>1376.8725861175483</v>
      </c>
      <c r="AA47" s="338">
        <f t="shared" si="72"/>
        <v>1396.5851628840071</v>
      </c>
      <c r="AB47" s="338">
        <f t="shared" si="72"/>
        <v>1417.917317553821</v>
      </c>
      <c r="AC47" s="338">
        <f t="shared" si="72"/>
        <v>1439.2494722236286</v>
      </c>
      <c r="AD47" s="338">
        <f t="shared" si="72"/>
        <v>1460.5816268934361</v>
      </c>
      <c r="AE47" s="338">
        <f t="shared" si="72"/>
        <v>1481.9137815632498</v>
      </c>
      <c r="AF47" s="338">
        <f t="shared" si="72"/>
        <v>1503.2459362330574</v>
      </c>
      <c r="AG47" s="338">
        <f t="shared" si="72"/>
        <v>1524.5780909028654</v>
      </c>
      <c r="AH47" s="338">
        <f t="shared" si="72"/>
        <v>1545.9102455726786</v>
      </c>
      <c r="AI47" s="338">
        <f t="shared" si="72"/>
        <v>1567.2424002424866</v>
      </c>
      <c r="AJ47" s="338">
        <f t="shared" si="72"/>
        <v>1588.5745549122942</v>
      </c>
      <c r="AK47" s="338">
        <f t="shared" si="72"/>
        <v>0</v>
      </c>
      <c r="AL47" s="333"/>
      <c r="AM47" s="69"/>
    </row>
    <row r="48" spans="1:39">
      <c r="A48" s="69"/>
      <c r="B48" s="350" t="s">
        <v>841</v>
      </c>
      <c r="C48" s="338">
        <v>54036</v>
      </c>
      <c r="D48" s="338">
        <f t="shared" ref="D48:X48" si="73">($C48/$C147)*D147</f>
        <v>55570.750295857993</v>
      </c>
      <c r="E48" s="338">
        <f t="shared" si="73"/>
        <v>58192.615384615383</v>
      </c>
      <c r="F48" s="338">
        <f t="shared" si="73"/>
        <v>58000.771597633138</v>
      </c>
      <c r="G48" s="338">
        <f t="shared" si="73"/>
        <v>60238.949112426038</v>
      </c>
      <c r="H48" s="338">
        <f t="shared" si="73"/>
        <v>62349.230769230766</v>
      </c>
      <c r="I48" s="338">
        <f t="shared" si="73"/>
        <v>64651.356213017745</v>
      </c>
      <c r="J48" s="338">
        <f t="shared" si="73"/>
        <v>63947.928994082838</v>
      </c>
      <c r="K48" s="338">
        <f t="shared" si="73"/>
        <v>67145.325443786976</v>
      </c>
      <c r="L48" s="338">
        <f t="shared" si="73"/>
        <v>68552.179881656804</v>
      </c>
      <c r="M48" s="338">
        <f t="shared" si="73"/>
        <v>70150.87810650887</v>
      </c>
      <c r="N48" s="338">
        <f t="shared" si="73"/>
        <v>71813.524260355029</v>
      </c>
      <c r="O48" s="338">
        <f t="shared" si="73"/>
        <v>73298.278902636041</v>
      </c>
      <c r="P48" s="338">
        <f t="shared" si="73"/>
        <v>74899.302506723674</v>
      </c>
      <c r="Q48" s="338">
        <f t="shared" si="73"/>
        <v>76500.32611081189</v>
      </c>
      <c r="R48" s="338">
        <f t="shared" si="73"/>
        <v>78101.34971490012</v>
      </c>
      <c r="S48" s="338">
        <f t="shared" si="73"/>
        <v>79702.373318988335</v>
      </c>
      <c r="T48" s="338">
        <f t="shared" si="73"/>
        <v>81303.396923076551</v>
      </c>
      <c r="U48" s="338">
        <f t="shared" si="73"/>
        <v>82904.420527164766</v>
      </c>
      <c r="V48" s="338">
        <f t="shared" si="73"/>
        <v>84505.444131252982</v>
      </c>
      <c r="W48" s="338">
        <f t="shared" si="73"/>
        <v>86106.467735341197</v>
      </c>
      <c r="X48" s="338">
        <f t="shared" si="73"/>
        <v>87707.491339429413</v>
      </c>
      <c r="Y48" s="69"/>
      <c r="Z48" s="338">
        <f t="shared" ref="Z48:AK48" si="74">N48/$AA147</f>
        <v>1734.6261898636481</v>
      </c>
      <c r="AA48" s="338">
        <f t="shared" si="74"/>
        <v>1770.4898285660879</v>
      </c>
      <c r="AB48" s="338">
        <f t="shared" si="74"/>
        <v>1809.1618962976734</v>
      </c>
      <c r="AC48" s="338">
        <f t="shared" si="74"/>
        <v>1847.8339640292727</v>
      </c>
      <c r="AD48" s="338">
        <f t="shared" si="74"/>
        <v>1886.5060317608725</v>
      </c>
      <c r="AE48" s="338">
        <f t="shared" si="74"/>
        <v>1925.178099492472</v>
      </c>
      <c r="AF48" s="338">
        <f t="shared" si="74"/>
        <v>1963.8501672240714</v>
      </c>
      <c r="AG48" s="338">
        <f t="shared" si="74"/>
        <v>2002.5222349556707</v>
      </c>
      <c r="AH48" s="338">
        <f t="shared" si="74"/>
        <v>2041.1943026872702</v>
      </c>
      <c r="AI48" s="338">
        <f t="shared" si="74"/>
        <v>2079.8663704188698</v>
      </c>
      <c r="AJ48" s="338">
        <f t="shared" si="74"/>
        <v>2118.5384381504691</v>
      </c>
      <c r="AK48" s="338">
        <f t="shared" si="74"/>
        <v>0</v>
      </c>
      <c r="AL48" s="333"/>
      <c r="AM48" s="69"/>
    </row>
    <row r="49" spans="1:39">
      <c r="A49" s="69"/>
      <c r="B49" s="350" t="s">
        <v>842</v>
      </c>
      <c r="C49" s="338">
        <v>39452</v>
      </c>
      <c r="D49" s="338">
        <f t="shared" ref="D49:X49" si="75">($C49/$C148)*D148</f>
        <v>40294.091782283889</v>
      </c>
      <c r="E49" s="338">
        <f t="shared" si="75"/>
        <v>38778.32657417289</v>
      </c>
      <c r="F49" s="338">
        <f t="shared" si="75"/>
        <v>45430.851654215585</v>
      </c>
      <c r="G49" s="338">
        <f t="shared" si="75"/>
        <v>43283.517609391674</v>
      </c>
      <c r="H49" s="338">
        <f t="shared" si="75"/>
        <v>43030.890074706513</v>
      </c>
      <c r="I49" s="338">
        <f t="shared" si="75"/>
        <v>40504.61472785486</v>
      </c>
      <c r="J49" s="338">
        <f t="shared" si="75"/>
        <v>31325.814300960516</v>
      </c>
      <c r="K49" s="338">
        <f t="shared" si="75"/>
        <v>30525.827107790821</v>
      </c>
      <c r="L49" s="338">
        <f t="shared" si="75"/>
        <v>26231.159018143007</v>
      </c>
      <c r="M49" s="338">
        <f t="shared" si="75"/>
        <v>23746.988260405549</v>
      </c>
      <c r="N49" s="338">
        <f t="shared" si="75"/>
        <v>23199.628601921024</v>
      </c>
      <c r="O49" s="338">
        <f t="shared" si="75"/>
        <v>22009.217036965449</v>
      </c>
      <c r="P49" s="338">
        <f t="shared" si="75"/>
        <v>19823.60609294632</v>
      </c>
      <c r="Q49" s="338">
        <f t="shared" si="75"/>
        <v>17637.995148927956</v>
      </c>
      <c r="R49" s="338">
        <f t="shared" si="75"/>
        <v>15452.384204909591</v>
      </c>
      <c r="S49" s="338">
        <f t="shared" si="75"/>
        <v>13266.773260890463</v>
      </c>
      <c r="T49" s="338">
        <f t="shared" si="75"/>
        <v>11081.162316872098</v>
      </c>
      <c r="U49" s="338">
        <f t="shared" si="75"/>
        <v>8895.5513728537353</v>
      </c>
      <c r="V49" s="338">
        <f t="shared" si="75"/>
        <v>6709.9404288346059</v>
      </c>
      <c r="W49" s="338">
        <f t="shared" si="75"/>
        <v>4524.3294848162423</v>
      </c>
      <c r="X49" s="338">
        <f t="shared" si="75"/>
        <v>2338.7185407978782</v>
      </c>
      <c r="Y49" s="69"/>
      <c r="Z49" s="338">
        <f t="shared" ref="Z49:AK49" si="76">N49/$AA148</f>
        <v>2636.3214320364796</v>
      </c>
      <c r="AA49" s="338">
        <f t="shared" si="76"/>
        <v>2501.0473905642552</v>
      </c>
      <c r="AB49" s="338">
        <f t="shared" si="76"/>
        <v>2252.6825105620815</v>
      </c>
      <c r="AC49" s="338">
        <f t="shared" si="76"/>
        <v>2004.3176305599948</v>
      </c>
      <c r="AD49" s="338">
        <f t="shared" si="76"/>
        <v>1755.9527505579078</v>
      </c>
      <c r="AE49" s="338">
        <f t="shared" si="76"/>
        <v>1507.5878705557343</v>
      </c>
      <c r="AF49" s="338">
        <f t="shared" si="76"/>
        <v>1259.2229905536474</v>
      </c>
      <c r="AG49" s="338">
        <f t="shared" si="76"/>
        <v>1010.8581105515608</v>
      </c>
      <c r="AH49" s="338">
        <f t="shared" si="76"/>
        <v>762.49323054938702</v>
      </c>
      <c r="AI49" s="338">
        <f t="shared" si="76"/>
        <v>514.12835054730022</v>
      </c>
      <c r="AJ49" s="338">
        <f t="shared" si="76"/>
        <v>265.76347054521341</v>
      </c>
      <c r="AK49" s="338">
        <f t="shared" si="76"/>
        <v>0</v>
      </c>
      <c r="AL49" s="333"/>
      <c r="AM49" s="69"/>
    </row>
    <row r="50" spans="1:39">
      <c r="A50" s="69"/>
      <c r="B50" s="350" t="s">
        <v>843</v>
      </c>
      <c r="C50" s="338">
        <v>34062</v>
      </c>
      <c r="D50" s="338">
        <f t="shared" ref="D50:X50" si="77">($C50/$C149)*D149</f>
        <v>39952.42105263158</v>
      </c>
      <c r="E50" s="338">
        <f t="shared" si="77"/>
        <v>47277.031578947368</v>
      </c>
      <c r="F50" s="338">
        <f t="shared" si="77"/>
        <v>46047.726315789478</v>
      </c>
      <c r="G50" s="338">
        <f t="shared" si="77"/>
        <v>45996.505263157895</v>
      </c>
      <c r="H50" s="338">
        <f t="shared" si="77"/>
        <v>48096.568421052638</v>
      </c>
      <c r="I50" s="338">
        <f t="shared" si="77"/>
        <v>52860.126315789479</v>
      </c>
      <c r="J50" s="338">
        <f t="shared" si="77"/>
        <v>50708.84210526316</v>
      </c>
      <c r="K50" s="338">
        <f t="shared" si="77"/>
        <v>54243.094736842111</v>
      </c>
      <c r="L50" s="338">
        <f t="shared" si="77"/>
        <v>57213.915789473685</v>
      </c>
      <c r="M50" s="338">
        <f t="shared" si="77"/>
        <v>60338.400000000001</v>
      </c>
      <c r="N50" s="338">
        <f t="shared" si="77"/>
        <v>65870.273684210522</v>
      </c>
      <c r="O50" s="338">
        <f t="shared" si="77"/>
        <v>64478.923636363688</v>
      </c>
      <c r="P50" s="338">
        <f t="shared" si="77"/>
        <v>66610.185071769738</v>
      </c>
      <c r="Q50" s="338">
        <f t="shared" si="77"/>
        <v>68741.446507176704</v>
      </c>
      <c r="R50" s="338">
        <f t="shared" si="77"/>
        <v>70872.707942582754</v>
      </c>
      <c r="S50" s="338">
        <f t="shared" si="77"/>
        <v>73003.969377989721</v>
      </c>
      <c r="T50" s="338">
        <f t="shared" si="77"/>
        <v>75135.230813396687</v>
      </c>
      <c r="U50" s="338">
        <f t="shared" si="77"/>
        <v>77266.492248802737</v>
      </c>
      <c r="V50" s="338">
        <f t="shared" si="77"/>
        <v>79397.753684209703</v>
      </c>
      <c r="W50" s="338">
        <f t="shared" si="77"/>
        <v>81529.015119616684</v>
      </c>
      <c r="X50" s="338">
        <f t="shared" si="77"/>
        <v>83660.27655502272</v>
      </c>
      <c r="Y50" s="69"/>
      <c r="Z50" s="338">
        <f t="shared" ref="Z50:AK50" si="78">N50/$AA149</f>
        <v>5227.7994987468674</v>
      </c>
      <c r="AA50" s="338">
        <f t="shared" si="78"/>
        <v>5117.3748917748962</v>
      </c>
      <c r="AB50" s="338">
        <f t="shared" si="78"/>
        <v>5286.5226247436303</v>
      </c>
      <c r="AC50" s="338">
        <f t="shared" si="78"/>
        <v>5455.6703577124372</v>
      </c>
      <c r="AD50" s="338">
        <f t="shared" si="78"/>
        <v>5624.8180906811713</v>
      </c>
      <c r="AE50" s="338">
        <f t="shared" si="78"/>
        <v>5793.9658236499781</v>
      </c>
      <c r="AF50" s="338">
        <f t="shared" si="78"/>
        <v>5963.113556618785</v>
      </c>
      <c r="AG50" s="338">
        <f t="shared" si="78"/>
        <v>6132.2612895875191</v>
      </c>
      <c r="AH50" s="338">
        <f t="shared" si="78"/>
        <v>6301.4090225563259</v>
      </c>
      <c r="AI50" s="338">
        <f t="shared" si="78"/>
        <v>6470.5567555251337</v>
      </c>
      <c r="AJ50" s="338">
        <f t="shared" si="78"/>
        <v>6639.7044884938668</v>
      </c>
      <c r="AK50" s="338">
        <f t="shared" si="78"/>
        <v>0</v>
      </c>
      <c r="AL50" s="333"/>
      <c r="AM50" s="69"/>
    </row>
    <row r="51" spans="1:39">
      <c r="A51" s="69"/>
      <c r="B51" s="350" t="s">
        <v>844</v>
      </c>
      <c r="C51" s="338">
        <v>39890</v>
      </c>
      <c r="D51" s="338">
        <f t="shared" ref="D51:X51" si="79">($C51/$C150)*D150</f>
        <v>40138.020725388596</v>
      </c>
      <c r="E51" s="338">
        <f t="shared" si="79"/>
        <v>41584.808290155437</v>
      </c>
      <c r="F51" s="338">
        <f t="shared" si="79"/>
        <v>41130.103626943004</v>
      </c>
      <c r="G51" s="338">
        <f t="shared" si="79"/>
        <v>38649.896373056996</v>
      </c>
      <c r="H51" s="338">
        <f t="shared" si="79"/>
        <v>42163.523316062172</v>
      </c>
      <c r="I51" s="338">
        <f t="shared" si="79"/>
        <v>41336.787564766841</v>
      </c>
      <c r="J51" s="338">
        <f t="shared" si="79"/>
        <v>41378.124352331601</v>
      </c>
      <c r="K51" s="338">
        <f t="shared" si="79"/>
        <v>40220.694300518131</v>
      </c>
      <c r="L51" s="338">
        <f t="shared" si="79"/>
        <v>40716.735751295331</v>
      </c>
      <c r="M51" s="338">
        <f t="shared" si="79"/>
        <v>42700.901554404139</v>
      </c>
      <c r="N51" s="338">
        <f t="shared" si="79"/>
        <v>44767.740932642482</v>
      </c>
      <c r="O51" s="338">
        <f t="shared" si="79"/>
        <v>42911.343382006569</v>
      </c>
      <c r="P51" s="338">
        <f t="shared" si="79"/>
        <v>43172.516721620275</v>
      </c>
      <c r="Q51" s="338">
        <f t="shared" si="79"/>
        <v>43433.690061234076</v>
      </c>
      <c r="R51" s="338">
        <f t="shared" si="79"/>
        <v>43694.863400847775</v>
      </c>
      <c r="S51" s="338">
        <f t="shared" si="79"/>
        <v>43956.036740461575</v>
      </c>
      <c r="T51" s="338">
        <f t="shared" si="79"/>
        <v>44217.210080075281</v>
      </c>
      <c r="U51" s="338">
        <f t="shared" si="79"/>
        <v>44478.383419689082</v>
      </c>
      <c r="V51" s="338">
        <f t="shared" si="79"/>
        <v>44739.556759302781</v>
      </c>
      <c r="W51" s="338">
        <f t="shared" si="79"/>
        <v>45000.730098916581</v>
      </c>
      <c r="X51" s="338">
        <f t="shared" si="79"/>
        <v>45261.903438530288</v>
      </c>
      <c r="Y51" s="69"/>
      <c r="Z51" s="338">
        <f t="shared" ref="Z51:AK51" si="80">N51/$AA150</f>
        <v>1236.6779263160906</v>
      </c>
      <c r="AA51" s="338">
        <f t="shared" si="80"/>
        <v>1185.3962260222809</v>
      </c>
      <c r="AB51" s="338">
        <f t="shared" si="80"/>
        <v>1192.610959160781</v>
      </c>
      <c r="AC51" s="338">
        <f t="shared" si="80"/>
        <v>1199.8256922992837</v>
      </c>
      <c r="AD51" s="338">
        <f t="shared" si="80"/>
        <v>1207.0404254377838</v>
      </c>
      <c r="AE51" s="338">
        <f t="shared" si="80"/>
        <v>1214.2551585762865</v>
      </c>
      <c r="AF51" s="338">
        <f t="shared" si="80"/>
        <v>1221.4698917147866</v>
      </c>
      <c r="AG51" s="338">
        <f t="shared" si="80"/>
        <v>1228.6846248532895</v>
      </c>
      <c r="AH51" s="338">
        <f t="shared" si="80"/>
        <v>1235.8993579917894</v>
      </c>
      <c r="AI51" s="338">
        <f t="shared" si="80"/>
        <v>1243.1140911302923</v>
      </c>
      <c r="AJ51" s="338">
        <f t="shared" si="80"/>
        <v>1250.3288242687925</v>
      </c>
      <c r="AK51" s="338">
        <f t="shared" si="80"/>
        <v>0</v>
      </c>
      <c r="AL51" s="333"/>
      <c r="AM51" s="69"/>
    </row>
    <row r="52" spans="1:39">
      <c r="A52" s="69"/>
      <c r="B52" s="350" t="s">
        <v>845</v>
      </c>
      <c r="C52" s="338">
        <v>37559</v>
      </c>
      <c r="D52" s="338">
        <f t="shared" ref="D52:X52" si="81">($C52/$C151)*D151</f>
        <v>36686.501106194686</v>
      </c>
      <c r="E52" s="338">
        <f t="shared" si="81"/>
        <v>38971.617256637168</v>
      </c>
      <c r="F52" s="338">
        <f t="shared" si="81"/>
        <v>40716.615044247788</v>
      </c>
      <c r="G52" s="338">
        <f t="shared" si="81"/>
        <v>41339.828539823007</v>
      </c>
      <c r="H52" s="338">
        <f t="shared" si="81"/>
        <v>42253.875</v>
      </c>
      <c r="I52" s="338">
        <f t="shared" si="81"/>
        <v>41506.018805309737</v>
      </c>
      <c r="J52" s="338">
        <f t="shared" si="81"/>
        <v>41173.638274336277</v>
      </c>
      <c r="K52" s="338">
        <f t="shared" si="81"/>
        <v>40924.352876106197</v>
      </c>
      <c r="L52" s="338">
        <f t="shared" si="81"/>
        <v>42253.875</v>
      </c>
      <c r="M52" s="338">
        <f t="shared" si="81"/>
        <v>42544.707964601774</v>
      </c>
      <c r="N52" s="338">
        <f t="shared" si="81"/>
        <v>43832.682522123891</v>
      </c>
      <c r="O52" s="338">
        <f t="shared" si="81"/>
        <v>43985.275402252664</v>
      </c>
      <c r="P52" s="338">
        <f t="shared" si="81"/>
        <v>44464.583236122184</v>
      </c>
      <c r="Q52" s="338">
        <f t="shared" si="81"/>
        <v>44943.891069991885</v>
      </c>
      <c r="R52" s="338">
        <f t="shared" si="81"/>
        <v>45423.198903861405</v>
      </c>
      <c r="S52" s="338">
        <f t="shared" si="81"/>
        <v>45902.506737731113</v>
      </c>
      <c r="T52" s="338">
        <f t="shared" si="81"/>
        <v>46381.814571600822</v>
      </c>
      <c r="U52" s="338">
        <f t="shared" si="81"/>
        <v>46861.122405470524</v>
      </c>
      <c r="V52" s="338">
        <f t="shared" si="81"/>
        <v>47340.430239340232</v>
      </c>
      <c r="W52" s="338">
        <f t="shared" si="81"/>
        <v>47819.738073209752</v>
      </c>
      <c r="X52" s="338">
        <f t="shared" si="81"/>
        <v>48299.045907079453</v>
      </c>
      <c r="Y52" s="69"/>
      <c r="Z52" s="338">
        <f t="shared" ref="Z52:AK52" si="82">N52/$AA151</f>
        <v>1289.1965447683497</v>
      </c>
      <c r="AA52" s="338">
        <f t="shared" si="82"/>
        <v>1293.68457065449</v>
      </c>
      <c r="AB52" s="338">
        <f t="shared" si="82"/>
        <v>1307.7818598859467</v>
      </c>
      <c r="AC52" s="338">
        <f t="shared" si="82"/>
        <v>1321.8791491174084</v>
      </c>
      <c r="AD52" s="338">
        <f t="shared" si="82"/>
        <v>1335.9764383488648</v>
      </c>
      <c r="AE52" s="338">
        <f t="shared" si="82"/>
        <v>1350.0737275803269</v>
      </c>
      <c r="AF52" s="338">
        <f t="shared" si="82"/>
        <v>1364.1710168117888</v>
      </c>
      <c r="AG52" s="338">
        <f t="shared" si="82"/>
        <v>1378.2683060432507</v>
      </c>
      <c r="AH52" s="338">
        <f t="shared" si="82"/>
        <v>1392.3655952747126</v>
      </c>
      <c r="AI52" s="338">
        <f t="shared" si="82"/>
        <v>1406.4628845061691</v>
      </c>
      <c r="AJ52" s="338">
        <f t="shared" si="82"/>
        <v>1420.560173737631</v>
      </c>
      <c r="AK52" s="338">
        <f t="shared" si="82"/>
        <v>0</v>
      </c>
      <c r="AL52" s="333"/>
      <c r="AM52" s="69"/>
    </row>
    <row r="53" spans="1:39">
      <c r="A53" s="69"/>
      <c r="B53" s="350" t="s">
        <v>846</v>
      </c>
      <c r="C53" s="338">
        <v>40255</v>
      </c>
      <c r="D53" s="338">
        <f t="shared" ref="D53:X53" si="83">($C53/$C152)*D152</f>
        <v>51452.895863052785</v>
      </c>
      <c r="E53" s="338">
        <f t="shared" si="83"/>
        <v>57252.83166904423</v>
      </c>
      <c r="F53" s="338">
        <f t="shared" si="83"/>
        <v>56965.706134094158</v>
      </c>
      <c r="G53" s="338">
        <f t="shared" si="83"/>
        <v>58573.609129814562</v>
      </c>
      <c r="H53" s="338">
        <f t="shared" si="83"/>
        <v>57482.532097004281</v>
      </c>
      <c r="I53" s="338">
        <f t="shared" si="83"/>
        <v>58114.208273894445</v>
      </c>
      <c r="J53" s="338">
        <f t="shared" si="83"/>
        <v>59147.860199714705</v>
      </c>
      <c r="K53" s="338">
        <f t="shared" si="83"/>
        <v>61387.439372325265</v>
      </c>
      <c r="L53" s="338">
        <f t="shared" si="83"/>
        <v>64430.97004279602</v>
      </c>
      <c r="M53" s="338">
        <f t="shared" si="83"/>
        <v>67933.901569186884</v>
      </c>
      <c r="N53" s="338">
        <f t="shared" si="83"/>
        <v>75399.165477888746</v>
      </c>
      <c r="O53" s="338">
        <f t="shared" si="83"/>
        <v>71220.705874724677</v>
      </c>
      <c r="P53" s="338">
        <f t="shared" si="83"/>
        <v>72967.47322007519</v>
      </c>
      <c r="Q53" s="338">
        <f t="shared" si="83"/>
        <v>74714.240565425702</v>
      </c>
      <c r="R53" s="338">
        <f t="shared" si="83"/>
        <v>76461.007910776752</v>
      </c>
      <c r="S53" s="338">
        <f t="shared" si="83"/>
        <v>78207.775256127265</v>
      </c>
      <c r="T53" s="338">
        <f t="shared" si="83"/>
        <v>79954.542601478301</v>
      </c>
      <c r="U53" s="338">
        <f t="shared" si="83"/>
        <v>81701.309946828813</v>
      </c>
      <c r="V53" s="338">
        <f t="shared" si="83"/>
        <v>83448.077292179849</v>
      </c>
      <c r="W53" s="338">
        <f t="shared" si="83"/>
        <v>85194.844637530885</v>
      </c>
      <c r="X53" s="338">
        <f t="shared" si="83"/>
        <v>86941.611982881397</v>
      </c>
      <c r="Y53" s="69"/>
      <c r="Z53" s="338">
        <f t="shared" ref="Z53:AK53" si="84">N53/$AA152</f>
        <v>7113.1288186687498</v>
      </c>
      <c r="AA53" s="338">
        <f t="shared" si="84"/>
        <v>6718.9345164834604</v>
      </c>
      <c r="AB53" s="338">
        <f t="shared" si="84"/>
        <v>6883.7238886863388</v>
      </c>
      <c r="AC53" s="338">
        <f t="shared" si="84"/>
        <v>7048.5132608892172</v>
      </c>
      <c r="AD53" s="338">
        <f t="shared" si="84"/>
        <v>7213.3026330921466</v>
      </c>
      <c r="AE53" s="338">
        <f t="shared" si="84"/>
        <v>7378.092005295025</v>
      </c>
      <c r="AF53" s="338">
        <f t="shared" si="84"/>
        <v>7542.8813774979535</v>
      </c>
      <c r="AG53" s="338">
        <f t="shared" si="84"/>
        <v>7707.6707497008319</v>
      </c>
      <c r="AH53" s="338">
        <f t="shared" si="84"/>
        <v>7872.4601219037595</v>
      </c>
      <c r="AI53" s="338">
        <f t="shared" si="84"/>
        <v>8037.249494106688</v>
      </c>
      <c r="AJ53" s="338">
        <f t="shared" si="84"/>
        <v>8202.0388663095655</v>
      </c>
      <c r="AK53" s="338">
        <f t="shared" si="84"/>
        <v>0</v>
      </c>
      <c r="AL53" s="333"/>
      <c r="AM53" s="69"/>
    </row>
    <row r="54" spans="1:39">
      <c r="A54" s="69"/>
      <c r="B54" s="350" t="s">
        <v>847</v>
      </c>
      <c r="C54" s="338">
        <v>30970</v>
      </c>
      <c r="D54" s="338">
        <f t="shared" ref="D54:X54" si="85">($C54/$C153)*D153</f>
        <v>35012.790419161676</v>
      </c>
      <c r="E54" s="338">
        <f t="shared" si="85"/>
        <v>38981.401197604784</v>
      </c>
      <c r="F54" s="338">
        <f t="shared" si="85"/>
        <v>36051.305389221554</v>
      </c>
      <c r="G54" s="338">
        <f t="shared" si="85"/>
        <v>36310.934131736525</v>
      </c>
      <c r="H54" s="338">
        <f t="shared" si="85"/>
        <v>36904.371257485029</v>
      </c>
      <c r="I54" s="338">
        <f t="shared" si="85"/>
        <v>37571.988023952093</v>
      </c>
      <c r="J54" s="338">
        <f t="shared" si="85"/>
        <v>39092.670658682633</v>
      </c>
      <c r="K54" s="338">
        <f t="shared" si="85"/>
        <v>40761.712574850302</v>
      </c>
      <c r="L54" s="338">
        <f t="shared" si="85"/>
        <v>43506.359281437122</v>
      </c>
      <c r="M54" s="338">
        <f t="shared" si="85"/>
        <v>46658.994011976043</v>
      </c>
      <c r="N54" s="338">
        <f t="shared" si="85"/>
        <v>51480.670658682633</v>
      </c>
      <c r="O54" s="338">
        <f t="shared" si="85"/>
        <v>48203.279259662166</v>
      </c>
      <c r="P54" s="338">
        <f t="shared" si="85"/>
        <v>49535.140990745087</v>
      </c>
      <c r="Q54" s="338">
        <f t="shared" si="85"/>
        <v>50867.002721828343</v>
      </c>
      <c r="R54" s="338">
        <f t="shared" si="85"/>
        <v>52198.864452911599</v>
      </c>
      <c r="S54" s="338">
        <f t="shared" si="85"/>
        <v>53530.726183994855</v>
      </c>
      <c r="T54" s="338">
        <f t="shared" si="85"/>
        <v>54862.587915078118</v>
      </c>
      <c r="U54" s="338">
        <f t="shared" si="85"/>
        <v>56194.449646161709</v>
      </c>
      <c r="V54" s="338">
        <f t="shared" si="85"/>
        <v>57526.311377244965</v>
      </c>
      <c r="W54" s="338">
        <f t="shared" si="85"/>
        <v>58858.173108328221</v>
      </c>
      <c r="X54" s="338">
        <f t="shared" si="85"/>
        <v>60190.034839411484</v>
      </c>
      <c r="Y54" s="69"/>
      <c r="Z54" s="338">
        <f t="shared" ref="Z54:AK54" si="86">N54/$AA153</f>
        <v>5097.0961048200625</v>
      </c>
      <c r="AA54" s="338">
        <f t="shared" si="86"/>
        <v>4772.6019068972446</v>
      </c>
      <c r="AB54" s="338">
        <f t="shared" si="86"/>
        <v>4904.4694050242661</v>
      </c>
      <c r="AC54" s="338">
        <f t="shared" si="86"/>
        <v>5036.3369031513212</v>
      </c>
      <c r="AD54" s="338">
        <f t="shared" si="86"/>
        <v>5168.2044012783763</v>
      </c>
      <c r="AE54" s="338">
        <f t="shared" si="86"/>
        <v>5300.0718994054314</v>
      </c>
      <c r="AF54" s="338">
        <f t="shared" si="86"/>
        <v>5431.9393975324874</v>
      </c>
      <c r="AG54" s="338">
        <f t="shared" si="86"/>
        <v>5563.8068956595753</v>
      </c>
      <c r="AH54" s="338">
        <f t="shared" si="86"/>
        <v>5695.6743937866304</v>
      </c>
      <c r="AI54" s="338">
        <f t="shared" si="86"/>
        <v>5827.5418919136855</v>
      </c>
      <c r="AJ54" s="338">
        <f t="shared" si="86"/>
        <v>5959.4093900407415</v>
      </c>
      <c r="AK54" s="338">
        <f t="shared" si="86"/>
        <v>0</v>
      </c>
      <c r="AL54" s="333"/>
      <c r="AM54" s="69"/>
    </row>
    <row r="55" spans="1:39">
      <c r="A55" s="69"/>
      <c r="B55" s="350" t="s">
        <v>848</v>
      </c>
      <c r="C55" s="338">
        <v>52802</v>
      </c>
      <c r="D55" s="338">
        <f t="shared" ref="D55:X55" si="87">($C55/$C154)*D154</f>
        <v>53699.121359223296</v>
      </c>
      <c r="E55" s="338">
        <f t="shared" si="87"/>
        <v>57672.087378640776</v>
      </c>
      <c r="F55" s="338">
        <f t="shared" si="87"/>
        <v>58569.208737864079</v>
      </c>
      <c r="G55" s="338">
        <f t="shared" si="87"/>
        <v>60299.371359223289</v>
      </c>
      <c r="H55" s="338">
        <f t="shared" si="87"/>
        <v>64528.657766990291</v>
      </c>
      <c r="I55" s="338">
        <f t="shared" si="87"/>
        <v>65682.099514563102</v>
      </c>
      <c r="J55" s="338">
        <f t="shared" si="87"/>
        <v>67668.582524271842</v>
      </c>
      <c r="K55" s="338">
        <f t="shared" si="87"/>
        <v>68950.184466019404</v>
      </c>
      <c r="L55" s="338">
        <f t="shared" si="87"/>
        <v>68437.543689320388</v>
      </c>
      <c r="M55" s="338">
        <f t="shared" si="87"/>
        <v>72666.830097087382</v>
      </c>
      <c r="N55" s="338">
        <f t="shared" si="87"/>
        <v>74781.473300970873</v>
      </c>
      <c r="O55" s="338">
        <f t="shared" si="87"/>
        <v>76565.230185348337</v>
      </c>
      <c r="P55" s="338">
        <f t="shared" si="87"/>
        <v>78523.750970873167</v>
      </c>
      <c r="Q55" s="338">
        <f t="shared" si="87"/>
        <v>80482.271756398593</v>
      </c>
      <c r="R55" s="338">
        <f t="shared" si="87"/>
        <v>82440.792541924005</v>
      </c>
      <c r="S55" s="338">
        <f t="shared" si="87"/>
        <v>84399.313327448835</v>
      </c>
      <c r="T55" s="338">
        <f t="shared" si="87"/>
        <v>86357.834112974248</v>
      </c>
      <c r="U55" s="338">
        <f t="shared" si="87"/>
        <v>88316.354898499078</v>
      </c>
      <c r="V55" s="338">
        <f t="shared" si="87"/>
        <v>90274.87568402449</v>
      </c>
      <c r="W55" s="338">
        <f t="shared" si="87"/>
        <v>92233.39646954932</v>
      </c>
      <c r="X55" s="338">
        <f t="shared" si="87"/>
        <v>94191.917255074732</v>
      </c>
      <c r="Y55" s="69"/>
      <c r="Z55" s="338">
        <f t="shared" ref="Z55:AK55" si="88">N55/$AA154</f>
        <v>1541.8860474426983</v>
      </c>
      <c r="AA55" s="338">
        <f t="shared" si="88"/>
        <v>1578.6645399040895</v>
      </c>
      <c r="AB55" s="338">
        <f t="shared" si="88"/>
        <v>1619.0464117705808</v>
      </c>
      <c r="AC55" s="338">
        <f t="shared" si="88"/>
        <v>1659.4282836370844</v>
      </c>
      <c r="AD55" s="338">
        <f t="shared" si="88"/>
        <v>1699.8101555035878</v>
      </c>
      <c r="AE55" s="338">
        <f t="shared" si="88"/>
        <v>1740.1920273700791</v>
      </c>
      <c r="AF55" s="338">
        <f t="shared" si="88"/>
        <v>1780.5738992365825</v>
      </c>
      <c r="AG55" s="338">
        <f t="shared" si="88"/>
        <v>1820.9557711030739</v>
      </c>
      <c r="AH55" s="338">
        <f t="shared" si="88"/>
        <v>1861.337642969577</v>
      </c>
      <c r="AI55" s="338">
        <f t="shared" si="88"/>
        <v>1901.7195148360684</v>
      </c>
      <c r="AJ55" s="338">
        <f t="shared" si="88"/>
        <v>1942.1013867025717</v>
      </c>
      <c r="AK55" s="338">
        <f t="shared" si="88"/>
        <v>0</v>
      </c>
      <c r="AL55" s="333"/>
      <c r="AM55" s="69"/>
    </row>
    <row r="56" spans="1:39">
      <c r="A56" s="69"/>
      <c r="B56" s="350" t="s">
        <v>849</v>
      </c>
      <c r="C56" s="338">
        <v>27559</v>
      </c>
      <c r="D56" s="338">
        <f t="shared" ref="D56:X56" si="89">($C56/$C155)*D155</f>
        <v>28799.306256860596</v>
      </c>
      <c r="E56" s="338">
        <f t="shared" si="89"/>
        <v>24049.840834248083</v>
      </c>
      <c r="F56" s="338">
        <f t="shared" si="89"/>
        <v>27074.978046103188</v>
      </c>
      <c r="G56" s="338">
        <f t="shared" si="89"/>
        <v>30281.623490669597</v>
      </c>
      <c r="H56" s="338">
        <f t="shared" si="89"/>
        <v>30735.39407244786</v>
      </c>
      <c r="I56" s="338">
        <f t="shared" si="89"/>
        <v>31400.924259055984</v>
      </c>
      <c r="J56" s="338">
        <f t="shared" si="89"/>
        <v>34940.334796926458</v>
      </c>
      <c r="K56" s="338">
        <f t="shared" si="89"/>
        <v>37330.193194291991</v>
      </c>
      <c r="L56" s="338">
        <f t="shared" si="89"/>
        <v>39689.800219538971</v>
      </c>
      <c r="M56" s="338">
        <f t="shared" si="89"/>
        <v>39357.035126234907</v>
      </c>
      <c r="N56" s="338">
        <f t="shared" si="89"/>
        <v>39720.051591657524</v>
      </c>
      <c r="O56" s="338">
        <f t="shared" si="89"/>
        <v>42415.173834947251</v>
      </c>
      <c r="P56" s="338">
        <f t="shared" si="89"/>
        <v>43978.619748528334</v>
      </c>
      <c r="Q56" s="338">
        <f t="shared" si="89"/>
        <v>45542.065662109977</v>
      </c>
      <c r="R56" s="338">
        <f t="shared" si="89"/>
        <v>47105.511575691613</v>
      </c>
      <c r="S56" s="338">
        <f t="shared" si="89"/>
        <v>48668.957489272703</v>
      </c>
      <c r="T56" s="338">
        <f t="shared" si="89"/>
        <v>50232.403402854339</v>
      </c>
      <c r="U56" s="338">
        <f t="shared" si="89"/>
        <v>51795.849316435982</v>
      </c>
      <c r="V56" s="338">
        <f t="shared" si="89"/>
        <v>53359.295230017073</v>
      </c>
      <c r="W56" s="338">
        <f t="shared" si="89"/>
        <v>54922.741143598709</v>
      </c>
      <c r="X56" s="338">
        <f t="shared" si="89"/>
        <v>56486.187057180352</v>
      </c>
      <c r="Y56" s="69"/>
      <c r="Z56" s="338">
        <f t="shared" ref="Z56:AK56" si="90">N56/$AA155</f>
        <v>2837.1465422612519</v>
      </c>
      <c r="AA56" s="338">
        <f t="shared" si="90"/>
        <v>3029.6552739248036</v>
      </c>
      <c r="AB56" s="338">
        <f t="shared" si="90"/>
        <v>3141.3299820377383</v>
      </c>
      <c r="AC56" s="338">
        <f t="shared" si="90"/>
        <v>3253.0046901507126</v>
      </c>
      <c r="AD56" s="338">
        <f t="shared" si="90"/>
        <v>3364.6793982636868</v>
      </c>
      <c r="AE56" s="338">
        <f t="shared" si="90"/>
        <v>3476.3541063766215</v>
      </c>
      <c r="AF56" s="338">
        <f t="shared" si="90"/>
        <v>3588.0288144895958</v>
      </c>
      <c r="AG56" s="338">
        <f t="shared" si="90"/>
        <v>3699.70352260257</v>
      </c>
      <c r="AH56" s="338">
        <f t="shared" si="90"/>
        <v>3811.3782307155052</v>
      </c>
      <c r="AI56" s="338">
        <f t="shared" si="90"/>
        <v>3923.052938828479</v>
      </c>
      <c r="AJ56" s="338">
        <f t="shared" si="90"/>
        <v>4034.7276469414537</v>
      </c>
      <c r="AK56" s="338">
        <f t="shared" si="90"/>
        <v>0</v>
      </c>
      <c r="AL56" s="333"/>
      <c r="AM56" s="69"/>
    </row>
    <row r="57" spans="1:39">
      <c r="A57" s="69"/>
      <c r="B57" s="350" t="s">
        <v>850</v>
      </c>
      <c r="C57" s="338">
        <v>46208</v>
      </c>
      <c r="D57" s="338">
        <f t="shared" ref="D57:X57" si="91">($C57/$C156)*D156</f>
        <v>49227.425904317381</v>
      </c>
      <c r="E57" s="338">
        <f t="shared" si="91"/>
        <v>50521.46557759626</v>
      </c>
      <c r="F57" s="338">
        <f t="shared" si="91"/>
        <v>50036.200700116678</v>
      </c>
      <c r="G57" s="338">
        <f t="shared" si="91"/>
        <v>52300.770128354721</v>
      </c>
      <c r="H57" s="338">
        <f t="shared" si="91"/>
        <v>53055.626604434066</v>
      </c>
      <c r="I57" s="338">
        <f t="shared" si="91"/>
        <v>54457.502917152851</v>
      </c>
      <c r="J57" s="338">
        <f t="shared" si="91"/>
        <v>54619.257876312709</v>
      </c>
      <c r="K57" s="338">
        <f t="shared" si="91"/>
        <v>55697.624270711778</v>
      </c>
      <c r="L57" s="338">
        <f t="shared" si="91"/>
        <v>53594.809801633601</v>
      </c>
      <c r="M57" s="338">
        <f t="shared" si="91"/>
        <v>53325.218203033837</v>
      </c>
      <c r="N57" s="338">
        <f t="shared" si="91"/>
        <v>53325.218203033837</v>
      </c>
      <c r="O57" s="338">
        <f t="shared" si="91"/>
        <v>55509.400318234751</v>
      </c>
      <c r="P57" s="338">
        <f t="shared" si="91"/>
        <v>55970.647035111753</v>
      </c>
      <c r="Q57" s="338">
        <f t="shared" si="91"/>
        <v>56431.893751988886</v>
      </c>
      <c r="R57" s="338">
        <f t="shared" si="91"/>
        <v>56893.140468865888</v>
      </c>
      <c r="S57" s="338">
        <f t="shared" si="91"/>
        <v>57354.387185743013</v>
      </c>
      <c r="T57" s="338">
        <f t="shared" si="91"/>
        <v>57815.633902620015</v>
      </c>
      <c r="U57" s="338">
        <f t="shared" si="91"/>
        <v>58276.880619497017</v>
      </c>
      <c r="V57" s="338">
        <f t="shared" si="91"/>
        <v>58738.127336374142</v>
      </c>
      <c r="W57" s="338">
        <f t="shared" si="91"/>
        <v>59199.374053251151</v>
      </c>
      <c r="X57" s="338">
        <f t="shared" si="91"/>
        <v>59660.620770128276</v>
      </c>
      <c r="Y57" s="69"/>
      <c r="Z57" s="338">
        <f t="shared" ref="Z57:AK57" si="92">N57/$AA156</f>
        <v>1234.3800509961536</v>
      </c>
      <c r="AA57" s="338">
        <f t="shared" si="92"/>
        <v>1284.9398221813599</v>
      </c>
      <c r="AB57" s="338">
        <f t="shared" si="92"/>
        <v>1295.6168295164757</v>
      </c>
      <c r="AC57" s="338">
        <f t="shared" si="92"/>
        <v>1306.2938368515945</v>
      </c>
      <c r="AD57" s="338">
        <f t="shared" si="92"/>
        <v>1316.9708441867103</v>
      </c>
      <c r="AE57" s="338">
        <f t="shared" si="92"/>
        <v>1327.6478515218289</v>
      </c>
      <c r="AF57" s="338">
        <f t="shared" si="92"/>
        <v>1338.3248588569447</v>
      </c>
      <c r="AG57" s="338">
        <f t="shared" si="92"/>
        <v>1349.0018661920606</v>
      </c>
      <c r="AH57" s="338">
        <f t="shared" si="92"/>
        <v>1359.6788735271791</v>
      </c>
      <c r="AI57" s="338">
        <f t="shared" si="92"/>
        <v>1370.3558808622952</v>
      </c>
      <c r="AJ57" s="338">
        <f t="shared" si="92"/>
        <v>1381.0328881974137</v>
      </c>
      <c r="AK57" s="338">
        <f t="shared" si="92"/>
        <v>0</v>
      </c>
      <c r="AL57" s="333"/>
      <c r="AM57" s="69"/>
    </row>
    <row r="58" spans="1:39">
      <c r="A58" s="69"/>
      <c r="B58" s="350" t="s">
        <v>851</v>
      </c>
      <c r="C58" s="338">
        <v>18054</v>
      </c>
      <c r="D58" s="338">
        <f t="shared" ref="D58:X58" si="93">($C58/$C157)*D157</f>
        <v>20182.219867549669</v>
      </c>
      <c r="E58" s="338">
        <f t="shared" si="93"/>
        <v>16714.895364238411</v>
      </c>
      <c r="F58" s="338">
        <f t="shared" si="93"/>
        <v>23171.29271523179</v>
      </c>
      <c r="G58" s="338">
        <f t="shared" si="93"/>
        <v>23099.554966887416</v>
      </c>
      <c r="H58" s="338">
        <f t="shared" si="93"/>
        <v>23506.068874172186</v>
      </c>
      <c r="I58" s="338">
        <f t="shared" si="93"/>
        <v>24319.096688741723</v>
      </c>
      <c r="J58" s="338">
        <f t="shared" si="93"/>
        <v>25179.949668874171</v>
      </c>
      <c r="K58" s="338">
        <f t="shared" si="93"/>
        <v>26399.491390728479</v>
      </c>
      <c r="L58" s="338">
        <f t="shared" si="93"/>
        <v>27308.16953642384</v>
      </c>
      <c r="M58" s="338">
        <f t="shared" si="93"/>
        <v>27834.246357615895</v>
      </c>
      <c r="N58" s="338">
        <f t="shared" si="93"/>
        <v>30608.1059602649</v>
      </c>
      <c r="O58" s="338">
        <f t="shared" si="93"/>
        <v>30790.711137868588</v>
      </c>
      <c r="P58" s="338">
        <f t="shared" si="93"/>
        <v>31856.994942805435</v>
      </c>
      <c r="Q58" s="338">
        <f t="shared" si="93"/>
        <v>32923.278747742283</v>
      </c>
      <c r="R58" s="338">
        <f t="shared" si="93"/>
        <v>33989.562552678697</v>
      </c>
      <c r="S58" s="338">
        <f t="shared" si="93"/>
        <v>35055.846357615548</v>
      </c>
      <c r="T58" s="338">
        <f t="shared" si="93"/>
        <v>36122.130162552392</v>
      </c>
      <c r="U58" s="338">
        <f t="shared" si="93"/>
        <v>37188.413967489243</v>
      </c>
      <c r="V58" s="338">
        <f t="shared" si="93"/>
        <v>38254.697772426087</v>
      </c>
      <c r="W58" s="338">
        <f t="shared" si="93"/>
        <v>39320.981577362938</v>
      </c>
      <c r="X58" s="338">
        <f t="shared" si="93"/>
        <v>40387.265382299352</v>
      </c>
      <c r="Y58" s="69"/>
      <c r="Z58" s="338">
        <f t="shared" ref="Z58:AK58" si="94">N58/$AA157</f>
        <v>2593.9072847682119</v>
      </c>
      <c r="AA58" s="338">
        <f t="shared" si="94"/>
        <v>2609.3822998193718</v>
      </c>
      <c r="AB58" s="338">
        <f t="shared" si="94"/>
        <v>2699.7453341360538</v>
      </c>
      <c r="AC58" s="338">
        <f t="shared" si="94"/>
        <v>2790.1083684527357</v>
      </c>
      <c r="AD58" s="338">
        <f t="shared" si="94"/>
        <v>2880.4714027693808</v>
      </c>
      <c r="AE58" s="338">
        <f t="shared" si="94"/>
        <v>2970.8344370860632</v>
      </c>
      <c r="AF58" s="338">
        <f t="shared" si="94"/>
        <v>3061.1974714027451</v>
      </c>
      <c r="AG58" s="338">
        <f t="shared" si="94"/>
        <v>3151.5605057194271</v>
      </c>
      <c r="AH58" s="338">
        <f t="shared" si="94"/>
        <v>3241.923540036109</v>
      </c>
      <c r="AI58" s="338">
        <f t="shared" si="94"/>
        <v>3332.2865743527914</v>
      </c>
      <c r="AJ58" s="338">
        <f t="shared" si="94"/>
        <v>3422.6496086694365</v>
      </c>
      <c r="AK58" s="338">
        <f t="shared" si="94"/>
        <v>0</v>
      </c>
      <c r="AL58" s="333"/>
      <c r="AM58" s="69"/>
    </row>
    <row r="59" spans="1:39">
      <c r="A59" s="69"/>
      <c r="B59" s="350" t="s">
        <v>852</v>
      </c>
      <c r="C59" s="338">
        <v>39893</v>
      </c>
      <c r="D59" s="338">
        <f t="shared" ref="D59:X59" si="95">($C59/$C158)*D158</f>
        <v>45416.646153846152</v>
      </c>
      <c r="E59" s="338">
        <f t="shared" si="95"/>
        <v>45635.838461538457</v>
      </c>
      <c r="F59" s="338">
        <f t="shared" si="95"/>
        <v>46644.123076923075</v>
      </c>
      <c r="G59" s="338">
        <f t="shared" si="95"/>
        <v>46687.961538461539</v>
      </c>
      <c r="H59" s="338">
        <f t="shared" si="95"/>
        <v>44671.392307692309</v>
      </c>
      <c r="I59" s="338">
        <f t="shared" si="95"/>
        <v>44627.553846153845</v>
      </c>
      <c r="J59" s="338">
        <f t="shared" si="95"/>
        <v>44408.361538461533</v>
      </c>
      <c r="K59" s="338">
        <f t="shared" si="95"/>
        <v>43663.107692307691</v>
      </c>
      <c r="L59" s="338">
        <f t="shared" si="95"/>
        <v>46556.446153846155</v>
      </c>
      <c r="M59" s="338">
        <f t="shared" si="95"/>
        <v>48134.630769230767</v>
      </c>
      <c r="N59" s="338">
        <f t="shared" si="95"/>
        <v>47082.507692307692</v>
      </c>
      <c r="O59" s="338">
        <f t="shared" si="95"/>
        <v>46416.163076923098</v>
      </c>
      <c r="P59" s="338">
        <f t="shared" si="95"/>
        <v>46522.969510489507</v>
      </c>
      <c r="Q59" s="338">
        <f t="shared" si="95"/>
        <v>46629.775944055946</v>
      </c>
      <c r="R59" s="338">
        <f t="shared" si="95"/>
        <v>46736.582377622377</v>
      </c>
      <c r="S59" s="338">
        <f t="shared" si="95"/>
        <v>46843.388811188815</v>
      </c>
      <c r="T59" s="338">
        <f t="shared" si="95"/>
        <v>46950.195244755254</v>
      </c>
      <c r="U59" s="338">
        <f t="shared" si="95"/>
        <v>47057.001678321685</v>
      </c>
      <c r="V59" s="338">
        <f t="shared" si="95"/>
        <v>47163.808111888124</v>
      </c>
      <c r="W59" s="338">
        <f t="shared" si="95"/>
        <v>47270.614545454562</v>
      </c>
      <c r="X59" s="338">
        <f t="shared" si="95"/>
        <v>47377.420979020993</v>
      </c>
      <c r="Y59" s="69"/>
      <c r="Z59" s="338">
        <f t="shared" ref="Z59:AK59" si="96">N59/$AA158</f>
        <v>2330.81721249048</v>
      </c>
      <c r="AA59" s="338">
        <f t="shared" si="96"/>
        <v>2297.8298552932229</v>
      </c>
      <c r="AB59" s="338">
        <f t="shared" si="96"/>
        <v>2303.1173024994805</v>
      </c>
      <c r="AC59" s="338">
        <f t="shared" si="96"/>
        <v>2308.40474970574</v>
      </c>
      <c r="AD59" s="338">
        <f t="shared" si="96"/>
        <v>2313.692196911999</v>
      </c>
      <c r="AE59" s="338">
        <f t="shared" si="96"/>
        <v>2318.9796441182584</v>
      </c>
      <c r="AF59" s="338">
        <f t="shared" si="96"/>
        <v>2324.2670913245174</v>
      </c>
      <c r="AG59" s="338">
        <f t="shared" si="96"/>
        <v>2329.5545385307764</v>
      </c>
      <c r="AH59" s="338">
        <f t="shared" si="96"/>
        <v>2334.8419857370359</v>
      </c>
      <c r="AI59" s="338">
        <f t="shared" si="96"/>
        <v>2340.1294329432953</v>
      </c>
      <c r="AJ59" s="338">
        <f t="shared" si="96"/>
        <v>2345.4168801495543</v>
      </c>
      <c r="AK59" s="338">
        <f t="shared" si="96"/>
        <v>0</v>
      </c>
      <c r="AL59" s="333"/>
      <c r="AM59" s="69"/>
    </row>
    <row r="60" spans="1:39">
      <c r="A60" s="69"/>
      <c r="B60" s="344" t="s">
        <v>853</v>
      </c>
      <c r="C60" s="333"/>
      <c r="D60" s="333"/>
      <c r="E60" s="333"/>
      <c r="F60" s="333"/>
      <c r="G60" s="333"/>
      <c r="H60" s="333"/>
      <c r="I60" s="333"/>
      <c r="J60" s="333"/>
      <c r="K60" s="333"/>
      <c r="L60" s="333"/>
      <c r="M60" s="333"/>
      <c r="N60" s="333">
        <f t="shared" ref="N60:X60" si="97">AVERAGE(Z$38:Z$39,Z$43:Z$59,Z$61:Z$65)*$AA159</f>
        <v>20051.043134540119</v>
      </c>
      <c r="O60" s="333">
        <f t="shared" si="97"/>
        <v>19859.004305519466</v>
      </c>
      <c r="P60" s="333">
        <f t="shared" si="97"/>
        <v>20192.781494225979</v>
      </c>
      <c r="Q60" s="333">
        <f t="shared" si="97"/>
        <v>20526.558682932602</v>
      </c>
      <c r="R60" s="333">
        <f t="shared" si="97"/>
        <v>20860.33587163921</v>
      </c>
      <c r="S60" s="333">
        <f t="shared" si="97"/>
        <v>21194.113060345782</v>
      </c>
      <c r="T60" s="333">
        <f t="shared" si="97"/>
        <v>21527.890249052416</v>
      </c>
      <c r="U60" s="333">
        <f t="shared" si="97"/>
        <v>21861.667437759021</v>
      </c>
      <c r="V60" s="333">
        <f t="shared" si="97"/>
        <v>22195.444626465611</v>
      </c>
      <c r="W60" s="333">
        <f t="shared" si="97"/>
        <v>22529.221815172259</v>
      </c>
      <c r="X60" s="333">
        <f t="shared" si="97"/>
        <v>22862.999003878824</v>
      </c>
      <c r="Y60" s="69"/>
      <c r="Z60" s="338"/>
      <c r="AA60" s="338"/>
      <c r="AB60" s="338"/>
      <c r="AC60" s="338"/>
      <c r="AD60" s="338"/>
      <c r="AE60" s="338"/>
      <c r="AF60" s="338"/>
      <c r="AG60" s="338"/>
      <c r="AH60" s="338"/>
      <c r="AI60" s="338"/>
      <c r="AJ60" s="338"/>
      <c r="AK60" s="338"/>
      <c r="AL60" s="333"/>
      <c r="AM60" s="69"/>
    </row>
    <row r="61" spans="1:39">
      <c r="A61" s="69"/>
      <c r="B61" s="350" t="s">
        <v>854</v>
      </c>
      <c r="C61" s="338">
        <v>21278</v>
      </c>
      <c r="D61" s="338">
        <f t="shared" ref="D61:X61" si="98">($C61/$C160)*D160</f>
        <v>22145.055066079294</v>
      </c>
      <c r="E61" s="338">
        <f t="shared" si="98"/>
        <v>22777.770925110133</v>
      </c>
      <c r="F61" s="338">
        <f t="shared" si="98"/>
        <v>25824.18061674009</v>
      </c>
      <c r="G61" s="338">
        <f t="shared" si="98"/>
        <v>24371.277533039647</v>
      </c>
      <c r="H61" s="338">
        <f t="shared" si="98"/>
        <v>24324.409691629957</v>
      </c>
      <c r="I61" s="338">
        <f t="shared" si="98"/>
        <v>22988.676211453741</v>
      </c>
      <c r="J61" s="338">
        <f t="shared" si="98"/>
        <v>26574.066079295157</v>
      </c>
      <c r="K61" s="338">
        <f t="shared" si="98"/>
        <v>26410.028634361235</v>
      </c>
      <c r="L61" s="338">
        <f t="shared" si="98"/>
        <v>25168.030837004408</v>
      </c>
      <c r="M61" s="338">
        <f t="shared" si="98"/>
        <v>26292.859030837004</v>
      </c>
      <c r="N61" s="338">
        <f t="shared" si="98"/>
        <v>30112.588105726871</v>
      </c>
      <c r="O61" s="338">
        <f t="shared" si="98"/>
        <v>28358.452623147561</v>
      </c>
      <c r="P61" s="338">
        <f t="shared" si="98"/>
        <v>28888.059231077128</v>
      </c>
      <c r="Q61" s="338">
        <f t="shared" si="98"/>
        <v>29417.665839006695</v>
      </c>
      <c r="R61" s="338">
        <f t="shared" si="98"/>
        <v>29947.272446936262</v>
      </c>
      <c r="S61" s="338">
        <f t="shared" si="98"/>
        <v>30476.879054865829</v>
      </c>
      <c r="T61" s="338">
        <f t="shared" si="98"/>
        <v>31006.485662795181</v>
      </c>
      <c r="U61" s="338">
        <f t="shared" si="98"/>
        <v>31536.092270724748</v>
      </c>
      <c r="V61" s="338">
        <f t="shared" si="98"/>
        <v>32065.698878654315</v>
      </c>
      <c r="W61" s="338">
        <f t="shared" si="98"/>
        <v>32595.305486583882</v>
      </c>
      <c r="X61" s="338">
        <f t="shared" si="98"/>
        <v>33124.912094513231</v>
      </c>
      <c r="Y61" s="69"/>
      <c r="Z61" s="338">
        <f t="shared" ref="Z61:AK61" si="99">N61/$AA160</f>
        <v>2150.8991504090623</v>
      </c>
      <c r="AA61" s="338">
        <f t="shared" si="99"/>
        <v>2025.6037587962544</v>
      </c>
      <c r="AB61" s="338">
        <f t="shared" si="99"/>
        <v>2063.4328022197947</v>
      </c>
      <c r="AC61" s="338">
        <f t="shared" si="99"/>
        <v>2101.2618456433352</v>
      </c>
      <c r="AD61" s="338">
        <f t="shared" si="99"/>
        <v>2139.0908890668757</v>
      </c>
      <c r="AE61" s="338">
        <f t="shared" si="99"/>
        <v>2176.9199324904162</v>
      </c>
      <c r="AF61" s="338">
        <f t="shared" si="99"/>
        <v>2214.7489759139416</v>
      </c>
      <c r="AG61" s="338">
        <f t="shared" si="99"/>
        <v>2252.5780193374821</v>
      </c>
      <c r="AH61" s="338">
        <f t="shared" si="99"/>
        <v>2290.4070627610226</v>
      </c>
      <c r="AI61" s="338">
        <f t="shared" si="99"/>
        <v>2328.2361061845631</v>
      </c>
      <c r="AJ61" s="338">
        <f t="shared" si="99"/>
        <v>2366.0651496080877</v>
      </c>
      <c r="AK61" s="338">
        <f t="shared" si="99"/>
        <v>0</v>
      </c>
      <c r="AL61" s="333"/>
      <c r="AM61" s="69"/>
    </row>
    <row r="62" spans="1:39">
      <c r="A62" s="69"/>
      <c r="B62" s="350" t="s">
        <v>855</v>
      </c>
      <c r="C62" s="338">
        <v>34420</v>
      </c>
      <c r="D62" s="338">
        <f t="shared" ref="D62:X62" si="100">($C62/$C161)*D161</f>
        <v>35439.013157894733</v>
      </c>
      <c r="E62" s="338">
        <f t="shared" si="100"/>
        <v>39741.513157894733</v>
      </c>
      <c r="F62" s="338">
        <f t="shared" si="100"/>
        <v>37929.934210526313</v>
      </c>
      <c r="G62" s="338">
        <f t="shared" si="100"/>
        <v>40118.925438596489</v>
      </c>
      <c r="H62" s="338">
        <f t="shared" si="100"/>
        <v>39137.653508771931</v>
      </c>
      <c r="I62" s="338">
        <f t="shared" si="100"/>
        <v>36005.131578947367</v>
      </c>
      <c r="J62" s="338">
        <f t="shared" si="100"/>
        <v>38873.464912280695</v>
      </c>
      <c r="K62" s="338">
        <f t="shared" si="100"/>
        <v>37363.81578947368</v>
      </c>
      <c r="L62" s="338">
        <f t="shared" si="100"/>
        <v>35703.201754385962</v>
      </c>
      <c r="M62" s="338">
        <f t="shared" si="100"/>
        <v>38345.087719298237</v>
      </c>
      <c r="N62" s="338">
        <f t="shared" si="100"/>
        <v>40458.596491228069</v>
      </c>
      <c r="O62" s="338">
        <f t="shared" si="100"/>
        <v>38486.445773524705</v>
      </c>
      <c r="P62" s="338">
        <f t="shared" si="100"/>
        <v>38550.605861244017</v>
      </c>
      <c r="Q62" s="338">
        <f t="shared" si="100"/>
        <v>38614.765948963322</v>
      </c>
      <c r="R62" s="338">
        <f t="shared" si="100"/>
        <v>38678.926036682627</v>
      </c>
      <c r="S62" s="338">
        <f t="shared" si="100"/>
        <v>38743.086124401932</v>
      </c>
      <c r="T62" s="338">
        <f t="shared" si="100"/>
        <v>38807.246212121216</v>
      </c>
      <c r="U62" s="338">
        <f t="shared" si="100"/>
        <v>38871.406299840521</v>
      </c>
      <c r="V62" s="338">
        <f t="shared" si="100"/>
        <v>38935.566387559826</v>
      </c>
      <c r="W62" s="338">
        <f t="shared" si="100"/>
        <v>38999.726475279131</v>
      </c>
      <c r="X62" s="338">
        <f t="shared" si="100"/>
        <v>39063.886562998436</v>
      </c>
      <c r="Y62" s="69"/>
      <c r="Z62" s="338">
        <f t="shared" ref="Z62:AK62" si="101">N62/$AA161</f>
        <v>2064.2141066953095</v>
      </c>
      <c r="AA62" s="338">
        <f t="shared" si="101"/>
        <v>1963.5941721186073</v>
      </c>
      <c r="AB62" s="338">
        <f t="shared" si="101"/>
        <v>1966.8676459818375</v>
      </c>
      <c r="AC62" s="338">
        <f t="shared" si="101"/>
        <v>1970.1411198450674</v>
      </c>
      <c r="AD62" s="338">
        <f t="shared" si="101"/>
        <v>1973.4145937082972</v>
      </c>
      <c r="AE62" s="338">
        <f t="shared" si="101"/>
        <v>1976.688067571527</v>
      </c>
      <c r="AF62" s="338">
        <f t="shared" si="101"/>
        <v>1979.9615414347556</v>
      </c>
      <c r="AG62" s="338">
        <f t="shared" si="101"/>
        <v>1983.2350152979857</v>
      </c>
      <c r="AH62" s="338">
        <f t="shared" si="101"/>
        <v>1986.5084891612155</v>
      </c>
      <c r="AI62" s="338">
        <f t="shared" si="101"/>
        <v>1989.7819630244453</v>
      </c>
      <c r="AJ62" s="338">
        <f t="shared" si="101"/>
        <v>1993.0554368876751</v>
      </c>
      <c r="AK62" s="338">
        <f t="shared" si="101"/>
        <v>0</v>
      </c>
      <c r="AL62" s="333"/>
      <c r="AM62" s="69"/>
    </row>
    <row r="63" spans="1:39">
      <c r="A63" s="69"/>
      <c r="B63" s="350" t="s">
        <v>856</v>
      </c>
      <c r="C63" s="338">
        <v>37827</v>
      </c>
      <c r="D63" s="338">
        <f t="shared" ref="D63:X63" si="102">($C63/$C162)*D162</f>
        <v>39271.781249999993</v>
      </c>
      <c r="E63" s="338">
        <f t="shared" si="102"/>
        <v>41285.718749999993</v>
      </c>
      <c r="F63" s="338">
        <f t="shared" si="102"/>
        <v>42599.156249999993</v>
      </c>
      <c r="G63" s="338">
        <f t="shared" si="102"/>
        <v>42730.499999999993</v>
      </c>
      <c r="H63" s="338">
        <f t="shared" si="102"/>
        <v>43518.5625</v>
      </c>
      <c r="I63" s="338">
        <f t="shared" si="102"/>
        <v>43868.812499999993</v>
      </c>
      <c r="J63" s="338">
        <f t="shared" si="102"/>
        <v>44656.874999999993</v>
      </c>
      <c r="K63" s="338">
        <f t="shared" si="102"/>
        <v>44350.406249999993</v>
      </c>
      <c r="L63" s="338">
        <f t="shared" si="102"/>
        <v>45532.499999999993</v>
      </c>
      <c r="M63" s="338">
        <f t="shared" si="102"/>
        <v>45576.281249999993</v>
      </c>
      <c r="N63" s="338">
        <f t="shared" si="102"/>
        <v>46714.593749999993</v>
      </c>
      <c r="O63" s="338">
        <f t="shared" si="102"/>
        <v>47330.715340909039</v>
      </c>
      <c r="P63" s="338">
        <f t="shared" si="102"/>
        <v>47944.84687500009</v>
      </c>
      <c r="Q63" s="338">
        <f t="shared" si="102"/>
        <v>48558.978409090938</v>
      </c>
      <c r="R63" s="338">
        <f t="shared" si="102"/>
        <v>49173.109943181786</v>
      </c>
      <c r="S63" s="338">
        <f t="shared" si="102"/>
        <v>49787.241477272633</v>
      </c>
      <c r="T63" s="338">
        <f t="shared" si="102"/>
        <v>50401.373011363685</v>
      </c>
      <c r="U63" s="338">
        <f t="shared" si="102"/>
        <v>51015.504545454532</v>
      </c>
      <c r="V63" s="338">
        <f t="shared" si="102"/>
        <v>51629.63607954538</v>
      </c>
      <c r="W63" s="338">
        <f t="shared" si="102"/>
        <v>52243.767613636424</v>
      </c>
      <c r="X63" s="338">
        <f t="shared" si="102"/>
        <v>52857.899147727272</v>
      </c>
      <c r="Y63" s="69"/>
      <c r="Z63" s="338">
        <f t="shared" ref="Z63:AK63" si="103">N63/$AA162</f>
        <v>1883.6529737903222</v>
      </c>
      <c r="AA63" s="338">
        <f t="shared" si="103"/>
        <v>1908.4965863269774</v>
      </c>
      <c r="AB63" s="338">
        <f t="shared" si="103"/>
        <v>1933.2599546371005</v>
      </c>
      <c r="AC63" s="338">
        <f t="shared" si="103"/>
        <v>1958.0233229472151</v>
      </c>
      <c r="AD63" s="338">
        <f t="shared" si="103"/>
        <v>1982.7866912573299</v>
      </c>
      <c r="AE63" s="338">
        <f t="shared" si="103"/>
        <v>2007.5500595674448</v>
      </c>
      <c r="AF63" s="338">
        <f t="shared" si="103"/>
        <v>2032.3134278775678</v>
      </c>
      <c r="AG63" s="338">
        <f t="shared" si="103"/>
        <v>2057.0767961876827</v>
      </c>
      <c r="AH63" s="338">
        <f t="shared" si="103"/>
        <v>2081.8401644977976</v>
      </c>
      <c r="AI63" s="338">
        <f t="shared" si="103"/>
        <v>2106.6035328079201</v>
      </c>
      <c r="AJ63" s="338">
        <f t="shared" si="103"/>
        <v>2131.366901118035</v>
      </c>
      <c r="AK63" s="338">
        <f t="shared" si="103"/>
        <v>0</v>
      </c>
      <c r="AL63" s="333"/>
      <c r="AM63" s="69"/>
    </row>
    <row r="64" spans="1:39">
      <c r="A64" s="69"/>
      <c r="B64" s="350" t="s">
        <v>857</v>
      </c>
      <c r="C64" s="338">
        <v>39435</v>
      </c>
      <c r="D64" s="338">
        <f t="shared" ref="D64:X64" si="104">($C64/$C163)*D163</f>
        <v>39753.758660508087</v>
      </c>
      <c r="E64" s="338">
        <f t="shared" si="104"/>
        <v>40436.812933025409</v>
      </c>
      <c r="F64" s="338">
        <f t="shared" si="104"/>
        <v>41711.847575057735</v>
      </c>
      <c r="G64" s="338">
        <f t="shared" si="104"/>
        <v>42394.901847575056</v>
      </c>
      <c r="H64" s="338">
        <f t="shared" si="104"/>
        <v>44352.990762124718</v>
      </c>
      <c r="I64" s="338">
        <f t="shared" si="104"/>
        <v>45491.414549653586</v>
      </c>
      <c r="J64" s="338">
        <f t="shared" si="104"/>
        <v>45764.63625866051</v>
      </c>
      <c r="K64" s="338">
        <f t="shared" si="104"/>
        <v>46220.005773672056</v>
      </c>
      <c r="L64" s="338">
        <f t="shared" si="104"/>
        <v>48861.148960739032</v>
      </c>
      <c r="M64" s="338">
        <f t="shared" si="104"/>
        <v>49771.88799076213</v>
      </c>
      <c r="N64" s="338">
        <f t="shared" si="104"/>
        <v>51274.607390300233</v>
      </c>
      <c r="O64" s="338">
        <f t="shared" si="104"/>
        <v>51936.963048498415</v>
      </c>
      <c r="P64" s="338">
        <f t="shared" si="104"/>
        <v>53077.456697459464</v>
      </c>
      <c r="Q64" s="338">
        <f t="shared" si="104"/>
        <v>54217.950346420097</v>
      </c>
      <c r="R64" s="338">
        <f t="shared" si="104"/>
        <v>55358.443995381145</v>
      </c>
      <c r="S64" s="338">
        <f t="shared" si="104"/>
        <v>56498.937644341779</v>
      </c>
      <c r="T64" s="338">
        <f t="shared" si="104"/>
        <v>57639.431293302412</v>
      </c>
      <c r="U64" s="338">
        <f t="shared" si="104"/>
        <v>58779.924942263046</v>
      </c>
      <c r="V64" s="338">
        <f t="shared" si="104"/>
        <v>59920.418591224094</v>
      </c>
      <c r="W64" s="338">
        <f t="shared" si="104"/>
        <v>61060.912240184727</v>
      </c>
      <c r="X64" s="338">
        <f t="shared" si="104"/>
        <v>62201.405889145361</v>
      </c>
      <c r="Y64" s="69"/>
      <c r="Z64" s="338">
        <f t="shared" ref="Z64:AK64" si="105">N64/$AA163</f>
        <v>1050.7091678340212</v>
      </c>
      <c r="AA64" s="338">
        <f t="shared" si="105"/>
        <v>1064.2820296823447</v>
      </c>
      <c r="AB64" s="338">
        <f t="shared" si="105"/>
        <v>1087.6528011774481</v>
      </c>
      <c r="AC64" s="338">
        <f t="shared" si="105"/>
        <v>1111.023572672543</v>
      </c>
      <c r="AD64" s="338">
        <f t="shared" si="105"/>
        <v>1134.3943441676465</v>
      </c>
      <c r="AE64" s="338">
        <f t="shared" si="105"/>
        <v>1157.7651156627414</v>
      </c>
      <c r="AF64" s="338">
        <f t="shared" si="105"/>
        <v>1181.1358871578364</v>
      </c>
      <c r="AG64" s="338">
        <f t="shared" si="105"/>
        <v>1204.5066586529313</v>
      </c>
      <c r="AH64" s="338">
        <f t="shared" si="105"/>
        <v>1227.8774301480348</v>
      </c>
      <c r="AI64" s="338">
        <f t="shared" si="105"/>
        <v>1251.2482016431297</v>
      </c>
      <c r="AJ64" s="338">
        <f t="shared" si="105"/>
        <v>1274.6189731382246</v>
      </c>
      <c r="AK64" s="338">
        <f t="shared" si="105"/>
        <v>0</v>
      </c>
      <c r="AL64" s="333"/>
      <c r="AM64" s="69"/>
    </row>
    <row r="65" spans="1:39">
      <c r="A65" s="69"/>
      <c r="B65" s="350" t="s">
        <v>858</v>
      </c>
      <c r="C65" s="338">
        <v>57449</v>
      </c>
      <c r="D65" s="338">
        <f t="shared" ref="D65:X65" si="106">($C65/$C164)*D164</f>
        <v>58819.942045454547</v>
      </c>
      <c r="E65" s="338">
        <f t="shared" si="106"/>
        <v>62606.353409090916</v>
      </c>
      <c r="F65" s="338">
        <f t="shared" si="106"/>
        <v>62018.806818181823</v>
      </c>
      <c r="G65" s="338">
        <f t="shared" si="106"/>
        <v>65413.520454545462</v>
      </c>
      <c r="H65" s="338">
        <f t="shared" si="106"/>
        <v>66327.481818181812</v>
      </c>
      <c r="I65" s="338">
        <f t="shared" si="106"/>
        <v>64825.973863636369</v>
      </c>
      <c r="J65" s="338">
        <f t="shared" si="106"/>
        <v>63912.012500000004</v>
      </c>
      <c r="K65" s="338">
        <f t="shared" si="106"/>
        <v>65087.10568181819</v>
      </c>
      <c r="L65" s="338">
        <f t="shared" si="106"/>
        <v>66327.481818181812</v>
      </c>
      <c r="M65" s="338">
        <f t="shared" si="106"/>
        <v>65282.954545454551</v>
      </c>
      <c r="N65" s="338">
        <f t="shared" si="106"/>
        <v>67567.857954545456</v>
      </c>
      <c r="O65" s="338">
        <f t="shared" si="106"/>
        <v>67888.337913223149</v>
      </c>
      <c r="P65" s="338">
        <f t="shared" si="106"/>
        <v>68472.917097107507</v>
      </c>
      <c r="Q65" s="338">
        <f t="shared" si="106"/>
        <v>69057.496280991865</v>
      </c>
      <c r="R65" s="338">
        <f t="shared" si="106"/>
        <v>69642.075464876078</v>
      </c>
      <c r="S65" s="338">
        <f t="shared" si="106"/>
        <v>70226.654648760436</v>
      </c>
      <c r="T65" s="338">
        <f t="shared" si="106"/>
        <v>70811.233832644648</v>
      </c>
      <c r="U65" s="338">
        <f t="shared" si="106"/>
        <v>71395.813016529006</v>
      </c>
      <c r="V65" s="338">
        <f t="shared" si="106"/>
        <v>71980.392200413218</v>
      </c>
      <c r="W65" s="338">
        <f t="shared" si="106"/>
        <v>72564.971384297576</v>
      </c>
      <c r="X65" s="338">
        <f t="shared" si="106"/>
        <v>73149.550568181949</v>
      </c>
      <c r="Y65" s="69"/>
      <c r="Z65" s="338">
        <f t="shared" ref="Z65:AK65" si="107">N65/$AA164</f>
        <v>2041.325013732491</v>
      </c>
      <c r="AA65" s="338">
        <f t="shared" si="107"/>
        <v>2051.0071877106689</v>
      </c>
      <c r="AB65" s="338">
        <f t="shared" si="107"/>
        <v>2068.6681902449395</v>
      </c>
      <c r="AC65" s="338">
        <f t="shared" si="107"/>
        <v>2086.3291927792102</v>
      </c>
      <c r="AD65" s="338">
        <f t="shared" si="107"/>
        <v>2103.9901953134768</v>
      </c>
      <c r="AE65" s="338">
        <f t="shared" si="107"/>
        <v>2121.6511978477474</v>
      </c>
      <c r="AF65" s="338">
        <f t="shared" si="107"/>
        <v>2139.3122003820135</v>
      </c>
      <c r="AG65" s="338">
        <f t="shared" si="107"/>
        <v>2156.9732029162842</v>
      </c>
      <c r="AH65" s="338">
        <f t="shared" si="107"/>
        <v>2174.6342054505503</v>
      </c>
      <c r="AI65" s="338">
        <f t="shared" si="107"/>
        <v>2192.295207984821</v>
      </c>
      <c r="AJ65" s="338">
        <f t="shared" si="107"/>
        <v>2209.9562105190921</v>
      </c>
      <c r="AK65" s="338">
        <f t="shared" si="107"/>
        <v>0</v>
      </c>
      <c r="AL65" s="333"/>
      <c r="AM65" s="69"/>
    </row>
    <row r="66" spans="1:39">
      <c r="A66" s="69"/>
      <c r="B66" s="351" t="s">
        <v>824</v>
      </c>
      <c r="C66" s="352">
        <v>39739.08</v>
      </c>
      <c r="D66" s="352">
        <f t="shared" ref="D66:X66" si="108">AVERAGE(D38:D39,D42:D59,D61:D62,D63,D64,D65)</f>
        <v>42213.798564278753</v>
      </c>
      <c r="E66" s="352">
        <f t="shared" si="108"/>
        <v>44033.746284342131</v>
      </c>
      <c r="F66" s="352">
        <f t="shared" si="108"/>
        <v>45657.369436965237</v>
      </c>
      <c r="G66" s="352">
        <f t="shared" si="108"/>
        <v>46501.820298958293</v>
      </c>
      <c r="H66" s="352">
        <f t="shared" si="108"/>
        <v>47451.327162433954</v>
      </c>
      <c r="I66" s="352">
        <f t="shared" si="108"/>
        <v>48139.039815703298</v>
      </c>
      <c r="J66" s="352">
        <f t="shared" si="108"/>
        <v>48217.38569246784</v>
      </c>
      <c r="K66" s="352">
        <f t="shared" si="108"/>
        <v>49003.616022734641</v>
      </c>
      <c r="L66" s="352">
        <f t="shared" si="108"/>
        <v>49873.00850624936</v>
      </c>
      <c r="M66" s="352">
        <f t="shared" si="108"/>
        <v>50918.133658667881</v>
      </c>
      <c r="N66" s="352">
        <f t="shared" si="108"/>
        <v>52853.43359324232</v>
      </c>
      <c r="O66" s="352">
        <f t="shared" si="108"/>
        <v>53123.095830234473</v>
      </c>
      <c r="P66" s="352">
        <f t="shared" si="108"/>
        <v>54024.480301393967</v>
      </c>
      <c r="Q66" s="352">
        <f t="shared" si="108"/>
        <v>54925.864772553628</v>
      </c>
      <c r="R66" s="352">
        <f t="shared" si="108"/>
        <v>55827.249243713261</v>
      </c>
      <c r="S66" s="352">
        <f t="shared" si="108"/>
        <v>56728.633714872856</v>
      </c>
      <c r="T66" s="352">
        <f t="shared" si="108"/>
        <v>57630.01818603251</v>
      </c>
      <c r="U66" s="352">
        <f t="shared" si="108"/>
        <v>58531.402657192128</v>
      </c>
      <c r="V66" s="352">
        <f t="shared" si="108"/>
        <v>59432.787128351752</v>
      </c>
      <c r="W66" s="352">
        <f t="shared" si="108"/>
        <v>60334.171599511414</v>
      </c>
      <c r="X66" s="352">
        <f t="shared" si="108"/>
        <v>61235.556070671009</v>
      </c>
      <c r="Y66" s="69"/>
      <c r="Z66" s="352"/>
      <c r="AA66" s="352"/>
      <c r="AB66" s="352"/>
      <c r="AC66" s="352"/>
      <c r="AD66" s="352"/>
      <c r="AE66" s="352"/>
      <c r="AF66" s="352"/>
      <c r="AG66" s="352"/>
      <c r="AH66" s="352"/>
      <c r="AI66" s="352"/>
      <c r="AJ66" s="352"/>
      <c r="AK66" s="352"/>
      <c r="AL66" s="333"/>
      <c r="AM66" s="69"/>
    </row>
    <row r="67" spans="1:39">
      <c r="A67" s="69"/>
      <c r="B67" s="350" t="s">
        <v>193</v>
      </c>
      <c r="C67" s="353" t="s">
        <v>859</v>
      </c>
      <c r="D67" s="354"/>
      <c r="E67" s="354"/>
      <c r="F67" s="354"/>
      <c r="G67" s="354"/>
      <c r="H67" s="354"/>
      <c r="I67" s="338">
        <f t="shared" ref="I67:N67" si="109">I66</f>
        <v>48139.039815703298</v>
      </c>
      <c r="J67" s="338">
        <f t="shared" si="109"/>
        <v>48217.38569246784</v>
      </c>
      <c r="K67" s="338">
        <f t="shared" si="109"/>
        <v>49003.616022734641</v>
      </c>
      <c r="L67" s="338">
        <f t="shared" si="109"/>
        <v>49873.00850624936</v>
      </c>
      <c r="M67" s="338">
        <f t="shared" si="109"/>
        <v>50918.133658667881</v>
      </c>
      <c r="N67" s="338">
        <f t="shared" si="109"/>
        <v>52853.43359324232</v>
      </c>
      <c r="O67" s="338"/>
      <c r="P67" s="338"/>
      <c r="Q67" s="338"/>
      <c r="R67" s="338"/>
      <c r="S67" s="338"/>
      <c r="T67" s="338"/>
      <c r="U67" s="338"/>
      <c r="V67" s="338"/>
      <c r="W67" s="338"/>
      <c r="X67" s="338"/>
      <c r="Y67" s="354"/>
      <c r="Z67" s="354"/>
      <c r="AA67" s="354"/>
      <c r="AB67" s="354"/>
      <c r="AC67" s="354"/>
      <c r="AD67" s="354"/>
      <c r="AE67" s="354"/>
      <c r="AF67" s="354"/>
      <c r="AG67" s="354"/>
      <c r="AH67" s="354"/>
      <c r="AI67" s="354"/>
      <c r="AJ67" s="354"/>
      <c r="AK67" s="354"/>
      <c r="AL67" s="333"/>
      <c r="AM67" s="354"/>
    </row>
    <row r="68" spans="1:39">
      <c r="A68" s="69"/>
      <c r="B68" s="355"/>
      <c r="C68" s="354"/>
      <c r="D68" s="354"/>
      <c r="E68" s="354"/>
      <c r="F68" s="354"/>
      <c r="G68" s="354"/>
      <c r="H68" s="354"/>
      <c r="I68" s="354"/>
      <c r="J68" s="354"/>
      <c r="K68" s="354"/>
      <c r="L68" s="354"/>
      <c r="M68" s="354"/>
      <c r="N68" s="354"/>
      <c r="O68" s="354"/>
      <c r="P68" s="354"/>
      <c r="Q68" s="354"/>
      <c r="R68" s="354"/>
      <c r="S68" s="354"/>
      <c r="T68" s="354"/>
      <c r="U68" s="354"/>
      <c r="V68" s="354"/>
      <c r="W68" s="354"/>
      <c r="X68" s="354"/>
      <c r="Y68" s="69"/>
      <c r="Z68" s="354"/>
      <c r="AA68" s="354"/>
      <c r="AB68" s="354"/>
      <c r="AC68" s="354"/>
      <c r="AD68" s="354"/>
      <c r="AE68" s="354"/>
      <c r="AF68" s="354"/>
      <c r="AG68" s="354"/>
      <c r="AH68" s="354"/>
      <c r="AI68" s="354"/>
      <c r="AJ68" s="354"/>
      <c r="AK68" s="354"/>
      <c r="AL68" s="333"/>
      <c r="AM68" s="69"/>
    </row>
    <row r="69" spans="1:39">
      <c r="A69" s="69"/>
      <c r="B69" s="328" t="s">
        <v>862</v>
      </c>
      <c r="C69" s="329"/>
      <c r="D69" s="330"/>
      <c r="E69" s="330"/>
      <c r="F69" s="330"/>
      <c r="G69" s="330"/>
      <c r="H69" s="330"/>
      <c r="I69" s="330"/>
      <c r="J69" s="330"/>
      <c r="K69" s="330"/>
      <c r="L69" s="330"/>
      <c r="M69" s="329"/>
      <c r="N69" s="329"/>
      <c r="O69" s="329"/>
      <c r="P69" s="329"/>
      <c r="Q69" s="329"/>
      <c r="R69" s="329"/>
      <c r="S69" s="329"/>
      <c r="T69" s="329"/>
      <c r="U69" s="329"/>
      <c r="V69" s="329"/>
      <c r="W69" s="329"/>
      <c r="X69" s="329"/>
      <c r="Y69" s="69"/>
      <c r="Z69" s="331" t="s">
        <v>828</v>
      </c>
      <c r="AA69" s="332"/>
      <c r="AB69" s="332"/>
      <c r="AC69" s="332"/>
      <c r="AD69" s="332"/>
      <c r="AE69" s="332"/>
      <c r="AF69" s="332"/>
      <c r="AG69" s="332"/>
      <c r="AH69" s="332"/>
      <c r="AI69" s="332"/>
      <c r="AJ69" s="332"/>
      <c r="AK69" s="332"/>
      <c r="AL69" s="333"/>
      <c r="AM69" s="69"/>
    </row>
    <row r="70" spans="1:39">
      <c r="A70" s="69"/>
      <c r="B70" s="356"/>
      <c r="C70" s="335">
        <v>2006</v>
      </c>
      <c r="D70" s="335">
        <v>2007</v>
      </c>
      <c r="E70" s="335">
        <v>2008</v>
      </c>
      <c r="F70" s="335">
        <v>2009</v>
      </c>
      <c r="G70" s="335">
        <v>2010</v>
      </c>
      <c r="H70" s="335">
        <v>2011</v>
      </c>
      <c r="I70" s="335">
        <v>2012</v>
      </c>
      <c r="J70" s="335">
        <v>2013</v>
      </c>
      <c r="K70" s="335">
        <v>2014</v>
      </c>
      <c r="L70" s="335">
        <v>2015</v>
      </c>
      <c r="M70" s="335">
        <v>2016</v>
      </c>
      <c r="N70" s="335">
        <v>2017</v>
      </c>
      <c r="O70" s="335">
        <f t="shared" ref="O70:X70" si="110">N70+1</f>
        <v>2018</v>
      </c>
      <c r="P70" s="335">
        <f t="shared" si="110"/>
        <v>2019</v>
      </c>
      <c r="Q70" s="335">
        <f t="shared" si="110"/>
        <v>2020</v>
      </c>
      <c r="R70" s="335">
        <f t="shared" si="110"/>
        <v>2021</v>
      </c>
      <c r="S70" s="335">
        <f t="shared" si="110"/>
        <v>2022</v>
      </c>
      <c r="T70" s="335">
        <f t="shared" si="110"/>
        <v>2023</v>
      </c>
      <c r="U70" s="335">
        <f t="shared" si="110"/>
        <v>2024</v>
      </c>
      <c r="V70" s="335">
        <f t="shared" si="110"/>
        <v>2025</v>
      </c>
      <c r="W70" s="335">
        <f t="shared" si="110"/>
        <v>2026</v>
      </c>
      <c r="X70" s="335">
        <f t="shared" si="110"/>
        <v>2027</v>
      </c>
      <c r="Y70" s="69"/>
      <c r="Z70" s="336">
        <v>2016</v>
      </c>
      <c r="AA70" s="336">
        <v>2017</v>
      </c>
      <c r="AB70" s="336">
        <v>2018</v>
      </c>
      <c r="AC70" s="336">
        <v>2019</v>
      </c>
      <c r="AD70" s="336">
        <v>2020</v>
      </c>
      <c r="AE70" s="336">
        <v>2021</v>
      </c>
      <c r="AF70" s="336">
        <v>2022</v>
      </c>
      <c r="AG70" s="336">
        <v>2023</v>
      </c>
      <c r="AH70" s="336">
        <v>2024</v>
      </c>
      <c r="AI70" s="336">
        <v>2025</v>
      </c>
      <c r="AJ70" s="336">
        <v>2026</v>
      </c>
      <c r="AK70" s="336">
        <v>2027</v>
      </c>
      <c r="AL70" s="333"/>
      <c r="AM70" s="69"/>
    </row>
    <row r="71" spans="1:39">
      <c r="A71" s="69"/>
      <c r="B71" s="350" t="s">
        <v>830</v>
      </c>
      <c r="C71" s="338">
        <v>62069</v>
      </c>
      <c r="D71" s="338">
        <f t="shared" ref="D71:X71" si="111">($C71/$C137)*D137</f>
        <v>66637.530456852794</v>
      </c>
      <c r="E71" s="338">
        <f t="shared" si="111"/>
        <v>67267.672588832502</v>
      </c>
      <c r="F71" s="338">
        <f t="shared" si="111"/>
        <v>75774.591370558381</v>
      </c>
      <c r="G71" s="338">
        <f t="shared" si="111"/>
        <v>78531.463197969555</v>
      </c>
      <c r="H71" s="338">
        <f t="shared" si="111"/>
        <v>76168.430203045689</v>
      </c>
      <c r="I71" s="338">
        <f t="shared" si="111"/>
        <v>79634.211928934004</v>
      </c>
      <c r="J71" s="338">
        <f t="shared" si="111"/>
        <v>80343.121827411174</v>
      </c>
      <c r="K71" s="338">
        <f t="shared" si="111"/>
        <v>83730.135786802028</v>
      </c>
      <c r="L71" s="338">
        <f t="shared" si="111"/>
        <v>83336.296954314719</v>
      </c>
      <c r="M71" s="338">
        <f t="shared" si="111"/>
        <v>85620.562182741123</v>
      </c>
      <c r="N71" s="338">
        <f t="shared" si="111"/>
        <v>91764.447969543151</v>
      </c>
      <c r="O71" s="338">
        <f t="shared" si="111"/>
        <v>91871.858560221051</v>
      </c>
      <c r="P71" s="338">
        <f t="shared" si="111"/>
        <v>94020.070373788389</v>
      </c>
      <c r="Q71" s="338">
        <f t="shared" si="111"/>
        <v>96168.28218735574</v>
      </c>
      <c r="R71" s="338">
        <f t="shared" si="111"/>
        <v>98316.494000923078</v>
      </c>
      <c r="S71" s="338">
        <f t="shared" si="111"/>
        <v>100464.70581449041</v>
      </c>
      <c r="T71" s="338">
        <f t="shared" si="111"/>
        <v>102612.91762805704</v>
      </c>
      <c r="U71" s="338">
        <f t="shared" si="111"/>
        <v>104761.12944162438</v>
      </c>
      <c r="V71" s="338">
        <f t="shared" si="111"/>
        <v>106909.34125519171</v>
      </c>
      <c r="W71" s="338">
        <f t="shared" si="111"/>
        <v>109057.55306875834</v>
      </c>
      <c r="X71" s="338">
        <f t="shared" si="111"/>
        <v>111205.76488232567</v>
      </c>
      <c r="Y71" s="69"/>
      <c r="Z71" s="338">
        <f t="shared" ref="Z71:AK71" si="112">N71/$AA137</f>
        <v>2294.1111992385786</v>
      </c>
      <c r="AA71" s="338">
        <f t="shared" si="112"/>
        <v>2296.7964640055261</v>
      </c>
      <c r="AB71" s="338">
        <f t="shared" si="112"/>
        <v>2350.5017593447096</v>
      </c>
      <c r="AC71" s="338">
        <f t="shared" si="112"/>
        <v>2404.2070546838936</v>
      </c>
      <c r="AD71" s="338">
        <f t="shared" si="112"/>
        <v>2457.9123500230771</v>
      </c>
      <c r="AE71" s="338">
        <f t="shared" si="112"/>
        <v>2511.6176453622602</v>
      </c>
      <c r="AF71" s="338">
        <f t="shared" si="112"/>
        <v>2565.322940701426</v>
      </c>
      <c r="AG71" s="338">
        <f t="shared" si="112"/>
        <v>2619.0282360406095</v>
      </c>
      <c r="AH71" s="338">
        <f t="shared" si="112"/>
        <v>2672.733531379793</v>
      </c>
      <c r="AI71" s="338">
        <f t="shared" si="112"/>
        <v>2726.4388267189584</v>
      </c>
      <c r="AJ71" s="338">
        <f t="shared" si="112"/>
        <v>2780.1441220581419</v>
      </c>
      <c r="AK71" s="338">
        <f t="shared" si="112"/>
        <v>0</v>
      </c>
      <c r="AL71" s="333"/>
      <c r="AM71" s="69"/>
    </row>
    <row r="72" spans="1:39">
      <c r="A72" s="69"/>
      <c r="B72" s="350" t="s">
        <v>832</v>
      </c>
      <c r="C72" s="338">
        <v>46507</v>
      </c>
      <c r="D72" s="338">
        <f t="shared" ref="D72:X72" si="113">($C72/$C138)*D138</f>
        <v>47605.158205430933</v>
      </c>
      <c r="E72" s="338">
        <f t="shared" si="113"/>
        <v>49307.303423848876</v>
      </c>
      <c r="F72" s="338">
        <f t="shared" si="113"/>
        <v>51064.356552538367</v>
      </c>
      <c r="G72" s="338">
        <f t="shared" si="113"/>
        <v>52766.501770956311</v>
      </c>
      <c r="H72" s="338">
        <f t="shared" si="113"/>
        <v>53974.475796930339</v>
      </c>
      <c r="I72" s="338">
        <f t="shared" si="113"/>
        <v>55456.989374262099</v>
      </c>
      <c r="J72" s="338">
        <f t="shared" si="113"/>
        <v>56280.6080283353</v>
      </c>
      <c r="K72" s="338">
        <f t="shared" si="113"/>
        <v>56610.055489964572</v>
      </c>
      <c r="L72" s="338">
        <f t="shared" si="113"/>
        <v>56610.055489964572</v>
      </c>
      <c r="M72" s="338">
        <f t="shared" si="113"/>
        <v>56719.871310507668</v>
      </c>
      <c r="N72" s="338">
        <f t="shared" si="113"/>
        <v>57488.582054309329</v>
      </c>
      <c r="O72" s="338">
        <f t="shared" si="113"/>
        <v>59754.781260062337</v>
      </c>
      <c r="P72" s="338">
        <f t="shared" si="113"/>
        <v>60715.669689813898</v>
      </c>
      <c r="Q72" s="338">
        <f t="shared" si="113"/>
        <v>61676.558119565969</v>
      </c>
      <c r="R72" s="338">
        <f t="shared" si="113"/>
        <v>62637.446549318032</v>
      </c>
      <c r="S72" s="338">
        <f t="shared" si="113"/>
        <v>63598.334979070096</v>
      </c>
      <c r="T72" s="338">
        <f t="shared" si="113"/>
        <v>64559.223408822167</v>
      </c>
      <c r="U72" s="338">
        <f t="shared" si="113"/>
        <v>65520.11183857423</v>
      </c>
      <c r="V72" s="338">
        <f t="shared" si="113"/>
        <v>66481.000268326301</v>
      </c>
      <c r="W72" s="338">
        <f t="shared" si="113"/>
        <v>67441.888698078357</v>
      </c>
      <c r="X72" s="338">
        <f t="shared" si="113"/>
        <v>68402.777127830428</v>
      </c>
      <c r="Y72" s="69"/>
      <c r="Z72" s="338">
        <f t="shared" ref="Z72:AK72" si="114">N72/$AA138</f>
        <v>1175.6356248325017</v>
      </c>
      <c r="AA72" s="338">
        <f t="shared" si="114"/>
        <v>1221.9791668724404</v>
      </c>
      <c r="AB72" s="338">
        <f t="shared" si="114"/>
        <v>1241.6292370105091</v>
      </c>
      <c r="AC72" s="338">
        <f t="shared" si="114"/>
        <v>1261.2793071485883</v>
      </c>
      <c r="AD72" s="338">
        <f t="shared" si="114"/>
        <v>1280.9293772866674</v>
      </c>
      <c r="AE72" s="338">
        <f t="shared" si="114"/>
        <v>1300.5794474247464</v>
      </c>
      <c r="AF72" s="338">
        <f t="shared" si="114"/>
        <v>1320.2295175628255</v>
      </c>
      <c r="AG72" s="338">
        <f t="shared" si="114"/>
        <v>1339.8795877009045</v>
      </c>
      <c r="AH72" s="338">
        <f t="shared" si="114"/>
        <v>1359.5296578389837</v>
      </c>
      <c r="AI72" s="338">
        <f t="shared" si="114"/>
        <v>1379.1797279770626</v>
      </c>
      <c r="AJ72" s="338">
        <f t="shared" si="114"/>
        <v>1398.8297981151418</v>
      </c>
      <c r="AK72" s="338">
        <f t="shared" si="114"/>
        <v>0</v>
      </c>
      <c r="AL72" s="333"/>
      <c r="AM72" s="69"/>
    </row>
    <row r="73" spans="1:39">
      <c r="A73" s="69"/>
      <c r="B73" s="344" t="s">
        <v>197</v>
      </c>
      <c r="C73" s="333"/>
      <c r="D73" s="333"/>
      <c r="E73" s="333"/>
      <c r="F73" s="333"/>
      <c r="G73" s="333"/>
      <c r="H73" s="333"/>
      <c r="I73" s="333"/>
      <c r="J73" s="333"/>
      <c r="K73" s="333"/>
      <c r="L73" s="333"/>
      <c r="M73" s="333"/>
      <c r="N73" s="333">
        <f t="shared" ref="N73:X73" si="115">AVERAGE(Z$71:Z$72,Z$76:Z$92,Z$94:Z$98)*$AA139</f>
        <v>17085.158081019334</v>
      </c>
      <c r="O73" s="333">
        <f t="shared" si="115"/>
        <v>17053.997195501848</v>
      </c>
      <c r="P73" s="333">
        <f t="shared" si="115"/>
        <v>17372.129929122708</v>
      </c>
      <c r="Q73" s="333">
        <f t="shared" si="115"/>
        <v>17690.262662743662</v>
      </c>
      <c r="R73" s="333">
        <f t="shared" si="115"/>
        <v>18008.395396364587</v>
      </c>
      <c r="S73" s="333">
        <f t="shared" si="115"/>
        <v>18326.528129985494</v>
      </c>
      <c r="T73" s="333">
        <f t="shared" si="115"/>
        <v>18644.660863606448</v>
      </c>
      <c r="U73" s="333">
        <f t="shared" si="115"/>
        <v>18962.793597227381</v>
      </c>
      <c r="V73" s="333">
        <f t="shared" si="115"/>
        <v>19280.926330848306</v>
      </c>
      <c r="W73" s="333">
        <f t="shared" si="115"/>
        <v>19599.059064469264</v>
      </c>
      <c r="X73" s="333">
        <f t="shared" si="115"/>
        <v>19917.191798090178</v>
      </c>
      <c r="Y73" s="69"/>
      <c r="Z73" s="338"/>
      <c r="AA73" s="338"/>
      <c r="AB73" s="338"/>
      <c r="AC73" s="338"/>
      <c r="AD73" s="338"/>
      <c r="AE73" s="338"/>
      <c r="AF73" s="338"/>
      <c r="AG73" s="338"/>
      <c r="AH73" s="338"/>
      <c r="AI73" s="338"/>
      <c r="AJ73" s="338"/>
      <c r="AK73" s="338"/>
      <c r="AL73" s="333"/>
      <c r="AM73" s="69"/>
    </row>
    <row r="74" spans="1:39">
      <c r="A74" s="69"/>
      <c r="B74" s="344" t="s">
        <v>833</v>
      </c>
      <c r="C74" s="333"/>
      <c r="D74" s="333"/>
      <c r="E74" s="333"/>
      <c r="F74" s="333"/>
      <c r="G74" s="333"/>
      <c r="H74" s="333"/>
      <c r="I74" s="333"/>
      <c r="J74" s="333"/>
      <c r="K74" s="333"/>
      <c r="L74" s="333"/>
      <c r="M74" s="333"/>
      <c r="N74" s="333">
        <f t="shared" ref="N74:X74" si="116">AVERAGE(Z$71:Z$72,Z$76:Z$92,Z$94:Z$98)*$AA140</f>
        <v>43298.003356007903</v>
      </c>
      <c r="O74" s="333">
        <f t="shared" si="116"/>
        <v>43219.033988600575</v>
      </c>
      <c r="P74" s="333">
        <f t="shared" si="116"/>
        <v>44025.26077928357</v>
      </c>
      <c r="Q74" s="333">
        <f t="shared" si="116"/>
        <v>44831.487569966812</v>
      </c>
      <c r="R74" s="333">
        <f t="shared" si="116"/>
        <v>45637.714360649989</v>
      </c>
      <c r="S74" s="333">
        <f t="shared" si="116"/>
        <v>46443.9411513331</v>
      </c>
      <c r="T74" s="333">
        <f t="shared" si="116"/>
        <v>47250.167942016342</v>
      </c>
      <c r="U74" s="333">
        <f t="shared" si="116"/>
        <v>48056.394732699533</v>
      </c>
      <c r="V74" s="333">
        <f t="shared" si="116"/>
        <v>48862.621523382695</v>
      </c>
      <c r="W74" s="333">
        <f t="shared" si="116"/>
        <v>49668.848314065945</v>
      </c>
      <c r="X74" s="333">
        <f t="shared" si="116"/>
        <v>50475.075104749078</v>
      </c>
      <c r="Y74" s="69"/>
      <c r="Z74" s="338"/>
      <c r="AA74" s="338"/>
      <c r="AB74" s="338"/>
      <c r="AC74" s="338"/>
      <c r="AD74" s="338"/>
      <c r="AE74" s="338"/>
      <c r="AF74" s="338"/>
      <c r="AG74" s="338"/>
      <c r="AH74" s="338"/>
      <c r="AI74" s="338"/>
      <c r="AJ74" s="338"/>
      <c r="AK74" s="338"/>
      <c r="AL74" s="333"/>
      <c r="AM74" s="69"/>
    </row>
    <row r="75" spans="1:39">
      <c r="A75" s="69"/>
      <c r="B75" s="350" t="s">
        <v>834</v>
      </c>
      <c r="C75" s="338">
        <v>56579</v>
      </c>
      <c r="D75" s="338">
        <f t="shared" ref="D75:X75" si="117">($C75/$C141)*D141</f>
        <v>60150.906565656558</v>
      </c>
      <c r="E75" s="338">
        <f t="shared" si="117"/>
        <v>64151.441919191908</v>
      </c>
      <c r="F75" s="338">
        <f t="shared" si="117"/>
        <v>73652.713383838374</v>
      </c>
      <c r="G75" s="338">
        <f t="shared" si="117"/>
        <v>70366.559343434332</v>
      </c>
      <c r="H75" s="338">
        <f t="shared" si="117"/>
        <v>70652.311868686869</v>
      </c>
      <c r="I75" s="338">
        <f t="shared" si="117"/>
        <v>71509.569444444438</v>
      </c>
      <c r="J75" s="338">
        <f t="shared" si="117"/>
        <v>67866.224747474742</v>
      </c>
      <c r="K75" s="338">
        <f t="shared" si="117"/>
        <v>69152.111111111095</v>
      </c>
      <c r="L75" s="338">
        <f t="shared" si="117"/>
        <v>69723.616161616155</v>
      </c>
      <c r="M75" s="338">
        <f t="shared" si="117"/>
        <v>70437.997474747463</v>
      </c>
      <c r="N75" s="338">
        <f t="shared" si="117"/>
        <v>70652.311868686869</v>
      </c>
      <c r="O75" s="338">
        <f t="shared" si="117"/>
        <v>72246.031634526997</v>
      </c>
      <c r="P75" s="338">
        <f t="shared" si="117"/>
        <v>72797.404120753039</v>
      </c>
      <c r="Q75" s="338">
        <f t="shared" si="117"/>
        <v>73348.776606978921</v>
      </c>
      <c r="R75" s="338">
        <f t="shared" si="117"/>
        <v>73900.149093204804</v>
      </c>
      <c r="S75" s="338">
        <f t="shared" si="117"/>
        <v>74451.521579430686</v>
      </c>
      <c r="T75" s="338">
        <f t="shared" si="117"/>
        <v>75002.894065656568</v>
      </c>
      <c r="U75" s="338">
        <f t="shared" si="117"/>
        <v>75554.266551882451</v>
      </c>
      <c r="V75" s="338">
        <f t="shared" si="117"/>
        <v>76105.639038108333</v>
      </c>
      <c r="W75" s="338">
        <f t="shared" si="117"/>
        <v>76657.011524334201</v>
      </c>
      <c r="X75" s="338">
        <f t="shared" si="117"/>
        <v>77208.384010560258</v>
      </c>
      <c r="Y75" s="69"/>
      <c r="Z75" s="338"/>
      <c r="AA75" s="338"/>
      <c r="AB75" s="338"/>
      <c r="AC75" s="338"/>
      <c r="AD75" s="338"/>
      <c r="AE75" s="338"/>
      <c r="AF75" s="338"/>
      <c r="AG75" s="338"/>
      <c r="AH75" s="338"/>
      <c r="AI75" s="338"/>
      <c r="AJ75" s="338"/>
      <c r="AK75" s="338"/>
      <c r="AL75" s="333"/>
      <c r="AM75" s="69"/>
    </row>
    <row r="76" spans="1:39">
      <c r="A76" s="69"/>
      <c r="B76" s="357" t="s">
        <v>835</v>
      </c>
      <c r="C76" s="338">
        <v>47682</v>
      </c>
      <c r="D76" s="338">
        <f t="shared" ref="D76:X76" si="118">($C76/$C142)*D142</f>
        <v>53209.382681564253</v>
      </c>
      <c r="E76" s="338">
        <f t="shared" si="118"/>
        <v>57404.865921787714</v>
      </c>
      <c r="F76" s="338">
        <f t="shared" si="118"/>
        <v>61134.184357541904</v>
      </c>
      <c r="G76" s="338">
        <f t="shared" si="118"/>
        <v>64863.502793296102</v>
      </c>
      <c r="H76" s="338">
        <f t="shared" si="118"/>
        <v>66927.946927374302</v>
      </c>
      <c r="I76" s="338">
        <f t="shared" si="118"/>
        <v>67394.111731843586</v>
      </c>
      <c r="J76" s="338">
        <f t="shared" si="118"/>
        <v>66261.99720670392</v>
      </c>
      <c r="K76" s="338">
        <f t="shared" si="118"/>
        <v>68126.656424581015</v>
      </c>
      <c r="L76" s="338">
        <f t="shared" si="118"/>
        <v>72988.089385474857</v>
      </c>
      <c r="M76" s="338">
        <f t="shared" si="118"/>
        <v>73654.039106145254</v>
      </c>
      <c r="N76" s="338">
        <f t="shared" si="118"/>
        <v>74253.393854748603</v>
      </c>
      <c r="O76" s="338">
        <f t="shared" si="118"/>
        <v>77563.769375317439</v>
      </c>
      <c r="P76" s="338">
        <f t="shared" si="118"/>
        <v>79487.758659217056</v>
      </c>
      <c r="Q76" s="338">
        <f t="shared" si="118"/>
        <v>81411.747943117283</v>
      </c>
      <c r="R76" s="338">
        <f t="shared" si="118"/>
        <v>83335.737227018108</v>
      </c>
      <c r="S76" s="338">
        <f t="shared" si="118"/>
        <v>85259.726510918335</v>
      </c>
      <c r="T76" s="338">
        <f t="shared" si="118"/>
        <v>87183.71579481916</v>
      </c>
      <c r="U76" s="338">
        <f t="shared" si="118"/>
        <v>89107.705078719373</v>
      </c>
      <c r="V76" s="338">
        <f t="shared" si="118"/>
        <v>91031.694362619601</v>
      </c>
      <c r="W76" s="338">
        <f t="shared" si="118"/>
        <v>92955.683646520425</v>
      </c>
      <c r="X76" s="338">
        <f t="shared" si="118"/>
        <v>94879.672930420653</v>
      </c>
      <c r="Y76" s="69"/>
      <c r="Z76" s="338">
        <f t="shared" ref="Z76:AK76" si="119">N76/$AA142</f>
        <v>5156.4856843575417</v>
      </c>
      <c r="AA76" s="338">
        <f t="shared" si="119"/>
        <v>5386.3728732859336</v>
      </c>
      <c r="AB76" s="338">
        <f t="shared" si="119"/>
        <v>5519.9832402234069</v>
      </c>
      <c r="AC76" s="338">
        <f t="shared" si="119"/>
        <v>5653.5936071609221</v>
      </c>
      <c r="AD76" s="338">
        <f t="shared" si="119"/>
        <v>5787.2039740984792</v>
      </c>
      <c r="AE76" s="338">
        <f t="shared" si="119"/>
        <v>5920.8143410359953</v>
      </c>
      <c r="AF76" s="338">
        <f t="shared" si="119"/>
        <v>6054.4247079735524</v>
      </c>
      <c r="AG76" s="338">
        <f t="shared" si="119"/>
        <v>6188.0350749110676</v>
      </c>
      <c r="AH76" s="338">
        <f t="shared" si="119"/>
        <v>6321.6454418485828</v>
      </c>
      <c r="AI76" s="338">
        <f t="shared" si="119"/>
        <v>6455.2558087861407</v>
      </c>
      <c r="AJ76" s="338">
        <f t="shared" si="119"/>
        <v>6588.8661757236559</v>
      </c>
      <c r="AK76" s="338">
        <f t="shared" si="119"/>
        <v>0</v>
      </c>
      <c r="AL76" s="333"/>
      <c r="AM76" s="69"/>
    </row>
    <row r="77" spans="1:39">
      <c r="A77" s="69"/>
      <c r="B77" s="350" t="s">
        <v>836</v>
      </c>
      <c r="C77" s="338">
        <v>48118</v>
      </c>
      <c r="D77" s="338">
        <f t="shared" ref="D77:X77" si="120">($C77/$C143)*D143</f>
        <v>49814.286721504111</v>
      </c>
      <c r="E77" s="338">
        <f t="shared" si="120"/>
        <v>52019.459459459467</v>
      </c>
      <c r="F77" s="338">
        <f t="shared" si="120"/>
        <v>52924.145710928322</v>
      </c>
      <c r="G77" s="338">
        <f t="shared" si="120"/>
        <v>54450.803760282026</v>
      </c>
      <c r="H77" s="338">
        <f t="shared" si="120"/>
        <v>56147.090481786137</v>
      </c>
      <c r="I77" s="338">
        <f t="shared" si="120"/>
        <v>56599.433607520565</v>
      </c>
      <c r="J77" s="338">
        <f t="shared" si="120"/>
        <v>58465.349001175098</v>
      </c>
      <c r="K77" s="338">
        <f t="shared" si="120"/>
        <v>59200.406580493545</v>
      </c>
      <c r="L77" s="338">
        <f t="shared" si="120"/>
        <v>60953.236192714459</v>
      </c>
      <c r="M77" s="338">
        <f t="shared" si="120"/>
        <v>62027.551116333729</v>
      </c>
      <c r="N77" s="338">
        <f t="shared" si="120"/>
        <v>63214.95182138661</v>
      </c>
      <c r="O77" s="338">
        <f t="shared" si="120"/>
        <v>64689.179190257761</v>
      </c>
      <c r="P77" s="338">
        <f t="shared" si="120"/>
        <v>65988.637624185096</v>
      </c>
      <c r="Q77" s="338">
        <f t="shared" si="120"/>
        <v>67288.096058112933</v>
      </c>
      <c r="R77" s="338">
        <f t="shared" si="120"/>
        <v>68587.554492040785</v>
      </c>
      <c r="S77" s="338">
        <f t="shared" si="120"/>
        <v>69887.012925969146</v>
      </c>
      <c r="T77" s="338">
        <f t="shared" si="120"/>
        <v>71186.471359896997</v>
      </c>
      <c r="U77" s="338">
        <f t="shared" si="120"/>
        <v>72485.929793824835</v>
      </c>
      <c r="V77" s="338">
        <f t="shared" si="120"/>
        <v>73785.388227752686</v>
      </c>
      <c r="W77" s="338">
        <f t="shared" si="120"/>
        <v>75084.846661681047</v>
      </c>
      <c r="X77" s="338">
        <f t="shared" si="120"/>
        <v>76384.305095608885</v>
      </c>
      <c r="Y77" s="69"/>
      <c r="Z77" s="338">
        <f t="shared" ref="Z77:AK77" si="121">N77/$AA143</f>
        <v>1246.8432311910574</v>
      </c>
      <c r="AA77" s="338">
        <f t="shared" si="121"/>
        <v>1275.9206940879242</v>
      </c>
      <c r="AB77" s="338">
        <f t="shared" si="121"/>
        <v>1301.5510379523687</v>
      </c>
      <c r="AC77" s="338">
        <f t="shared" si="121"/>
        <v>1327.181381816823</v>
      </c>
      <c r="AD77" s="338">
        <f t="shared" si="121"/>
        <v>1352.8117256812777</v>
      </c>
      <c r="AE77" s="338">
        <f t="shared" si="121"/>
        <v>1378.4420695457425</v>
      </c>
      <c r="AF77" s="338">
        <f t="shared" si="121"/>
        <v>1404.0724134101972</v>
      </c>
      <c r="AG77" s="338">
        <f t="shared" si="121"/>
        <v>1429.7027572746515</v>
      </c>
      <c r="AH77" s="338">
        <f t="shared" si="121"/>
        <v>1455.3331011391062</v>
      </c>
      <c r="AI77" s="338">
        <f t="shared" si="121"/>
        <v>1480.9634450035708</v>
      </c>
      <c r="AJ77" s="338">
        <f t="shared" si="121"/>
        <v>1506.5937888680253</v>
      </c>
      <c r="AK77" s="338">
        <f t="shared" si="121"/>
        <v>0</v>
      </c>
      <c r="AL77" s="333"/>
      <c r="AM77" s="69"/>
    </row>
    <row r="78" spans="1:39">
      <c r="A78" s="69"/>
      <c r="B78" s="350" t="s">
        <v>837</v>
      </c>
      <c r="C78" s="338">
        <v>22657</v>
      </c>
      <c r="D78" s="338">
        <f t="shared" ref="D78:X78" si="122">($C78/$C144)*D144</f>
        <v>22972.0783817952</v>
      </c>
      <c r="E78" s="338">
        <f t="shared" si="122"/>
        <v>25120.340075853353</v>
      </c>
      <c r="F78" s="338">
        <f t="shared" si="122"/>
        <v>23659.522123893807</v>
      </c>
      <c r="G78" s="338">
        <f t="shared" si="122"/>
        <v>25034.409608091028</v>
      </c>
      <c r="H78" s="338">
        <f t="shared" si="122"/>
        <v>27497.749683944377</v>
      </c>
      <c r="I78" s="338">
        <f t="shared" si="122"/>
        <v>30419.385587863468</v>
      </c>
      <c r="J78" s="338">
        <f t="shared" si="122"/>
        <v>28471.628318584077</v>
      </c>
      <c r="K78" s="338">
        <f t="shared" si="122"/>
        <v>31450.551201011382</v>
      </c>
      <c r="L78" s="338">
        <f t="shared" si="122"/>
        <v>33713.386852085969</v>
      </c>
      <c r="M78" s="338">
        <f t="shared" si="122"/>
        <v>34057.108723135279</v>
      </c>
      <c r="N78" s="338">
        <f t="shared" si="122"/>
        <v>38582.780025284454</v>
      </c>
      <c r="O78" s="338">
        <f t="shared" si="122"/>
        <v>37785.449442592573</v>
      </c>
      <c r="P78" s="338">
        <f t="shared" si="122"/>
        <v>39219.707068152849</v>
      </c>
      <c r="Q78" s="338">
        <f t="shared" si="122"/>
        <v>40653.964693713126</v>
      </c>
      <c r="R78" s="338">
        <f t="shared" si="122"/>
        <v>42088.222319273409</v>
      </c>
      <c r="S78" s="338">
        <f t="shared" si="122"/>
        <v>43522.479944833161</v>
      </c>
      <c r="T78" s="338">
        <f t="shared" si="122"/>
        <v>44956.737570393445</v>
      </c>
      <c r="U78" s="338">
        <f t="shared" si="122"/>
        <v>46390.995195953721</v>
      </c>
      <c r="V78" s="338">
        <f t="shared" si="122"/>
        <v>47825.252821514005</v>
      </c>
      <c r="W78" s="338">
        <f t="shared" si="122"/>
        <v>49259.510447074281</v>
      </c>
      <c r="X78" s="338">
        <f t="shared" si="122"/>
        <v>50693.768072634557</v>
      </c>
      <c r="Y78" s="69"/>
      <c r="Z78" s="338">
        <f t="shared" ref="Z78:AK78" si="123">N78/$AA144</f>
        <v>2679.359723978087</v>
      </c>
      <c r="AA78" s="338">
        <f t="shared" si="123"/>
        <v>2623.9895446244841</v>
      </c>
      <c r="AB78" s="338">
        <f t="shared" si="123"/>
        <v>2723.5907686217256</v>
      </c>
      <c r="AC78" s="338">
        <f t="shared" si="123"/>
        <v>2823.1919926189671</v>
      </c>
      <c r="AD78" s="338">
        <f t="shared" si="123"/>
        <v>2922.7932166162091</v>
      </c>
      <c r="AE78" s="338">
        <f t="shared" si="123"/>
        <v>3022.3944406134137</v>
      </c>
      <c r="AF78" s="338">
        <f t="shared" si="123"/>
        <v>3121.9956646106557</v>
      </c>
      <c r="AG78" s="338">
        <f t="shared" si="123"/>
        <v>3221.5968886078972</v>
      </c>
      <c r="AH78" s="338">
        <f t="shared" si="123"/>
        <v>3321.1981126051392</v>
      </c>
      <c r="AI78" s="338">
        <f t="shared" si="123"/>
        <v>3420.7993366023807</v>
      </c>
      <c r="AJ78" s="338">
        <f t="shared" si="123"/>
        <v>3520.4005605996217</v>
      </c>
      <c r="AK78" s="338">
        <f t="shared" si="123"/>
        <v>0</v>
      </c>
      <c r="AL78" s="333"/>
      <c r="AM78" s="69"/>
    </row>
    <row r="79" spans="1:39">
      <c r="A79" s="69"/>
      <c r="B79" s="350" t="s">
        <v>839</v>
      </c>
      <c r="C79" s="338">
        <v>33084</v>
      </c>
      <c r="D79" s="338">
        <f t="shared" ref="D79:X79" si="124">($C79/$C145)*D145</f>
        <v>37593.296987087517</v>
      </c>
      <c r="E79" s="338">
        <f t="shared" si="124"/>
        <v>38685.021520803442</v>
      </c>
      <c r="F79" s="338">
        <f t="shared" si="124"/>
        <v>40821.004304160684</v>
      </c>
      <c r="G79" s="338">
        <f t="shared" si="124"/>
        <v>41865.262553802007</v>
      </c>
      <c r="H79" s="338">
        <f t="shared" si="124"/>
        <v>44903.104734576751</v>
      </c>
      <c r="I79" s="338">
        <f t="shared" si="124"/>
        <v>48415.609756097554</v>
      </c>
      <c r="J79" s="338">
        <f t="shared" si="124"/>
        <v>48510.542324246773</v>
      </c>
      <c r="K79" s="338">
        <f t="shared" si="124"/>
        <v>46754.289813486364</v>
      </c>
      <c r="L79" s="338">
        <f t="shared" si="124"/>
        <v>47134.020086083212</v>
      </c>
      <c r="M79" s="338">
        <f t="shared" si="124"/>
        <v>47893.4806312769</v>
      </c>
      <c r="N79" s="338">
        <f t="shared" si="124"/>
        <v>47086.55380200861</v>
      </c>
      <c r="O79" s="338">
        <f t="shared" si="124"/>
        <v>50876.089317855447</v>
      </c>
      <c r="P79" s="338">
        <f t="shared" si="124"/>
        <v>51936.313499412994</v>
      </c>
      <c r="Q79" s="338">
        <f t="shared" si="124"/>
        <v>52996.537680970541</v>
      </c>
      <c r="R79" s="338">
        <f t="shared" si="124"/>
        <v>54056.761862527652</v>
      </c>
      <c r="S79" s="338">
        <f t="shared" si="124"/>
        <v>55116.986044085199</v>
      </c>
      <c r="T79" s="338">
        <f t="shared" si="124"/>
        <v>56177.210225642317</v>
      </c>
      <c r="U79" s="338">
        <f t="shared" si="124"/>
        <v>57237.434407199864</v>
      </c>
      <c r="V79" s="338">
        <f t="shared" si="124"/>
        <v>58297.658588756974</v>
      </c>
      <c r="W79" s="338">
        <f t="shared" si="124"/>
        <v>59357.882770314522</v>
      </c>
      <c r="X79" s="338">
        <f t="shared" si="124"/>
        <v>60418.106951871639</v>
      </c>
      <c r="Y79" s="69"/>
      <c r="Z79" s="338">
        <f t="shared" ref="Z79:AK79" si="125">N79/$AA145</f>
        <v>1186.0592897231386</v>
      </c>
      <c r="AA79" s="338">
        <f t="shared" si="125"/>
        <v>1281.5135848326308</v>
      </c>
      <c r="AB79" s="338">
        <f t="shared" si="125"/>
        <v>1308.2194836124179</v>
      </c>
      <c r="AC79" s="338">
        <f t="shared" si="125"/>
        <v>1334.9253823922049</v>
      </c>
      <c r="AD79" s="338">
        <f t="shared" si="125"/>
        <v>1361.6312811719811</v>
      </c>
      <c r="AE79" s="338">
        <f t="shared" si="125"/>
        <v>1388.3371799517681</v>
      </c>
      <c r="AF79" s="338">
        <f t="shared" si="125"/>
        <v>1415.0430787315445</v>
      </c>
      <c r="AG79" s="338">
        <f t="shared" si="125"/>
        <v>1441.7489775113315</v>
      </c>
      <c r="AH79" s="338">
        <f t="shared" si="125"/>
        <v>1468.4548762911077</v>
      </c>
      <c r="AI79" s="338">
        <f t="shared" si="125"/>
        <v>1495.1607750708947</v>
      </c>
      <c r="AJ79" s="338">
        <f t="shared" si="125"/>
        <v>1521.8666738506708</v>
      </c>
      <c r="AK79" s="338">
        <f t="shared" si="125"/>
        <v>0</v>
      </c>
      <c r="AL79" s="333"/>
      <c r="AM79" s="69"/>
    </row>
    <row r="80" spans="1:39">
      <c r="A80" s="69"/>
      <c r="B80" s="350" t="s">
        <v>840</v>
      </c>
      <c r="C80" s="338">
        <v>50881</v>
      </c>
      <c r="D80" s="338">
        <f t="shared" ref="D80:X80" si="126">($C80/$C146)*D146</f>
        <v>52972.000000000007</v>
      </c>
      <c r="E80" s="338">
        <f t="shared" si="126"/>
        <v>53959.416666666672</v>
      </c>
      <c r="F80" s="338">
        <f t="shared" si="126"/>
        <v>54482.166666666672</v>
      </c>
      <c r="G80" s="338">
        <f t="shared" si="126"/>
        <v>55818.083333333336</v>
      </c>
      <c r="H80" s="338">
        <f t="shared" si="126"/>
        <v>57270.166666666664</v>
      </c>
      <c r="I80" s="338">
        <f t="shared" si="126"/>
        <v>58664.166666666672</v>
      </c>
      <c r="J80" s="338">
        <f t="shared" si="126"/>
        <v>59303.083333333336</v>
      </c>
      <c r="K80" s="338">
        <f t="shared" si="126"/>
        <v>59535.416666666672</v>
      </c>
      <c r="L80" s="338">
        <f t="shared" si="126"/>
        <v>60813.250000000007</v>
      </c>
      <c r="M80" s="338">
        <f t="shared" si="126"/>
        <v>61277.916666666672</v>
      </c>
      <c r="N80" s="338">
        <f t="shared" si="126"/>
        <v>62846.166666666672</v>
      </c>
      <c r="O80" s="338">
        <f t="shared" si="126"/>
        <v>63745.930303030174</v>
      </c>
      <c r="P80" s="338">
        <f t="shared" si="126"/>
        <v>64719.618181818223</v>
      </c>
      <c r="Q80" s="338">
        <f t="shared" si="126"/>
        <v>65693.306060606017</v>
      </c>
      <c r="R80" s="338">
        <f t="shared" si="126"/>
        <v>66666.993939393797</v>
      </c>
      <c r="S80" s="338">
        <f t="shared" si="126"/>
        <v>67640.681818181853</v>
      </c>
      <c r="T80" s="338">
        <f t="shared" si="126"/>
        <v>68614.369696969632</v>
      </c>
      <c r="U80" s="338">
        <f t="shared" si="126"/>
        <v>69588.057575757412</v>
      </c>
      <c r="V80" s="338">
        <f t="shared" si="126"/>
        <v>70561.745454545468</v>
      </c>
      <c r="W80" s="338">
        <f t="shared" si="126"/>
        <v>71535.433333333247</v>
      </c>
      <c r="X80" s="338">
        <f t="shared" si="126"/>
        <v>72509.121212121041</v>
      </c>
      <c r="Y80" s="69"/>
      <c r="Z80" s="338">
        <f t="shared" ref="Z80:AK80" si="127">N80/$AA146</f>
        <v>1345.7423269093506</v>
      </c>
      <c r="AA80" s="338">
        <f t="shared" si="127"/>
        <v>1365.0092141976481</v>
      </c>
      <c r="AB80" s="338">
        <f t="shared" si="127"/>
        <v>1385.8590617091695</v>
      </c>
      <c r="AC80" s="338">
        <f t="shared" si="127"/>
        <v>1406.7089092206854</v>
      </c>
      <c r="AD80" s="338">
        <f t="shared" si="127"/>
        <v>1427.5587567322011</v>
      </c>
      <c r="AE80" s="338">
        <f t="shared" si="127"/>
        <v>1448.4086042437227</v>
      </c>
      <c r="AF80" s="338">
        <f t="shared" si="127"/>
        <v>1469.2584517552382</v>
      </c>
      <c r="AG80" s="338">
        <f t="shared" si="127"/>
        <v>1490.1082992667539</v>
      </c>
      <c r="AH80" s="338">
        <f t="shared" si="127"/>
        <v>1510.9581467782755</v>
      </c>
      <c r="AI80" s="338">
        <f t="shared" si="127"/>
        <v>1531.8079942897912</v>
      </c>
      <c r="AJ80" s="338">
        <f t="shared" si="127"/>
        <v>1552.6578418013071</v>
      </c>
      <c r="AK80" s="338">
        <f t="shared" si="127"/>
        <v>0</v>
      </c>
      <c r="AL80" s="333"/>
      <c r="AM80" s="69"/>
    </row>
    <row r="81" spans="1:39">
      <c r="A81" s="69"/>
      <c r="B81" s="350" t="s">
        <v>841</v>
      </c>
      <c r="C81" s="338">
        <v>45893</v>
      </c>
      <c r="D81" s="338">
        <f t="shared" ref="D81:X81" si="128">($C81/$C147)*D147</f>
        <v>47196.469822485211</v>
      </c>
      <c r="E81" s="338">
        <f t="shared" si="128"/>
        <v>49423.230769230766</v>
      </c>
      <c r="F81" s="338">
        <f t="shared" si="128"/>
        <v>49260.297041420119</v>
      </c>
      <c r="G81" s="338">
        <f t="shared" si="128"/>
        <v>51161.19053254438</v>
      </c>
      <c r="H81" s="338">
        <f t="shared" si="128"/>
        <v>52953.461538461539</v>
      </c>
      <c r="I81" s="338">
        <f t="shared" si="128"/>
        <v>54908.666272189344</v>
      </c>
      <c r="J81" s="338">
        <f t="shared" si="128"/>
        <v>54311.242603550294</v>
      </c>
      <c r="K81" s="338">
        <f t="shared" si="128"/>
        <v>57026.804733727811</v>
      </c>
      <c r="L81" s="338">
        <f t="shared" si="128"/>
        <v>58221.652071005919</v>
      </c>
      <c r="M81" s="338">
        <f t="shared" si="128"/>
        <v>59579.433136094674</v>
      </c>
      <c r="N81" s="338">
        <f t="shared" si="128"/>
        <v>60991.525443786981</v>
      </c>
      <c r="O81" s="338">
        <f t="shared" si="128"/>
        <v>62252.533749327784</v>
      </c>
      <c r="P81" s="338">
        <f t="shared" si="128"/>
        <v>63612.289768692535</v>
      </c>
      <c r="Q81" s="338">
        <f t="shared" si="128"/>
        <v>64972.045788057781</v>
      </c>
      <c r="R81" s="338">
        <f t="shared" si="128"/>
        <v>66331.801807423035</v>
      </c>
      <c r="S81" s="338">
        <f t="shared" si="128"/>
        <v>67691.557826788281</v>
      </c>
      <c r="T81" s="338">
        <f t="shared" si="128"/>
        <v>69051.313846153527</v>
      </c>
      <c r="U81" s="338">
        <f t="shared" si="128"/>
        <v>70411.069865518773</v>
      </c>
      <c r="V81" s="338">
        <f t="shared" si="128"/>
        <v>71770.82588488402</v>
      </c>
      <c r="W81" s="338">
        <f t="shared" si="128"/>
        <v>73130.58190424928</v>
      </c>
      <c r="X81" s="338">
        <f t="shared" si="128"/>
        <v>74490.337923614527</v>
      </c>
      <c r="Y81" s="69"/>
      <c r="Z81" s="338">
        <f t="shared" ref="Z81:AK81" si="129">N81/$AA147</f>
        <v>1473.225252265386</v>
      </c>
      <c r="AA81" s="338">
        <f t="shared" si="129"/>
        <v>1503.6843900803813</v>
      </c>
      <c r="AB81" s="338">
        <f t="shared" si="129"/>
        <v>1536.5287383742159</v>
      </c>
      <c r="AC81" s="338">
        <f t="shared" si="129"/>
        <v>1569.3730866680623</v>
      </c>
      <c r="AD81" s="338">
        <f t="shared" si="129"/>
        <v>1602.217434961909</v>
      </c>
      <c r="AE81" s="338">
        <f t="shared" si="129"/>
        <v>1635.0617832557557</v>
      </c>
      <c r="AF81" s="338">
        <f t="shared" si="129"/>
        <v>1667.9061315496022</v>
      </c>
      <c r="AG81" s="338">
        <f t="shared" si="129"/>
        <v>1700.7504798434486</v>
      </c>
      <c r="AH81" s="338">
        <f t="shared" si="129"/>
        <v>1733.5948281372953</v>
      </c>
      <c r="AI81" s="338">
        <f t="shared" si="129"/>
        <v>1766.4391764311422</v>
      </c>
      <c r="AJ81" s="338">
        <f t="shared" si="129"/>
        <v>1799.2835247249886</v>
      </c>
      <c r="AK81" s="338">
        <f t="shared" si="129"/>
        <v>0</v>
      </c>
      <c r="AL81" s="333"/>
      <c r="AM81" s="69"/>
    </row>
    <row r="82" spans="1:39">
      <c r="A82" s="69"/>
      <c r="B82" s="350" t="s">
        <v>842</v>
      </c>
      <c r="C82" s="338">
        <v>32045</v>
      </c>
      <c r="D82" s="338">
        <f t="shared" ref="D82:X82" si="130">($C82/$C148)*D148</f>
        <v>32728.991462113128</v>
      </c>
      <c r="E82" s="338">
        <f t="shared" si="130"/>
        <v>31497.806830309495</v>
      </c>
      <c r="F82" s="338">
        <f t="shared" si="130"/>
        <v>36901.339381003207</v>
      </c>
      <c r="G82" s="338">
        <f t="shared" si="130"/>
        <v>35157.161152614724</v>
      </c>
      <c r="H82" s="338">
        <f t="shared" si="130"/>
        <v>34951.963713980789</v>
      </c>
      <c r="I82" s="338">
        <f t="shared" si="130"/>
        <v>32899.989327641408</v>
      </c>
      <c r="J82" s="338">
        <f t="shared" si="130"/>
        <v>25444.482390608326</v>
      </c>
      <c r="K82" s="338">
        <f t="shared" si="130"/>
        <v>24794.690501600853</v>
      </c>
      <c r="L82" s="338">
        <f t="shared" si="130"/>
        <v>21306.334044823907</v>
      </c>
      <c r="M82" s="338">
        <f t="shared" si="130"/>
        <v>19288.559231590181</v>
      </c>
      <c r="N82" s="338">
        <f t="shared" si="130"/>
        <v>18843.964781216648</v>
      </c>
      <c r="O82" s="338">
        <f t="shared" si="130"/>
        <v>17877.049577956954</v>
      </c>
      <c r="P82" s="338">
        <f t="shared" si="130"/>
        <v>16101.780828562931</v>
      </c>
      <c r="Q82" s="338">
        <f t="shared" si="130"/>
        <v>14326.51207916953</v>
      </c>
      <c r="R82" s="338">
        <f t="shared" si="130"/>
        <v>12551.243329776129</v>
      </c>
      <c r="S82" s="338">
        <f t="shared" si="130"/>
        <v>10775.974580382106</v>
      </c>
      <c r="T82" s="338">
        <f t="shared" si="130"/>
        <v>9000.7058309887052</v>
      </c>
      <c r="U82" s="338">
        <f t="shared" si="130"/>
        <v>7225.4370815953043</v>
      </c>
      <c r="V82" s="338">
        <f t="shared" si="130"/>
        <v>5450.1683322012805</v>
      </c>
      <c r="W82" s="338">
        <f t="shared" si="130"/>
        <v>3674.8995828078796</v>
      </c>
      <c r="X82" s="338">
        <f t="shared" si="130"/>
        <v>1899.6308334144785</v>
      </c>
      <c r="Y82" s="69"/>
      <c r="Z82" s="338">
        <f t="shared" ref="Z82:AK82" si="131">N82/$AA148</f>
        <v>2141.3596342291644</v>
      </c>
      <c r="AA82" s="338">
        <f t="shared" si="131"/>
        <v>2031.4829065860174</v>
      </c>
      <c r="AB82" s="338">
        <f t="shared" si="131"/>
        <v>1829.7478214276057</v>
      </c>
      <c r="AC82" s="338">
        <f t="shared" si="131"/>
        <v>1628.0127362692647</v>
      </c>
      <c r="AD82" s="338">
        <f t="shared" si="131"/>
        <v>1426.2776511109237</v>
      </c>
      <c r="AE82" s="338">
        <f t="shared" si="131"/>
        <v>1224.5425659525119</v>
      </c>
      <c r="AF82" s="338">
        <f t="shared" si="131"/>
        <v>1022.8074807941709</v>
      </c>
      <c r="AG82" s="338">
        <f t="shared" si="131"/>
        <v>821.07239563582993</v>
      </c>
      <c r="AH82" s="338">
        <f t="shared" si="131"/>
        <v>619.33731047741821</v>
      </c>
      <c r="AI82" s="338">
        <f t="shared" si="131"/>
        <v>417.60222531907721</v>
      </c>
      <c r="AJ82" s="338">
        <f t="shared" si="131"/>
        <v>215.86714016073617</v>
      </c>
      <c r="AK82" s="338">
        <f t="shared" si="131"/>
        <v>0</v>
      </c>
      <c r="AL82" s="333"/>
      <c r="AM82" s="69"/>
    </row>
    <row r="83" spans="1:39">
      <c r="A83" s="69"/>
      <c r="B83" s="350" t="s">
        <v>843</v>
      </c>
      <c r="C83" s="338">
        <v>31706</v>
      </c>
      <c r="D83" s="338">
        <f t="shared" ref="D83:X83" si="132">($C83/$C149)*D149</f>
        <v>37188.992481203008</v>
      </c>
      <c r="E83" s="338">
        <f t="shared" si="132"/>
        <v>44006.974436090226</v>
      </c>
      <c r="F83" s="338">
        <f t="shared" si="132"/>
        <v>42862.697744360907</v>
      </c>
      <c r="G83" s="338">
        <f t="shared" si="132"/>
        <v>42815.01954887218</v>
      </c>
      <c r="H83" s="338">
        <f t="shared" si="132"/>
        <v>44769.825563909777</v>
      </c>
      <c r="I83" s="338">
        <f t="shared" si="132"/>
        <v>49203.897744360904</v>
      </c>
      <c r="J83" s="338">
        <f t="shared" si="132"/>
        <v>47201.413533834588</v>
      </c>
      <c r="K83" s="338">
        <f t="shared" si="132"/>
        <v>50491.209022556395</v>
      </c>
      <c r="L83" s="338">
        <f t="shared" si="132"/>
        <v>53256.544360902255</v>
      </c>
      <c r="M83" s="338">
        <f t="shared" si="132"/>
        <v>56164.91428571428</v>
      </c>
      <c r="N83" s="338">
        <f t="shared" si="132"/>
        <v>61314.159398496238</v>
      </c>
      <c r="O83" s="338">
        <f t="shared" si="132"/>
        <v>60019.046233766283</v>
      </c>
      <c r="P83" s="338">
        <f t="shared" si="132"/>
        <v>62002.892604237306</v>
      </c>
      <c r="Q83" s="338">
        <f t="shared" si="132"/>
        <v>63986.738974709195</v>
      </c>
      <c r="R83" s="338">
        <f t="shared" si="132"/>
        <v>65970.58534518021</v>
      </c>
      <c r="S83" s="338">
        <f t="shared" si="132"/>
        <v>67954.431715652099</v>
      </c>
      <c r="T83" s="338">
        <f t="shared" si="132"/>
        <v>69938.278086123988</v>
      </c>
      <c r="U83" s="338">
        <f t="shared" si="132"/>
        <v>71922.124456595018</v>
      </c>
      <c r="V83" s="338">
        <f t="shared" si="132"/>
        <v>73905.970827066907</v>
      </c>
      <c r="W83" s="338">
        <f t="shared" si="132"/>
        <v>75889.817197538796</v>
      </c>
      <c r="X83" s="338">
        <f t="shared" si="132"/>
        <v>77873.663568009812</v>
      </c>
      <c r="Y83" s="69"/>
      <c r="Z83" s="338">
        <f t="shared" ref="Z83:AK83" si="133">N83/$AA149</f>
        <v>4866.2031268647806</v>
      </c>
      <c r="AA83" s="338">
        <f t="shared" si="133"/>
        <v>4763.4163677592287</v>
      </c>
      <c r="AB83" s="338">
        <f t="shared" si="133"/>
        <v>4920.8644923997863</v>
      </c>
      <c r="AC83" s="338">
        <f t="shared" si="133"/>
        <v>5078.3126170404121</v>
      </c>
      <c r="AD83" s="338">
        <f t="shared" si="133"/>
        <v>5235.7607416809697</v>
      </c>
      <c r="AE83" s="338">
        <f t="shared" si="133"/>
        <v>5393.2088663215955</v>
      </c>
      <c r="AF83" s="338">
        <f t="shared" si="133"/>
        <v>5550.6569909622212</v>
      </c>
      <c r="AG83" s="338">
        <f t="shared" si="133"/>
        <v>5708.1051156027797</v>
      </c>
      <c r="AH83" s="338">
        <f t="shared" si="133"/>
        <v>5865.5532402434055</v>
      </c>
      <c r="AI83" s="338">
        <f t="shared" si="133"/>
        <v>6023.0013648840313</v>
      </c>
      <c r="AJ83" s="338">
        <f t="shared" si="133"/>
        <v>6180.449489524588</v>
      </c>
      <c r="AK83" s="338">
        <f t="shared" si="133"/>
        <v>0</v>
      </c>
      <c r="AL83" s="333"/>
      <c r="AM83" s="69"/>
    </row>
    <row r="84" spans="1:39">
      <c r="A84" s="69"/>
      <c r="B84" s="350" t="s">
        <v>844</v>
      </c>
      <c r="C84" s="338">
        <v>42763</v>
      </c>
      <c r="D84" s="338">
        <f t="shared" ref="D84:X84" si="134">($C84/$C150)*D150</f>
        <v>43028.883937823834</v>
      </c>
      <c r="E84" s="338">
        <f t="shared" si="134"/>
        <v>44579.873575129532</v>
      </c>
      <c r="F84" s="338">
        <f t="shared" si="134"/>
        <v>44092.419689119175</v>
      </c>
      <c r="G84" s="338">
        <f t="shared" si="134"/>
        <v>41433.580310880832</v>
      </c>
      <c r="H84" s="338">
        <f t="shared" si="134"/>
        <v>45200.269430051812</v>
      </c>
      <c r="I84" s="338">
        <f t="shared" si="134"/>
        <v>44313.989637305698</v>
      </c>
      <c r="J84" s="338">
        <f t="shared" si="134"/>
        <v>44358.303626943001</v>
      </c>
      <c r="K84" s="338">
        <f t="shared" si="134"/>
        <v>43117.511917098447</v>
      </c>
      <c r="L84" s="338">
        <f t="shared" si="134"/>
        <v>43649.279792746114</v>
      </c>
      <c r="M84" s="338">
        <f t="shared" si="134"/>
        <v>45776.35129533679</v>
      </c>
      <c r="N84" s="338">
        <f t="shared" si="134"/>
        <v>47992.050777202072</v>
      </c>
      <c r="O84" s="338">
        <f t="shared" si="134"/>
        <v>46001.949788035774</v>
      </c>
      <c r="P84" s="338">
        <f t="shared" si="134"/>
        <v>46281.933631653243</v>
      </c>
      <c r="Q84" s="338">
        <f t="shared" si="134"/>
        <v>46561.917475270813</v>
      </c>
      <c r="R84" s="338">
        <f t="shared" si="134"/>
        <v>46841.901318888282</v>
      </c>
      <c r="S84" s="338">
        <f t="shared" si="134"/>
        <v>47121.885162505852</v>
      </c>
      <c r="T84" s="338">
        <f t="shared" si="134"/>
        <v>47401.869006123321</v>
      </c>
      <c r="U84" s="338">
        <f t="shared" si="134"/>
        <v>47681.852849740892</v>
      </c>
      <c r="V84" s="338">
        <f t="shared" si="134"/>
        <v>47961.83669335836</v>
      </c>
      <c r="W84" s="338">
        <f t="shared" si="134"/>
        <v>48241.820536975931</v>
      </c>
      <c r="X84" s="338">
        <f t="shared" si="134"/>
        <v>48521.804380593399</v>
      </c>
      <c r="Y84" s="69"/>
      <c r="Z84" s="338">
        <f t="shared" ref="Z84:AK84" si="135">N84/$AA150</f>
        <v>1325.7472590387313</v>
      </c>
      <c r="AA84" s="338">
        <f t="shared" si="135"/>
        <v>1270.7720935921484</v>
      </c>
      <c r="AB84" s="338">
        <f t="shared" si="135"/>
        <v>1278.5064539130728</v>
      </c>
      <c r="AC84" s="338">
        <f t="shared" si="135"/>
        <v>1286.2408142340003</v>
      </c>
      <c r="AD84" s="338">
        <f t="shared" si="135"/>
        <v>1293.9751745549247</v>
      </c>
      <c r="AE84" s="338">
        <f t="shared" si="135"/>
        <v>1301.7095348758521</v>
      </c>
      <c r="AF84" s="338">
        <f t="shared" si="135"/>
        <v>1309.4438951967768</v>
      </c>
      <c r="AG84" s="338">
        <f t="shared" si="135"/>
        <v>1317.178255517704</v>
      </c>
      <c r="AH84" s="338">
        <f t="shared" si="135"/>
        <v>1324.9126158386287</v>
      </c>
      <c r="AI84" s="338">
        <f t="shared" si="135"/>
        <v>1332.6469761595561</v>
      </c>
      <c r="AJ84" s="338">
        <f t="shared" si="135"/>
        <v>1340.3813364804805</v>
      </c>
      <c r="AK84" s="338">
        <f t="shared" si="135"/>
        <v>0</v>
      </c>
      <c r="AL84" s="333"/>
      <c r="AM84" s="69"/>
    </row>
    <row r="85" spans="1:39">
      <c r="A85" s="69"/>
      <c r="B85" s="350" t="s">
        <v>845</v>
      </c>
      <c r="C85" s="338">
        <v>34204</v>
      </c>
      <c r="D85" s="338">
        <f t="shared" ref="D85:X85" si="136">($C85/$C151)*D151</f>
        <v>33409.438053097343</v>
      </c>
      <c r="E85" s="338">
        <f t="shared" si="136"/>
        <v>35490.433628318577</v>
      </c>
      <c r="F85" s="338">
        <f t="shared" si="136"/>
        <v>37079.557522123891</v>
      </c>
      <c r="G85" s="338">
        <f t="shared" si="136"/>
        <v>37647.101769911504</v>
      </c>
      <c r="H85" s="338">
        <f t="shared" si="136"/>
        <v>38479.5</v>
      </c>
      <c r="I85" s="338">
        <f t="shared" si="136"/>
        <v>37798.446902654869</v>
      </c>
      <c r="J85" s="338">
        <f t="shared" si="136"/>
        <v>37495.756637168139</v>
      </c>
      <c r="K85" s="338">
        <f t="shared" si="136"/>
        <v>37268.738938053095</v>
      </c>
      <c r="L85" s="338">
        <f t="shared" si="136"/>
        <v>38479.5</v>
      </c>
      <c r="M85" s="338">
        <f t="shared" si="136"/>
        <v>38744.353982300883</v>
      </c>
      <c r="N85" s="338">
        <f t="shared" si="136"/>
        <v>39917.278761061942</v>
      </c>
      <c r="O85" s="338">
        <f t="shared" si="136"/>
        <v>40056.241110217255</v>
      </c>
      <c r="P85" s="338">
        <f t="shared" si="136"/>
        <v>40492.73423169741</v>
      </c>
      <c r="Q85" s="338">
        <f t="shared" si="136"/>
        <v>40929.227353177732</v>
      </c>
      <c r="R85" s="338">
        <f t="shared" si="136"/>
        <v>41365.720474657886</v>
      </c>
      <c r="S85" s="338">
        <f t="shared" si="136"/>
        <v>41802.213596138208</v>
      </c>
      <c r="T85" s="338">
        <f t="shared" si="136"/>
        <v>42238.70671761853</v>
      </c>
      <c r="U85" s="338">
        <f t="shared" si="136"/>
        <v>42675.199839098852</v>
      </c>
      <c r="V85" s="338">
        <f t="shared" si="136"/>
        <v>43111.692960579174</v>
      </c>
      <c r="W85" s="338">
        <f t="shared" si="136"/>
        <v>43548.186082059321</v>
      </c>
      <c r="X85" s="338">
        <f t="shared" si="136"/>
        <v>43984.67920353965</v>
      </c>
      <c r="Y85" s="69"/>
      <c r="Z85" s="338">
        <f t="shared" ref="Z85:AK85" si="137">N85/$AA151</f>
        <v>1174.037610619469</v>
      </c>
      <c r="AA85" s="338">
        <f t="shared" si="137"/>
        <v>1178.1247385358017</v>
      </c>
      <c r="AB85" s="338">
        <f t="shared" si="137"/>
        <v>1190.962771520512</v>
      </c>
      <c r="AC85" s="338">
        <f t="shared" si="137"/>
        <v>1203.8008045052275</v>
      </c>
      <c r="AD85" s="338">
        <f t="shared" si="137"/>
        <v>1216.6388374899379</v>
      </c>
      <c r="AE85" s="338">
        <f t="shared" si="137"/>
        <v>1229.4768704746532</v>
      </c>
      <c r="AF85" s="338">
        <f t="shared" si="137"/>
        <v>1242.3149034593685</v>
      </c>
      <c r="AG85" s="338">
        <f t="shared" si="137"/>
        <v>1255.1529364440839</v>
      </c>
      <c r="AH85" s="338">
        <f t="shared" si="137"/>
        <v>1267.9909694287992</v>
      </c>
      <c r="AI85" s="338">
        <f t="shared" si="137"/>
        <v>1280.8290024135094</v>
      </c>
      <c r="AJ85" s="338">
        <f t="shared" si="137"/>
        <v>1293.6670353982249</v>
      </c>
      <c r="AK85" s="338">
        <f t="shared" si="137"/>
        <v>0</v>
      </c>
      <c r="AL85" s="333"/>
      <c r="AM85" s="69"/>
    </row>
    <row r="86" spans="1:39">
      <c r="A86" s="69"/>
      <c r="B86" s="350" t="s">
        <v>846</v>
      </c>
      <c r="C86" s="338">
        <v>18433</v>
      </c>
      <c r="D86" s="338">
        <f t="shared" ref="D86:X86" si="138">($C86/$C152)*D152</f>
        <v>23560.582025677602</v>
      </c>
      <c r="E86" s="338">
        <f t="shared" si="138"/>
        <v>26216.40656205421</v>
      </c>
      <c r="F86" s="338">
        <f t="shared" si="138"/>
        <v>26084.930099857349</v>
      </c>
      <c r="G86" s="338">
        <f t="shared" si="138"/>
        <v>26821.198288159772</v>
      </c>
      <c r="H86" s="338">
        <f t="shared" si="138"/>
        <v>26321.587731811698</v>
      </c>
      <c r="I86" s="338">
        <f t="shared" si="138"/>
        <v>26610.835948644795</v>
      </c>
      <c r="J86" s="338">
        <f t="shared" si="138"/>
        <v>27084.151212553497</v>
      </c>
      <c r="K86" s="338">
        <f t="shared" si="138"/>
        <v>28109.667617689018</v>
      </c>
      <c r="L86" s="338">
        <f t="shared" si="138"/>
        <v>29503.318116975752</v>
      </c>
      <c r="M86" s="338">
        <f t="shared" si="138"/>
        <v>31107.330955777463</v>
      </c>
      <c r="N86" s="338">
        <f t="shared" si="138"/>
        <v>34525.718972895869</v>
      </c>
      <c r="O86" s="338">
        <f t="shared" si="138"/>
        <v>32612.377875762013</v>
      </c>
      <c r="P86" s="338">
        <f t="shared" si="138"/>
        <v>33412.232862144971</v>
      </c>
      <c r="Q86" s="338">
        <f t="shared" si="138"/>
        <v>34212.087848527932</v>
      </c>
      <c r="R86" s="338">
        <f t="shared" si="138"/>
        <v>35011.942834911133</v>
      </c>
      <c r="S86" s="338">
        <f t="shared" si="138"/>
        <v>35811.797821294094</v>
      </c>
      <c r="T86" s="338">
        <f t="shared" si="138"/>
        <v>36611.652807677288</v>
      </c>
      <c r="U86" s="338">
        <f t="shared" si="138"/>
        <v>37411.50779406025</v>
      </c>
      <c r="V86" s="338">
        <f t="shared" si="138"/>
        <v>38211.362780443451</v>
      </c>
      <c r="W86" s="338">
        <f t="shared" si="138"/>
        <v>39011.217766826645</v>
      </c>
      <c r="X86" s="338">
        <f t="shared" si="138"/>
        <v>39811.072753209606</v>
      </c>
      <c r="Y86" s="69"/>
      <c r="Z86" s="338">
        <f t="shared" ref="Z86:AK86" si="139">N86/$AA152</f>
        <v>3257.143299329799</v>
      </c>
      <c r="AA86" s="338">
        <f t="shared" si="139"/>
        <v>3076.6394222416993</v>
      </c>
      <c r="AB86" s="338">
        <f t="shared" si="139"/>
        <v>3152.0974398249973</v>
      </c>
      <c r="AC86" s="338">
        <f t="shared" si="139"/>
        <v>3227.5554574082958</v>
      </c>
      <c r="AD86" s="338">
        <f t="shared" si="139"/>
        <v>3303.0134749916165</v>
      </c>
      <c r="AE86" s="338">
        <f t="shared" si="139"/>
        <v>3378.4714925749145</v>
      </c>
      <c r="AF86" s="338">
        <f t="shared" si="139"/>
        <v>3453.9295101582347</v>
      </c>
      <c r="AG86" s="338">
        <f t="shared" si="139"/>
        <v>3529.3875277415332</v>
      </c>
      <c r="AH86" s="338">
        <f t="shared" si="139"/>
        <v>3604.8455453248539</v>
      </c>
      <c r="AI86" s="338">
        <f t="shared" si="139"/>
        <v>3680.3035629081742</v>
      </c>
      <c r="AJ86" s="338">
        <f t="shared" si="139"/>
        <v>3755.7615804914726</v>
      </c>
      <c r="AK86" s="338">
        <f t="shared" si="139"/>
        <v>0</v>
      </c>
      <c r="AL86" s="333"/>
      <c r="AM86" s="69"/>
    </row>
    <row r="87" spans="1:39">
      <c r="A87" s="69"/>
      <c r="B87" s="350" t="s">
        <v>847</v>
      </c>
      <c r="C87" s="338">
        <v>26564</v>
      </c>
      <c r="D87" s="338">
        <f t="shared" ref="D87:X87" si="140">($C87/$C153)*D153</f>
        <v>30031.635928143714</v>
      </c>
      <c r="E87" s="338">
        <f t="shared" si="140"/>
        <v>33435.64550898203</v>
      </c>
      <c r="F87" s="338">
        <f t="shared" si="140"/>
        <v>30922.404790419161</v>
      </c>
      <c r="G87" s="338">
        <f t="shared" si="140"/>
        <v>31145.097005988024</v>
      </c>
      <c r="H87" s="338">
        <f t="shared" si="140"/>
        <v>31654.107784431137</v>
      </c>
      <c r="I87" s="338">
        <f t="shared" si="140"/>
        <v>32226.744910179637</v>
      </c>
      <c r="J87" s="338">
        <f t="shared" si="140"/>
        <v>33531.085029940121</v>
      </c>
      <c r="K87" s="338">
        <f t="shared" si="140"/>
        <v>34962.67784431138</v>
      </c>
      <c r="L87" s="338">
        <f t="shared" si="140"/>
        <v>37316.852694610774</v>
      </c>
      <c r="M87" s="338">
        <f t="shared" si="140"/>
        <v>40020.972455089817</v>
      </c>
      <c r="N87" s="338">
        <f t="shared" si="140"/>
        <v>44156.685029940119</v>
      </c>
      <c r="O87" s="338">
        <f t="shared" si="140"/>
        <v>41345.557321719913</v>
      </c>
      <c r="P87" s="338">
        <f t="shared" si="140"/>
        <v>42487.939466520904</v>
      </c>
      <c r="Q87" s="338">
        <f t="shared" si="140"/>
        <v>43630.321611322186</v>
      </c>
      <c r="R87" s="338">
        <f t="shared" si="140"/>
        <v>44772.703756123468</v>
      </c>
      <c r="S87" s="338">
        <f t="shared" si="140"/>
        <v>45915.085900924751</v>
      </c>
      <c r="T87" s="338">
        <f t="shared" si="140"/>
        <v>47057.468045726026</v>
      </c>
      <c r="U87" s="338">
        <f t="shared" si="140"/>
        <v>48199.850190527599</v>
      </c>
      <c r="V87" s="338">
        <f t="shared" si="140"/>
        <v>49342.232335328874</v>
      </c>
      <c r="W87" s="338">
        <f t="shared" si="140"/>
        <v>50484.614480130156</v>
      </c>
      <c r="X87" s="338">
        <f t="shared" si="140"/>
        <v>51626.996624931438</v>
      </c>
      <c r="Y87" s="69"/>
      <c r="Z87" s="338">
        <f t="shared" ref="Z87:AK87" si="141">N87/$AA153</f>
        <v>4371.9490128653588</v>
      </c>
      <c r="AA87" s="338">
        <f t="shared" si="141"/>
        <v>4093.6195368039521</v>
      </c>
      <c r="AB87" s="338">
        <f t="shared" si="141"/>
        <v>4206.7266798535547</v>
      </c>
      <c r="AC87" s="338">
        <f t="shared" si="141"/>
        <v>4319.833822903187</v>
      </c>
      <c r="AD87" s="338">
        <f t="shared" si="141"/>
        <v>4432.9409659528192</v>
      </c>
      <c r="AE87" s="338">
        <f t="shared" si="141"/>
        <v>4546.0481090024505</v>
      </c>
      <c r="AF87" s="338">
        <f t="shared" si="141"/>
        <v>4659.1552520520818</v>
      </c>
      <c r="AG87" s="338">
        <f t="shared" si="141"/>
        <v>4772.2623951017422</v>
      </c>
      <c r="AH87" s="338">
        <f t="shared" si="141"/>
        <v>4885.3695381513735</v>
      </c>
      <c r="AI87" s="338">
        <f t="shared" si="141"/>
        <v>4998.4766812010057</v>
      </c>
      <c r="AJ87" s="338">
        <f t="shared" si="141"/>
        <v>5111.5838242506379</v>
      </c>
      <c r="AK87" s="338">
        <f t="shared" si="141"/>
        <v>0</v>
      </c>
      <c r="AL87" s="333"/>
      <c r="AM87" s="69"/>
    </row>
    <row r="88" spans="1:39">
      <c r="A88" s="69"/>
      <c r="B88" s="350" t="s">
        <v>848</v>
      </c>
      <c r="C88" s="338">
        <v>63995</v>
      </c>
      <c r="D88" s="338">
        <f t="shared" ref="D88:X88" si="142">($C88/$C154)*D154</f>
        <v>65082.293689320381</v>
      </c>
      <c r="E88" s="338">
        <f t="shared" si="142"/>
        <v>69897.451456310679</v>
      </c>
      <c r="F88" s="338">
        <f t="shared" si="142"/>
        <v>70984.745145631066</v>
      </c>
      <c r="G88" s="338">
        <f t="shared" si="142"/>
        <v>73081.668689320373</v>
      </c>
      <c r="H88" s="338">
        <f t="shared" si="142"/>
        <v>78207.481796116495</v>
      </c>
      <c r="I88" s="338">
        <f t="shared" si="142"/>
        <v>79605.430825242714</v>
      </c>
      <c r="J88" s="338">
        <f t="shared" si="142"/>
        <v>82013.009708737853</v>
      </c>
      <c r="K88" s="338">
        <f t="shared" si="142"/>
        <v>83566.28640776698</v>
      </c>
      <c r="L88" s="338">
        <f t="shared" si="142"/>
        <v>82944.975728155332</v>
      </c>
      <c r="M88" s="338">
        <f t="shared" si="142"/>
        <v>88070.788834951454</v>
      </c>
      <c r="N88" s="338">
        <f t="shared" si="142"/>
        <v>90633.695388349515</v>
      </c>
      <c r="O88" s="338">
        <f t="shared" si="142"/>
        <v>92795.574139452438</v>
      </c>
      <c r="P88" s="338">
        <f t="shared" si="142"/>
        <v>95169.263349513829</v>
      </c>
      <c r="Q88" s="338">
        <f t="shared" si="142"/>
        <v>97542.952559575919</v>
      </c>
      <c r="R88" s="338">
        <f t="shared" si="142"/>
        <v>99916.641769638009</v>
      </c>
      <c r="S88" s="338">
        <f t="shared" si="142"/>
        <v>102290.3309796994</v>
      </c>
      <c r="T88" s="338">
        <f t="shared" si="142"/>
        <v>104664.0201897615</v>
      </c>
      <c r="U88" s="338">
        <f t="shared" si="142"/>
        <v>107037.7093998229</v>
      </c>
      <c r="V88" s="338">
        <f t="shared" si="142"/>
        <v>109411.39860988499</v>
      </c>
      <c r="W88" s="338">
        <f t="shared" si="142"/>
        <v>111785.08781994638</v>
      </c>
      <c r="X88" s="338">
        <f t="shared" si="142"/>
        <v>114158.77703000847</v>
      </c>
      <c r="Y88" s="69"/>
      <c r="Z88" s="338">
        <f t="shared" ref="Z88:AK88" si="143">N88/$AA154</f>
        <v>1868.7359873886498</v>
      </c>
      <c r="AA88" s="338">
        <f t="shared" si="143"/>
        <v>1913.3108069990194</v>
      </c>
      <c r="AB88" s="338">
        <f t="shared" si="143"/>
        <v>1962.2528525672953</v>
      </c>
      <c r="AC88" s="338">
        <f t="shared" si="143"/>
        <v>2011.1948981355858</v>
      </c>
      <c r="AD88" s="338">
        <f t="shared" si="143"/>
        <v>2060.1369437038766</v>
      </c>
      <c r="AE88" s="338">
        <f t="shared" si="143"/>
        <v>2109.0789892721527</v>
      </c>
      <c r="AF88" s="338">
        <f t="shared" si="143"/>
        <v>2158.0210348404435</v>
      </c>
      <c r="AG88" s="338">
        <f t="shared" si="143"/>
        <v>2206.9630804087196</v>
      </c>
      <c r="AH88" s="338">
        <f t="shared" si="143"/>
        <v>2255.9051259770099</v>
      </c>
      <c r="AI88" s="338">
        <f t="shared" si="143"/>
        <v>2304.8471715452861</v>
      </c>
      <c r="AJ88" s="338">
        <f t="shared" si="143"/>
        <v>2353.7892171135768</v>
      </c>
      <c r="AK88" s="338">
        <f t="shared" si="143"/>
        <v>0</v>
      </c>
      <c r="AL88" s="333"/>
      <c r="AM88" s="69"/>
    </row>
    <row r="89" spans="1:39">
      <c r="A89" s="69"/>
      <c r="B89" s="350" t="s">
        <v>849</v>
      </c>
      <c r="C89" s="338">
        <v>40965</v>
      </c>
      <c r="D89" s="338">
        <f t="shared" ref="D89:X89" si="144">($C89/$C155)*D155</f>
        <v>42808.649835345779</v>
      </c>
      <c r="E89" s="338">
        <f t="shared" si="144"/>
        <v>35748.819978046107</v>
      </c>
      <c r="F89" s="338">
        <f t="shared" si="144"/>
        <v>40245.526893523602</v>
      </c>
      <c r="G89" s="338">
        <f t="shared" si="144"/>
        <v>45012.036223929746</v>
      </c>
      <c r="H89" s="338">
        <f t="shared" si="144"/>
        <v>45686.542261251372</v>
      </c>
      <c r="I89" s="338">
        <f t="shared" si="144"/>
        <v>46675.817782656421</v>
      </c>
      <c r="J89" s="338">
        <f t="shared" si="144"/>
        <v>51936.964873765093</v>
      </c>
      <c r="K89" s="338">
        <f t="shared" si="144"/>
        <v>55489.363336992319</v>
      </c>
      <c r="L89" s="338">
        <f t="shared" si="144"/>
        <v>58996.794731064765</v>
      </c>
      <c r="M89" s="338">
        <f t="shared" si="144"/>
        <v>58502.156970362237</v>
      </c>
      <c r="N89" s="338">
        <f t="shared" si="144"/>
        <v>59041.761800219545</v>
      </c>
      <c r="O89" s="338">
        <f t="shared" si="144"/>
        <v>63047.918870373156</v>
      </c>
      <c r="P89" s="338">
        <f t="shared" si="144"/>
        <v>65371.898762598903</v>
      </c>
      <c r="Q89" s="338">
        <f t="shared" si="144"/>
        <v>67695.878654825472</v>
      </c>
      <c r="R89" s="338">
        <f t="shared" si="144"/>
        <v>70019.858547052034</v>
      </c>
      <c r="S89" s="338">
        <f t="shared" si="144"/>
        <v>72343.838439277781</v>
      </c>
      <c r="T89" s="338">
        <f t="shared" si="144"/>
        <v>74667.818331504342</v>
      </c>
      <c r="U89" s="338">
        <f t="shared" si="144"/>
        <v>76991.798223730904</v>
      </c>
      <c r="V89" s="338">
        <f t="shared" si="144"/>
        <v>79315.778115956651</v>
      </c>
      <c r="W89" s="338">
        <f t="shared" si="144"/>
        <v>81639.758008183213</v>
      </c>
      <c r="X89" s="338">
        <f t="shared" si="144"/>
        <v>83963.737900409775</v>
      </c>
      <c r="Y89" s="69"/>
      <c r="Z89" s="338">
        <f t="shared" ref="Z89:AK89" si="145">N89/$AA155</f>
        <v>4217.268700015682</v>
      </c>
      <c r="AA89" s="338">
        <f t="shared" si="145"/>
        <v>4503.4227764552252</v>
      </c>
      <c r="AB89" s="338">
        <f t="shared" si="145"/>
        <v>4669.4213401856359</v>
      </c>
      <c r="AC89" s="338">
        <f t="shared" si="145"/>
        <v>4835.4199039161049</v>
      </c>
      <c r="AD89" s="338">
        <f t="shared" si="145"/>
        <v>5001.4184676465738</v>
      </c>
      <c r="AE89" s="338">
        <f t="shared" si="145"/>
        <v>5167.4170313769846</v>
      </c>
      <c r="AF89" s="338">
        <f t="shared" si="145"/>
        <v>5333.4155951074526</v>
      </c>
      <c r="AG89" s="338">
        <f t="shared" si="145"/>
        <v>5499.4141588379216</v>
      </c>
      <c r="AH89" s="338">
        <f t="shared" si="145"/>
        <v>5665.4127225683324</v>
      </c>
      <c r="AI89" s="338">
        <f t="shared" si="145"/>
        <v>5831.4112862988013</v>
      </c>
      <c r="AJ89" s="338">
        <f t="shared" si="145"/>
        <v>5997.4098500292694</v>
      </c>
      <c r="AK89" s="338">
        <f t="shared" si="145"/>
        <v>0</v>
      </c>
      <c r="AL89" s="333"/>
      <c r="AM89" s="69"/>
    </row>
    <row r="90" spans="1:39">
      <c r="A90" s="69"/>
      <c r="B90" s="350" t="s">
        <v>850</v>
      </c>
      <c r="C90" s="338">
        <v>65923</v>
      </c>
      <c r="D90" s="338">
        <f t="shared" ref="D90:X90" si="146">($C90/$C156)*D156</f>
        <v>70230.687281213541</v>
      </c>
      <c r="E90" s="338">
        <f t="shared" si="146"/>
        <v>72076.838973162201</v>
      </c>
      <c r="F90" s="338">
        <f t="shared" si="146"/>
        <v>71384.532088681444</v>
      </c>
      <c r="G90" s="338">
        <f t="shared" si="146"/>
        <v>74615.297549591603</v>
      </c>
      <c r="H90" s="338">
        <f t="shared" si="146"/>
        <v>75692.219369894985</v>
      </c>
      <c r="I90" s="338">
        <f t="shared" si="146"/>
        <v>77692.217036172689</v>
      </c>
      <c r="J90" s="338">
        <f t="shared" si="146"/>
        <v>77922.98599766627</v>
      </c>
      <c r="K90" s="338">
        <f t="shared" si="146"/>
        <v>79461.445740956828</v>
      </c>
      <c r="L90" s="338">
        <f t="shared" si="146"/>
        <v>76461.449241540264</v>
      </c>
      <c r="M90" s="338">
        <f t="shared" si="146"/>
        <v>76076.834305717624</v>
      </c>
      <c r="N90" s="338">
        <f t="shared" si="146"/>
        <v>76076.834305717624</v>
      </c>
      <c r="O90" s="338">
        <f t="shared" si="146"/>
        <v>79192.914585764156</v>
      </c>
      <c r="P90" s="338">
        <f t="shared" si="146"/>
        <v>79850.955775962444</v>
      </c>
      <c r="Q90" s="338">
        <f t="shared" si="146"/>
        <v>80508.996966160921</v>
      </c>
      <c r="R90" s="338">
        <f t="shared" si="146"/>
        <v>81167.038156359209</v>
      </c>
      <c r="S90" s="338">
        <f t="shared" si="146"/>
        <v>81825.079346557672</v>
      </c>
      <c r="T90" s="338">
        <f t="shared" si="146"/>
        <v>82483.12053675596</v>
      </c>
      <c r="U90" s="338">
        <f t="shared" si="146"/>
        <v>83141.161726954262</v>
      </c>
      <c r="V90" s="338">
        <f t="shared" si="146"/>
        <v>83799.202917152725</v>
      </c>
      <c r="W90" s="338">
        <f t="shared" si="146"/>
        <v>84457.244107351013</v>
      </c>
      <c r="X90" s="338">
        <f t="shared" si="146"/>
        <v>85115.28529754949</v>
      </c>
      <c r="Y90" s="69"/>
      <c r="Z90" s="338">
        <f t="shared" ref="Z90:AK90" si="147">N90/$AA156</f>
        <v>1761.0378311508707</v>
      </c>
      <c r="AA90" s="338">
        <f t="shared" si="147"/>
        <v>1833.1693191149109</v>
      </c>
      <c r="AB90" s="338">
        <f t="shared" si="147"/>
        <v>1848.4017540732045</v>
      </c>
      <c r="AC90" s="338">
        <f t="shared" si="147"/>
        <v>1863.6341890315027</v>
      </c>
      <c r="AD90" s="338">
        <f t="shared" si="147"/>
        <v>1878.8666239897964</v>
      </c>
      <c r="AE90" s="338">
        <f t="shared" si="147"/>
        <v>1894.0990589480941</v>
      </c>
      <c r="AF90" s="338">
        <f t="shared" si="147"/>
        <v>1909.3314939063878</v>
      </c>
      <c r="AG90" s="338">
        <f t="shared" si="147"/>
        <v>1924.5639288646819</v>
      </c>
      <c r="AH90" s="338">
        <f t="shared" si="147"/>
        <v>1939.7963638229796</v>
      </c>
      <c r="AI90" s="338">
        <f t="shared" si="147"/>
        <v>1955.0287987812733</v>
      </c>
      <c r="AJ90" s="338">
        <f t="shared" si="147"/>
        <v>1970.2612337395715</v>
      </c>
      <c r="AK90" s="338">
        <f t="shared" si="147"/>
        <v>0</v>
      </c>
      <c r="AL90" s="333"/>
      <c r="AM90" s="69"/>
    </row>
    <row r="91" spans="1:39">
      <c r="A91" s="69"/>
      <c r="B91" s="350" t="s">
        <v>851</v>
      </c>
      <c r="C91" s="338">
        <v>25467</v>
      </c>
      <c r="D91" s="338">
        <f t="shared" ref="D91:X91" si="148">($C91/$C157)*D157</f>
        <v>28469.070198675501</v>
      </c>
      <c r="E91" s="338">
        <f t="shared" si="148"/>
        <v>23578.056953642386</v>
      </c>
      <c r="F91" s="338">
        <f t="shared" si="148"/>
        <v>32685.460927152322</v>
      </c>
      <c r="G91" s="338">
        <f t="shared" si="148"/>
        <v>32584.267549668875</v>
      </c>
      <c r="H91" s="338">
        <f t="shared" si="148"/>
        <v>33157.696688741722</v>
      </c>
      <c r="I91" s="338">
        <f t="shared" si="148"/>
        <v>34304.554966887423</v>
      </c>
      <c r="J91" s="338">
        <f t="shared" si="148"/>
        <v>35518.875496688743</v>
      </c>
      <c r="K91" s="338">
        <f t="shared" si="148"/>
        <v>37239.16291390729</v>
      </c>
      <c r="L91" s="338">
        <f t="shared" si="148"/>
        <v>38520.945695364244</v>
      </c>
      <c r="M91" s="338">
        <f t="shared" si="148"/>
        <v>39263.030463576164</v>
      </c>
      <c r="N91" s="338">
        <f t="shared" si="148"/>
        <v>43175.841059602652</v>
      </c>
      <c r="O91" s="338">
        <f t="shared" si="148"/>
        <v>43433.424202287548</v>
      </c>
      <c r="P91" s="338">
        <f t="shared" si="148"/>
        <v>44937.525767609732</v>
      </c>
      <c r="Q91" s="338">
        <f t="shared" si="148"/>
        <v>46441.627332931916</v>
      </c>
      <c r="R91" s="338">
        <f t="shared" si="148"/>
        <v>47945.728898253488</v>
      </c>
      <c r="S91" s="338">
        <f t="shared" si="148"/>
        <v>49449.830463575672</v>
      </c>
      <c r="T91" s="338">
        <f t="shared" si="148"/>
        <v>50953.932028897856</v>
      </c>
      <c r="U91" s="338">
        <f t="shared" si="148"/>
        <v>52458.03359422004</v>
      </c>
      <c r="V91" s="338">
        <f t="shared" si="148"/>
        <v>53962.135159542224</v>
      </c>
      <c r="W91" s="338">
        <f t="shared" si="148"/>
        <v>55466.236724864408</v>
      </c>
      <c r="X91" s="338">
        <f t="shared" si="148"/>
        <v>56970.33829018598</v>
      </c>
      <c r="Y91" s="69"/>
      <c r="Z91" s="338">
        <f t="shared" ref="Z91:AK91" si="149">N91/$AA157</f>
        <v>3658.9695813222584</v>
      </c>
      <c r="AA91" s="338">
        <f t="shared" si="149"/>
        <v>3680.7986612108089</v>
      </c>
      <c r="AB91" s="338">
        <f t="shared" si="149"/>
        <v>3808.2648955601467</v>
      </c>
      <c r="AC91" s="338">
        <f t="shared" si="149"/>
        <v>3935.731129909484</v>
      </c>
      <c r="AD91" s="338">
        <f t="shared" si="149"/>
        <v>4063.19736425877</v>
      </c>
      <c r="AE91" s="338">
        <f t="shared" si="149"/>
        <v>4190.6635986081073</v>
      </c>
      <c r="AF91" s="338">
        <f t="shared" si="149"/>
        <v>4318.1298329574456</v>
      </c>
      <c r="AG91" s="338">
        <f t="shared" si="149"/>
        <v>4445.596067306783</v>
      </c>
      <c r="AH91" s="338">
        <f t="shared" si="149"/>
        <v>4573.0623016561203</v>
      </c>
      <c r="AI91" s="338">
        <f t="shared" si="149"/>
        <v>4700.5285360054577</v>
      </c>
      <c r="AJ91" s="338">
        <f t="shared" si="149"/>
        <v>4827.9947703547441</v>
      </c>
      <c r="AK91" s="338">
        <f t="shared" si="149"/>
        <v>0</v>
      </c>
      <c r="AL91" s="333"/>
      <c r="AM91" s="69"/>
    </row>
    <row r="92" spans="1:39">
      <c r="A92" s="69"/>
      <c r="B92" s="350" t="s">
        <v>852</v>
      </c>
      <c r="C92" s="338">
        <v>27495</v>
      </c>
      <c r="D92" s="338">
        <f t="shared" ref="D92:X92" si="150">($C92/$C158)*D158</f>
        <v>31302</v>
      </c>
      <c r="E92" s="338">
        <f t="shared" si="150"/>
        <v>31453.071428571431</v>
      </c>
      <c r="F92" s="338">
        <f t="shared" si="150"/>
        <v>32148.000000000004</v>
      </c>
      <c r="G92" s="338">
        <f t="shared" si="150"/>
        <v>32178.21428571429</v>
      </c>
      <c r="H92" s="338">
        <f t="shared" si="150"/>
        <v>30788.357142857149</v>
      </c>
      <c r="I92" s="338">
        <f t="shared" si="150"/>
        <v>30758.142857142859</v>
      </c>
      <c r="J92" s="338">
        <f t="shared" si="150"/>
        <v>30607.071428571431</v>
      </c>
      <c r="K92" s="338">
        <f t="shared" si="150"/>
        <v>30093.428571428572</v>
      </c>
      <c r="L92" s="338">
        <f t="shared" si="150"/>
        <v>32087.571428571431</v>
      </c>
      <c r="M92" s="338">
        <f t="shared" si="150"/>
        <v>33175.285714285717</v>
      </c>
      <c r="N92" s="338">
        <f t="shared" si="150"/>
        <v>32450.142857142862</v>
      </c>
      <c r="O92" s="338">
        <f t="shared" si="150"/>
        <v>31990.885714285734</v>
      </c>
      <c r="P92" s="338">
        <f t="shared" si="150"/>
        <v>32064.498701298704</v>
      </c>
      <c r="Q92" s="338">
        <f t="shared" si="150"/>
        <v>32138.111688311692</v>
      </c>
      <c r="R92" s="338">
        <f t="shared" si="150"/>
        <v>32211.72467532468</v>
      </c>
      <c r="S92" s="338">
        <f t="shared" si="150"/>
        <v>32285.337662337672</v>
      </c>
      <c r="T92" s="338">
        <f t="shared" si="150"/>
        <v>32358.95064935066</v>
      </c>
      <c r="U92" s="338">
        <f t="shared" si="150"/>
        <v>32432.563636363648</v>
      </c>
      <c r="V92" s="338">
        <f t="shared" si="150"/>
        <v>32506.176623376636</v>
      </c>
      <c r="W92" s="338">
        <f t="shared" si="150"/>
        <v>32579.789610389627</v>
      </c>
      <c r="X92" s="338">
        <f t="shared" si="150"/>
        <v>32653.402597402615</v>
      </c>
      <c r="Y92" s="69"/>
      <c r="Z92" s="338">
        <f t="shared" ref="Z92:AK92" si="151">N92/$AA158</f>
        <v>1606.4427157001417</v>
      </c>
      <c r="AA92" s="338">
        <f t="shared" si="151"/>
        <v>1583.7072135785018</v>
      </c>
      <c r="AB92" s="338">
        <f t="shared" si="151"/>
        <v>1587.3514208563715</v>
      </c>
      <c r="AC92" s="338">
        <f t="shared" si="151"/>
        <v>1590.9956281342422</v>
      </c>
      <c r="AD92" s="338">
        <f t="shared" si="151"/>
        <v>1594.6398354121129</v>
      </c>
      <c r="AE92" s="338">
        <f t="shared" si="151"/>
        <v>1598.2840426899838</v>
      </c>
      <c r="AF92" s="338">
        <f t="shared" si="151"/>
        <v>1601.9282499678545</v>
      </c>
      <c r="AG92" s="338">
        <f t="shared" si="151"/>
        <v>1605.5724572457252</v>
      </c>
      <c r="AH92" s="338">
        <f t="shared" si="151"/>
        <v>1609.2166645235959</v>
      </c>
      <c r="AI92" s="338">
        <f t="shared" si="151"/>
        <v>1612.8608718014668</v>
      </c>
      <c r="AJ92" s="338">
        <f t="shared" si="151"/>
        <v>1616.5050790793375</v>
      </c>
      <c r="AK92" s="338">
        <f t="shared" si="151"/>
        <v>0</v>
      </c>
      <c r="AL92" s="333"/>
      <c r="AM92" s="69"/>
    </row>
    <row r="93" spans="1:39">
      <c r="A93" s="69"/>
      <c r="B93" s="344" t="s">
        <v>853</v>
      </c>
      <c r="C93" s="333"/>
      <c r="D93" s="333"/>
      <c r="E93" s="333"/>
      <c r="F93" s="333"/>
      <c r="G93" s="333"/>
      <c r="H93" s="333"/>
      <c r="I93" s="333"/>
      <c r="J93" s="333"/>
      <c r="K93" s="333"/>
      <c r="L93" s="333"/>
      <c r="M93" s="333"/>
      <c r="N93" s="333">
        <f t="shared" ref="N93:X93" si="152">AVERAGE(Z$71:Z$72,Z$76:Z$92,Z$94:Z$98)*$AA159</f>
        <v>19893.677217625253</v>
      </c>
      <c r="O93" s="333">
        <f t="shared" si="152"/>
        <v>19857.393994762428</v>
      </c>
      <c r="P93" s="333">
        <f t="shared" si="152"/>
        <v>20227.822520211372</v>
      </c>
      <c r="Q93" s="333">
        <f t="shared" si="152"/>
        <v>20598.251045660429</v>
      </c>
      <c r="R93" s="333">
        <f t="shared" si="152"/>
        <v>20968.679571109453</v>
      </c>
      <c r="S93" s="333">
        <f t="shared" si="152"/>
        <v>21339.108096558452</v>
      </c>
      <c r="T93" s="333">
        <f t="shared" si="152"/>
        <v>21709.536622007508</v>
      </c>
      <c r="U93" s="333">
        <f t="shared" si="152"/>
        <v>22079.965147456543</v>
      </c>
      <c r="V93" s="333">
        <f t="shared" si="152"/>
        <v>22450.393672905564</v>
      </c>
      <c r="W93" s="333">
        <f t="shared" si="152"/>
        <v>22820.822198354625</v>
      </c>
      <c r="X93" s="333">
        <f t="shared" si="152"/>
        <v>23191.250723803631</v>
      </c>
      <c r="Y93" s="69"/>
      <c r="Z93" s="338"/>
      <c r="AA93" s="338"/>
      <c r="AB93" s="338"/>
      <c r="AC93" s="338"/>
      <c r="AD93" s="338"/>
      <c r="AE93" s="338"/>
      <c r="AF93" s="338"/>
      <c r="AG93" s="338"/>
      <c r="AH93" s="338"/>
      <c r="AI93" s="338"/>
      <c r="AJ93" s="338"/>
      <c r="AK93" s="338"/>
      <c r="AL93" s="333"/>
      <c r="AM93" s="69"/>
    </row>
    <row r="94" spans="1:39">
      <c r="A94" s="69"/>
      <c r="B94" s="350" t="s">
        <v>854</v>
      </c>
      <c r="C94" s="338">
        <v>18514</v>
      </c>
      <c r="D94" s="338">
        <f t="shared" ref="D94:X94" si="153">($C94/$C160)*D160</f>
        <v>19268.425110132161</v>
      </c>
      <c r="E94" s="338">
        <f t="shared" si="153"/>
        <v>19818.951541850223</v>
      </c>
      <c r="F94" s="338">
        <f t="shared" si="153"/>
        <v>22469.634361233482</v>
      </c>
      <c r="G94" s="338">
        <f t="shared" si="153"/>
        <v>21205.462555066082</v>
      </c>
      <c r="H94" s="338">
        <f t="shared" si="153"/>
        <v>21164.682819383263</v>
      </c>
      <c r="I94" s="338">
        <f t="shared" si="153"/>
        <v>20002.46035242291</v>
      </c>
      <c r="J94" s="338">
        <f t="shared" si="153"/>
        <v>23122.110132158592</v>
      </c>
      <c r="K94" s="338">
        <f t="shared" si="153"/>
        <v>22979.381057268725</v>
      </c>
      <c r="L94" s="338">
        <f t="shared" si="153"/>
        <v>21898.718061674012</v>
      </c>
      <c r="M94" s="338">
        <f t="shared" si="153"/>
        <v>22877.431718061678</v>
      </c>
      <c r="N94" s="338">
        <f t="shared" si="153"/>
        <v>26200.980176211455</v>
      </c>
      <c r="O94" s="338">
        <f t="shared" si="153"/>
        <v>24674.70588706429</v>
      </c>
      <c r="P94" s="338">
        <f t="shared" si="153"/>
        <v>25135.516900280196</v>
      </c>
      <c r="Q94" s="338">
        <f t="shared" si="153"/>
        <v>25596.327913496098</v>
      </c>
      <c r="R94" s="338">
        <f t="shared" si="153"/>
        <v>26057.138926712003</v>
      </c>
      <c r="S94" s="338">
        <f t="shared" si="153"/>
        <v>26517.949939927905</v>
      </c>
      <c r="T94" s="338">
        <f t="shared" si="153"/>
        <v>26978.760953143625</v>
      </c>
      <c r="U94" s="338">
        <f t="shared" si="153"/>
        <v>27439.571966359526</v>
      </c>
      <c r="V94" s="338">
        <f t="shared" si="153"/>
        <v>27900.382979575432</v>
      </c>
      <c r="W94" s="338">
        <f t="shared" si="153"/>
        <v>28361.193992791334</v>
      </c>
      <c r="X94" s="338">
        <f t="shared" si="153"/>
        <v>28822.005006007053</v>
      </c>
      <c r="Y94" s="69"/>
      <c r="Z94" s="338">
        <f t="shared" ref="Z94:AK94" si="154">N94/$AA160</f>
        <v>1871.4985840151039</v>
      </c>
      <c r="AA94" s="338">
        <f t="shared" si="154"/>
        <v>1762.4789919331636</v>
      </c>
      <c r="AB94" s="338">
        <f t="shared" si="154"/>
        <v>1795.3940643057283</v>
      </c>
      <c r="AC94" s="338">
        <f t="shared" si="154"/>
        <v>1828.3091366782926</v>
      </c>
      <c r="AD94" s="338">
        <f t="shared" si="154"/>
        <v>1861.2242090508573</v>
      </c>
      <c r="AE94" s="338">
        <f t="shared" si="154"/>
        <v>1894.1392814234218</v>
      </c>
      <c r="AF94" s="338">
        <f t="shared" si="154"/>
        <v>1927.0543537959732</v>
      </c>
      <c r="AG94" s="338">
        <f t="shared" si="154"/>
        <v>1959.9694261685377</v>
      </c>
      <c r="AH94" s="338">
        <f t="shared" si="154"/>
        <v>1992.8844985411022</v>
      </c>
      <c r="AI94" s="338">
        <f t="shared" si="154"/>
        <v>2025.7995709136667</v>
      </c>
      <c r="AJ94" s="338">
        <f t="shared" si="154"/>
        <v>2058.7146432862182</v>
      </c>
      <c r="AK94" s="338">
        <f t="shared" si="154"/>
        <v>0</v>
      </c>
      <c r="AL94" s="333"/>
      <c r="AM94" s="69"/>
    </row>
    <row r="95" spans="1:39">
      <c r="A95" s="69"/>
      <c r="B95" s="350" t="s">
        <v>855</v>
      </c>
      <c r="C95" s="338">
        <v>41501</v>
      </c>
      <c r="D95" s="338">
        <f t="shared" ref="D95:X95" si="155">($C95/$C161)*D161</f>
        <v>42729.648026315794</v>
      </c>
      <c r="E95" s="338">
        <f t="shared" si="155"/>
        <v>47917.273026315786</v>
      </c>
      <c r="F95" s="338">
        <f t="shared" si="155"/>
        <v>45733.009868421053</v>
      </c>
      <c r="G95" s="338">
        <f t="shared" si="155"/>
        <v>48372.327850877191</v>
      </c>
      <c r="H95" s="338">
        <f t="shared" si="155"/>
        <v>47189.185307017542</v>
      </c>
      <c r="I95" s="338">
        <f t="shared" si="155"/>
        <v>43412.2302631579</v>
      </c>
      <c r="J95" s="338">
        <f t="shared" si="155"/>
        <v>46870.646929824565</v>
      </c>
      <c r="K95" s="338">
        <f t="shared" si="155"/>
        <v>45050.427631578947</v>
      </c>
      <c r="L95" s="338">
        <f t="shared" si="155"/>
        <v>43048.186403508771</v>
      </c>
      <c r="M95" s="338">
        <f t="shared" si="155"/>
        <v>46233.570175438595</v>
      </c>
      <c r="N95" s="338">
        <f t="shared" si="155"/>
        <v>48781.877192982458</v>
      </c>
      <c r="O95" s="338">
        <f t="shared" si="155"/>
        <v>46404.008891547033</v>
      </c>
      <c r="P95" s="338">
        <f t="shared" si="155"/>
        <v>46481.368211722496</v>
      </c>
      <c r="Q95" s="338">
        <f t="shared" si="155"/>
        <v>46558.727531897937</v>
      </c>
      <c r="R95" s="338">
        <f t="shared" si="155"/>
        <v>46636.086852073386</v>
      </c>
      <c r="S95" s="338">
        <f t="shared" si="155"/>
        <v>46713.446172248827</v>
      </c>
      <c r="T95" s="338">
        <f t="shared" si="155"/>
        <v>46790.805492424253</v>
      </c>
      <c r="U95" s="338">
        <f t="shared" si="155"/>
        <v>46868.164812599694</v>
      </c>
      <c r="V95" s="338">
        <f t="shared" si="155"/>
        <v>46945.524132775143</v>
      </c>
      <c r="W95" s="338">
        <f t="shared" si="155"/>
        <v>47022.883452950591</v>
      </c>
      <c r="X95" s="338">
        <f t="shared" si="155"/>
        <v>47100.242773126032</v>
      </c>
      <c r="Y95" s="69"/>
      <c r="Z95" s="338">
        <f t="shared" ref="Z95:AK95" si="156">N95/$AA161</f>
        <v>2488.8712853562479</v>
      </c>
      <c r="AA95" s="338">
        <f t="shared" si="156"/>
        <v>2367.5514740585218</v>
      </c>
      <c r="AB95" s="338">
        <f t="shared" si="156"/>
        <v>2371.4983781491069</v>
      </c>
      <c r="AC95" s="338">
        <f t="shared" si="156"/>
        <v>2375.4452822396906</v>
      </c>
      <c r="AD95" s="338">
        <f t="shared" si="156"/>
        <v>2379.3921863302744</v>
      </c>
      <c r="AE95" s="338">
        <f t="shared" si="156"/>
        <v>2383.3390904208582</v>
      </c>
      <c r="AF95" s="338">
        <f t="shared" si="156"/>
        <v>2387.2859945114415</v>
      </c>
      <c r="AG95" s="338">
        <f t="shared" si="156"/>
        <v>2391.2328986020252</v>
      </c>
      <c r="AH95" s="338">
        <f t="shared" si="156"/>
        <v>2395.179802692609</v>
      </c>
      <c r="AI95" s="338">
        <f t="shared" si="156"/>
        <v>2399.1267067831932</v>
      </c>
      <c r="AJ95" s="338">
        <f t="shared" si="156"/>
        <v>2403.0736108737769</v>
      </c>
      <c r="AK95" s="338">
        <f t="shared" si="156"/>
        <v>0</v>
      </c>
      <c r="AL95" s="333"/>
      <c r="AM95" s="69"/>
    </row>
    <row r="96" spans="1:39">
      <c r="A96" s="69"/>
      <c r="B96" s="350" t="s">
        <v>856</v>
      </c>
      <c r="C96" s="338">
        <v>36817</v>
      </c>
      <c r="D96" s="338">
        <f t="shared" ref="D96:X96" si="157">($C96/$C162)*D162</f>
        <v>38223.204861111109</v>
      </c>
      <c r="E96" s="338">
        <f t="shared" si="157"/>
        <v>40183.369212962956</v>
      </c>
      <c r="F96" s="338">
        <f t="shared" si="157"/>
        <v>41461.737268518518</v>
      </c>
      <c r="G96" s="338">
        <f t="shared" si="157"/>
        <v>41589.574074074073</v>
      </c>
      <c r="H96" s="338">
        <f t="shared" si="157"/>
        <v>42356.594907407409</v>
      </c>
      <c r="I96" s="338">
        <f t="shared" si="157"/>
        <v>42697.493055555555</v>
      </c>
      <c r="J96" s="338">
        <f t="shared" si="157"/>
        <v>43464.513888888883</v>
      </c>
      <c r="K96" s="338">
        <f t="shared" si="157"/>
        <v>43166.228009259255</v>
      </c>
      <c r="L96" s="338">
        <f t="shared" si="157"/>
        <v>44316.759259259255</v>
      </c>
      <c r="M96" s="338">
        <f t="shared" si="157"/>
        <v>44359.371527777774</v>
      </c>
      <c r="N96" s="338">
        <f t="shared" si="157"/>
        <v>45467.290509259255</v>
      </c>
      <c r="O96" s="338">
        <f t="shared" si="157"/>
        <v>46066.961342592549</v>
      </c>
      <c r="P96" s="338">
        <f t="shared" si="157"/>
        <v>46664.695254629718</v>
      </c>
      <c r="Q96" s="338">
        <f t="shared" si="157"/>
        <v>47262.429166666698</v>
      </c>
      <c r="R96" s="338">
        <f t="shared" si="157"/>
        <v>47860.163078703677</v>
      </c>
      <c r="S96" s="338">
        <f t="shared" si="157"/>
        <v>48457.89699074065</v>
      </c>
      <c r="T96" s="338">
        <f t="shared" si="157"/>
        <v>49055.630902777826</v>
      </c>
      <c r="U96" s="338">
        <f t="shared" si="157"/>
        <v>49653.364814814806</v>
      </c>
      <c r="V96" s="338">
        <f t="shared" si="157"/>
        <v>50251.098726851778</v>
      </c>
      <c r="W96" s="338">
        <f t="shared" si="157"/>
        <v>50848.832638888955</v>
      </c>
      <c r="X96" s="338">
        <f t="shared" si="157"/>
        <v>51446.566550925927</v>
      </c>
      <c r="Y96" s="69"/>
      <c r="Z96" s="338">
        <f t="shared" ref="Z96:AK96" si="158">N96/$AA162</f>
        <v>1833.3584882765829</v>
      </c>
      <c r="AA96" s="338">
        <f t="shared" si="158"/>
        <v>1857.5387638142156</v>
      </c>
      <c r="AB96" s="338">
        <f t="shared" si="158"/>
        <v>1881.640937686682</v>
      </c>
      <c r="AC96" s="338">
        <f t="shared" si="158"/>
        <v>1905.743111559141</v>
      </c>
      <c r="AD96" s="338">
        <f t="shared" si="158"/>
        <v>1929.8452854315999</v>
      </c>
      <c r="AE96" s="338">
        <f t="shared" si="158"/>
        <v>1953.9474593040584</v>
      </c>
      <c r="AF96" s="338">
        <f t="shared" si="158"/>
        <v>1978.0496331765253</v>
      </c>
      <c r="AG96" s="338">
        <f t="shared" si="158"/>
        <v>2002.151807048984</v>
      </c>
      <c r="AH96" s="338">
        <f t="shared" si="158"/>
        <v>2026.2539809214427</v>
      </c>
      <c r="AI96" s="338">
        <f t="shared" si="158"/>
        <v>2050.3561547939094</v>
      </c>
      <c r="AJ96" s="338">
        <f t="shared" si="158"/>
        <v>2074.4583286663678</v>
      </c>
      <c r="AK96" s="338">
        <f t="shared" si="158"/>
        <v>0</v>
      </c>
      <c r="AL96" s="333"/>
      <c r="AM96" s="69"/>
    </row>
    <row r="97" spans="1:39">
      <c r="A97" s="69"/>
      <c r="B97" s="350" t="s">
        <v>857</v>
      </c>
      <c r="C97" s="338">
        <v>51893</v>
      </c>
      <c r="D97" s="338">
        <f t="shared" ref="D97:X97" si="159">($C97/$C163)*D163</f>
        <v>52312.4584295612</v>
      </c>
      <c r="E97" s="338">
        <f t="shared" si="159"/>
        <v>53211.297921478057</v>
      </c>
      <c r="F97" s="338">
        <f t="shared" si="159"/>
        <v>54889.131639722858</v>
      </c>
      <c r="G97" s="338">
        <f t="shared" si="159"/>
        <v>55787.971131639722</v>
      </c>
      <c r="H97" s="338">
        <f t="shared" si="159"/>
        <v>58364.644341801388</v>
      </c>
      <c r="I97" s="338">
        <f t="shared" si="159"/>
        <v>59862.710161662821</v>
      </c>
      <c r="J97" s="338">
        <f t="shared" si="159"/>
        <v>60222.245958429558</v>
      </c>
      <c r="K97" s="338">
        <f t="shared" si="159"/>
        <v>60821.472286374134</v>
      </c>
      <c r="L97" s="338">
        <f t="shared" si="159"/>
        <v>64296.984988452656</v>
      </c>
      <c r="M97" s="338">
        <f t="shared" si="159"/>
        <v>65495.4376443418</v>
      </c>
      <c r="N97" s="338">
        <f t="shared" si="159"/>
        <v>67472.88452655889</v>
      </c>
      <c r="O97" s="338">
        <f t="shared" si="159"/>
        <v>68344.486458114057</v>
      </c>
      <c r="P97" s="338">
        <f t="shared" si="159"/>
        <v>69845.276034012015</v>
      </c>
      <c r="Q97" s="338">
        <f t="shared" si="159"/>
        <v>71346.065609909419</v>
      </c>
      <c r="R97" s="338">
        <f t="shared" si="159"/>
        <v>72846.855185807362</v>
      </c>
      <c r="S97" s="338">
        <f t="shared" si="159"/>
        <v>74347.644761704767</v>
      </c>
      <c r="T97" s="338">
        <f t="shared" si="159"/>
        <v>75848.434337602172</v>
      </c>
      <c r="U97" s="338">
        <f t="shared" si="159"/>
        <v>77349.223913499576</v>
      </c>
      <c r="V97" s="338">
        <f t="shared" si="159"/>
        <v>78850.013489397534</v>
      </c>
      <c r="W97" s="338">
        <f t="shared" si="159"/>
        <v>80350.803065294938</v>
      </c>
      <c r="X97" s="338">
        <f t="shared" si="159"/>
        <v>81851.592641192343</v>
      </c>
      <c r="Y97" s="69"/>
      <c r="Z97" s="338">
        <f t="shared" ref="Z97:AK97" si="160">N97/$AA163</f>
        <v>1382.6410763639117</v>
      </c>
      <c r="AA97" s="338">
        <f t="shared" si="160"/>
        <v>1400.5017716826651</v>
      </c>
      <c r="AB97" s="338">
        <f t="shared" si="160"/>
        <v>1431.2556564346726</v>
      </c>
      <c r="AC97" s="338">
        <f t="shared" si="160"/>
        <v>1462.0095411866685</v>
      </c>
      <c r="AD97" s="338">
        <f t="shared" si="160"/>
        <v>1492.7634259386755</v>
      </c>
      <c r="AE97" s="338">
        <f t="shared" si="160"/>
        <v>1523.5173106906716</v>
      </c>
      <c r="AF97" s="338">
        <f t="shared" si="160"/>
        <v>1554.2711954426675</v>
      </c>
      <c r="AG97" s="338">
        <f t="shared" si="160"/>
        <v>1585.0250801946636</v>
      </c>
      <c r="AH97" s="338">
        <f t="shared" si="160"/>
        <v>1615.7789649466708</v>
      </c>
      <c r="AI97" s="338">
        <f t="shared" si="160"/>
        <v>1646.532849698667</v>
      </c>
      <c r="AJ97" s="338">
        <f t="shared" si="160"/>
        <v>1677.2867344506628</v>
      </c>
      <c r="AK97" s="338">
        <f t="shared" si="160"/>
        <v>0</v>
      </c>
      <c r="AL97" s="333"/>
      <c r="AM97" s="69"/>
    </row>
    <row r="98" spans="1:39">
      <c r="A98" s="69"/>
      <c r="B98" s="350" t="s">
        <v>858</v>
      </c>
      <c r="C98" s="338">
        <v>50310</v>
      </c>
      <c r="D98" s="338">
        <f t="shared" ref="D98:X98" si="161">($C98/$C164)*D164</f>
        <v>51510.579545454544</v>
      </c>
      <c r="E98" s="338">
        <f t="shared" si="161"/>
        <v>54826.465909090919</v>
      </c>
      <c r="F98" s="338">
        <f t="shared" si="161"/>
        <v>54311.931818181823</v>
      </c>
      <c r="G98" s="338">
        <f t="shared" si="161"/>
        <v>57284.795454545463</v>
      </c>
      <c r="H98" s="338">
        <f t="shared" si="161"/>
        <v>58085.181818181816</v>
      </c>
      <c r="I98" s="338">
        <f t="shared" si="161"/>
        <v>56770.261363636368</v>
      </c>
      <c r="J98" s="338">
        <f t="shared" si="161"/>
        <v>55969.875000000007</v>
      </c>
      <c r="K98" s="338">
        <f t="shared" si="161"/>
        <v>56998.943181818191</v>
      </c>
      <c r="L98" s="338">
        <f t="shared" si="161"/>
        <v>58085.181818181816</v>
      </c>
      <c r="M98" s="338">
        <f t="shared" si="161"/>
        <v>57170.454545454551</v>
      </c>
      <c r="N98" s="338">
        <f t="shared" si="161"/>
        <v>59171.420454545456</v>
      </c>
      <c r="O98" s="338">
        <f t="shared" si="161"/>
        <v>59452.075413223152</v>
      </c>
      <c r="P98" s="338">
        <f t="shared" si="161"/>
        <v>59964.0108471075</v>
      </c>
      <c r="Q98" s="338">
        <f t="shared" si="161"/>
        <v>60475.946280991855</v>
      </c>
      <c r="R98" s="338">
        <f t="shared" si="161"/>
        <v>60987.881714876072</v>
      </c>
      <c r="S98" s="338">
        <f t="shared" si="161"/>
        <v>61499.817148760427</v>
      </c>
      <c r="T98" s="338">
        <f t="shared" si="161"/>
        <v>62011.752582644651</v>
      </c>
      <c r="U98" s="338">
        <f t="shared" si="161"/>
        <v>62523.688016528999</v>
      </c>
      <c r="V98" s="338">
        <f t="shared" si="161"/>
        <v>63035.623450413223</v>
      </c>
      <c r="W98" s="338">
        <f t="shared" si="161"/>
        <v>63547.558884297578</v>
      </c>
      <c r="X98" s="338">
        <f t="shared" si="161"/>
        <v>64059.494318181925</v>
      </c>
      <c r="Y98" s="69"/>
      <c r="Z98" s="338">
        <f t="shared" ref="Z98:AK98" si="162">N98/$AA164</f>
        <v>1787.6562070859654</v>
      </c>
      <c r="AA98" s="338">
        <f t="shared" si="162"/>
        <v>1796.1352088587055</v>
      </c>
      <c r="AB98" s="338">
        <f t="shared" si="162"/>
        <v>1811.6015361663897</v>
      </c>
      <c r="AC98" s="338">
        <f t="shared" si="162"/>
        <v>1827.0678634740741</v>
      </c>
      <c r="AD98" s="338">
        <f t="shared" si="162"/>
        <v>1842.5341907817544</v>
      </c>
      <c r="AE98" s="338">
        <f t="shared" si="162"/>
        <v>1858.0005180894389</v>
      </c>
      <c r="AF98" s="338">
        <f t="shared" si="162"/>
        <v>1873.4668453971192</v>
      </c>
      <c r="AG98" s="338">
        <f t="shared" si="162"/>
        <v>1888.9331727048036</v>
      </c>
      <c r="AH98" s="338">
        <f t="shared" si="162"/>
        <v>1904.3995000124839</v>
      </c>
      <c r="AI98" s="338">
        <f t="shared" si="162"/>
        <v>1919.8658273201684</v>
      </c>
      <c r="AJ98" s="338">
        <f t="shared" si="162"/>
        <v>1935.3321546278526</v>
      </c>
      <c r="AK98" s="338">
        <f t="shared" si="162"/>
        <v>0</v>
      </c>
      <c r="AL98" s="333"/>
      <c r="AM98" s="69"/>
    </row>
    <row r="99" spans="1:39">
      <c r="A99" s="69"/>
      <c r="B99" s="351" t="s">
        <v>824</v>
      </c>
      <c r="C99" s="352">
        <v>40882.6</v>
      </c>
      <c r="D99" s="352">
        <v>39284.459941860005</v>
      </c>
      <c r="E99" s="352">
        <v>40580.847119941383</v>
      </c>
      <c r="F99" s="352">
        <v>40698.531576589208</v>
      </c>
      <c r="G99" s="352">
        <v>41382.266907075908</v>
      </c>
      <c r="H99" s="352">
        <v>42507.864566948374</v>
      </c>
      <c r="I99" s="352">
        <v>43562.059608208685</v>
      </c>
      <c r="J99" s="352">
        <v>44150.147412919512</v>
      </c>
      <c r="K99" s="352">
        <v>44344.408061536356</v>
      </c>
      <c r="L99" s="352">
        <v>44348.842502342508</v>
      </c>
      <c r="M99" s="352">
        <v>44455.279724348133</v>
      </c>
      <c r="N99" s="352">
        <f t="shared" ref="N99:X99" si="163">AVERAGE(N94:N98,N75:N92,N71:N72)</f>
        <v>54484.131979912949</v>
      </c>
      <c r="O99" s="352">
        <f t="shared" si="163"/>
        <v>54964.032009814146</v>
      </c>
      <c r="P99" s="352">
        <f t="shared" si="163"/>
        <v>55950.479688615451</v>
      </c>
      <c r="Q99" s="352">
        <f t="shared" si="163"/>
        <v>56936.927367416931</v>
      </c>
      <c r="R99" s="352">
        <f t="shared" si="163"/>
        <v>57923.375046218389</v>
      </c>
      <c r="S99" s="352">
        <f t="shared" si="163"/>
        <v>58909.822725019796</v>
      </c>
      <c r="T99" s="352">
        <f t="shared" si="163"/>
        <v>59896.270403821261</v>
      </c>
      <c r="U99" s="352">
        <f t="shared" si="163"/>
        <v>60882.718082622683</v>
      </c>
      <c r="V99" s="352">
        <f t="shared" si="163"/>
        <v>61869.165761424141</v>
      </c>
      <c r="W99" s="352">
        <f t="shared" si="163"/>
        <v>62855.613440225621</v>
      </c>
      <c r="X99" s="352">
        <f t="shared" si="163"/>
        <v>63842.061119027043</v>
      </c>
      <c r="Y99" s="69"/>
      <c r="Z99" s="352"/>
      <c r="AA99" s="352"/>
      <c r="AB99" s="352"/>
      <c r="AC99" s="352"/>
      <c r="AD99" s="352"/>
      <c r="AE99" s="352"/>
      <c r="AF99" s="352"/>
      <c r="AG99" s="352"/>
      <c r="AH99" s="352"/>
      <c r="AI99" s="352"/>
      <c r="AJ99" s="352"/>
      <c r="AK99" s="352"/>
      <c r="AL99" s="333"/>
      <c r="AM99" s="69"/>
    </row>
    <row r="100" spans="1:39">
      <c r="A100" s="69"/>
      <c r="B100" s="350" t="s">
        <v>193</v>
      </c>
      <c r="C100" s="353" t="s">
        <v>859</v>
      </c>
      <c r="D100" s="354"/>
      <c r="E100" s="354"/>
      <c r="F100" s="354"/>
      <c r="G100" s="354"/>
      <c r="H100" s="354"/>
      <c r="I100" s="338">
        <f t="shared" ref="I100:X100" si="164">I99</f>
        <v>43562.059608208685</v>
      </c>
      <c r="J100" s="338">
        <f t="shared" si="164"/>
        <v>44150.147412919512</v>
      </c>
      <c r="K100" s="338">
        <f t="shared" si="164"/>
        <v>44344.408061536356</v>
      </c>
      <c r="L100" s="338">
        <f t="shared" si="164"/>
        <v>44348.842502342508</v>
      </c>
      <c r="M100" s="338">
        <f t="shared" si="164"/>
        <v>44455.279724348133</v>
      </c>
      <c r="N100" s="338">
        <f t="shared" si="164"/>
        <v>54484.131979912949</v>
      </c>
      <c r="O100" s="338">
        <f t="shared" si="164"/>
        <v>54964.032009814146</v>
      </c>
      <c r="P100" s="338">
        <f t="shared" si="164"/>
        <v>55950.479688615451</v>
      </c>
      <c r="Q100" s="338">
        <f t="shared" si="164"/>
        <v>56936.927367416931</v>
      </c>
      <c r="R100" s="338">
        <f t="shared" si="164"/>
        <v>57923.375046218389</v>
      </c>
      <c r="S100" s="338">
        <f t="shared" si="164"/>
        <v>58909.822725019796</v>
      </c>
      <c r="T100" s="338">
        <f t="shared" si="164"/>
        <v>59896.270403821261</v>
      </c>
      <c r="U100" s="338">
        <f t="shared" si="164"/>
        <v>60882.718082622683</v>
      </c>
      <c r="V100" s="338">
        <f t="shared" si="164"/>
        <v>61869.165761424141</v>
      </c>
      <c r="W100" s="338">
        <f t="shared" si="164"/>
        <v>62855.613440225621</v>
      </c>
      <c r="X100" s="338">
        <f t="shared" si="164"/>
        <v>63842.061119027043</v>
      </c>
      <c r="Y100" s="354"/>
      <c r="Z100" s="354"/>
      <c r="AA100" s="354"/>
      <c r="AB100" s="354"/>
      <c r="AC100" s="354"/>
      <c r="AD100" s="354"/>
      <c r="AE100" s="354"/>
      <c r="AF100" s="354"/>
      <c r="AG100" s="354"/>
      <c r="AH100" s="354"/>
      <c r="AI100" s="354"/>
      <c r="AJ100" s="354"/>
      <c r="AK100" s="354"/>
      <c r="AL100" s="354"/>
      <c r="AM100" s="354"/>
    </row>
    <row r="101" spans="1:39">
      <c r="A101" s="69"/>
      <c r="B101" s="355"/>
      <c r="C101" s="354"/>
      <c r="D101" s="354"/>
      <c r="E101" s="354"/>
      <c r="F101" s="354"/>
      <c r="G101" s="354"/>
      <c r="H101" s="354"/>
      <c r="I101" s="354"/>
      <c r="J101" s="354"/>
      <c r="K101" s="354"/>
      <c r="L101" s="354"/>
      <c r="M101" s="354"/>
      <c r="N101" s="354"/>
      <c r="O101" s="354"/>
      <c r="P101" s="354"/>
      <c r="Q101" s="354"/>
      <c r="R101" s="354"/>
      <c r="S101" s="354"/>
      <c r="T101" s="354"/>
      <c r="U101" s="354"/>
      <c r="V101" s="354"/>
      <c r="W101" s="354"/>
      <c r="X101" s="354"/>
      <c r="Y101" s="354"/>
      <c r="Z101" s="354"/>
      <c r="AA101" s="354"/>
      <c r="AB101" s="354"/>
      <c r="AC101" s="354"/>
      <c r="AD101" s="354"/>
      <c r="AE101" s="354"/>
      <c r="AF101" s="354"/>
      <c r="AG101" s="354"/>
      <c r="AH101" s="354"/>
      <c r="AI101" s="354"/>
      <c r="AJ101" s="354"/>
      <c r="AK101" s="354"/>
      <c r="AL101" s="354"/>
      <c r="AM101" s="354"/>
    </row>
    <row r="102" spans="1:39">
      <c r="A102" s="69"/>
      <c r="B102" s="382" t="s">
        <v>867</v>
      </c>
      <c r="C102" s="383"/>
      <c r="D102" s="384"/>
      <c r="E102" s="354"/>
      <c r="F102" s="354"/>
      <c r="G102" s="354"/>
      <c r="H102" s="354"/>
      <c r="I102" s="354"/>
      <c r="J102" s="354"/>
      <c r="K102" s="354"/>
      <c r="L102" s="354"/>
      <c r="M102" s="354"/>
      <c r="N102" s="354"/>
      <c r="O102" s="354"/>
      <c r="P102" s="354"/>
      <c r="Q102" s="354"/>
      <c r="R102" s="354"/>
      <c r="S102" s="354"/>
      <c r="T102" s="354"/>
      <c r="U102" s="354"/>
      <c r="V102" s="354"/>
      <c r="W102" s="354"/>
      <c r="X102" s="354"/>
      <c r="Y102" s="354"/>
      <c r="Z102" s="354"/>
      <c r="AA102" s="354"/>
      <c r="AB102" s="354"/>
      <c r="AC102" s="354"/>
      <c r="AD102" s="354"/>
      <c r="AE102" s="354"/>
      <c r="AF102" s="354"/>
      <c r="AG102" s="354"/>
      <c r="AH102" s="354"/>
      <c r="AI102" s="354"/>
      <c r="AJ102" s="354"/>
      <c r="AK102" s="354"/>
      <c r="AL102" s="354"/>
      <c r="AM102" s="354"/>
    </row>
    <row r="103" spans="1:39">
      <c r="A103" s="69"/>
      <c r="B103" s="350" t="s">
        <v>830</v>
      </c>
      <c r="C103" s="385">
        <v>1.0309999999999999</v>
      </c>
      <c r="D103" s="354"/>
      <c r="E103" s="354"/>
      <c r="F103" s="386" t="s">
        <v>868</v>
      </c>
      <c r="G103" s="387"/>
      <c r="H103" s="387"/>
      <c r="I103" s="387"/>
      <c r="J103" s="387"/>
      <c r="K103" s="387"/>
      <c r="L103" s="387"/>
      <c r="M103" s="388"/>
      <c r="N103" s="354"/>
      <c r="O103" s="354"/>
      <c r="P103" s="354"/>
      <c r="Q103" s="354"/>
      <c r="R103" s="354"/>
      <c r="S103" s="354"/>
      <c r="T103" s="354"/>
      <c r="U103" s="354"/>
      <c r="V103" s="354"/>
      <c r="W103" s="354"/>
      <c r="X103" s="354"/>
      <c r="Y103" s="354"/>
      <c r="Z103" s="354"/>
      <c r="AA103" s="354"/>
      <c r="AB103" s="354"/>
      <c r="AC103" s="354"/>
      <c r="AD103" s="354"/>
      <c r="AE103" s="354"/>
      <c r="AF103" s="354"/>
      <c r="AG103" s="354"/>
      <c r="AH103" s="354"/>
      <c r="AI103" s="354"/>
      <c r="AJ103" s="354"/>
      <c r="AK103" s="354"/>
      <c r="AL103" s="354"/>
      <c r="AM103" s="354"/>
    </row>
    <row r="104" spans="1:39">
      <c r="A104" s="69"/>
      <c r="B104" s="350" t="s">
        <v>832</v>
      </c>
      <c r="C104" s="385">
        <v>1.044</v>
      </c>
      <c r="D104" s="354"/>
      <c r="E104" s="354"/>
      <c r="F104" s="389" t="s">
        <v>869</v>
      </c>
      <c r="G104" s="354"/>
      <c r="H104" s="354"/>
      <c r="I104" s="354"/>
      <c r="J104" s="354"/>
      <c r="K104" s="354"/>
      <c r="L104" s="354"/>
      <c r="M104" s="390"/>
      <c r="N104" s="354"/>
      <c r="O104" s="354"/>
      <c r="P104" s="354"/>
      <c r="Q104" s="354"/>
      <c r="R104" s="354"/>
      <c r="S104" s="354"/>
      <c r="T104" s="354"/>
      <c r="U104" s="354"/>
      <c r="V104" s="354"/>
      <c r="W104" s="354"/>
      <c r="X104" s="354"/>
      <c r="Y104" s="354"/>
      <c r="Z104" s="354"/>
      <c r="AA104" s="354"/>
      <c r="AB104" s="354"/>
      <c r="AC104" s="354"/>
      <c r="AD104" s="354"/>
      <c r="AE104" s="354"/>
      <c r="AF104" s="354"/>
      <c r="AG104" s="354"/>
      <c r="AH104" s="354"/>
      <c r="AI104" s="354"/>
      <c r="AJ104" s="354"/>
      <c r="AK104" s="354"/>
      <c r="AL104" s="354"/>
      <c r="AM104" s="354"/>
    </row>
    <row r="105" spans="1:39">
      <c r="A105" s="69"/>
      <c r="B105" s="350" t="s">
        <v>834</v>
      </c>
      <c r="C105" s="385">
        <v>0.89100000000000001</v>
      </c>
      <c r="D105" s="354"/>
      <c r="E105" s="354"/>
      <c r="F105" s="391" t="s">
        <v>870</v>
      </c>
      <c r="G105" s="354"/>
      <c r="H105" s="354"/>
      <c r="I105" s="354"/>
      <c r="J105" s="354"/>
      <c r="K105" s="354"/>
      <c r="L105" s="354"/>
      <c r="M105" s="390"/>
      <c r="N105" s="354"/>
      <c r="O105" s="354"/>
      <c r="P105" s="354"/>
      <c r="Q105" s="354"/>
      <c r="R105" s="354"/>
      <c r="S105" s="354"/>
      <c r="T105" s="354"/>
      <c r="U105" s="354"/>
      <c r="V105" s="354"/>
      <c r="W105" s="354"/>
      <c r="X105" s="354"/>
      <c r="Y105" s="354"/>
      <c r="Z105" s="354"/>
      <c r="AA105" s="354"/>
      <c r="AB105" s="354"/>
      <c r="AC105" s="354"/>
      <c r="AD105" s="354"/>
      <c r="AE105" s="354"/>
      <c r="AF105" s="354"/>
      <c r="AG105" s="354"/>
      <c r="AH105" s="354"/>
      <c r="AI105" s="354"/>
      <c r="AJ105" s="354"/>
      <c r="AK105" s="354"/>
      <c r="AL105" s="354"/>
      <c r="AM105" s="354"/>
    </row>
    <row r="106" spans="1:39">
      <c r="A106" s="69"/>
      <c r="B106" s="357" t="s">
        <v>835</v>
      </c>
      <c r="C106" s="385">
        <v>0.53100000000000003</v>
      </c>
      <c r="D106" s="354"/>
      <c r="E106" s="354"/>
      <c r="F106" s="392" t="s">
        <v>871</v>
      </c>
      <c r="G106" s="354"/>
      <c r="H106" s="354"/>
      <c r="I106" s="354"/>
      <c r="J106" s="354"/>
      <c r="K106" s="354"/>
      <c r="L106" s="354"/>
      <c r="M106" s="390"/>
      <c r="N106" s="354"/>
      <c r="O106" s="354"/>
      <c r="P106" s="354"/>
      <c r="Q106" s="354"/>
      <c r="R106" s="354"/>
      <c r="S106" s="354"/>
      <c r="T106" s="354"/>
      <c r="U106" s="354"/>
      <c r="V106" s="354"/>
      <c r="W106" s="354"/>
      <c r="X106" s="354"/>
      <c r="Y106" s="354"/>
      <c r="Z106" s="354"/>
      <c r="AA106" s="354"/>
      <c r="AB106" s="354"/>
      <c r="AC106" s="354"/>
      <c r="AD106" s="354"/>
      <c r="AE106" s="354"/>
      <c r="AF106" s="354"/>
      <c r="AG106" s="354"/>
      <c r="AH106" s="354"/>
      <c r="AI106" s="354"/>
      <c r="AJ106" s="354"/>
      <c r="AK106" s="354"/>
      <c r="AL106" s="354"/>
      <c r="AM106" s="354"/>
    </row>
    <row r="107" spans="1:39">
      <c r="A107" s="69"/>
      <c r="B107" s="350" t="s">
        <v>836</v>
      </c>
      <c r="C107" s="385">
        <v>1.405</v>
      </c>
      <c r="D107" s="354"/>
      <c r="E107" s="354"/>
      <c r="F107" s="389" t="s">
        <v>872</v>
      </c>
      <c r="G107" s="354"/>
      <c r="H107" s="354"/>
      <c r="I107" s="354"/>
      <c r="J107" s="354"/>
      <c r="K107" s="354"/>
      <c r="L107" s="354"/>
      <c r="M107" s="390"/>
      <c r="N107" s="354"/>
      <c r="O107" s="354"/>
      <c r="P107" s="354"/>
      <c r="Q107" s="354"/>
      <c r="R107" s="354"/>
      <c r="S107" s="354"/>
      <c r="T107" s="354"/>
      <c r="U107" s="354"/>
      <c r="V107" s="354"/>
      <c r="W107" s="354"/>
      <c r="X107" s="354"/>
      <c r="Y107" s="354"/>
      <c r="Z107" s="354"/>
      <c r="AA107" s="354"/>
      <c r="AB107" s="354"/>
      <c r="AC107" s="354"/>
      <c r="AD107" s="354"/>
      <c r="AE107" s="354"/>
      <c r="AF107" s="354"/>
      <c r="AG107" s="354"/>
      <c r="AH107" s="354"/>
      <c r="AI107" s="354"/>
      <c r="AJ107" s="354"/>
      <c r="AK107" s="354"/>
      <c r="AL107" s="354"/>
      <c r="AM107" s="354"/>
    </row>
    <row r="108" spans="1:39">
      <c r="A108" s="69"/>
      <c r="B108" s="350" t="s">
        <v>837</v>
      </c>
      <c r="C108" s="385">
        <v>0.55800000000000005</v>
      </c>
      <c r="D108" s="354"/>
      <c r="E108" s="354"/>
      <c r="F108" s="393" t="s">
        <v>873</v>
      </c>
      <c r="G108" s="394"/>
      <c r="H108" s="394"/>
      <c r="I108" s="394"/>
      <c r="J108" s="394"/>
      <c r="K108" s="394"/>
      <c r="L108" s="394"/>
      <c r="M108" s="395"/>
      <c r="N108" s="354"/>
      <c r="O108" s="354"/>
      <c r="P108" s="354"/>
      <c r="Q108" s="354"/>
      <c r="R108" s="354"/>
      <c r="S108" s="354"/>
      <c r="T108" s="354"/>
      <c r="U108" s="354"/>
      <c r="V108" s="354"/>
      <c r="W108" s="354"/>
      <c r="X108" s="354"/>
      <c r="Y108" s="354"/>
      <c r="Z108" s="354"/>
      <c r="AA108" s="354"/>
      <c r="AB108" s="354"/>
      <c r="AC108" s="354"/>
      <c r="AD108" s="354"/>
      <c r="AE108" s="354"/>
      <c r="AF108" s="354"/>
      <c r="AG108" s="354"/>
      <c r="AH108" s="354"/>
      <c r="AI108" s="354"/>
      <c r="AJ108" s="354"/>
      <c r="AK108" s="354"/>
      <c r="AL108" s="354"/>
      <c r="AM108" s="354"/>
    </row>
    <row r="109" spans="1:39">
      <c r="A109" s="69"/>
      <c r="B109" s="350" t="s">
        <v>839</v>
      </c>
      <c r="C109" s="385">
        <v>1.218</v>
      </c>
      <c r="D109" s="354"/>
      <c r="E109" s="354"/>
      <c r="F109" s="354"/>
      <c r="G109" s="354"/>
      <c r="H109" s="354"/>
      <c r="I109" s="354"/>
      <c r="J109" s="354"/>
      <c r="K109" s="354"/>
      <c r="L109" s="354"/>
      <c r="M109" s="354"/>
      <c r="N109" s="354"/>
      <c r="O109" s="354"/>
      <c r="P109" s="354"/>
      <c r="Q109" s="354"/>
      <c r="R109" s="354"/>
      <c r="S109" s="354"/>
      <c r="T109" s="354"/>
      <c r="U109" s="354"/>
      <c r="V109" s="354"/>
      <c r="W109" s="354"/>
      <c r="X109" s="354"/>
      <c r="Y109" s="354"/>
      <c r="Z109" s="354"/>
      <c r="AA109" s="354"/>
      <c r="AB109" s="354"/>
      <c r="AC109" s="354"/>
      <c r="AD109" s="354"/>
      <c r="AE109" s="354"/>
      <c r="AF109" s="354"/>
      <c r="AG109" s="354"/>
      <c r="AH109" s="354"/>
      <c r="AI109" s="354"/>
      <c r="AJ109" s="354"/>
      <c r="AK109" s="354"/>
      <c r="AL109" s="354"/>
      <c r="AM109" s="354"/>
    </row>
    <row r="110" spans="1:39">
      <c r="A110" s="69"/>
      <c r="B110" s="350" t="s">
        <v>840</v>
      </c>
      <c r="C110" s="385">
        <v>1.07</v>
      </c>
      <c r="D110" s="354"/>
      <c r="E110" s="354"/>
      <c r="F110" s="354"/>
      <c r="G110" s="354"/>
      <c r="H110" s="354"/>
      <c r="I110" s="354"/>
      <c r="J110" s="354"/>
      <c r="K110" s="354"/>
      <c r="L110" s="354"/>
      <c r="M110" s="354"/>
      <c r="N110" s="354"/>
      <c r="O110" s="354"/>
      <c r="P110" s="354"/>
      <c r="Q110" s="354"/>
      <c r="R110" s="354"/>
      <c r="S110" s="354"/>
      <c r="T110" s="354"/>
      <c r="U110" s="354"/>
      <c r="V110" s="354"/>
      <c r="W110" s="354"/>
      <c r="X110" s="354"/>
      <c r="Y110" s="354"/>
      <c r="Z110" s="354"/>
      <c r="AA110" s="354"/>
      <c r="AB110" s="354"/>
      <c r="AC110" s="354"/>
      <c r="AD110" s="354"/>
      <c r="AE110" s="354"/>
      <c r="AF110" s="354"/>
      <c r="AG110" s="354"/>
      <c r="AH110" s="354"/>
      <c r="AI110" s="354"/>
      <c r="AJ110" s="354"/>
      <c r="AK110" s="354"/>
      <c r="AL110" s="354"/>
      <c r="AM110" s="354"/>
    </row>
    <row r="111" spans="1:39">
      <c r="A111" s="69"/>
      <c r="B111" s="350" t="s">
        <v>841</v>
      </c>
      <c r="C111" s="385">
        <v>1.052</v>
      </c>
      <c r="D111" s="354"/>
      <c r="E111" s="354"/>
      <c r="F111" s="354"/>
      <c r="G111" s="354"/>
      <c r="H111" s="354"/>
      <c r="I111" s="354"/>
      <c r="J111" s="354"/>
      <c r="K111" s="354"/>
      <c r="L111" s="354"/>
      <c r="M111" s="354"/>
      <c r="N111" s="354"/>
      <c r="O111" s="354"/>
      <c r="P111" s="354"/>
      <c r="Q111" s="354"/>
      <c r="R111" s="354"/>
      <c r="S111" s="354"/>
      <c r="T111" s="354"/>
      <c r="U111" s="354"/>
      <c r="V111" s="354"/>
      <c r="W111" s="354"/>
      <c r="X111" s="354"/>
      <c r="Y111" s="354"/>
      <c r="Z111" s="354"/>
      <c r="AA111" s="354"/>
      <c r="AB111" s="354"/>
      <c r="AC111" s="354"/>
      <c r="AD111" s="354"/>
      <c r="AE111" s="354"/>
      <c r="AF111" s="354"/>
      <c r="AG111" s="354"/>
      <c r="AH111" s="354"/>
      <c r="AI111" s="354"/>
      <c r="AJ111" s="354"/>
      <c r="AK111" s="354"/>
      <c r="AL111" s="354"/>
      <c r="AM111" s="354"/>
    </row>
    <row r="112" spans="1:39">
      <c r="A112" s="69"/>
      <c r="B112" s="350" t="s">
        <v>842</v>
      </c>
      <c r="C112" s="385">
        <v>0.83299999999999996</v>
      </c>
      <c r="D112" s="354"/>
      <c r="E112" s="354"/>
      <c r="F112" s="354"/>
      <c r="G112" s="354"/>
      <c r="H112" s="354"/>
      <c r="I112" s="354"/>
      <c r="J112" s="354"/>
      <c r="K112" s="354"/>
      <c r="L112" s="354"/>
      <c r="M112" s="354"/>
      <c r="N112" s="354"/>
      <c r="O112" s="354"/>
      <c r="P112" s="354"/>
      <c r="Q112" s="354"/>
      <c r="R112" s="354"/>
      <c r="S112" s="354"/>
      <c r="T112" s="354"/>
      <c r="U112" s="354"/>
      <c r="V112" s="354"/>
      <c r="W112" s="354"/>
      <c r="X112" s="354"/>
      <c r="Y112" s="354"/>
      <c r="Z112" s="354"/>
      <c r="AA112" s="354"/>
      <c r="AB112" s="354"/>
      <c r="AC112" s="354"/>
      <c r="AD112" s="354"/>
      <c r="AE112" s="354"/>
      <c r="AF112" s="354"/>
      <c r="AG112" s="354"/>
      <c r="AH112" s="354"/>
      <c r="AI112" s="354"/>
      <c r="AJ112" s="354"/>
      <c r="AK112" s="354"/>
      <c r="AL112" s="354"/>
      <c r="AM112" s="354"/>
    </row>
    <row r="113" spans="1:39">
      <c r="A113" s="69"/>
      <c r="B113" s="350" t="s">
        <v>843</v>
      </c>
      <c r="C113" s="385">
        <v>0.57099999999999995</v>
      </c>
      <c r="D113" s="354"/>
      <c r="E113" s="354"/>
      <c r="F113" s="354"/>
      <c r="G113" s="354"/>
      <c r="H113" s="354"/>
      <c r="I113" s="354"/>
      <c r="J113" s="354"/>
      <c r="K113" s="354"/>
      <c r="L113" s="354"/>
      <c r="M113" s="354"/>
      <c r="N113" s="354"/>
      <c r="O113" s="354"/>
      <c r="P113" s="354"/>
      <c r="Q113" s="354"/>
      <c r="R113" s="354"/>
      <c r="S113" s="354"/>
      <c r="T113" s="354"/>
      <c r="U113" s="354"/>
      <c r="V113" s="354"/>
      <c r="W113" s="354"/>
      <c r="X113" s="354"/>
      <c r="Y113" s="354"/>
      <c r="Z113" s="354"/>
      <c r="AA113" s="354"/>
      <c r="AB113" s="354"/>
      <c r="AC113" s="354"/>
      <c r="AD113" s="354"/>
      <c r="AE113" s="354"/>
      <c r="AF113" s="354"/>
      <c r="AG113" s="354"/>
      <c r="AH113" s="354"/>
      <c r="AI113" s="354"/>
      <c r="AJ113" s="354"/>
      <c r="AK113" s="354"/>
      <c r="AL113" s="354"/>
      <c r="AM113" s="354"/>
    </row>
    <row r="114" spans="1:39">
      <c r="A114" s="69"/>
      <c r="B114" s="350" t="s">
        <v>844</v>
      </c>
      <c r="C114" s="385">
        <v>1.2230000000000001</v>
      </c>
      <c r="D114" s="354"/>
      <c r="E114" s="354"/>
      <c r="F114" s="354"/>
      <c r="G114" s="354"/>
      <c r="H114" s="354"/>
      <c r="I114" s="354"/>
      <c r="J114" s="354"/>
      <c r="K114" s="354"/>
      <c r="L114" s="354"/>
      <c r="M114" s="354"/>
      <c r="N114" s="354"/>
      <c r="O114" s="354"/>
      <c r="P114" s="354"/>
      <c r="Q114" s="354"/>
      <c r="R114" s="354"/>
      <c r="S114" s="354"/>
      <c r="T114" s="354"/>
      <c r="U114" s="354"/>
      <c r="V114" s="354"/>
      <c r="W114" s="354"/>
      <c r="X114" s="354"/>
      <c r="Y114" s="354"/>
      <c r="Z114" s="354"/>
      <c r="AA114" s="354"/>
      <c r="AB114" s="354"/>
      <c r="AC114" s="354"/>
      <c r="AD114" s="354"/>
      <c r="AE114" s="354"/>
      <c r="AF114" s="354"/>
      <c r="AG114" s="354"/>
      <c r="AH114" s="354"/>
      <c r="AI114" s="354"/>
      <c r="AJ114" s="354"/>
      <c r="AK114" s="354"/>
      <c r="AL114" s="354"/>
      <c r="AM114" s="354"/>
    </row>
    <row r="115" spans="1:39">
      <c r="A115" s="69"/>
      <c r="B115" s="350" t="s">
        <v>845</v>
      </c>
      <c r="C115" s="385">
        <v>1.0609999999999999</v>
      </c>
      <c r="D115" s="354"/>
      <c r="E115" s="354"/>
      <c r="F115" s="354"/>
      <c r="G115" s="354"/>
      <c r="H115" s="354"/>
      <c r="I115" s="354"/>
      <c r="J115" s="354"/>
      <c r="K115" s="354"/>
      <c r="L115" s="354"/>
      <c r="M115" s="354"/>
      <c r="N115" s="354"/>
      <c r="O115" s="354"/>
      <c r="P115" s="354"/>
      <c r="Q115" s="354"/>
      <c r="R115" s="354"/>
      <c r="S115" s="354"/>
      <c r="T115" s="354"/>
      <c r="U115" s="354"/>
      <c r="V115" s="354"/>
      <c r="W115" s="354"/>
      <c r="X115" s="354"/>
      <c r="Y115" s="354"/>
      <c r="Z115" s="354"/>
      <c r="AA115" s="354"/>
      <c r="AB115" s="354"/>
      <c r="AC115" s="354"/>
      <c r="AD115" s="354"/>
      <c r="AE115" s="354"/>
      <c r="AF115" s="354"/>
      <c r="AG115" s="354"/>
      <c r="AH115" s="354"/>
      <c r="AI115" s="354"/>
      <c r="AJ115" s="354"/>
      <c r="AK115" s="354"/>
      <c r="AL115" s="354"/>
      <c r="AM115" s="354"/>
    </row>
    <row r="116" spans="1:39">
      <c r="A116" s="69"/>
      <c r="B116" s="350" t="s">
        <v>846</v>
      </c>
      <c r="C116" s="385">
        <v>0.48599999999999999</v>
      </c>
      <c r="D116" s="354"/>
      <c r="E116" s="354"/>
      <c r="F116" s="354"/>
      <c r="G116" s="354"/>
      <c r="H116" s="354"/>
      <c r="I116" s="354"/>
      <c r="J116" s="354"/>
      <c r="K116" s="354"/>
      <c r="L116" s="354"/>
      <c r="M116" s="354"/>
      <c r="N116" s="354"/>
      <c r="O116" s="354"/>
      <c r="P116" s="354"/>
      <c r="Q116" s="354"/>
      <c r="R116" s="354"/>
      <c r="S116" s="354"/>
      <c r="T116" s="354"/>
      <c r="U116" s="354"/>
      <c r="V116" s="354"/>
      <c r="W116" s="354"/>
      <c r="X116" s="354"/>
      <c r="Y116" s="354"/>
      <c r="Z116" s="354"/>
      <c r="AA116" s="354"/>
      <c r="AB116" s="354"/>
      <c r="AC116" s="354"/>
      <c r="AD116" s="354"/>
      <c r="AE116" s="354"/>
      <c r="AF116" s="354"/>
      <c r="AG116" s="354"/>
      <c r="AH116" s="354"/>
      <c r="AI116" s="354"/>
      <c r="AJ116" s="354"/>
      <c r="AK116" s="354"/>
      <c r="AL116" s="354"/>
      <c r="AM116" s="354"/>
    </row>
    <row r="117" spans="1:39">
      <c r="A117" s="69"/>
      <c r="B117" s="350" t="s">
        <v>847</v>
      </c>
      <c r="C117" s="385">
        <v>0.46700000000000003</v>
      </c>
      <c r="D117" s="354"/>
      <c r="E117" s="354"/>
      <c r="F117" s="354"/>
      <c r="G117" s="354"/>
      <c r="H117" s="354"/>
      <c r="I117" s="354"/>
      <c r="J117" s="354"/>
      <c r="K117" s="354"/>
      <c r="L117" s="354"/>
      <c r="M117" s="354"/>
      <c r="N117" s="354"/>
      <c r="O117" s="354"/>
      <c r="P117" s="354"/>
      <c r="Q117" s="354"/>
      <c r="R117" s="354"/>
      <c r="S117" s="354"/>
      <c r="T117" s="354"/>
      <c r="U117" s="354"/>
      <c r="V117" s="354"/>
      <c r="W117" s="354"/>
      <c r="X117" s="354"/>
      <c r="Y117" s="354"/>
      <c r="Z117" s="354"/>
      <c r="AA117" s="354"/>
      <c r="AB117" s="354"/>
      <c r="AC117" s="354"/>
      <c r="AD117" s="354"/>
      <c r="AE117" s="354"/>
      <c r="AF117" s="354"/>
      <c r="AG117" s="354"/>
      <c r="AH117" s="354"/>
      <c r="AI117" s="354"/>
      <c r="AJ117" s="354"/>
      <c r="AK117" s="354"/>
      <c r="AL117" s="354"/>
      <c r="AM117" s="354"/>
    </row>
    <row r="118" spans="1:39">
      <c r="A118" s="69"/>
      <c r="B118" s="350" t="s">
        <v>848</v>
      </c>
      <c r="C118" s="385">
        <v>1.135</v>
      </c>
      <c r="D118" s="354"/>
      <c r="E118" s="354"/>
      <c r="F118" s="354"/>
      <c r="G118" s="354"/>
      <c r="H118" s="354"/>
      <c r="I118" s="354"/>
      <c r="J118" s="354"/>
      <c r="K118" s="354"/>
      <c r="L118" s="354"/>
      <c r="M118" s="354"/>
      <c r="N118" s="354"/>
      <c r="O118" s="354"/>
      <c r="P118" s="354"/>
      <c r="Q118" s="354"/>
      <c r="R118" s="354"/>
      <c r="S118" s="354"/>
      <c r="T118" s="354"/>
      <c r="U118" s="354"/>
      <c r="V118" s="354"/>
      <c r="W118" s="354"/>
      <c r="X118" s="354"/>
      <c r="Y118" s="354"/>
      <c r="Z118" s="354"/>
      <c r="AA118" s="354"/>
      <c r="AB118" s="354"/>
      <c r="AC118" s="354"/>
      <c r="AD118" s="354"/>
      <c r="AE118" s="354"/>
      <c r="AF118" s="354"/>
      <c r="AG118" s="354"/>
      <c r="AH118" s="354"/>
      <c r="AI118" s="354"/>
      <c r="AJ118" s="354"/>
      <c r="AK118" s="354"/>
      <c r="AL118" s="354"/>
      <c r="AM118" s="354"/>
    </row>
    <row r="119" spans="1:39">
      <c r="A119" s="69"/>
      <c r="B119" s="350" t="s">
        <v>849</v>
      </c>
      <c r="C119" s="385">
        <v>0.69599999999999995</v>
      </c>
      <c r="D119" s="354"/>
      <c r="E119" s="354"/>
      <c r="F119" s="354"/>
      <c r="G119" s="354"/>
      <c r="H119" s="354"/>
      <c r="I119" s="354"/>
      <c r="J119" s="354"/>
      <c r="K119" s="354"/>
      <c r="L119" s="354"/>
      <c r="M119" s="354"/>
      <c r="N119" s="354"/>
      <c r="O119" s="354"/>
      <c r="P119" s="354"/>
      <c r="Q119" s="354"/>
      <c r="R119" s="354"/>
      <c r="S119" s="354"/>
      <c r="T119" s="354"/>
      <c r="U119" s="354"/>
      <c r="V119" s="354"/>
      <c r="W119" s="354"/>
      <c r="X119" s="354"/>
      <c r="Y119" s="354"/>
      <c r="Z119" s="354"/>
      <c r="AA119" s="354"/>
      <c r="AB119" s="354"/>
      <c r="AC119" s="354"/>
      <c r="AD119" s="354"/>
      <c r="AE119" s="354"/>
      <c r="AF119" s="354"/>
      <c r="AG119" s="354"/>
      <c r="AH119" s="354"/>
      <c r="AI119" s="354"/>
      <c r="AJ119" s="354"/>
      <c r="AK119" s="354"/>
      <c r="AL119" s="354"/>
      <c r="AM119" s="354"/>
    </row>
    <row r="120" spans="1:39">
      <c r="A120" s="69"/>
      <c r="B120" s="350" t="s">
        <v>850</v>
      </c>
      <c r="C120" s="385">
        <v>1.042</v>
      </c>
      <c r="D120" s="354"/>
      <c r="E120" s="354"/>
      <c r="F120" s="354"/>
      <c r="G120" s="354"/>
      <c r="H120" s="354"/>
      <c r="I120" s="354"/>
      <c r="J120" s="354"/>
      <c r="K120" s="354"/>
      <c r="L120" s="354"/>
      <c r="M120" s="354"/>
      <c r="N120" s="354"/>
      <c r="O120" s="354"/>
      <c r="P120" s="354"/>
      <c r="Q120" s="354"/>
      <c r="R120" s="354"/>
      <c r="S120" s="354"/>
      <c r="T120" s="354"/>
      <c r="U120" s="354"/>
      <c r="V120" s="354"/>
      <c r="W120" s="354"/>
      <c r="X120" s="354"/>
      <c r="Y120" s="354"/>
      <c r="Z120" s="354"/>
      <c r="AA120" s="354"/>
      <c r="AB120" s="354"/>
      <c r="AC120" s="354"/>
      <c r="AD120" s="354"/>
      <c r="AE120" s="354"/>
      <c r="AF120" s="354"/>
      <c r="AG120" s="354"/>
      <c r="AH120" s="354"/>
      <c r="AI120" s="354"/>
      <c r="AJ120" s="354"/>
      <c r="AK120" s="354"/>
      <c r="AL120" s="354"/>
      <c r="AM120" s="354"/>
    </row>
    <row r="121" spans="1:39">
      <c r="A121" s="69"/>
      <c r="B121" s="350" t="s">
        <v>851</v>
      </c>
      <c r="C121" s="385">
        <v>0.54</v>
      </c>
      <c r="D121" s="354"/>
      <c r="E121" s="354"/>
      <c r="F121" s="354"/>
      <c r="G121" s="354"/>
      <c r="H121" s="354"/>
      <c r="I121" s="354"/>
      <c r="J121" s="354"/>
      <c r="K121" s="354"/>
      <c r="L121" s="354"/>
      <c r="M121" s="354"/>
      <c r="N121" s="354"/>
      <c r="O121" s="354"/>
      <c r="P121" s="354"/>
      <c r="Q121" s="354"/>
      <c r="R121" s="354"/>
      <c r="S121" s="354"/>
      <c r="T121" s="354"/>
      <c r="U121" s="354"/>
      <c r="V121" s="354"/>
      <c r="W121" s="354"/>
      <c r="X121" s="354"/>
      <c r="Y121" s="354"/>
      <c r="Z121" s="354"/>
      <c r="AA121" s="354"/>
      <c r="AB121" s="354"/>
      <c r="AC121" s="354"/>
      <c r="AD121" s="354"/>
      <c r="AE121" s="354"/>
      <c r="AF121" s="354"/>
      <c r="AG121" s="354"/>
      <c r="AH121" s="354"/>
      <c r="AI121" s="354"/>
      <c r="AJ121" s="354"/>
      <c r="AK121" s="354"/>
      <c r="AL121" s="354"/>
      <c r="AM121" s="354"/>
    </row>
    <row r="122" spans="1:39">
      <c r="A122" s="69"/>
      <c r="B122" s="350" t="s">
        <v>852</v>
      </c>
      <c r="C122" s="385">
        <v>0.87</v>
      </c>
      <c r="D122" s="354"/>
      <c r="E122" s="354"/>
      <c r="F122" s="354"/>
      <c r="G122" s="354"/>
      <c r="H122" s="354"/>
      <c r="I122" s="354"/>
      <c r="J122" s="354"/>
      <c r="K122" s="354"/>
      <c r="L122" s="354"/>
      <c r="M122" s="354"/>
      <c r="N122" s="354"/>
      <c r="O122" s="354"/>
      <c r="P122" s="354"/>
      <c r="Q122" s="354"/>
      <c r="R122" s="354"/>
      <c r="S122" s="354"/>
      <c r="T122" s="354"/>
      <c r="U122" s="354"/>
      <c r="V122" s="354"/>
      <c r="W122" s="354"/>
      <c r="X122" s="354"/>
      <c r="Y122" s="354"/>
      <c r="Z122" s="354"/>
      <c r="AA122" s="354"/>
      <c r="AB122" s="354"/>
      <c r="AC122" s="354"/>
      <c r="AD122" s="354"/>
      <c r="AE122" s="354"/>
      <c r="AF122" s="354"/>
      <c r="AG122" s="354"/>
      <c r="AH122" s="354"/>
      <c r="AI122" s="354"/>
      <c r="AJ122" s="354"/>
      <c r="AK122" s="354"/>
      <c r="AL122" s="354"/>
      <c r="AM122" s="354"/>
    </row>
    <row r="123" spans="1:39">
      <c r="A123" s="69"/>
      <c r="B123" s="350" t="s">
        <v>854</v>
      </c>
      <c r="C123" s="385">
        <v>0.502</v>
      </c>
      <c r="D123" s="354"/>
      <c r="E123" s="354"/>
      <c r="F123" s="354"/>
      <c r="G123" s="354"/>
      <c r="H123" s="354"/>
      <c r="I123" s="354"/>
      <c r="J123" s="354"/>
      <c r="K123" s="354"/>
      <c r="L123" s="354"/>
      <c r="M123" s="354"/>
      <c r="N123" s="354"/>
      <c r="O123" s="354"/>
      <c r="P123" s="354"/>
      <c r="Q123" s="354"/>
      <c r="R123" s="354"/>
      <c r="S123" s="354"/>
      <c r="T123" s="354"/>
      <c r="U123" s="354"/>
      <c r="V123" s="354"/>
      <c r="W123" s="354"/>
      <c r="X123" s="354"/>
      <c r="Y123" s="354"/>
      <c r="Z123" s="354"/>
      <c r="AA123" s="354"/>
      <c r="AB123" s="354"/>
      <c r="AC123" s="354"/>
      <c r="AD123" s="354"/>
      <c r="AE123" s="354"/>
      <c r="AF123" s="354"/>
      <c r="AG123" s="354"/>
      <c r="AH123" s="354"/>
      <c r="AI123" s="354"/>
      <c r="AJ123" s="354"/>
      <c r="AK123" s="354"/>
      <c r="AL123" s="354"/>
      <c r="AM123" s="354"/>
    </row>
    <row r="124" spans="1:39">
      <c r="A124" s="69"/>
      <c r="B124" s="350" t="s">
        <v>855</v>
      </c>
      <c r="C124" s="385">
        <v>0.73099999999999998</v>
      </c>
      <c r="D124" s="354"/>
      <c r="E124" s="354"/>
      <c r="F124" s="354"/>
      <c r="G124" s="354"/>
      <c r="H124" s="354"/>
      <c r="I124" s="354"/>
      <c r="J124" s="354"/>
      <c r="K124" s="354"/>
      <c r="L124" s="354"/>
      <c r="M124" s="354"/>
      <c r="N124" s="354"/>
      <c r="O124" s="354"/>
      <c r="P124" s="354"/>
      <c r="Q124" s="354"/>
      <c r="R124" s="354"/>
      <c r="S124" s="354"/>
      <c r="T124" s="354"/>
      <c r="U124" s="354"/>
      <c r="V124" s="354"/>
      <c r="W124" s="354"/>
      <c r="X124" s="354"/>
      <c r="Y124" s="354"/>
      <c r="Z124" s="354"/>
      <c r="AA124" s="354"/>
      <c r="AB124" s="354"/>
      <c r="AC124" s="354"/>
      <c r="AD124" s="354"/>
      <c r="AE124" s="354"/>
      <c r="AF124" s="354"/>
      <c r="AG124" s="354"/>
      <c r="AH124" s="354"/>
      <c r="AI124" s="354"/>
      <c r="AJ124" s="354"/>
      <c r="AK124" s="354"/>
      <c r="AL124" s="354"/>
      <c r="AM124" s="354"/>
    </row>
    <row r="125" spans="1:39">
      <c r="A125" s="69"/>
      <c r="B125" s="350" t="s">
        <v>856</v>
      </c>
      <c r="C125" s="385">
        <v>0.89800000000000002</v>
      </c>
      <c r="D125" s="354"/>
      <c r="E125" s="354"/>
      <c r="F125" s="354"/>
      <c r="G125" s="354"/>
      <c r="H125" s="354"/>
      <c r="I125" s="354"/>
      <c r="J125" s="354"/>
      <c r="K125" s="354"/>
      <c r="L125" s="354"/>
      <c r="M125" s="354"/>
      <c r="N125" s="354"/>
      <c r="O125" s="354"/>
      <c r="P125" s="354"/>
      <c r="Q125" s="354"/>
      <c r="R125" s="354"/>
      <c r="S125" s="354"/>
      <c r="T125" s="354"/>
      <c r="U125" s="354"/>
      <c r="V125" s="354"/>
      <c r="W125" s="354"/>
      <c r="X125" s="354"/>
      <c r="Y125" s="354"/>
      <c r="Z125" s="354"/>
      <c r="AA125" s="354"/>
      <c r="AB125" s="354"/>
      <c r="AC125" s="354"/>
      <c r="AD125" s="354"/>
      <c r="AE125" s="354"/>
      <c r="AF125" s="354"/>
      <c r="AG125" s="354"/>
      <c r="AH125" s="354"/>
      <c r="AI125" s="354"/>
      <c r="AJ125" s="354"/>
      <c r="AK125" s="354"/>
      <c r="AL125" s="354"/>
      <c r="AM125" s="354"/>
    </row>
    <row r="126" spans="1:39">
      <c r="A126" s="69"/>
      <c r="B126" s="350" t="s">
        <v>857</v>
      </c>
      <c r="C126" s="385">
        <v>1.1890000000000001</v>
      </c>
      <c r="D126" s="354"/>
      <c r="E126" s="354"/>
      <c r="F126" s="354"/>
      <c r="G126" s="354"/>
      <c r="H126" s="354"/>
      <c r="I126" s="354"/>
      <c r="J126" s="354"/>
      <c r="K126" s="354"/>
      <c r="L126" s="354"/>
      <c r="M126" s="354"/>
      <c r="N126" s="354"/>
      <c r="O126" s="354"/>
      <c r="P126" s="354"/>
      <c r="Q126" s="354"/>
      <c r="R126" s="354"/>
      <c r="S126" s="354"/>
      <c r="T126" s="354"/>
      <c r="U126" s="354"/>
      <c r="V126" s="354"/>
      <c r="W126" s="354"/>
      <c r="X126" s="354"/>
      <c r="Y126" s="354"/>
      <c r="Z126" s="354"/>
      <c r="AA126" s="354"/>
      <c r="AB126" s="354"/>
      <c r="AC126" s="354"/>
      <c r="AD126" s="354"/>
      <c r="AE126" s="354"/>
      <c r="AF126" s="354"/>
      <c r="AG126" s="354"/>
      <c r="AH126" s="354"/>
      <c r="AI126" s="354"/>
      <c r="AJ126" s="354"/>
      <c r="AK126" s="354"/>
      <c r="AL126" s="354"/>
      <c r="AM126" s="354"/>
    </row>
    <row r="127" spans="1:39">
      <c r="A127" s="69"/>
      <c r="B127" s="350" t="s">
        <v>858</v>
      </c>
      <c r="C127" s="385">
        <v>1.0620000000000001</v>
      </c>
      <c r="D127" s="354"/>
      <c r="E127" s="354"/>
      <c r="F127" s="354"/>
      <c r="G127" s="354"/>
      <c r="H127" s="354"/>
      <c r="I127" s="354"/>
      <c r="J127" s="354"/>
      <c r="K127" s="354"/>
      <c r="L127" s="354"/>
      <c r="M127" s="354"/>
      <c r="N127" s="354"/>
      <c r="O127" s="354"/>
      <c r="P127" s="354"/>
      <c r="Q127" s="354"/>
      <c r="R127" s="354"/>
      <c r="S127" s="354"/>
      <c r="T127" s="354"/>
      <c r="U127" s="354"/>
      <c r="V127" s="354"/>
      <c r="W127" s="354"/>
      <c r="X127" s="354"/>
      <c r="Y127" s="354"/>
      <c r="Z127" s="354"/>
      <c r="AA127" s="354"/>
      <c r="AB127" s="354"/>
      <c r="AC127" s="354"/>
      <c r="AD127" s="354"/>
      <c r="AE127" s="354"/>
      <c r="AF127" s="354"/>
      <c r="AG127" s="354"/>
      <c r="AH127" s="354"/>
      <c r="AI127" s="354"/>
      <c r="AJ127" s="354"/>
      <c r="AK127" s="354"/>
      <c r="AL127" s="354"/>
      <c r="AM127" s="354"/>
    </row>
    <row r="128" spans="1:39">
      <c r="A128" s="69"/>
      <c r="B128" s="355"/>
      <c r="C128" s="354"/>
      <c r="D128" s="354"/>
      <c r="E128" s="354"/>
      <c r="F128" s="354"/>
      <c r="G128" s="354"/>
      <c r="H128" s="354"/>
      <c r="I128" s="354"/>
      <c r="J128" s="354"/>
      <c r="K128" s="354"/>
      <c r="L128" s="354"/>
      <c r="M128" s="354"/>
      <c r="N128" s="354"/>
      <c r="O128" s="354"/>
      <c r="P128" s="354"/>
      <c r="Q128" s="354"/>
      <c r="R128" s="354"/>
      <c r="S128" s="354"/>
      <c r="T128" s="354"/>
      <c r="U128" s="354"/>
      <c r="V128" s="354"/>
      <c r="W128" s="354"/>
      <c r="X128" s="354"/>
      <c r="Y128" s="354"/>
      <c r="Z128" s="354"/>
      <c r="AA128" s="354"/>
      <c r="AB128" s="354"/>
      <c r="AC128" s="354"/>
      <c r="AD128" s="354"/>
      <c r="AE128" s="354"/>
      <c r="AF128" s="354"/>
      <c r="AG128" s="354"/>
      <c r="AH128" s="354"/>
      <c r="AI128" s="354"/>
      <c r="AJ128" s="354"/>
      <c r="AK128" s="354"/>
      <c r="AL128" s="354"/>
      <c r="AM128" s="354"/>
    </row>
    <row r="129" spans="1:39">
      <c r="A129" s="69"/>
      <c r="B129" s="69"/>
      <c r="C129" s="327"/>
      <c r="D129" s="327"/>
      <c r="E129" s="327"/>
      <c r="F129" s="327"/>
      <c r="G129" s="327"/>
      <c r="H129" s="327"/>
      <c r="I129" s="327"/>
      <c r="J129" s="327"/>
      <c r="K129" s="327"/>
      <c r="L129" s="327"/>
      <c r="M129" s="327"/>
      <c r="N129" s="327"/>
      <c r="O129" s="327"/>
      <c r="P129" s="327"/>
      <c r="Q129" s="327"/>
      <c r="R129" s="327"/>
      <c r="S129" s="327"/>
      <c r="T129" s="327"/>
      <c r="U129" s="327"/>
      <c r="V129" s="327"/>
      <c r="W129" s="327"/>
      <c r="X129" s="327"/>
      <c r="Y129" s="327"/>
      <c r="Z129" s="327"/>
      <c r="AA129" s="327"/>
      <c r="AB129" s="327"/>
      <c r="AC129" s="327"/>
      <c r="AD129" s="327"/>
      <c r="AE129" s="327"/>
      <c r="AF129" s="327"/>
      <c r="AG129" s="327"/>
      <c r="AH129" s="327"/>
      <c r="AI129" s="327"/>
      <c r="AJ129" s="327"/>
      <c r="AK129" s="327"/>
      <c r="AL129" s="327"/>
      <c r="AM129" s="327"/>
    </row>
    <row r="130" spans="1:39">
      <c r="A130" s="69"/>
      <c r="B130" s="331" t="s">
        <v>874</v>
      </c>
      <c r="C130" s="396"/>
      <c r="D130" s="396"/>
      <c r="E130" s="396"/>
      <c r="F130" s="396"/>
      <c r="G130" s="396"/>
      <c r="H130" s="396"/>
      <c r="I130" s="396"/>
      <c r="J130" s="396"/>
      <c r="K130" s="396"/>
      <c r="L130" s="396"/>
      <c r="M130" s="396"/>
      <c r="N130" s="396"/>
      <c r="O130" s="397"/>
      <c r="P130" s="397"/>
      <c r="Q130" s="397"/>
      <c r="R130" s="397"/>
      <c r="S130" s="397"/>
      <c r="T130" s="397"/>
      <c r="U130" s="397"/>
      <c r="V130" s="397"/>
      <c r="W130" s="397"/>
      <c r="X130" s="397"/>
      <c r="Y130" s="327"/>
      <c r="Z130" s="331" t="s">
        <v>875</v>
      </c>
      <c r="AA130" s="331"/>
      <c r="AB130" s="331"/>
      <c r="AC130" s="331"/>
      <c r="AD130" s="331"/>
      <c r="AE130" s="331"/>
      <c r="AF130" s="331"/>
      <c r="AG130" s="331"/>
      <c r="AH130" s="331"/>
      <c r="AI130" s="331"/>
      <c r="AJ130" s="331"/>
      <c r="AK130" s="331"/>
      <c r="AL130" s="331"/>
      <c r="AM130" s="327"/>
    </row>
    <row r="131" spans="1:39">
      <c r="A131" s="69"/>
      <c r="B131" s="398" t="s">
        <v>876</v>
      </c>
      <c r="C131" s="398" t="s">
        <v>877</v>
      </c>
      <c r="D131" s="336">
        <v>2007</v>
      </c>
      <c r="E131" s="336">
        <v>2008</v>
      </c>
      <c r="F131" s="336">
        <v>2009</v>
      </c>
      <c r="G131" s="336">
        <v>2010</v>
      </c>
      <c r="H131" s="336">
        <v>2011</v>
      </c>
      <c r="I131" s="336">
        <v>2012</v>
      </c>
      <c r="J131" s="336">
        <v>2013</v>
      </c>
      <c r="K131" s="336">
        <v>2014</v>
      </c>
      <c r="L131" s="336">
        <v>2015</v>
      </c>
      <c r="M131" s="336">
        <v>2016</v>
      </c>
      <c r="N131" s="336">
        <v>2017</v>
      </c>
      <c r="O131" s="336">
        <v>2018</v>
      </c>
      <c r="P131" s="336">
        <v>2019</v>
      </c>
      <c r="Q131" s="336">
        <v>2020</v>
      </c>
      <c r="R131" s="336">
        <v>2021</v>
      </c>
      <c r="S131" s="336">
        <v>2022</v>
      </c>
      <c r="T131" s="336">
        <v>2023</v>
      </c>
      <c r="U131" s="336">
        <v>2024</v>
      </c>
      <c r="V131" s="336">
        <v>2025</v>
      </c>
      <c r="W131" s="336">
        <v>2026</v>
      </c>
      <c r="X131" s="336">
        <v>2027</v>
      </c>
      <c r="Y131" s="69"/>
      <c r="Z131" s="398" t="s">
        <v>876</v>
      </c>
      <c r="AA131" s="398">
        <v>2016</v>
      </c>
      <c r="AB131" s="398"/>
      <c r="AC131" s="398"/>
      <c r="AD131" s="398"/>
      <c r="AE131" s="398"/>
      <c r="AF131" s="398"/>
      <c r="AG131" s="398"/>
      <c r="AH131" s="398"/>
      <c r="AI131" s="398"/>
      <c r="AJ131" s="398"/>
      <c r="AK131" s="398"/>
      <c r="AM131" s="69"/>
    </row>
    <row r="132" spans="1:39">
      <c r="A132" s="69"/>
      <c r="B132" s="399" t="s">
        <v>878</v>
      </c>
      <c r="C132" s="400">
        <v>85.9</v>
      </c>
      <c r="D132" s="400">
        <v>89</v>
      </c>
      <c r="E132" s="400">
        <v>92.6</v>
      </c>
      <c r="F132" s="400">
        <v>94.1</v>
      </c>
      <c r="G132" s="400">
        <v>96.9</v>
      </c>
      <c r="H132" s="400">
        <v>99.1</v>
      </c>
      <c r="I132" s="400">
        <v>100.5</v>
      </c>
      <c r="J132" s="400">
        <v>100.3</v>
      </c>
      <c r="K132" s="400">
        <v>102.3</v>
      </c>
      <c r="L132" s="400">
        <v>104</v>
      </c>
      <c r="M132" s="400">
        <v>104.7</v>
      </c>
      <c r="N132" s="400">
        <v>107.9</v>
      </c>
      <c r="O132" s="400">
        <f t="shared" ref="O132:O139" si="165">TREND(D132:N132,$D$131:$N$131,$O$131:$X$131)</f>
        <v>109.28727272727247</v>
      </c>
      <c r="P132" s="400">
        <v>110.96545454545412</v>
      </c>
      <c r="Q132" s="400">
        <v>112.64363636363623</v>
      </c>
      <c r="R132" s="400">
        <v>114.32181818181789</v>
      </c>
      <c r="S132" s="400">
        <v>115.99999999999955</v>
      </c>
      <c r="T132" s="400">
        <v>117.67818181818166</v>
      </c>
      <c r="U132" s="400">
        <v>119.35636363636331</v>
      </c>
      <c r="V132" s="400">
        <v>121.03454545454497</v>
      </c>
      <c r="W132" s="400">
        <v>122.71272727272708</v>
      </c>
      <c r="X132" s="400">
        <v>124.39090909090874</v>
      </c>
      <c r="Y132" s="69"/>
      <c r="Z132" s="399" t="s">
        <v>879</v>
      </c>
      <c r="AA132" s="400">
        <v>35.200000000000003</v>
      </c>
      <c r="AB132" s="399"/>
      <c r="AC132" s="399"/>
      <c r="AD132" s="399"/>
      <c r="AE132" s="399"/>
      <c r="AF132" s="399"/>
      <c r="AG132" s="399"/>
      <c r="AH132" s="399"/>
      <c r="AI132" s="399"/>
      <c r="AJ132" s="399"/>
      <c r="AK132" s="399"/>
      <c r="AM132" s="69"/>
    </row>
    <row r="133" spans="1:39">
      <c r="A133" s="69"/>
      <c r="B133" s="399" t="s">
        <v>879</v>
      </c>
      <c r="C133" s="400">
        <v>85.8</v>
      </c>
      <c r="D133" s="400">
        <v>88.9</v>
      </c>
      <c r="E133" s="400">
        <v>92.6</v>
      </c>
      <c r="F133" s="400">
        <v>94</v>
      </c>
      <c r="G133" s="400">
        <v>96.9</v>
      </c>
      <c r="H133" s="400">
        <v>99.1</v>
      </c>
      <c r="I133" s="400">
        <v>100.5</v>
      </c>
      <c r="J133" s="400">
        <v>100.3</v>
      </c>
      <c r="K133" s="400">
        <v>102.3</v>
      </c>
      <c r="L133" s="400">
        <v>104</v>
      </c>
      <c r="M133" s="400">
        <v>104.7</v>
      </c>
      <c r="N133" s="400">
        <v>107.9</v>
      </c>
      <c r="O133" s="400">
        <f t="shared" si="165"/>
        <v>109.31272727272699</v>
      </c>
      <c r="P133" s="400">
        <v>110.99818181818182</v>
      </c>
      <c r="Q133" s="400">
        <v>112.6836363636362</v>
      </c>
      <c r="R133" s="400">
        <v>114.36909090909103</v>
      </c>
      <c r="S133" s="400">
        <v>116.0545454545454</v>
      </c>
      <c r="T133" s="400">
        <v>117.73999999999978</v>
      </c>
      <c r="U133" s="400">
        <v>119.42545454545461</v>
      </c>
      <c r="V133" s="400">
        <v>121.11090909090899</v>
      </c>
      <c r="W133" s="400">
        <v>122.79636363636337</v>
      </c>
      <c r="X133" s="400">
        <v>124.4818181818182</v>
      </c>
      <c r="Y133" s="69"/>
      <c r="Z133" s="399" t="s">
        <v>880</v>
      </c>
      <c r="AA133" s="400" t="s">
        <v>881</v>
      </c>
      <c r="AB133" s="399"/>
      <c r="AC133" s="399"/>
      <c r="AD133" s="399"/>
      <c r="AE133" s="399"/>
      <c r="AF133" s="399"/>
      <c r="AG133" s="399"/>
      <c r="AH133" s="399"/>
      <c r="AI133" s="399"/>
      <c r="AJ133" s="399"/>
      <c r="AK133" s="399"/>
      <c r="AM133" s="69"/>
    </row>
    <row r="134" spans="1:39">
      <c r="A134" s="69"/>
      <c r="B134" s="399" t="s">
        <v>882</v>
      </c>
      <c r="C134" s="400">
        <v>86.4</v>
      </c>
      <c r="D134" s="400">
        <v>89.3</v>
      </c>
      <c r="E134" s="400">
        <v>93</v>
      </c>
      <c r="F134" s="400">
        <v>94</v>
      </c>
      <c r="G134" s="400">
        <v>96.9</v>
      </c>
      <c r="H134" s="400">
        <v>99.2</v>
      </c>
      <c r="I134" s="400">
        <v>100.5</v>
      </c>
      <c r="J134" s="400">
        <v>100.2</v>
      </c>
      <c r="K134" s="400">
        <v>102.1</v>
      </c>
      <c r="L134" s="400">
        <v>103.6</v>
      </c>
      <c r="M134" s="400">
        <v>104.1</v>
      </c>
      <c r="N134" s="400">
        <v>107</v>
      </c>
      <c r="O134" s="400">
        <f t="shared" si="165"/>
        <v>108.52363636363634</v>
      </c>
      <c r="P134" s="400">
        <v>110.09727272727241</v>
      </c>
      <c r="Q134" s="400">
        <v>111.67090909090848</v>
      </c>
      <c r="R134" s="400">
        <v>113.244545454545</v>
      </c>
      <c r="S134" s="400">
        <v>114.81818181818153</v>
      </c>
      <c r="T134" s="400">
        <v>116.3918181818176</v>
      </c>
      <c r="U134" s="400">
        <v>117.96545454545412</v>
      </c>
      <c r="V134" s="400">
        <v>119.53909090909019</v>
      </c>
      <c r="W134" s="400">
        <v>121.11272727272672</v>
      </c>
      <c r="X134" s="400">
        <v>122.68636363636324</v>
      </c>
      <c r="Y134" s="69"/>
      <c r="Z134" s="399" t="s">
        <v>883</v>
      </c>
      <c r="AA134" s="400">
        <v>38.9</v>
      </c>
      <c r="AB134" s="399"/>
      <c r="AC134" s="399"/>
      <c r="AD134" s="399"/>
      <c r="AE134" s="399"/>
      <c r="AF134" s="399"/>
      <c r="AG134" s="399"/>
      <c r="AH134" s="399"/>
      <c r="AI134" s="399"/>
      <c r="AJ134" s="399"/>
      <c r="AK134" s="399"/>
      <c r="AM134" s="69"/>
    </row>
    <row r="135" spans="1:39">
      <c r="A135" s="69"/>
      <c r="B135" s="399" t="s">
        <v>884</v>
      </c>
      <c r="C135" s="400">
        <v>85.9</v>
      </c>
      <c r="D135" s="400">
        <v>88.9</v>
      </c>
      <c r="E135" s="400">
        <v>91.9</v>
      </c>
      <c r="F135" s="400">
        <v>93.9</v>
      </c>
      <c r="G135" s="400">
        <v>96.2</v>
      </c>
      <c r="H135" s="400">
        <v>98.5</v>
      </c>
      <c r="I135" s="400">
        <v>100.4</v>
      </c>
      <c r="J135" s="400">
        <v>100.6</v>
      </c>
      <c r="K135" s="400">
        <v>102.5</v>
      </c>
      <c r="L135" s="400">
        <v>104.4</v>
      </c>
      <c r="M135" s="400">
        <v>105.7</v>
      </c>
      <c r="N135" s="400">
        <v>108.2</v>
      </c>
      <c r="O135" s="400">
        <f t="shared" si="165"/>
        <v>109.99454545454546</v>
      </c>
      <c r="P135" s="400">
        <v>111.79363636363632</v>
      </c>
      <c r="Q135" s="400">
        <v>113.59272727272719</v>
      </c>
      <c r="R135" s="400">
        <v>115.39181818181805</v>
      </c>
      <c r="S135" s="400">
        <v>117.19090909090892</v>
      </c>
      <c r="T135" s="400">
        <v>118.98999999999978</v>
      </c>
      <c r="U135" s="400">
        <v>120.78909090909065</v>
      </c>
      <c r="V135" s="400">
        <v>122.58818181818151</v>
      </c>
      <c r="W135" s="400">
        <v>124.38727272727238</v>
      </c>
      <c r="X135" s="400">
        <v>126.18636363636369</v>
      </c>
      <c r="Y135" s="69"/>
      <c r="Z135" s="399" t="s">
        <v>885</v>
      </c>
      <c r="AA135" s="400" t="s">
        <v>881</v>
      </c>
      <c r="AB135" s="399"/>
      <c r="AC135" s="399"/>
      <c r="AD135" s="399"/>
      <c r="AE135" s="399"/>
      <c r="AF135" s="399"/>
      <c r="AG135" s="399"/>
      <c r="AH135" s="399"/>
      <c r="AI135" s="399"/>
      <c r="AJ135" s="399"/>
      <c r="AK135" s="399"/>
      <c r="AM135" s="69"/>
    </row>
    <row r="136" spans="1:39">
      <c r="A136" s="69"/>
      <c r="B136" s="399" t="s">
        <v>883</v>
      </c>
      <c r="C136" s="400">
        <v>85.9</v>
      </c>
      <c r="D136" s="400">
        <v>88.9</v>
      </c>
      <c r="E136" s="400">
        <v>92</v>
      </c>
      <c r="F136" s="400">
        <v>93.9</v>
      </c>
      <c r="G136" s="400">
        <v>96.2</v>
      </c>
      <c r="H136" s="400">
        <v>98.5</v>
      </c>
      <c r="I136" s="400">
        <v>100.4</v>
      </c>
      <c r="J136" s="400">
        <v>100.6</v>
      </c>
      <c r="K136" s="400">
        <v>102.5</v>
      </c>
      <c r="L136" s="400">
        <v>104.4</v>
      </c>
      <c r="M136" s="400">
        <v>105.7</v>
      </c>
      <c r="N136" s="400">
        <v>108.2</v>
      </c>
      <c r="O136" s="400">
        <f t="shared" si="165"/>
        <v>109.98181818181774</v>
      </c>
      <c r="P136" s="400">
        <v>111.77727272727225</v>
      </c>
      <c r="Q136" s="400">
        <v>113.57272727272675</v>
      </c>
      <c r="R136" s="400">
        <v>115.36818181818126</v>
      </c>
      <c r="S136" s="400">
        <v>117.16363636363576</v>
      </c>
      <c r="T136" s="400">
        <v>118.95909090909026</v>
      </c>
      <c r="U136" s="400">
        <v>120.75454545454477</v>
      </c>
      <c r="V136" s="400">
        <v>122.54999999999927</v>
      </c>
      <c r="W136" s="400">
        <v>124.34545454545423</v>
      </c>
      <c r="X136" s="400">
        <v>126.14090909090874</v>
      </c>
      <c r="Y136" s="69"/>
      <c r="Z136" s="399" t="s">
        <v>886</v>
      </c>
      <c r="AA136" s="400" t="s">
        <v>881</v>
      </c>
      <c r="AB136" s="399"/>
      <c r="AC136" s="399"/>
      <c r="AD136" s="399"/>
      <c r="AE136" s="399"/>
      <c r="AF136" s="399"/>
      <c r="AG136" s="399"/>
      <c r="AH136" s="399"/>
      <c r="AI136" s="399"/>
      <c r="AJ136" s="399"/>
      <c r="AK136" s="399"/>
      <c r="AM136" s="69"/>
    </row>
    <row r="137" spans="1:39">
      <c r="A137" s="69"/>
      <c r="B137" s="399" t="s">
        <v>830</v>
      </c>
      <c r="C137" s="400">
        <v>78.8</v>
      </c>
      <c r="D137" s="400">
        <v>84.6</v>
      </c>
      <c r="E137" s="400">
        <v>85.4</v>
      </c>
      <c r="F137" s="400">
        <v>96.2</v>
      </c>
      <c r="G137" s="400">
        <v>99.7</v>
      </c>
      <c r="H137" s="400">
        <v>96.7</v>
      </c>
      <c r="I137" s="400">
        <v>101.1</v>
      </c>
      <c r="J137" s="400">
        <v>102</v>
      </c>
      <c r="K137" s="400">
        <v>106.3</v>
      </c>
      <c r="L137" s="400">
        <v>105.8</v>
      </c>
      <c r="M137" s="400">
        <v>108.7</v>
      </c>
      <c r="N137" s="400">
        <v>116.5</v>
      </c>
      <c r="O137" s="400">
        <f t="shared" si="165"/>
        <v>116.63636363636306</v>
      </c>
      <c r="P137" s="400">
        <v>119.36363636363603</v>
      </c>
      <c r="Q137" s="400">
        <v>122.09090909090901</v>
      </c>
      <c r="R137" s="400">
        <v>124.81818181818198</v>
      </c>
      <c r="S137" s="400">
        <v>127.54545454545496</v>
      </c>
      <c r="T137" s="400">
        <v>130.27272727272702</v>
      </c>
      <c r="U137" s="400">
        <v>133</v>
      </c>
      <c r="V137" s="400">
        <v>135.72727272727298</v>
      </c>
      <c r="W137" s="400">
        <v>138.45454545454504</v>
      </c>
      <c r="X137" s="400">
        <v>141.18181818181802</v>
      </c>
      <c r="Y137" s="69"/>
      <c r="Z137" s="399" t="s">
        <v>830</v>
      </c>
      <c r="AA137" s="400">
        <v>40</v>
      </c>
      <c r="AB137" s="399"/>
      <c r="AC137" s="399"/>
      <c r="AD137" s="399"/>
      <c r="AE137" s="399"/>
      <c r="AF137" s="399"/>
      <c r="AG137" s="399"/>
      <c r="AH137" s="399"/>
      <c r="AI137" s="399"/>
      <c r="AJ137" s="399"/>
      <c r="AK137" s="399"/>
      <c r="AM137" s="69"/>
    </row>
    <row r="138" spans="1:39">
      <c r="A138" s="69"/>
      <c r="B138" s="399" t="s">
        <v>832</v>
      </c>
      <c r="C138" s="400">
        <v>84.7</v>
      </c>
      <c r="D138" s="400">
        <v>86.7</v>
      </c>
      <c r="E138" s="400">
        <v>89.8</v>
      </c>
      <c r="F138" s="400">
        <v>93</v>
      </c>
      <c r="G138" s="400">
        <v>96.1</v>
      </c>
      <c r="H138" s="400">
        <v>98.3</v>
      </c>
      <c r="I138" s="400">
        <v>101</v>
      </c>
      <c r="J138" s="400">
        <v>102.5</v>
      </c>
      <c r="K138" s="400">
        <v>103.1</v>
      </c>
      <c r="L138" s="400">
        <v>103.1</v>
      </c>
      <c r="M138" s="400">
        <v>103.3</v>
      </c>
      <c r="N138" s="400">
        <v>104.7</v>
      </c>
      <c r="O138" s="400">
        <f t="shared" si="165"/>
        <v>108.82727272727288</v>
      </c>
      <c r="P138" s="400">
        <v>110.57727272727197</v>
      </c>
      <c r="Q138" s="400">
        <v>112.32727272727197</v>
      </c>
      <c r="R138" s="400">
        <v>114.07727272727197</v>
      </c>
      <c r="S138" s="400">
        <v>115.82727272727197</v>
      </c>
      <c r="T138" s="400">
        <v>117.57727272727197</v>
      </c>
      <c r="U138" s="400">
        <v>119.32727272727197</v>
      </c>
      <c r="V138" s="400">
        <v>121.07727272727197</v>
      </c>
      <c r="W138" s="400">
        <v>122.82727272727197</v>
      </c>
      <c r="X138" s="400">
        <v>124.57727272727197</v>
      </c>
      <c r="Y138" s="69"/>
      <c r="Z138" s="399" t="s">
        <v>832</v>
      </c>
      <c r="AA138" s="400">
        <v>48.9</v>
      </c>
      <c r="AB138" s="399"/>
      <c r="AC138" s="399"/>
      <c r="AD138" s="399"/>
      <c r="AE138" s="399"/>
      <c r="AF138" s="399"/>
      <c r="AG138" s="399"/>
      <c r="AH138" s="399"/>
      <c r="AI138" s="399"/>
      <c r="AJ138" s="399"/>
      <c r="AK138" s="399"/>
      <c r="AM138" s="69"/>
    </row>
    <row r="139" spans="1:39">
      <c r="A139" s="69"/>
      <c r="B139" s="399" t="s">
        <v>197</v>
      </c>
      <c r="C139" s="400">
        <v>41.4</v>
      </c>
      <c r="D139" s="400">
        <v>46.3</v>
      </c>
      <c r="E139" s="400">
        <v>75.900000000000006</v>
      </c>
      <c r="F139" s="400">
        <v>75.099999999999994</v>
      </c>
      <c r="G139" s="400">
        <v>87.3</v>
      </c>
      <c r="H139" s="400">
        <v>107</v>
      </c>
      <c r="I139" s="400">
        <v>101.6</v>
      </c>
      <c r="J139" s="400">
        <v>106.8</v>
      </c>
      <c r="K139" s="400">
        <v>122.5</v>
      </c>
      <c r="L139" s="400">
        <v>131.1</v>
      </c>
      <c r="M139" s="400">
        <v>137.4</v>
      </c>
      <c r="N139" s="400">
        <v>155.80000000000001</v>
      </c>
      <c r="O139" s="400">
        <f t="shared" si="165"/>
        <v>160.52909090909452</v>
      </c>
      <c r="P139" s="400">
        <v>169.90818181818031</v>
      </c>
      <c r="Q139" s="400">
        <v>179.28727272726974</v>
      </c>
      <c r="R139" s="400">
        <v>188.66636363635916</v>
      </c>
      <c r="S139" s="400">
        <v>198.04545454545223</v>
      </c>
      <c r="T139" s="400">
        <v>207.42454545454166</v>
      </c>
      <c r="U139" s="400">
        <v>216.80363636363472</v>
      </c>
      <c r="V139" s="400">
        <v>226.18272727272415</v>
      </c>
      <c r="W139" s="400">
        <v>235.56181818181358</v>
      </c>
      <c r="X139" s="400">
        <v>244.94090909090664</v>
      </c>
      <c r="Y139" s="69"/>
      <c r="Z139" s="399" t="s">
        <v>197</v>
      </c>
      <c r="AA139" s="400">
        <v>7.3</v>
      </c>
      <c r="AB139" s="399"/>
      <c r="AC139" s="399"/>
      <c r="AD139" s="399"/>
      <c r="AE139" s="399"/>
      <c r="AF139" s="399"/>
      <c r="AG139" s="399"/>
      <c r="AH139" s="399"/>
      <c r="AI139" s="399"/>
      <c r="AJ139" s="399"/>
      <c r="AK139" s="399"/>
      <c r="AM139" s="69"/>
    </row>
    <row r="140" spans="1:39">
      <c r="A140" s="69"/>
      <c r="B140" s="399" t="s">
        <v>833</v>
      </c>
      <c r="C140" s="400" t="s">
        <v>881</v>
      </c>
      <c r="D140" s="400" t="s">
        <v>881</v>
      </c>
      <c r="E140" s="400" t="s">
        <v>881</v>
      </c>
      <c r="F140" s="400">
        <v>102</v>
      </c>
      <c r="G140" s="400">
        <v>102.8</v>
      </c>
      <c r="H140" s="400">
        <v>96.5</v>
      </c>
      <c r="I140" s="400">
        <v>101.4</v>
      </c>
      <c r="J140" s="400">
        <v>102.7</v>
      </c>
      <c r="K140" s="400">
        <v>103</v>
      </c>
      <c r="L140" s="400">
        <v>104.3</v>
      </c>
      <c r="M140" s="400">
        <v>108.3</v>
      </c>
      <c r="N140" s="400">
        <v>114.2</v>
      </c>
      <c r="O140" s="400">
        <f t="array" ref="O140:X140">TREND(F140:N140,$F$131:$N$131,$O$131:$X$131)</f>
        <v>110.78611111111104</v>
      </c>
      <c r="P140" s="400">
        <v>112.16111111111104</v>
      </c>
      <c r="Q140" s="400">
        <v>113.53611111111104</v>
      </c>
      <c r="R140" s="400">
        <v>114.91111111111104</v>
      </c>
      <c r="S140" s="400">
        <v>116.28611111111104</v>
      </c>
      <c r="T140" s="400">
        <v>117.66111111111104</v>
      </c>
      <c r="U140" s="400">
        <v>119.03611111111104</v>
      </c>
      <c r="V140" s="400">
        <v>120.41111111111104</v>
      </c>
      <c r="W140" s="400">
        <v>121.78611111111104</v>
      </c>
      <c r="X140" s="400">
        <v>123.16111111111104</v>
      </c>
      <c r="Y140" s="69"/>
      <c r="Z140" s="399" t="s">
        <v>833</v>
      </c>
      <c r="AA140" s="400">
        <v>18.5</v>
      </c>
      <c r="AB140" s="399"/>
      <c r="AC140" s="399"/>
      <c r="AD140" s="399"/>
      <c r="AE140" s="399"/>
      <c r="AF140" s="399"/>
      <c r="AG140" s="399"/>
      <c r="AH140" s="399"/>
      <c r="AI140" s="399"/>
      <c r="AJ140" s="399"/>
      <c r="AK140" s="399"/>
      <c r="AM140" s="69"/>
    </row>
    <row r="141" spans="1:39">
      <c r="A141" s="69"/>
      <c r="B141" s="399" t="s">
        <v>834</v>
      </c>
      <c r="C141" s="400">
        <v>79.2</v>
      </c>
      <c r="D141" s="400">
        <v>84.2</v>
      </c>
      <c r="E141" s="400">
        <v>89.8</v>
      </c>
      <c r="F141" s="400">
        <v>103.1</v>
      </c>
      <c r="G141" s="400">
        <v>98.5</v>
      </c>
      <c r="H141" s="400">
        <v>98.9</v>
      </c>
      <c r="I141" s="400">
        <v>100.1</v>
      </c>
      <c r="J141" s="400">
        <v>95</v>
      </c>
      <c r="K141" s="400">
        <v>96.8</v>
      </c>
      <c r="L141" s="400">
        <v>97.6</v>
      </c>
      <c r="M141" s="400">
        <v>98.6</v>
      </c>
      <c r="N141" s="400">
        <v>98.9</v>
      </c>
      <c r="O141" s="400">
        <f t="shared" ref="O141:O164" si="166">TREND(D141:N141,$D$131:$N$131,$O$131:$X$131)</f>
        <v>101.13090909090897</v>
      </c>
      <c r="P141" s="400">
        <v>101.90272727272736</v>
      </c>
      <c r="Q141" s="400">
        <v>102.67454545454552</v>
      </c>
      <c r="R141" s="400">
        <v>103.44636363636369</v>
      </c>
      <c r="S141" s="400">
        <v>104.21818181818185</v>
      </c>
      <c r="T141" s="400">
        <v>104.99000000000001</v>
      </c>
      <c r="U141" s="400">
        <v>105.76181818181817</v>
      </c>
      <c r="V141" s="400">
        <v>106.53363636363633</v>
      </c>
      <c r="W141" s="400">
        <v>107.3054545454545</v>
      </c>
      <c r="X141" s="400">
        <v>108.07727272727288</v>
      </c>
      <c r="Y141" s="69"/>
      <c r="Z141" s="399" t="s">
        <v>834</v>
      </c>
      <c r="AA141" s="400" t="s">
        <v>881</v>
      </c>
      <c r="AB141" s="399"/>
      <c r="AC141" s="399"/>
      <c r="AD141" s="399"/>
      <c r="AE141" s="399"/>
      <c r="AF141" s="399"/>
      <c r="AG141" s="399"/>
      <c r="AH141" s="399"/>
      <c r="AI141" s="399"/>
      <c r="AJ141" s="399"/>
      <c r="AK141" s="399"/>
      <c r="AM141" s="69"/>
    </row>
    <row r="142" spans="1:39">
      <c r="A142" s="69"/>
      <c r="B142" s="399" t="s">
        <v>835</v>
      </c>
      <c r="C142" s="400">
        <v>71.599999999999994</v>
      </c>
      <c r="D142" s="400">
        <v>79.900000000000006</v>
      </c>
      <c r="E142" s="400">
        <v>86.2</v>
      </c>
      <c r="F142" s="400">
        <v>91.8</v>
      </c>
      <c r="G142" s="400">
        <v>97.4</v>
      </c>
      <c r="H142" s="400">
        <v>100.5</v>
      </c>
      <c r="I142" s="400">
        <v>101.2</v>
      </c>
      <c r="J142" s="400">
        <v>99.5</v>
      </c>
      <c r="K142" s="400">
        <v>102.3</v>
      </c>
      <c r="L142" s="400">
        <v>109.6</v>
      </c>
      <c r="M142" s="400">
        <v>110.6</v>
      </c>
      <c r="N142" s="400">
        <v>111.5</v>
      </c>
      <c r="O142" s="400">
        <f t="shared" si="166"/>
        <v>116.47090909090912</v>
      </c>
      <c r="P142" s="400">
        <v>119.35999999999876</v>
      </c>
      <c r="Q142" s="400">
        <v>122.24909090908932</v>
      </c>
      <c r="R142" s="400">
        <v>125.13818181818078</v>
      </c>
      <c r="S142" s="400">
        <v>128.02727272727134</v>
      </c>
      <c r="T142" s="400">
        <v>130.9163636363628</v>
      </c>
      <c r="U142" s="400">
        <v>133.80545454545336</v>
      </c>
      <c r="V142" s="400">
        <v>136.69454545454391</v>
      </c>
      <c r="W142" s="400">
        <v>139.58363636363538</v>
      </c>
      <c r="X142" s="400">
        <v>142.47272727272593</v>
      </c>
      <c r="Y142" s="69"/>
      <c r="Z142" s="399" t="s">
        <v>835</v>
      </c>
      <c r="AA142" s="400">
        <v>14.4</v>
      </c>
      <c r="AB142" s="399"/>
      <c r="AC142" s="399"/>
      <c r="AD142" s="399"/>
      <c r="AE142" s="399"/>
      <c r="AF142" s="399"/>
      <c r="AG142" s="399"/>
      <c r="AH142" s="399"/>
      <c r="AI142" s="399"/>
      <c r="AJ142" s="399"/>
      <c r="AK142" s="399"/>
      <c r="AM142" s="69"/>
    </row>
    <row r="143" spans="1:39">
      <c r="A143" s="69"/>
      <c r="B143" s="399" t="s">
        <v>836</v>
      </c>
      <c r="C143" s="400">
        <v>85.1</v>
      </c>
      <c r="D143" s="400">
        <v>88.1</v>
      </c>
      <c r="E143" s="400">
        <v>92</v>
      </c>
      <c r="F143" s="400">
        <v>93.6</v>
      </c>
      <c r="G143" s="400">
        <v>96.3</v>
      </c>
      <c r="H143" s="400">
        <v>99.3</v>
      </c>
      <c r="I143" s="400">
        <v>100.1</v>
      </c>
      <c r="J143" s="400">
        <v>103.4</v>
      </c>
      <c r="K143" s="400">
        <v>104.7</v>
      </c>
      <c r="L143" s="400">
        <v>107.8</v>
      </c>
      <c r="M143" s="400">
        <v>109.7</v>
      </c>
      <c r="N143" s="400">
        <v>111.8</v>
      </c>
      <c r="O143" s="400">
        <f t="shared" si="166"/>
        <v>114.40727272727327</v>
      </c>
      <c r="P143" s="400">
        <v>116.7054545454539</v>
      </c>
      <c r="Q143" s="400">
        <v>119.00363636363545</v>
      </c>
      <c r="R143" s="400">
        <v>121.301818181817</v>
      </c>
      <c r="S143" s="400">
        <v>123.59999999999945</v>
      </c>
      <c r="T143" s="400">
        <v>125.898181818181</v>
      </c>
      <c r="U143" s="400">
        <v>128.19636363636255</v>
      </c>
      <c r="V143" s="400">
        <v>130.4945454545441</v>
      </c>
      <c r="W143" s="400">
        <v>132.79272727272655</v>
      </c>
      <c r="X143" s="400">
        <v>135.0909090909081</v>
      </c>
      <c r="Y143" s="69"/>
      <c r="Z143" s="399" t="s">
        <v>836</v>
      </c>
      <c r="AA143" s="400">
        <v>50.7</v>
      </c>
      <c r="AB143" s="399"/>
      <c r="AC143" s="399"/>
      <c r="AD143" s="399"/>
      <c r="AE143" s="399"/>
      <c r="AF143" s="399"/>
      <c r="AG143" s="399"/>
      <c r="AH143" s="399"/>
      <c r="AI143" s="399"/>
      <c r="AJ143" s="399"/>
      <c r="AK143" s="399"/>
      <c r="AM143" s="69"/>
    </row>
    <row r="144" spans="1:39">
      <c r="A144" s="69"/>
      <c r="B144" s="399" t="s">
        <v>837</v>
      </c>
      <c r="C144" s="400">
        <v>79.099999999999994</v>
      </c>
      <c r="D144" s="400">
        <v>80.2</v>
      </c>
      <c r="E144" s="400">
        <v>87.7</v>
      </c>
      <c r="F144" s="400">
        <v>82.6</v>
      </c>
      <c r="G144" s="400">
        <v>87.4</v>
      </c>
      <c r="H144" s="400">
        <v>96</v>
      </c>
      <c r="I144" s="400">
        <v>106.2</v>
      </c>
      <c r="J144" s="400">
        <v>99.4</v>
      </c>
      <c r="K144" s="400">
        <v>109.8</v>
      </c>
      <c r="L144" s="400">
        <v>117.7</v>
      </c>
      <c r="M144" s="400">
        <v>118.9</v>
      </c>
      <c r="N144" s="400">
        <v>134.69999999999999</v>
      </c>
      <c r="O144" s="400">
        <f t="shared" si="166"/>
        <v>131.9163636363628</v>
      </c>
      <c r="P144" s="400">
        <v>136.92363636363552</v>
      </c>
      <c r="Q144" s="400">
        <v>141.93090909090824</v>
      </c>
      <c r="R144" s="400">
        <v>146.93818181818096</v>
      </c>
      <c r="S144" s="400">
        <v>151.94545454545187</v>
      </c>
      <c r="T144" s="400">
        <v>156.95272727272459</v>
      </c>
      <c r="U144" s="400">
        <v>161.95999999999731</v>
      </c>
      <c r="V144" s="400">
        <v>166.96727272727003</v>
      </c>
      <c r="W144" s="400">
        <v>171.97454545454275</v>
      </c>
      <c r="X144" s="400">
        <v>176.98181818181547</v>
      </c>
      <c r="Y144" s="69"/>
      <c r="Z144" s="399" t="s">
        <v>837</v>
      </c>
      <c r="AA144" s="400">
        <v>14.4</v>
      </c>
      <c r="AB144" s="399"/>
      <c r="AC144" s="399"/>
      <c r="AD144" s="399"/>
      <c r="AE144" s="399"/>
      <c r="AF144" s="399"/>
      <c r="AG144" s="399"/>
      <c r="AH144" s="399"/>
      <c r="AI144" s="399"/>
      <c r="AJ144" s="399"/>
      <c r="AK144" s="399"/>
      <c r="AM144" s="69"/>
    </row>
    <row r="145" spans="1:39">
      <c r="A145" s="69"/>
      <c r="B145" s="399" t="s">
        <v>839</v>
      </c>
      <c r="C145" s="400">
        <v>69.7</v>
      </c>
      <c r="D145" s="400">
        <v>79.2</v>
      </c>
      <c r="E145" s="400">
        <v>81.5</v>
      </c>
      <c r="F145" s="400">
        <v>86</v>
      </c>
      <c r="G145" s="400">
        <v>88.2</v>
      </c>
      <c r="H145" s="400">
        <v>94.6</v>
      </c>
      <c r="I145" s="400">
        <v>102</v>
      </c>
      <c r="J145" s="400">
        <v>102.2</v>
      </c>
      <c r="K145" s="400">
        <v>98.5</v>
      </c>
      <c r="L145" s="400">
        <v>99.3</v>
      </c>
      <c r="M145" s="400">
        <v>100.9</v>
      </c>
      <c r="N145" s="400">
        <v>99.2</v>
      </c>
      <c r="O145" s="400">
        <f t="shared" si="166"/>
        <v>107.18363636363574</v>
      </c>
      <c r="P145" s="400">
        <v>109.41727272727258</v>
      </c>
      <c r="Q145" s="400">
        <v>111.65090909090941</v>
      </c>
      <c r="R145" s="400">
        <v>113.88454545454533</v>
      </c>
      <c r="S145" s="400">
        <v>116.11818181818217</v>
      </c>
      <c r="T145" s="400">
        <v>118.35181818181809</v>
      </c>
      <c r="U145" s="400">
        <v>120.58545454545492</v>
      </c>
      <c r="V145" s="400">
        <v>122.81909090909085</v>
      </c>
      <c r="W145" s="400">
        <v>125.05272727272768</v>
      </c>
      <c r="X145" s="400">
        <v>127.2863636363636</v>
      </c>
      <c r="Y145" s="69"/>
      <c r="Z145" s="399" t="s">
        <v>839</v>
      </c>
      <c r="AA145" s="400">
        <v>39.700000000000003</v>
      </c>
      <c r="AB145" s="399"/>
      <c r="AC145" s="399"/>
      <c r="AD145" s="399"/>
      <c r="AE145" s="399"/>
      <c r="AF145" s="399"/>
      <c r="AG145" s="399"/>
      <c r="AH145" s="399"/>
      <c r="AI145" s="399"/>
      <c r="AJ145" s="399"/>
      <c r="AK145" s="399"/>
      <c r="AM145" s="69"/>
    </row>
    <row r="146" spans="1:39">
      <c r="A146" s="69"/>
      <c r="B146" s="399" t="s">
        <v>840</v>
      </c>
      <c r="C146" s="400">
        <v>87.6</v>
      </c>
      <c r="D146" s="400">
        <v>91.2</v>
      </c>
      <c r="E146" s="400">
        <v>92.9</v>
      </c>
      <c r="F146" s="400">
        <v>93.8</v>
      </c>
      <c r="G146" s="400">
        <v>96.1</v>
      </c>
      <c r="H146" s="400">
        <v>98.6</v>
      </c>
      <c r="I146" s="400">
        <v>101</v>
      </c>
      <c r="J146" s="400">
        <v>102.1</v>
      </c>
      <c r="K146" s="400">
        <v>102.5</v>
      </c>
      <c r="L146" s="400">
        <v>104.7</v>
      </c>
      <c r="M146" s="400">
        <v>105.5</v>
      </c>
      <c r="N146" s="400">
        <v>108.2</v>
      </c>
      <c r="O146" s="400">
        <f t="shared" si="166"/>
        <v>109.74909090909068</v>
      </c>
      <c r="P146" s="400">
        <v>111.42545454545461</v>
      </c>
      <c r="Q146" s="400">
        <v>113.10181818181809</v>
      </c>
      <c r="R146" s="400">
        <v>114.77818181818157</v>
      </c>
      <c r="S146" s="400">
        <v>116.4545454545455</v>
      </c>
      <c r="T146" s="400">
        <v>118.13090909090897</v>
      </c>
      <c r="U146" s="400">
        <v>119.80727272727245</v>
      </c>
      <c r="V146" s="400">
        <v>121.48363636363638</v>
      </c>
      <c r="W146" s="400">
        <v>123.15999999999985</v>
      </c>
      <c r="X146" s="400">
        <v>124.83636363636333</v>
      </c>
      <c r="Y146" s="69"/>
      <c r="Z146" s="399" t="s">
        <v>840</v>
      </c>
      <c r="AA146" s="400">
        <v>46.7</v>
      </c>
      <c r="AB146" s="399"/>
      <c r="AC146" s="399"/>
      <c r="AD146" s="399"/>
      <c r="AE146" s="399"/>
      <c r="AF146" s="399"/>
      <c r="AG146" s="399"/>
      <c r="AH146" s="399"/>
      <c r="AI146" s="399"/>
      <c r="AJ146" s="399"/>
      <c r="AK146" s="399"/>
      <c r="AM146" s="69"/>
    </row>
    <row r="147" spans="1:39">
      <c r="A147" s="69"/>
      <c r="B147" s="399" t="s">
        <v>887</v>
      </c>
      <c r="C147" s="400">
        <v>84.5</v>
      </c>
      <c r="D147" s="400">
        <v>86.9</v>
      </c>
      <c r="E147" s="400">
        <v>91</v>
      </c>
      <c r="F147" s="400">
        <v>90.7</v>
      </c>
      <c r="G147" s="400">
        <v>94.2</v>
      </c>
      <c r="H147" s="400">
        <v>97.5</v>
      </c>
      <c r="I147" s="400">
        <v>101.1</v>
      </c>
      <c r="J147" s="400">
        <v>100</v>
      </c>
      <c r="K147" s="400">
        <v>105</v>
      </c>
      <c r="L147" s="400">
        <v>107.2</v>
      </c>
      <c r="M147" s="400">
        <v>109.7</v>
      </c>
      <c r="N147" s="400">
        <v>112.3</v>
      </c>
      <c r="O147" s="400">
        <f t="shared" si="166"/>
        <v>114.62181818181853</v>
      </c>
      <c r="P147" s="400">
        <v>117.12545454545398</v>
      </c>
      <c r="Q147" s="400">
        <v>119.62909090909034</v>
      </c>
      <c r="R147" s="400">
        <v>122.1327272727267</v>
      </c>
      <c r="S147" s="400">
        <v>124.63636363636306</v>
      </c>
      <c r="T147" s="400">
        <v>127.13999999999942</v>
      </c>
      <c r="U147" s="400">
        <v>129.64363636363578</v>
      </c>
      <c r="V147" s="400">
        <v>132.14727272727214</v>
      </c>
      <c r="W147" s="400">
        <v>134.6509090909085</v>
      </c>
      <c r="X147" s="400">
        <v>137.15454545454486</v>
      </c>
      <c r="Y147" s="69"/>
      <c r="Z147" s="399" t="s">
        <v>887</v>
      </c>
      <c r="AA147" s="400">
        <v>41.4</v>
      </c>
      <c r="AB147" s="399"/>
      <c r="AC147" s="399"/>
      <c r="AD147" s="399"/>
      <c r="AE147" s="399"/>
      <c r="AF147" s="399"/>
      <c r="AG147" s="399"/>
      <c r="AH147" s="399"/>
      <c r="AI147" s="399"/>
      <c r="AJ147" s="399"/>
      <c r="AK147" s="399"/>
      <c r="AM147" s="69"/>
    </row>
    <row r="148" spans="1:39">
      <c r="A148" s="69"/>
      <c r="B148" s="399" t="s">
        <v>842</v>
      </c>
      <c r="C148" s="400">
        <v>93.7</v>
      </c>
      <c r="D148" s="400">
        <v>95.7</v>
      </c>
      <c r="E148" s="400">
        <v>92.1</v>
      </c>
      <c r="F148" s="400">
        <v>107.9</v>
      </c>
      <c r="G148" s="400">
        <v>102.8</v>
      </c>
      <c r="H148" s="400">
        <v>102.2</v>
      </c>
      <c r="I148" s="400">
        <v>96.2</v>
      </c>
      <c r="J148" s="400">
        <v>74.400000000000006</v>
      </c>
      <c r="K148" s="400">
        <v>72.5</v>
      </c>
      <c r="L148" s="400">
        <v>62.3</v>
      </c>
      <c r="M148" s="400">
        <v>56.4</v>
      </c>
      <c r="N148" s="400">
        <v>55.1</v>
      </c>
      <c r="O148" s="400">
        <f t="shared" si="166"/>
        <v>52.272727272727934</v>
      </c>
      <c r="P148" s="400">
        <v>47.081818181817653</v>
      </c>
      <c r="Q148" s="400">
        <v>41.89090909090919</v>
      </c>
      <c r="R148" s="400">
        <v>36.700000000000728</v>
      </c>
      <c r="S148" s="400">
        <v>31.509090909090446</v>
      </c>
      <c r="T148" s="400">
        <v>26.318181818181984</v>
      </c>
      <c r="U148" s="400">
        <v>21.127272727273521</v>
      </c>
      <c r="V148" s="400">
        <v>15.936363636363239</v>
      </c>
      <c r="W148" s="400">
        <v>10.745454545454777</v>
      </c>
      <c r="X148" s="400">
        <v>5.5545454545463144</v>
      </c>
      <c r="Y148" s="69"/>
      <c r="Z148" s="399" t="s">
        <v>842</v>
      </c>
      <c r="AA148" s="400">
        <v>8.8000000000000007</v>
      </c>
      <c r="AB148" s="399"/>
      <c r="AC148" s="399"/>
      <c r="AD148" s="399"/>
      <c r="AE148" s="399"/>
      <c r="AF148" s="399"/>
      <c r="AG148" s="399"/>
      <c r="AH148" s="399"/>
      <c r="AI148" s="399"/>
      <c r="AJ148" s="399"/>
      <c r="AK148" s="399"/>
      <c r="AM148" s="69"/>
    </row>
    <row r="149" spans="1:39">
      <c r="A149" s="69"/>
      <c r="B149" s="399" t="s">
        <v>843</v>
      </c>
      <c r="C149" s="400">
        <v>66.5</v>
      </c>
      <c r="D149" s="400">
        <v>78</v>
      </c>
      <c r="E149" s="400">
        <v>92.3</v>
      </c>
      <c r="F149" s="400">
        <v>89.9</v>
      </c>
      <c r="G149" s="400">
        <v>89.8</v>
      </c>
      <c r="H149" s="400">
        <v>93.9</v>
      </c>
      <c r="I149" s="400">
        <v>103.2</v>
      </c>
      <c r="J149" s="400">
        <v>99</v>
      </c>
      <c r="K149" s="400">
        <v>105.9</v>
      </c>
      <c r="L149" s="400">
        <v>111.7</v>
      </c>
      <c r="M149" s="400">
        <v>117.8</v>
      </c>
      <c r="N149" s="400">
        <v>128.6</v>
      </c>
      <c r="O149" s="400">
        <f t="shared" si="166"/>
        <v>125.88363636363647</v>
      </c>
      <c r="P149" s="400">
        <v>130.04454545454428</v>
      </c>
      <c r="Q149" s="400">
        <v>134.2054545454539</v>
      </c>
      <c r="R149" s="400">
        <v>138.36636363636171</v>
      </c>
      <c r="S149" s="400">
        <v>142.52727272727134</v>
      </c>
      <c r="T149" s="400">
        <v>146.68818181818096</v>
      </c>
      <c r="U149" s="400">
        <v>150.84909090908877</v>
      </c>
      <c r="V149" s="400">
        <v>155.0099999999984</v>
      </c>
      <c r="W149" s="400">
        <v>159.17090909090803</v>
      </c>
      <c r="X149" s="400">
        <v>163.33181818181583</v>
      </c>
      <c r="Y149" s="69"/>
      <c r="Z149" s="399" t="s">
        <v>843</v>
      </c>
      <c r="AA149" s="400">
        <v>12.6</v>
      </c>
      <c r="AB149" s="399"/>
      <c r="AC149" s="399"/>
      <c r="AD149" s="399"/>
      <c r="AE149" s="399"/>
      <c r="AF149" s="399"/>
      <c r="AG149" s="399"/>
      <c r="AH149" s="399"/>
      <c r="AI149" s="399"/>
      <c r="AJ149" s="399"/>
      <c r="AK149" s="399"/>
      <c r="AM149" s="69"/>
    </row>
    <row r="150" spans="1:39">
      <c r="A150" s="69"/>
      <c r="B150" s="399" t="s">
        <v>844</v>
      </c>
      <c r="C150" s="400">
        <v>96.5</v>
      </c>
      <c r="D150" s="400">
        <v>97.1</v>
      </c>
      <c r="E150" s="400">
        <v>100.6</v>
      </c>
      <c r="F150" s="400">
        <v>99.5</v>
      </c>
      <c r="G150" s="400">
        <v>93.5</v>
      </c>
      <c r="H150" s="400">
        <v>102</v>
      </c>
      <c r="I150" s="400">
        <v>100</v>
      </c>
      <c r="J150" s="400">
        <v>100.1</v>
      </c>
      <c r="K150" s="400">
        <v>97.3</v>
      </c>
      <c r="L150" s="400">
        <v>98.5</v>
      </c>
      <c r="M150" s="400">
        <v>103.3</v>
      </c>
      <c r="N150" s="400">
        <v>108.3</v>
      </c>
      <c r="O150" s="400">
        <f t="shared" si="166"/>
        <v>103.80909090909086</v>
      </c>
      <c r="P150" s="400">
        <v>104.44090909090892</v>
      </c>
      <c r="Q150" s="400">
        <v>105.07272727272721</v>
      </c>
      <c r="R150" s="400">
        <v>105.70454545454527</v>
      </c>
      <c r="S150" s="400">
        <v>106.33636363636356</v>
      </c>
      <c r="T150" s="400">
        <v>106.96818181818162</v>
      </c>
      <c r="U150" s="400">
        <v>107.59999999999991</v>
      </c>
      <c r="V150" s="400">
        <v>108.23181818181797</v>
      </c>
      <c r="W150" s="400">
        <v>108.86363636363626</v>
      </c>
      <c r="X150" s="400">
        <v>109.49545454545432</v>
      </c>
      <c r="Y150" s="69"/>
      <c r="Z150" s="399" t="s">
        <v>844</v>
      </c>
      <c r="AA150" s="400">
        <v>36.200000000000003</v>
      </c>
      <c r="AB150" s="399"/>
      <c r="AC150" s="399"/>
      <c r="AD150" s="399"/>
      <c r="AE150" s="399"/>
      <c r="AF150" s="399"/>
      <c r="AG150" s="399"/>
      <c r="AH150" s="399"/>
      <c r="AI150" s="399"/>
      <c r="AJ150" s="399"/>
      <c r="AK150" s="399"/>
      <c r="AM150" s="69"/>
    </row>
    <row r="151" spans="1:39">
      <c r="A151" s="69"/>
      <c r="B151" s="399" t="s">
        <v>845</v>
      </c>
      <c r="C151" s="400">
        <v>90.4</v>
      </c>
      <c r="D151" s="400">
        <v>88.3</v>
      </c>
      <c r="E151" s="400">
        <v>93.8</v>
      </c>
      <c r="F151" s="400">
        <v>98</v>
      </c>
      <c r="G151" s="400">
        <v>99.5</v>
      </c>
      <c r="H151" s="400">
        <v>101.7</v>
      </c>
      <c r="I151" s="400">
        <v>99.9</v>
      </c>
      <c r="J151" s="400">
        <v>99.1</v>
      </c>
      <c r="K151" s="400">
        <v>98.5</v>
      </c>
      <c r="L151" s="400">
        <v>101.7</v>
      </c>
      <c r="M151" s="400">
        <v>102.4</v>
      </c>
      <c r="N151" s="400">
        <v>105.5</v>
      </c>
      <c r="O151" s="400">
        <f t="shared" si="166"/>
        <v>105.86727272727285</v>
      </c>
      <c r="P151" s="400">
        <v>107.02090909090884</v>
      </c>
      <c r="Q151" s="400">
        <v>108.1745454545453</v>
      </c>
      <c r="R151" s="400">
        <v>109.32818181818129</v>
      </c>
      <c r="S151" s="400">
        <v>110.48181818181774</v>
      </c>
      <c r="T151" s="400">
        <v>111.63545454545419</v>
      </c>
      <c r="U151" s="400">
        <v>112.78909090909065</v>
      </c>
      <c r="V151" s="400">
        <v>113.9427272727271</v>
      </c>
      <c r="W151" s="400">
        <v>115.09636363636309</v>
      </c>
      <c r="X151" s="400">
        <v>116.24999999999955</v>
      </c>
      <c r="Y151" s="69"/>
      <c r="Z151" s="399" t="s">
        <v>845</v>
      </c>
      <c r="AA151" s="400">
        <v>34</v>
      </c>
      <c r="AB151" s="399"/>
      <c r="AC151" s="399"/>
      <c r="AD151" s="399"/>
      <c r="AE151" s="399"/>
      <c r="AF151" s="399"/>
      <c r="AG151" s="399"/>
      <c r="AH151" s="399"/>
      <c r="AI151" s="399"/>
      <c r="AJ151" s="399"/>
      <c r="AK151" s="399"/>
      <c r="AM151" s="69"/>
    </row>
    <row r="152" spans="1:39">
      <c r="A152" s="69"/>
      <c r="B152" s="399" t="s">
        <v>846</v>
      </c>
      <c r="C152" s="400">
        <v>70.099999999999994</v>
      </c>
      <c r="D152" s="400">
        <v>89.6</v>
      </c>
      <c r="E152" s="400">
        <v>99.7</v>
      </c>
      <c r="F152" s="400">
        <v>99.2</v>
      </c>
      <c r="G152" s="400">
        <v>102</v>
      </c>
      <c r="H152" s="400">
        <v>100.1</v>
      </c>
      <c r="I152" s="400">
        <v>101.2</v>
      </c>
      <c r="J152" s="400">
        <v>103</v>
      </c>
      <c r="K152" s="400">
        <v>106.9</v>
      </c>
      <c r="L152" s="400">
        <v>112.2</v>
      </c>
      <c r="M152" s="400">
        <v>118.3</v>
      </c>
      <c r="N152" s="400">
        <v>131.30000000000001</v>
      </c>
      <c r="O152" s="400">
        <f t="shared" si="166"/>
        <v>124.0236363636368</v>
      </c>
      <c r="P152" s="400">
        <v>127.06545454545449</v>
      </c>
      <c r="Q152" s="400">
        <v>130.10727272727217</v>
      </c>
      <c r="R152" s="400">
        <v>133.14909090909077</v>
      </c>
      <c r="S152" s="400">
        <v>136.19090909090846</v>
      </c>
      <c r="T152" s="400">
        <v>139.23272727272706</v>
      </c>
      <c r="U152" s="400">
        <v>142.27454545454475</v>
      </c>
      <c r="V152" s="400">
        <v>145.31636363636335</v>
      </c>
      <c r="W152" s="400">
        <v>148.35818181818195</v>
      </c>
      <c r="X152" s="400">
        <v>151.39999999999964</v>
      </c>
      <c r="Y152" s="69"/>
      <c r="Z152" s="399" t="s">
        <v>846</v>
      </c>
      <c r="AA152" s="400">
        <v>10.6</v>
      </c>
      <c r="AB152" s="399"/>
      <c r="AC152" s="399"/>
      <c r="AD152" s="399"/>
      <c r="AE152" s="399"/>
      <c r="AF152" s="399"/>
      <c r="AG152" s="399"/>
      <c r="AH152" s="399"/>
      <c r="AI152" s="399"/>
      <c r="AJ152" s="399"/>
      <c r="AK152" s="399"/>
      <c r="AM152" s="69"/>
    </row>
    <row r="153" spans="1:39">
      <c r="A153" s="69"/>
      <c r="B153" s="399" t="s">
        <v>847</v>
      </c>
      <c r="C153" s="400">
        <v>83.5</v>
      </c>
      <c r="D153" s="400">
        <v>94.4</v>
      </c>
      <c r="E153" s="400">
        <v>105.1</v>
      </c>
      <c r="F153" s="400">
        <v>97.2</v>
      </c>
      <c r="G153" s="400">
        <v>97.9</v>
      </c>
      <c r="H153" s="400">
        <v>99.5</v>
      </c>
      <c r="I153" s="400">
        <v>101.3</v>
      </c>
      <c r="J153" s="400">
        <v>105.4</v>
      </c>
      <c r="K153" s="400">
        <v>109.9</v>
      </c>
      <c r="L153" s="400">
        <v>117.3</v>
      </c>
      <c r="M153" s="400">
        <v>125.8</v>
      </c>
      <c r="N153" s="400">
        <v>138.80000000000001</v>
      </c>
      <c r="O153" s="400">
        <f t="shared" si="166"/>
        <v>129.96363636363549</v>
      </c>
      <c r="P153" s="400">
        <v>133.55454545454359</v>
      </c>
      <c r="Q153" s="400">
        <v>137.14545454545259</v>
      </c>
      <c r="R153" s="400">
        <v>140.7363636363616</v>
      </c>
      <c r="S153" s="400">
        <v>144.32727272727061</v>
      </c>
      <c r="T153" s="400">
        <v>147.91818181817962</v>
      </c>
      <c r="U153" s="400">
        <v>151.50909090908954</v>
      </c>
      <c r="V153" s="400">
        <v>155.09999999999854</v>
      </c>
      <c r="W153" s="400">
        <v>158.69090909090755</v>
      </c>
      <c r="X153" s="400">
        <v>162.28181818181656</v>
      </c>
      <c r="Y153" s="69"/>
      <c r="Z153" s="399" t="s">
        <v>847</v>
      </c>
      <c r="AA153" s="400">
        <v>10.1</v>
      </c>
      <c r="AB153" s="399"/>
      <c r="AC153" s="399"/>
      <c r="AD153" s="399"/>
      <c r="AE153" s="399"/>
      <c r="AF153" s="399"/>
      <c r="AG153" s="399"/>
      <c r="AH153" s="399"/>
      <c r="AI153" s="399"/>
      <c r="AJ153" s="399"/>
      <c r="AK153" s="399"/>
      <c r="AM153" s="69"/>
    </row>
    <row r="154" spans="1:39">
      <c r="A154" s="69"/>
      <c r="B154" s="399" t="s">
        <v>848</v>
      </c>
      <c r="C154" s="400">
        <v>82.4</v>
      </c>
      <c r="D154" s="400">
        <v>83.8</v>
      </c>
      <c r="E154" s="400">
        <v>90</v>
      </c>
      <c r="F154" s="400">
        <v>91.4</v>
      </c>
      <c r="G154" s="400">
        <v>94.1</v>
      </c>
      <c r="H154" s="400">
        <v>100.7</v>
      </c>
      <c r="I154" s="400">
        <v>102.5</v>
      </c>
      <c r="J154" s="400">
        <v>105.6</v>
      </c>
      <c r="K154" s="400">
        <v>107.6</v>
      </c>
      <c r="L154" s="400">
        <v>106.8</v>
      </c>
      <c r="M154" s="400">
        <v>113.4</v>
      </c>
      <c r="N154" s="400">
        <v>116.7</v>
      </c>
      <c r="O154" s="400">
        <f t="shared" si="166"/>
        <v>119.48363636363592</v>
      </c>
      <c r="P154" s="400">
        <v>122.53999999999905</v>
      </c>
      <c r="Q154" s="400">
        <v>125.59636363636309</v>
      </c>
      <c r="R154" s="400">
        <v>128.65272727272713</v>
      </c>
      <c r="S154" s="400">
        <v>131.70909090909026</v>
      </c>
      <c r="T154" s="400">
        <v>134.7654545454543</v>
      </c>
      <c r="U154" s="400">
        <v>137.82181818181743</v>
      </c>
      <c r="V154" s="400">
        <v>140.87818181818147</v>
      </c>
      <c r="W154" s="400">
        <v>143.9345454545446</v>
      </c>
      <c r="X154" s="400">
        <v>146.99090909090864</v>
      </c>
      <c r="Y154" s="69"/>
      <c r="Z154" s="399" t="s">
        <v>848</v>
      </c>
      <c r="AA154" s="400">
        <v>48.5</v>
      </c>
      <c r="AB154" s="399"/>
      <c r="AC154" s="399"/>
      <c r="AD154" s="399"/>
      <c r="AE154" s="399"/>
      <c r="AF154" s="399"/>
      <c r="AG154" s="399"/>
      <c r="AH154" s="399"/>
      <c r="AI154" s="399"/>
      <c r="AJ154" s="399"/>
      <c r="AK154" s="399"/>
      <c r="AM154" s="69"/>
    </row>
    <row r="155" spans="1:39">
      <c r="A155" s="69"/>
      <c r="B155" s="399" t="s">
        <v>849</v>
      </c>
      <c r="C155" s="400">
        <v>91.1</v>
      </c>
      <c r="D155" s="400">
        <v>95.2</v>
      </c>
      <c r="E155" s="400">
        <v>79.5</v>
      </c>
      <c r="F155" s="400">
        <v>89.5</v>
      </c>
      <c r="G155" s="400">
        <v>100.1</v>
      </c>
      <c r="H155" s="400">
        <v>101.6</v>
      </c>
      <c r="I155" s="400">
        <v>103.8</v>
      </c>
      <c r="J155" s="400">
        <v>115.5</v>
      </c>
      <c r="K155" s="400">
        <v>123.4</v>
      </c>
      <c r="L155" s="400">
        <v>131.19999999999999</v>
      </c>
      <c r="M155" s="400">
        <v>130.1</v>
      </c>
      <c r="N155" s="400">
        <v>131.30000000000001</v>
      </c>
      <c r="O155" s="400">
        <f t="shared" si="166"/>
        <v>140.20909090909299</v>
      </c>
      <c r="P155" s="400">
        <v>145.37727272727352</v>
      </c>
      <c r="Q155" s="400">
        <v>150.54545454545587</v>
      </c>
      <c r="R155" s="400">
        <v>155.71363636363822</v>
      </c>
      <c r="S155" s="400">
        <v>160.88181818181874</v>
      </c>
      <c r="T155" s="400">
        <v>166.05000000000109</v>
      </c>
      <c r="U155" s="400">
        <v>171.21818181818344</v>
      </c>
      <c r="V155" s="400">
        <v>176.38636363636397</v>
      </c>
      <c r="W155" s="400">
        <v>181.55454545454631</v>
      </c>
      <c r="X155" s="400">
        <v>186.72272727272866</v>
      </c>
      <c r="Y155" s="69"/>
      <c r="Z155" s="399" t="s">
        <v>849</v>
      </c>
      <c r="AA155" s="400">
        <v>14</v>
      </c>
      <c r="AB155" s="399"/>
      <c r="AC155" s="399"/>
      <c r="AD155" s="399"/>
      <c r="AE155" s="399"/>
      <c r="AF155" s="399"/>
      <c r="AG155" s="399"/>
      <c r="AH155" s="399"/>
      <c r="AI155" s="399"/>
      <c r="AJ155" s="399"/>
      <c r="AK155" s="399"/>
      <c r="AM155" s="69"/>
    </row>
    <row r="156" spans="1:39">
      <c r="A156" s="69"/>
      <c r="B156" s="399" t="s">
        <v>850</v>
      </c>
      <c r="C156" s="400">
        <v>85.7</v>
      </c>
      <c r="D156" s="400">
        <v>91.3</v>
      </c>
      <c r="E156" s="400">
        <v>93.7</v>
      </c>
      <c r="F156" s="400">
        <v>92.8</v>
      </c>
      <c r="G156" s="400">
        <v>97</v>
      </c>
      <c r="H156" s="400">
        <v>98.4</v>
      </c>
      <c r="I156" s="400">
        <v>101</v>
      </c>
      <c r="J156" s="400">
        <v>101.3</v>
      </c>
      <c r="K156" s="400">
        <v>103.3</v>
      </c>
      <c r="L156" s="400">
        <v>99.4</v>
      </c>
      <c r="M156" s="400">
        <v>98.9</v>
      </c>
      <c r="N156" s="401">
        <v>98.9</v>
      </c>
      <c r="O156" s="400">
        <f t="shared" si="166"/>
        <v>102.95090909090891</v>
      </c>
      <c r="P156" s="401">
        <v>103.80636363636336</v>
      </c>
      <c r="Q156" s="401">
        <v>104.66181818181803</v>
      </c>
      <c r="R156" s="401">
        <v>105.51727272727248</v>
      </c>
      <c r="S156" s="401">
        <v>106.37272727272716</v>
      </c>
      <c r="T156" s="401">
        <v>107.22818181818161</v>
      </c>
      <c r="U156" s="401">
        <v>108.08363636363606</v>
      </c>
      <c r="V156" s="401">
        <v>108.93909090909074</v>
      </c>
      <c r="W156" s="401">
        <v>109.79454545454519</v>
      </c>
      <c r="X156" s="401">
        <v>110.64999999999986</v>
      </c>
      <c r="Y156" s="69"/>
      <c r="Z156" s="399" t="s">
        <v>850</v>
      </c>
      <c r="AA156" s="400">
        <v>43.2</v>
      </c>
      <c r="AB156" s="399"/>
      <c r="AC156" s="399"/>
      <c r="AD156" s="399"/>
      <c r="AE156" s="399"/>
      <c r="AF156" s="399"/>
      <c r="AG156" s="399"/>
      <c r="AH156" s="399"/>
      <c r="AI156" s="399"/>
      <c r="AJ156" s="399"/>
      <c r="AK156" s="399"/>
      <c r="AM156" s="69"/>
    </row>
    <row r="157" spans="1:39">
      <c r="A157" s="69"/>
      <c r="B157" s="399" t="s">
        <v>851</v>
      </c>
      <c r="C157" s="400">
        <v>75.5</v>
      </c>
      <c r="D157" s="400">
        <v>84.4</v>
      </c>
      <c r="E157" s="400">
        <v>69.900000000000006</v>
      </c>
      <c r="F157" s="400">
        <v>96.9</v>
      </c>
      <c r="G157" s="400">
        <v>96.6</v>
      </c>
      <c r="H157" s="400">
        <v>98.3</v>
      </c>
      <c r="I157" s="400">
        <v>101.7</v>
      </c>
      <c r="J157" s="400">
        <v>105.3</v>
      </c>
      <c r="K157" s="400">
        <v>110.4</v>
      </c>
      <c r="L157" s="400">
        <v>114.2</v>
      </c>
      <c r="M157" s="400">
        <v>116.4</v>
      </c>
      <c r="N157" s="400">
        <v>128</v>
      </c>
      <c r="O157" s="400">
        <f t="shared" si="166"/>
        <v>128.76363636363567</v>
      </c>
      <c r="P157" s="400">
        <v>133.22272727272684</v>
      </c>
      <c r="Q157" s="400">
        <v>137.68181818181802</v>
      </c>
      <c r="R157" s="400">
        <v>142.14090909090737</v>
      </c>
      <c r="S157" s="400">
        <v>146.59999999999854</v>
      </c>
      <c r="T157" s="400">
        <v>151.05909090908972</v>
      </c>
      <c r="U157" s="400">
        <v>155.51818181818089</v>
      </c>
      <c r="V157" s="400">
        <v>159.97727272727207</v>
      </c>
      <c r="W157" s="400">
        <v>164.43636363636324</v>
      </c>
      <c r="X157" s="400">
        <v>168.89545454545259</v>
      </c>
      <c r="Y157" s="69"/>
      <c r="Z157" s="399" t="s">
        <v>851</v>
      </c>
      <c r="AA157" s="400">
        <v>11.8</v>
      </c>
      <c r="AB157" s="399"/>
      <c r="AC157" s="399"/>
      <c r="AD157" s="399"/>
      <c r="AE157" s="399"/>
      <c r="AF157" s="399"/>
      <c r="AG157" s="399"/>
      <c r="AH157" s="399"/>
      <c r="AI157" s="399"/>
      <c r="AJ157" s="399"/>
      <c r="AK157" s="399"/>
      <c r="AM157" s="69"/>
    </row>
    <row r="158" spans="1:39">
      <c r="A158" s="69"/>
      <c r="B158" s="399" t="s">
        <v>852</v>
      </c>
      <c r="C158" s="400">
        <v>91</v>
      </c>
      <c r="D158" s="400">
        <v>103.6</v>
      </c>
      <c r="E158" s="400">
        <v>104.1</v>
      </c>
      <c r="F158" s="400">
        <v>106.4</v>
      </c>
      <c r="G158" s="400">
        <v>106.5</v>
      </c>
      <c r="H158" s="400">
        <v>101.9</v>
      </c>
      <c r="I158" s="400">
        <v>101.8</v>
      </c>
      <c r="J158" s="400">
        <v>101.3</v>
      </c>
      <c r="K158" s="400">
        <v>99.6</v>
      </c>
      <c r="L158" s="400">
        <v>106.2</v>
      </c>
      <c r="M158" s="400">
        <v>109.8</v>
      </c>
      <c r="N158" s="400">
        <v>107.4</v>
      </c>
      <c r="O158" s="400">
        <f t="shared" si="166"/>
        <v>105.88000000000005</v>
      </c>
      <c r="P158" s="400">
        <v>106.12363636363636</v>
      </c>
      <c r="Q158" s="400">
        <v>106.36727272727273</v>
      </c>
      <c r="R158" s="400">
        <v>106.6109090909091</v>
      </c>
      <c r="S158" s="400">
        <v>106.85454545454547</v>
      </c>
      <c r="T158" s="400">
        <v>107.09818181818184</v>
      </c>
      <c r="U158" s="400">
        <v>107.34181818181821</v>
      </c>
      <c r="V158" s="400">
        <v>107.58545454545458</v>
      </c>
      <c r="W158" s="400">
        <v>107.82909090909095</v>
      </c>
      <c r="X158" s="400">
        <v>108.07272727272732</v>
      </c>
      <c r="Y158" s="69"/>
      <c r="Z158" s="399" t="s">
        <v>852</v>
      </c>
      <c r="AA158" s="400">
        <v>20.2</v>
      </c>
      <c r="AB158" s="399"/>
      <c r="AC158" s="399"/>
      <c r="AD158" s="399"/>
      <c r="AE158" s="399"/>
      <c r="AF158" s="399"/>
      <c r="AG158" s="399"/>
      <c r="AH158" s="399"/>
      <c r="AI158" s="399"/>
      <c r="AJ158" s="399"/>
      <c r="AK158" s="399"/>
      <c r="AM158" s="69"/>
    </row>
    <row r="159" spans="1:39">
      <c r="A159" s="69"/>
      <c r="B159" s="399" t="s">
        <v>853</v>
      </c>
      <c r="C159" s="400">
        <v>53.1</v>
      </c>
      <c r="D159" s="400">
        <v>66.3</v>
      </c>
      <c r="E159" s="400">
        <v>82.2</v>
      </c>
      <c r="F159" s="400">
        <v>85.7</v>
      </c>
      <c r="G159" s="400">
        <v>88.2</v>
      </c>
      <c r="H159" s="400">
        <v>96.2</v>
      </c>
      <c r="I159" s="400">
        <v>103.7</v>
      </c>
      <c r="J159" s="400">
        <v>109.5</v>
      </c>
      <c r="K159" s="400">
        <v>111.6</v>
      </c>
      <c r="L159" s="400">
        <v>116.5</v>
      </c>
      <c r="M159" s="400">
        <v>131</v>
      </c>
      <c r="N159" s="400">
        <v>140.6</v>
      </c>
      <c r="O159" s="400">
        <f t="shared" si="166"/>
        <v>142.09272727272764</v>
      </c>
      <c r="P159" s="400">
        <v>148.63090909090715</v>
      </c>
      <c r="Q159" s="400">
        <v>155.16909090908848</v>
      </c>
      <c r="R159" s="400">
        <v>161.70727272726981</v>
      </c>
      <c r="S159" s="400">
        <v>168.24545454545296</v>
      </c>
      <c r="T159" s="400">
        <v>174.78363636363429</v>
      </c>
      <c r="U159" s="400">
        <v>181.32181818181562</v>
      </c>
      <c r="V159" s="400">
        <v>187.85999999999694</v>
      </c>
      <c r="W159" s="400">
        <v>194.39818181818009</v>
      </c>
      <c r="X159" s="400">
        <v>200.93636363636142</v>
      </c>
      <c r="Y159" s="69"/>
      <c r="Z159" s="399" t="s">
        <v>853</v>
      </c>
      <c r="AA159" s="400">
        <v>8.5</v>
      </c>
      <c r="AB159" s="399"/>
      <c r="AC159" s="399"/>
      <c r="AD159" s="399"/>
      <c r="AE159" s="399"/>
      <c r="AF159" s="399"/>
      <c r="AG159" s="399"/>
      <c r="AH159" s="399"/>
      <c r="AI159" s="399"/>
      <c r="AJ159" s="399"/>
      <c r="AK159" s="399"/>
      <c r="AM159" s="69"/>
    </row>
    <row r="160" spans="1:39">
      <c r="A160" s="69"/>
      <c r="B160" s="399" t="s">
        <v>854</v>
      </c>
      <c r="C160" s="400">
        <v>90.8</v>
      </c>
      <c r="D160" s="400">
        <v>94.5</v>
      </c>
      <c r="E160" s="400">
        <v>97.2</v>
      </c>
      <c r="F160" s="400">
        <v>110.2</v>
      </c>
      <c r="G160" s="400">
        <v>104</v>
      </c>
      <c r="H160" s="400">
        <v>103.8</v>
      </c>
      <c r="I160" s="400">
        <v>98.1</v>
      </c>
      <c r="J160" s="400">
        <v>113.4</v>
      </c>
      <c r="K160" s="400">
        <v>112.7</v>
      </c>
      <c r="L160" s="400">
        <v>107.4</v>
      </c>
      <c r="M160" s="400">
        <v>112.2</v>
      </c>
      <c r="N160" s="400">
        <v>128.5</v>
      </c>
      <c r="O160" s="400">
        <f t="shared" si="166"/>
        <v>121.01454545454453</v>
      </c>
      <c r="P160" s="400">
        <v>123.27454545454475</v>
      </c>
      <c r="Q160" s="400">
        <v>125.53454545454497</v>
      </c>
      <c r="R160" s="400">
        <v>127.79454545454519</v>
      </c>
      <c r="S160" s="400">
        <v>130.0545454545454</v>
      </c>
      <c r="T160" s="400">
        <v>132.31454545454471</v>
      </c>
      <c r="U160" s="400">
        <v>134.57454545454493</v>
      </c>
      <c r="V160" s="400">
        <v>136.83454545454515</v>
      </c>
      <c r="W160" s="400">
        <v>139.09454545454537</v>
      </c>
      <c r="X160" s="400">
        <v>141.35454545454468</v>
      </c>
      <c r="Y160" s="69"/>
      <c r="Z160" s="399" t="s">
        <v>854</v>
      </c>
      <c r="AA160" s="400">
        <v>14</v>
      </c>
      <c r="AB160" s="399"/>
      <c r="AC160" s="399"/>
      <c r="AD160" s="399"/>
      <c r="AE160" s="399"/>
      <c r="AF160" s="399"/>
      <c r="AG160" s="399"/>
      <c r="AH160" s="399"/>
      <c r="AI160" s="399"/>
      <c r="AJ160" s="399"/>
      <c r="AK160" s="399"/>
      <c r="AM160" s="69"/>
    </row>
    <row r="161" spans="1:39">
      <c r="A161" s="69"/>
      <c r="B161" s="399" t="s">
        <v>855</v>
      </c>
      <c r="C161" s="400">
        <v>91.2</v>
      </c>
      <c r="D161" s="400">
        <v>93.9</v>
      </c>
      <c r="E161" s="400">
        <v>105.3</v>
      </c>
      <c r="F161" s="400">
        <v>100.5</v>
      </c>
      <c r="G161" s="400">
        <v>106.3</v>
      </c>
      <c r="H161" s="400">
        <v>103.7</v>
      </c>
      <c r="I161" s="400">
        <v>95.4</v>
      </c>
      <c r="J161" s="400">
        <v>103</v>
      </c>
      <c r="K161" s="400">
        <v>99</v>
      </c>
      <c r="L161" s="400">
        <v>94.6</v>
      </c>
      <c r="M161" s="400">
        <v>101.6</v>
      </c>
      <c r="N161" s="400">
        <v>107.2</v>
      </c>
      <c r="O161" s="400">
        <f t="shared" si="166"/>
        <v>101.97454545454542</v>
      </c>
      <c r="P161" s="400">
        <v>102.14454545454547</v>
      </c>
      <c r="Q161" s="400">
        <v>102.31454545454548</v>
      </c>
      <c r="R161" s="400">
        <v>102.4845454545455</v>
      </c>
      <c r="S161" s="400">
        <v>102.65454545454551</v>
      </c>
      <c r="T161" s="400">
        <v>102.82454545454547</v>
      </c>
      <c r="U161" s="400">
        <v>102.99454545454549</v>
      </c>
      <c r="V161" s="400">
        <v>103.1645454545455</v>
      </c>
      <c r="W161" s="400">
        <v>103.33454545454552</v>
      </c>
      <c r="X161" s="400">
        <v>103.50454545454554</v>
      </c>
      <c r="Y161" s="69"/>
      <c r="Z161" s="399" t="s">
        <v>855</v>
      </c>
      <c r="AA161" s="400">
        <v>19.600000000000001</v>
      </c>
      <c r="AB161" s="399"/>
      <c r="AC161" s="399"/>
      <c r="AD161" s="399"/>
      <c r="AE161" s="399"/>
      <c r="AF161" s="399"/>
      <c r="AG161" s="399"/>
      <c r="AH161" s="399"/>
      <c r="AI161" s="399"/>
      <c r="AJ161" s="399"/>
      <c r="AK161" s="399"/>
      <c r="AM161" s="69"/>
    </row>
    <row r="162" spans="1:39">
      <c r="A162" s="69"/>
      <c r="B162" s="399" t="s">
        <v>856</v>
      </c>
      <c r="C162" s="400">
        <v>86.4</v>
      </c>
      <c r="D162" s="400">
        <v>89.7</v>
      </c>
      <c r="E162" s="400">
        <v>94.3</v>
      </c>
      <c r="F162" s="400">
        <v>97.3</v>
      </c>
      <c r="G162" s="400">
        <v>97.6</v>
      </c>
      <c r="H162" s="400">
        <v>99.4</v>
      </c>
      <c r="I162" s="400">
        <v>100.2</v>
      </c>
      <c r="J162" s="400">
        <v>102</v>
      </c>
      <c r="K162" s="400">
        <v>101.3</v>
      </c>
      <c r="L162" s="400">
        <v>104</v>
      </c>
      <c r="M162" s="400">
        <v>104.1</v>
      </c>
      <c r="N162" s="400">
        <v>106.7</v>
      </c>
      <c r="O162" s="400">
        <f t="shared" si="166"/>
        <v>108.10727272727263</v>
      </c>
      <c r="P162" s="400">
        <v>109.51000000000022</v>
      </c>
      <c r="Q162" s="400">
        <v>110.91272727272735</v>
      </c>
      <c r="R162" s="400">
        <v>112.31545454545449</v>
      </c>
      <c r="S162" s="400">
        <v>113.71818181818162</v>
      </c>
      <c r="T162" s="400">
        <v>115.12090909090921</v>
      </c>
      <c r="U162" s="400">
        <v>116.52363636363634</v>
      </c>
      <c r="V162" s="400">
        <v>117.92636363636348</v>
      </c>
      <c r="W162" s="400">
        <v>119.32909090909106</v>
      </c>
      <c r="X162" s="400">
        <v>120.7318181818182</v>
      </c>
      <c r="Y162" s="69"/>
      <c r="Z162" s="399" t="s">
        <v>856</v>
      </c>
      <c r="AA162" s="400">
        <v>24.8</v>
      </c>
      <c r="AB162" s="399"/>
      <c r="AC162" s="399"/>
      <c r="AD162" s="399"/>
      <c r="AE162" s="399"/>
      <c r="AF162" s="399"/>
      <c r="AG162" s="399"/>
      <c r="AH162" s="399"/>
      <c r="AI162" s="399"/>
      <c r="AJ162" s="399"/>
      <c r="AK162" s="399"/>
      <c r="AM162" s="69"/>
    </row>
    <row r="163" spans="1:39">
      <c r="A163" s="69"/>
      <c r="B163" s="399" t="s">
        <v>857</v>
      </c>
      <c r="C163" s="400">
        <v>86.6</v>
      </c>
      <c r="D163" s="400">
        <v>87.3</v>
      </c>
      <c r="E163" s="400">
        <v>88.8</v>
      </c>
      <c r="F163" s="400">
        <v>91.6</v>
      </c>
      <c r="G163" s="400">
        <v>93.1</v>
      </c>
      <c r="H163" s="400">
        <v>97.4</v>
      </c>
      <c r="I163" s="400">
        <v>99.9</v>
      </c>
      <c r="J163" s="400">
        <v>100.5</v>
      </c>
      <c r="K163" s="400">
        <v>101.5</v>
      </c>
      <c r="L163" s="400">
        <v>107.3</v>
      </c>
      <c r="M163" s="400">
        <v>109.3</v>
      </c>
      <c r="N163" s="400">
        <v>112.6</v>
      </c>
      <c r="O163" s="400">
        <f t="shared" si="166"/>
        <v>114.0545454545445</v>
      </c>
      <c r="P163" s="400">
        <v>116.55909090909063</v>
      </c>
      <c r="Q163" s="400">
        <v>119.06363636363585</v>
      </c>
      <c r="R163" s="400">
        <v>121.56818181818198</v>
      </c>
      <c r="S163" s="400">
        <v>124.07272727272721</v>
      </c>
      <c r="T163" s="400">
        <v>126.57727272727243</v>
      </c>
      <c r="U163" s="400">
        <v>129.08181818181765</v>
      </c>
      <c r="V163" s="400">
        <v>131.58636363636379</v>
      </c>
      <c r="W163" s="400">
        <v>134.09090909090901</v>
      </c>
      <c r="X163" s="400">
        <v>136.59545454545423</v>
      </c>
      <c r="Y163" s="69"/>
      <c r="Z163" s="399" t="s">
        <v>857</v>
      </c>
      <c r="AA163" s="400">
        <v>48.8</v>
      </c>
      <c r="AB163" s="399"/>
      <c r="AC163" s="399"/>
      <c r="AD163" s="399"/>
      <c r="AE163" s="399"/>
      <c r="AF163" s="399"/>
      <c r="AG163" s="399"/>
      <c r="AH163" s="399"/>
      <c r="AI163" s="399"/>
      <c r="AJ163" s="399"/>
      <c r="AK163" s="399"/>
      <c r="AM163" s="69"/>
    </row>
    <row r="164" spans="1:39">
      <c r="A164" s="69"/>
      <c r="B164" s="399" t="s">
        <v>888</v>
      </c>
      <c r="C164" s="400">
        <v>88</v>
      </c>
      <c r="D164" s="400">
        <v>90.1</v>
      </c>
      <c r="E164" s="400">
        <v>95.9</v>
      </c>
      <c r="F164" s="400">
        <v>95</v>
      </c>
      <c r="G164" s="400">
        <v>100.2</v>
      </c>
      <c r="H164" s="400">
        <v>101.6</v>
      </c>
      <c r="I164" s="400">
        <v>99.3</v>
      </c>
      <c r="J164" s="400">
        <v>97.9</v>
      </c>
      <c r="K164" s="400">
        <v>99.7</v>
      </c>
      <c r="L164" s="400">
        <v>101.6</v>
      </c>
      <c r="M164" s="400">
        <v>100</v>
      </c>
      <c r="N164" s="400">
        <v>103.5</v>
      </c>
      <c r="O164" s="400">
        <f t="shared" si="166"/>
        <v>103.9909090909091</v>
      </c>
      <c r="P164" s="400">
        <v>104.88636363636374</v>
      </c>
      <c r="Q164" s="400">
        <v>105.78181818181838</v>
      </c>
      <c r="R164" s="400">
        <v>106.67727272727279</v>
      </c>
      <c r="S164" s="400">
        <v>107.57272727272743</v>
      </c>
      <c r="T164" s="400">
        <v>108.46818181818185</v>
      </c>
      <c r="U164" s="400">
        <v>109.36363636363649</v>
      </c>
      <c r="V164" s="400">
        <v>110.2590909090909</v>
      </c>
      <c r="W164" s="400">
        <v>111.15454545454554</v>
      </c>
      <c r="X164" s="400">
        <v>112.05000000000018</v>
      </c>
      <c r="Y164" s="69"/>
      <c r="Z164" s="399" t="s">
        <v>888</v>
      </c>
      <c r="AA164" s="400">
        <v>33.1</v>
      </c>
      <c r="AB164" s="399"/>
      <c r="AC164" s="399"/>
      <c r="AD164" s="399"/>
      <c r="AE164" s="399"/>
      <c r="AF164" s="399"/>
      <c r="AG164" s="399"/>
      <c r="AH164" s="399"/>
      <c r="AI164" s="399"/>
      <c r="AJ164" s="399"/>
      <c r="AK164" s="399"/>
      <c r="AM164" s="69"/>
    </row>
    <row r="165" spans="1:39">
      <c r="A165" s="69"/>
      <c r="B165" s="402"/>
      <c r="C165" s="327"/>
      <c r="D165" s="327"/>
      <c r="E165" s="327"/>
      <c r="F165" s="327"/>
      <c r="G165" s="327"/>
      <c r="H165" s="327"/>
      <c r="I165" s="327"/>
      <c r="J165" s="327"/>
      <c r="K165" s="327"/>
      <c r="L165" s="327"/>
      <c r="M165" s="327"/>
      <c r="N165" s="327"/>
      <c r="O165" s="327"/>
      <c r="P165" s="327"/>
      <c r="Q165" s="327"/>
      <c r="R165" s="327"/>
      <c r="S165" s="327"/>
      <c r="T165" s="327"/>
      <c r="U165" s="327"/>
      <c r="V165" s="327"/>
      <c r="W165" s="327"/>
      <c r="X165" s="327"/>
      <c r="Y165" s="327"/>
      <c r="Z165" s="327"/>
      <c r="AA165" s="327"/>
      <c r="AB165" s="327"/>
      <c r="AC165" s="327"/>
      <c r="AD165" s="327"/>
      <c r="AE165" s="327"/>
      <c r="AF165" s="327"/>
      <c r="AG165" s="327"/>
      <c r="AH165" s="327"/>
      <c r="AI165" s="327"/>
      <c r="AJ165" s="327"/>
      <c r="AK165" s="327"/>
      <c r="AM165" s="327"/>
    </row>
    <row r="166" spans="1:39">
      <c r="A166" s="69"/>
      <c r="B166" s="403" t="s">
        <v>889</v>
      </c>
      <c r="C166" s="404" t="s">
        <v>890</v>
      </c>
      <c r="D166" s="327"/>
      <c r="E166" s="327"/>
      <c r="F166" s="327"/>
      <c r="G166" s="327"/>
      <c r="H166" s="327"/>
      <c r="I166" s="327"/>
      <c r="J166" s="327"/>
      <c r="K166" s="327"/>
      <c r="L166" s="327"/>
      <c r="M166" s="327"/>
      <c r="N166" s="327"/>
      <c r="O166" s="327"/>
      <c r="P166" s="327"/>
      <c r="Q166" s="327"/>
      <c r="R166" s="327"/>
      <c r="S166" s="327"/>
      <c r="T166" s="327"/>
      <c r="U166" s="327"/>
      <c r="V166" s="327"/>
      <c r="W166" s="327"/>
      <c r="X166" s="327"/>
      <c r="Y166" s="327"/>
      <c r="Z166" s="404" t="s">
        <v>891</v>
      </c>
      <c r="AA166" s="405" t="s">
        <v>892</v>
      </c>
      <c r="AB166" s="404"/>
      <c r="AC166" s="404"/>
      <c r="AD166" s="404"/>
      <c r="AE166" s="404"/>
      <c r="AF166" s="404"/>
      <c r="AG166" s="404"/>
      <c r="AH166" s="404"/>
      <c r="AI166" s="404"/>
      <c r="AJ166" s="404"/>
      <c r="AK166" s="404"/>
      <c r="AM166" s="327"/>
    </row>
    <row r="167" spans="1:39">
      <c r="A167" s="69"/>
      <c r="B167" s="403" t="s">
        <v>893</v>
      </c>
      <c r="C167" s="403" t="s">
        <v>894</v>
      </c>
      <c r="D167" s="327"/>
      <c r="E167" s="327"/>
      <c r="F167" s="327"/>
      <c r="G167" s="327"/>
      <c r="H167" s="327"/>
      <c r="I167" s="327"/>
      <c r="J167" s="327"/>
      <c r="K167" s="327"/>
      <c r="L167" s="327"/>
      <c r="M167" s="327"/>
      <c r="N167" s="327"/>
      <c r="O167" s="327"/>
      <c r="P167" s="327"/>
      <c r="Q167" s="327"/>
      <c r="R167" s="327"/>
      <c r="S167" s="327"/>
      <c r="T167" s="327"/>
      <c r="U167" s="327"/>
      <c r="V167" s="327"/>
      <c r="W167" s="327"/>
      <c r="X167" s="327"/>
      <c r="Y167" s="327"/>
      <c r="Z167" s="404" t="s">
        <v>895</v>
      </c>
      <c r="AA167" s="405" t="s">
        <v>896</v>
      </c>
      <c r="AB167" s="404"/>
      <c r="AC167" s="404"/>
      <c r="AD167" s="404"/>
      <c r="AE167" s="404"/>
      <c r="AF167" s="404"/>
      <c r="AG167" s="404"/>
      <c r="AH167" s="404"/>
      <c r="AI167" s="404"/>
      <c r="AJ167" s="404"/>
      <c r="AK167" s="404"/>
      <c r="AM167" s="327"/>
    </row>
    <row r="168" spans="1:39">
      <c r="A168" s="69"/>
      <c r="B168" s="403" t="s">
        <v>897</v>
      </c>
      <c r="C168" s="404" t="s">
        <v>898</v>
      </c>
      <c r="D168" s="327"/>
      <c r="E168" s="327"/>
      <c r="F168" s="327"/>
      <c r="G168" s="327"/>
      <c r="H168" s="327"/>
      <c r="I168" s="327"/>
      <c r="J168" s="327"/>
      <c r="K168" s="327"/>
      <c r="L168" s="327"/>
      <c r="M168" s="327"/>
      <c r="N168" s="327"/>
      <c r="O168" s="327"/>
      <c r="P168" s="327"/>
      <c r="Q168" s="327"/>
      <c r="R168" s="327"/>
      <c r="S168" s="327"/>
      <c r="T168" s="327"/>
      <c r="U168" s="327"/>
      <c r="V168" s="327"/>
      <c r="W168" s="327"/>
      <c r="X168" s="327"/>
      <c r="Y168" s="327"/>
      <c r="Z168" s="404" t="s">
        <v>899</v>
      </c>
      <c r="AA168" s="404" t="s">
        <v>900</v>
      </c>
      <c r="AB168" s="404"/>
      <c r="AC168" s="404"/>
      <c r="AD168" s="404"/>
      <c r="AE168" s="404"/>
      <c r="AF168" s="404"/>
      <c r="AG168" s="404"/>
      <c r="AH168" s="404"/>
      <c r="AI168" s="404"/>
      <c r="AJ168" s="404"/>
      <c r="AK168" s="404"/>
      <c r="AM168" s="327"/>
    </row>
    <row r="169" spans="1:39">
      <c r="A169" s="69"/>
      <c r="B169" s="403" t="s">
        <v>901</v>
      </c>
      <c r="C169" s="404" t="s">
        <v>902</v>
      </c>
      <c r="D169" s="327"/>
      <c r="E169" s="327"/>
      <c r="F169" s="327"/>
      <c r="G169" s="327"/>
      <c r="H169" s="327"/>
      <c r="I169" s="327"/>
      <c r="J169" s="327"/>
      <c r="K169" s="327"/>
      <c r="L169" s="327"/>
      <c r="M169" s="327"/>
      <c r="N169" s="327"/>
      <c r="O169" s="327"/>
      <c r="P169" s="327"/>
      <c r="Q169" s="327"/>
      <c r="R169" s="327"/>
      <c r="S169" s="327"/>
      <c r="T169" s="327"/>
      <c r="U169" s="327"/>
      <c r="V169" s="327"/>
      <c r="W169" s="327"/>
      <c r="X169" s="327"/>
      <c r="Y169" s="327"/>
      <c r="Z169" s="406"/>
      <c r="AA169" s="406"/>
      <c r="AB169" s="406"/>
      <c r="AC169" s="406"/>
      <c r="AD169" s="406"/>
      <c r="AE169" s="406"/>
      <c r="AF169" s="406"/>
      <c r="AG169" s="406"/>
      <c r="AH169" s="406"/>
      <c r="AI169" s="406"/>
      <c r="AJ169" s="406"/>
      <c r="AK169" s="406"/>
      <c r="AM169" s="327"/>
    </row>
    <row r="170" spans="1:39">
      <c r="A170" s="69"/>
      <c r="B170" s="403" t="s">
        <v>657</v>
      </c>
      <c r="C170" s="404" t="s">
        <v>900</v>
      </c>
      <c r="D170" s="327"/>
      <c r="E170" s="327"/>
      <c r="F170" s="327"/>
      <c r="G170" s="327"/>
      <c r="H170" s="327"/>
      <c r="I170" s="327"/>
      <c r="J170" s="327"/>
      <c r="K170" s="327"/>
      <c r="L170" s="327"/>
      <c r="M170" s="327"/>
      <c r="N170" s="327"/>
      <c r="O170" s="327"/>
      <c r="P170" s="327"/>
      <c r="Q170" s="327"/>
      <c r="R170" s="327"/>
      <c r="S170" s="327"/>
      <c r="T170" s="327"/>
      <c r="U170" s="327"/>
      <c r="V170" s="327"/>
      <c r="W170" s="327"/>
      <c r="X170" s="327"/>
      <c r="Y170" s="327"/>
      <c r="Z170" s="404" t="s">
        <v>903</v>
      </c>
      <c r="AA170" s="404" t="s">
        <v>904</v>
      </c>
      <c r="AB170" s="404"/>
      <c r="AC170" s="404"/>
      <c r="AD170" s="404"/>
      <c r="AE170" s="404"/>
      <c r="AF170" s="404"/>
      <c r="AG170" s="404"/>
      <c r="AH170" s="404"/>
      <c r="AI170" s="404"/>
      <c r="AJ170" s="404"/>
      <c r="AK170" s="404"/>
      <c r="AM170" s="327"/>
    </row>
    <row r="171" spans="1:39">
      <c r="A171" s="69"/>
      <c r="B171" s="402"/>
      <c r="C171" s="407"/>
      <c r="D171" s="327"/>
      <c r="E171" s="327"/>
      <c r="F171" s="327"/>
      <c r="G171" s="327"/>
      <c r="H171" s="327"/>
      <c r="I171" s="327"/>
      <c r="J171" s="327"/>
      <c r="K171" s="327"/>
      <c r="L171" s="327"/>
      <c r="M171" s="327"/>
      <c r="N171" s="327"/>
      <c r="O171" s="327"/>
      <c r="P171" s="327"/>
      <c r="Q171" s="327"/>
      <c r="R171" s="327"/>
      <c r="S171" s="327"/>
      <c r="T171" s="327"/>
      <c r="U171" s="327"/>
      <c r="V171" s="327"/>
      <c r="W171" s="327"/>
      <c r="X171" s="327"/>
      <c r="Y171" s="327"/>
      <c r="Z171" s="404" t="s">
        <v>901</v>
      </c>
      <c r="AA171" s="404" t="s">
        <v>905</v>
      </c>
      <c r="AB171" s="404"/>
      <c r="AC171" s="404"/>
      <c r="AD171" s="404"/>
      <c r="AE171" s="404"/>
      <c r="AF171" s="404"/>
      <c r="AG171" s="404"/>
      <c r="AH171" s="404"/>
      <c r="AI171" s="404"/>
      <c r="AJ171" s="404"/>
      <c r="AK171" s="404"/>
      <c r="AM171" s="327"/>
    </row>
    <row r="172" spans="1:39">
      <c r="A172" s="69"/>
      <c r="B172" s="402"/>
      <c r="C172" s="407"/>
      <c r="D172" s="327"/>
      <c r="E172" s="327"/>
      <c r="F172" s="327"/>
      <c r="G172" s="327"/>
      <c r="H172" s="327"/>
      <c r="I172" s="327"/>
      <c r="J172" s="327"/>
      <c r="K172" s="327"/>
      <c r="L172" s="327"/>
      <c r="M172" s="327"/>
      <c r="N172" s="327"/>
      <c r="O172" s="327"/>
      <c r="P172" s="327"/>
      <c r="Q172" s="327"/>
      <c r="R172" s="327"/>
      <c r="S172" s="327"/>
      <c r="T172" s="327"/>
      <c r="U172" s="327"/>
      <c r="V172" s="327"/>
      <c r="W172" s="327"/>
      <c r="X172" s="327"/>
      <c r="Y172" s="327"/>
      <c r="Z172" s="404" t="s">
        <v>897</v>
      </c>
      <c r="AA172" s="404" t="s">
        <v>898</v>
      </c>
      <c r="AB172" s="404"/>
      <c r="AC172" s="404"/>
      <c r="AD172" s="404"/>
      <c r="AE172" s="404"/>
      <c r="AF172" s="404"/>
      <c r="AG172" s="404"/>
      <c r="AH172" s="404"/>
      <c r="AI172" s="404"/>
      <c r="AJ172" s="404"/>
      <c r="AK172" s="404"/>
      <c r="AM172" s="327"/>
    </row>
    <row r="173" spans="1:39">
      <c r="A173" s="69"/>
      <c r="B173" s="69"/>
      <c r="C173" s="327"/>
      <c r="D173" s="327"/>
      <c r="E173" s="327"/>
      <c r="F173" s="327"/>
      <c r="G173" s="327"/>
      <c r="H173" s="327"/>
      <c r="I173" s="327"/>
      <c r="J173" s="327"/>
      <c r="K173" s="327"/>
      <c r="L173" s="327"/>
      <c r="M173" s="327"/>
      <c r="N173" s="327"/>
      <c r="O173" s="327"/>
      <c r="P173" s="327"/>
      <c r="Q173" s="327"/>
      <c r="R173" s="327"/>
      <c r="S173" s="327"/>
      <c r="T173" s="327"/>
      <c r="U173" s="327"/>
      <c r="V173" s="327"/>
      <c r="W173" s="327"/>
      <c r="X173" s="327"/>
      <c r="Y173" s="327"/>
      <c r="Z173" s="327"/>
      <c r="AA173" s="327"/>
      <c r="AB173" s="327"/>
      <c r="AC173" s="327"/>
      <c r="AD173" s="327"/>
      <c r="AE173" s="327"/>
      <c r="AF173" s="327"/>
      <c r="AG173" s="327"/>
      <c r="AH173" s="327"/>
      <c r="AI173" s="327"/>
      <c r="AJ173" s="327"/>
      <c r="AK173" s="327"/>
      <c r="AL173" s="327"/>
      <c r="AM173" s="327"/>
    </row>
    <row r="174" spans="1:39">
      <c r="A174" s="69"/>
      <c r="B174" s="69"/>
      <c r="C174" s="327"/>
      <c r="D174" s="327"/>
      <c r="E174" s="327"/>
      <c r="F174" s="327"/>
      <c r="G174" s="327"/>
      <c r="H174" s="327"/>
      <c r="I174" s="327"/>
      <c r="J174" s="327"/>
      <c r="K174" s="327"/>
      <c r="L174" s="327"/>
      <c r="M174" s="327"/>
      <c r="N174" s="327"/>
      <c r="O174" s="327"/>
      <c r="P174" s="327"/>
      <c r="Q174" s="327"/>
      <c r="R174" s="327"/>
      <c r="S174" s="327"/>
      <c r="T174" s="327"/>
      <c r="U174" s="327"/>
      <c r="V174" s="327"/>
      <c r="W174" s="327"/>
      <c r="X174" s="327"/>
      <c r="Y174" s="327"/>
      <c r="Z174" s="327"/>
      <c r="AA174" s="327"/>
      <c r="AB174" s="327"/>
      <c r="AC174" s="327"/>
      <c r="AD174" s="327"/>
      <c r="AE174" s="327"/>
      <c r="AF174" s="327"/>
      <c r="AG174" s="327"/>
      <c r="AH174" s="327"/>
      <c r="AI174" s="327"/>
      <c r="AJ174" s="327"/>
      <c r="AK174" s="327"/>
      <c r="AL174" s="327"/>
      <c r="AM174" s="327"/>
    </row>
    <row r="175" spans="1:39">
      <c r="A175" s="69"/>
      <c r="B175" s="69"/>
      <c r="C175" s="327"/>
      <c r="D175" s="327"/>
      <c r="E175" s="327"/>
      <c r="F175" s="327"/>
      <c r="G175" s="327"/>
      <c r="H175" s="327"/>
      <c r="I175" s="327"/>
      <c r="J175" s="327"/>
      <c r="K175" s="327"/>
      <c r="L175" s="327"/>
      <c r="M175" s="327"/>
      <c r="N175" s="327"/>
      <c r="O175" s="327"/>
      <c r="P175" s="327"/>
      <c r="Q175" s="327"/>
      <c r="R175" s="327"/>
      <c r="S175" s="327"/>
      <c r="T175" s="327"/>
      <c r="U175" s="327"/>
      <c r="V175" s="327"/>
      <c r="W175" s="327"/>
      <c r="X175" s="327"/>
      <c r="Y175" s="327"/>
      <c r="Z175" s="327"/>
      <c r="AA175" s="327"/>
      <c r="AB175" s="327"/>
      <c r="AC175" s="327"/>
      <c r="AD175" s="327"/>
      <c r="AE175" s="327"/>
      <c r="AF175" s="327"/>
      <c r="AG175" s="327"/>
      <c r="AH175" s="327"/>
      <c r="AI175" s="327"/>
      <c r="AJ175" s="327"/>
      <c r="AK175" s="327"/>
      <c r="AL175" s="327"/>
      <c r="AM175" s="327"/>
    </row>
    <row r="176" spans="1:39">
      <c r="A176" s="69"/>
      <c r="B176" s="69"/>
      <c r="C176" s="327"/>
      <c r="D176" s="327"/>
      <c r="E176" s="327"/>
      <c r="F176" s="327"/>
      <c r="G176" s="327"/>
      <c r="H176" s="327"/>
      <c r="I176" s="327"/>
      <c r="J176" s="327"/>
      <c r="K176" s="327"/>
      <c r="L176" s="327"/>
      <c r="M176" s="327"/>
      <c r="N176" s="327"/>
      <c r="O176" s="327"/>
      <c r="P176" s="327"/>
      <c r="Q176" s="327"/>
      <c r="R176" s="327"/>
      <c r="S176" s="327"/>
      <c r="T176" s="327"/>
      <c r="U176" s="327"/>
      <c r="V176" s="327"/>
      <c r="W176" s="327"/>
      <c r="X176" s="327"/>
      <c r="Y176" s="327"/>
      <c r="Z176" s="327"/>
      <c r="AA176" s="327"/>
      <c r="AB176" s="327"/>
      <c r="AC176" s="327"/>
      <c r="AD176" s="327"/>
      <c r="AE176" s="327"/>
      <c r="AF176" s="327"/>
      <c r="AG176" s="327"/>
      <c r="AH176" s="327"/>
      <c r="AI176" s="327"/>
      <c r="AJ176" s="327"/>
      <c r="AK176" s="327"/>
      <c r="AL176" s="327"/>
      <c r="AM176" s="327"/>
    </row>
    <row r="177" spans="1:39">
      <c r="A177" s="69"/>
      <c r="B177" s="69"/>
      <c r="C177" s="327"/>
      <c r="D177" s="327"/>
      <c r="E177" s="327"/>
      <c r="F177" s="327"/>
      <c r="G177" s="327"/>
      <c r="H177" s="327"/>
      <c r="I177" s="327"/>
      <c r="J177" s="327"/>
      <c r="K177" s="327"/>
      <c r="L177" s="327"/>
      <c r="M177" s="327"/>
      <c r="N177" s="327"/>
      <c r="O177" s="327"/>
      <c r="P177" s="327"/>
      <c r="Q177" s="327"/>
      <c r="R177" s="327"/>
      <c r="S177" s="327"/>
      <c r="T177" s="327"/>
      <c r="U177" s="327"/>
      <c r="V177" s="327"/>
      <c r="W177" s="327"/>
      <c r="X177" s="327"/>
      <c r="Y177" s="327"/>
      <c r="Z177" s="327"/>
      <c r="AA177" s="327"/>
      <c r="AB177" s="327"/>
      <c r="AC177" s="327"/>
      <c r="AD177" s="327"/>
      <c r="AE177" s="327"/>
      <c r="AF177" s="327"/>
      <c r="AG177" s="327"/>
      <c r="AH177" s="327"/>
      <c r="AI177" s="327"/>
      <c r="AJ177" s="327"/>
      <c r="AK177" s="327"/>
      <c r="AL177" s="327"/>
      <c r="AM177" s="327"/>
    </row>
    <row r="178" spans="1:39">
      <c r="A178" s="69"/>
      <c r="B178" s="69"/>
      <c r="C178" s="327"/>
      <c r="D178" s="327"/>
      <c r="E178" s="327"/>
      <c r="F178" s="327"/>
      <c r="G178" s="327"/>
      <c r="H178" s="327"/>
      <c r="I178" s="327"/>
      <c r="J178" s="327"/>
      <c r="K178" s="327"/>
      <c r="L178" s="327"/>
      <c r="M178" s="327"/>
      <c r="N178" s="327"/>
      <c r="O178" s="327"/>
      <c r="P178" s="327"/>
      <c r="Q178" s="327"/>
      <c r="R178" s="327"/>
      <c r="S178" s="327"/>
      <c r="T178" s="327"/>
      <c r="U178" s="327"/>
      <c r="V178" s="327"/>
      <c r="W178" s="327"/>
      <c r="X178" s="327"/>
      <c r="Y178" s="327"/>
      <c r="Z178" s="327"/>
      <c r="AA178" s="327"/>
      <c r="AB178" s="327"/>
      <c r="AC178" s="327"/>
      <c r="AD178" s="327"/>
      <c r="AE178" s="327"/>
      <c r="AF178" s="327"/>
      <c r="AG178" s="327"/>
      <c r="AH178" s="327"/>
      <c r="AI178" s="327"/>
      <c r="AJ178" s="327"/>
      <c r="AK178" s="327"/>
      <c r="AL178" s="327"/>
      <c r="AM178" s="327"/>
    </row>
    <row r="179" spans="1:39">
      <c r="A179" s="69"/>
      <c r="B179" s="69"/>
      <c r="C179" s="327"/>
      <c r="D179" s="327"/>
      <c r="E179" s="327"/>
      <c r="F179" s="327"/>
      <c r="G179" s="327"/>
      <c r="H179" s="327"/>
      <c r="I179" s="327"/>
      <c r="J179" s="327"/>
      <c r="K179" s="327"/>
      <c r="L179" s="327"/>
      <c r="M179" s="327"/>
      <c r="N179" s="327"/>
      <c r="O179" s="327"/>
      <c r="P179" s="327"/>
      <c r="Q179" s="327"/>
      <c r="R179" s="327"/>
      <c r="S179" s="327"/>
      <c r="T179" s="327"/>
      <c r="U179" s="327"/>
      <c r="V179" s="327"/>
      <c r="W179" s="327"/>
      <c r="X179" s="327"/>
      <c r="Y179" s="327"/>
      <c r="Z179" s="327"/>
      <c r="AA179" s="327"/>
      <c r="AB179" s="327"/>
      <c r="AC179" s="327"/>
      <c r="AD179" s="327"/>
      <c r="AE179" s="327"/>
      <c r="AF179" s="327"/>
      <c r="AG179" s="327"/>
      <c r="AH179" s="327"/>
      <c r="AI179" s="327"/>
      <c r="AJ179" s="327"/>
      <c r="AK179" s="327"/>
      <c r="AL179" s="327"/>
      <c r="AM179" s="327"/>
    </row>
    <row r="180" spans="1:39">
      <c r="A180" s="69"/>
      <c r="B180" s="69"/>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327"/>
      <c r="AE180" s="327"/>
      <c r="AF180" s="327"/>
      <c r="AG180" s="327"/>
      <c r="AH180" s="327"/>
      <c r="AI180" s="327"/>
      <c r="AJ180" s="327"/>
      <c r="AK180" s="327"/>
      <c r="AL180" s="327"/>
      <c r="AM180" s="327"/>
    </row>
    <row r="181" spans="1:39">
      <c r="A181" s="69"/>
      <c r="B181" s="69"/>
      <c r="C181" s="327"/>
      <c r="D181" s="327"/>
      <c r="E181" s="327"/>
      <c r="F181" s="327"/>
      <c r="G181" s="327"/>
      <c r="H181" s="327"/>
      <c r="I181" s="327"/>
      <c r="J181" s="327"/>
      <c r="K181" s="327"/>
      <c r="L181" s="327"/>
      <c r="M181" s="327"/>
      <c r="N181" s="327"/>
      <c r="O181" s="327"/>
      <c r="P181" s="327"/>
      <c r="Q181" s="327"/>
      <c r="R181" s="327"/>
      <c r="S181" s="327"/>
      <c r="T181" s="327"/>
      <c r="U181" s="327"/>
      <c r="V181" s="327"/>
      <c r="W181" s="327"/>
      <c r="X181" s="327"/>
      <c r="Y181" s="327"/>
      <c r="Z181" s="327"/>
      <c r="AA181" s="327"/>
      <c r="AB181" s="327"/>
      <c r="AC181" s="327"/>
      <c r="AD181" s="327"/>
      <c r="AE181" s="327"/>
      <c r="AF181" s="327"/>
      <c r="AG181" s="327"/>
      <c r="AH181" s="327"/>
      <c r="AI181" s="327"/>
      <c r="AJ181" s="327"/>
      <c r="AK181" s="327"/>
      <c r="AL181" s="327"/>
      <c r="AM181" s="327"/>
    </row>
    <row r="182" spans="1:39">
      <c r="A182" s="69"/>
      <c r="B182" s="69"/>
      <c r="C182" s="327"/>
      <c r="D182" s="327"/>
      <c r="E182" s="327"/>
      <c r="F182" s="327"/>
      <c r="G182" s="327"/>
      <c r="H182" s="327"/>
      <c r="I182" s="327"/>
      <c r="J182" s="327"/>
      <c r="K182" s="327"/>
      <c r="L182" s="327"/>
      <c r="M182" s="327"/>
      <c r="N182" s="327"/>
      <c r="O182" s="327"/>
      <c r="P182" s="327"/>
      <c r="Q182" s="327"/>
      <c r="R182" s="327"/>
      <c r="S182" s="327"/>
      <c r="T182" s="327"/>
      <c r="U182" s="327"/>
      <c r="V182" s="327"/>
      <c r="W182" s="327"/>
      <c r="X182" s="327"/>
      <c r="Y182" s="327"/>
      <c r="Z182" s="327"/>
      <c r="AA182" s="327"/>
      <c r="AB182" s="327"/>
      <c r="AC182" s="327"/>
      <c r="AD182" s="327"/>
      <c r="AE182" s="327"/>
      <c r="AF182" s="327"/>
      <c r="AG182" s="327"/>
      <c r="AH182" s="327"/>
      <c r="AI182" s="327"/>
      <c r="AJ182" s="327"/>
      <c r="AK182" s="327"/>
      <c r="AL182" s="327"/>
      <c r="AM182" s="327"/>
    </row>
    <row r="183" spans="1:39">
      <c r="A183" s="69"/>
      <c r="B183" s="69"/>
      <c r="C183" s="327"/>
      <c r="D183" s="327"/>
      <c r="E183" s="327"/>
      <c r="F183" s="327"/>
      <c r="G183" s="327"/>
      <c r="H183" s="327"/>
      <c r="I183" s="327"/>
      <c r="J183" s="327"/>
      <c r="K183" s="327"/>
      <c r="L183" s="327"/>
      <c r="M183" s="327"/>
      <c r="N183" s="327"/>
      <c r="O183" s="327"/>
      <c r="P183" s="327"/>
      <c r="Q183" s="327"/>
      <c r="R183" s="327"/>
      <c r="S183" s="327"/>
      <c r="T183" s="327"/>
      <c r="U183" s="327"/>
      <c r="V183" s="327"/>
      <c r="W183" s="327"/>
      <c r="X183" s="327"/>
      <c r="Y183" s="327"/>
      <c r="Z183" s="327"/>
      <c r="AA183" s="327"/>
      <c r="AB183" s="327"/>
      <c r="AC183" s="327"/>
      <c r="AD183" s="327"/>
      <c r="AE183" s="327"/>
      <c r="AF183" s="327"/>
      <c r="AG183" s="327"/>
      <c r="AH183" s="327"/>
      <c r="AI183" s="327"/>
      <c r="AJ183" s="327"/>
      <c r="AK183" s="327"/>
      <c r="AL183" s="327"/>
      <c r="AM183" s="327"/>
    </row>
    <row r="184" spans="1:39">
      <c r="A184" s="69"/>
      <c r="B184" s="69"/>
      <c r="C184" s="327"/>
      <c r="D184" s="327"/>
      <c r="E184" s="327"/>
      <c r="F184" s="327"/>
      <c r="G184" s="327"/>
      <c r="H184" s="327"/>
      <c r="I184" s="327"/>
      <c r="J184" s="327"/>
      <c r="K184" s="327"/>
      <c r="L184" s="327"/>
      <c r="M184" s="327"/>
      <c r="N184" s="327"/>
      <c r="O184" s="327"/>
      <c r="P184" s="327"/>
      <c r="Q184" s="327"/>
      <c r="R184" s="327"/>
      <c r="S184" s="327"/>
      <c r="T184" s="327"/>
      <c r="U184" s="327"/>
      <c r="V184" s="327"/>
      <c r="W184" s="327"/>
      <c r="X184" s="327"/>
      <c r="Y184" s="327"/>
      <c r="Z184" s="327"/>
      <c r="AA184" s="327"/>
      <c r="AB184" s="327"/>
      <c r="AC184" s="327"/>
      <c r="AD184" s="327"/>
      <c r="AE184" s="327"/>
      <c r="AF184" s="327"/>
      <c r="AG184" s="327"/>
      <c r="AH184" s="327"/>
      <c r="AI184" s="327"/>
      <c r="AJ184" s="327"/>
      <c r="AK184" s="327"/>
      <c r="AL184" s="327"/>
      <c r="AM184" s="327"/>
    </row>
    <row r="185" spans="1:39">
      <c r="A185" s="69"/>
      <c r="B185" s="69"/>
      <c r="C185" s="327"/>
      <c r="D185" s="327"/>
      <c r="E185" s="327"/>
      <c r="F185" s="327"/>
      <c r="G185" s="327"/>
      <c r="H185" s="327"/>
      <c r="I185" s="327"/>
      <c r="J185" s="327"/>
      <c r="K185" s="327"/>
      <c r="L185" s="327"/>
      <c r="M185" s="327"/>
      <c r="N185" s="327"/>
      <c r="O185" s="327"/>
      <c r="P185" s="327"/>
      <c r="Q185" s="327"/>
      <c r="R185" s="327"/>
      <c r="S185" s="327"/>
      <c r="T185" s="327"/>
      <c r="U185" s="327"/>
      <c r="V185" s="327"/>
      <c r="W185" s="327"/>
      <c r="X185" s="327"/>
      <c r="Y185" s="327"/>
      <c r="Z185" s="327"/>
      <c r="AA185" s="327"/>
      <c r="AB185" s="327"/>
      <c r="AC185" s="327"/>
      <c r="AD185" s="327"/>
      <c r="AE185" s="327"/>
      <c r="AF185" s="327"/>
      <c r="AG185" s="327"/>
      <c r="AH185" s="327"/>
      <c r="AI185" s="327"/>
      <c r="AJ185" s="327"/>
      <c r="AK185" s="327"/>
      <c r="AL185" s="327"/>
      <c r="AM185" s="327"/>
    </row>
    <row r="186" spans="1:39">
      <c r="A186" s="69"/>
      <c r="B186" s="69"/>
      <c r="C186" s="327"/>
      <c r="D186" s="327"/>
      <c r="E186" s="327"/>
      <c r="F186" s="327"/>
      <c r="G186" s="327"/>
      <c r="H186" s="327"/>
      <c r="I186" s="327"/>
      <c r="J186" s="327"/>
      <c r="K186" s="327"/>
      <c r="L186" s="327"/>
      <c r="M186" s="327"/>
      <c r="N186" s="327"/>
      <c r="O186" s="327"/>
      <c r="P186" s="327"/>
      <c r="Q186" s="327"/>
      <c r="R186" s="327"/>
      <c r="S186" s="327"/>
      <c r="T186" s="327"/>
      <c r="U186" s="327"/>
      <c r="V186" s="327"/>
      <c r="W186" s="327"/>
      <c r="X186" s="327"/>
      <c r="Y186" s="327"/>
      <c r="Z186" s="327"/>
      <c r="AA186" s="327"/>
      <c r="AB186" s="327"/>
      <c r="AC186" s="327"/>
      <c r="AD186" s="327"/>
      <c r="AE186" s="327"/>
      <c r="AF186" s="327"/>
      <c r="AG186" s="327"/>
      <c r="AH186" s="327"/>
      <c r="AI186" s="327"/>
      <c r="AJ186" s="327"/>
      <c r="AK186" s="327"/>
      <c r="AL186" s="327"/>
      <c r="AM186" s="327"/>
    </row>
    <row r="187" spans="1:39">
      <c r="A187" s="69"/>
      <c r="B187" s="69"/>
      <c r="C187" s="327"/>
      <c r="D187" s="327"/>
      <c r="E187" s="327"/>
      <c r="F187" s="327"/>
      <c r="G187" s="327"/>
      <c r="H187" s="327"/>
      <c r="I187" s="327"/>
      <c r="J187" s="327"/>
      <c r="K187" s="327"/>
      <c r="L187" s="327"/>
      <c r="M187" s="327"/>
      <c r="N187" s="327"/>
      <c r="O187" s="327"/>
      <c r="P187" s="327"/>
      <c r="Q187" s="327"/>
      <c r="R187" s="327"/>
      <c r="S187" s="327"/>
      <c r="T187" s="327"/>
      <c r="U187" s="327"/>
      <c r="V187" s="327"/>
      <c r="W187" s="327"/>
      <c r="X187" s="327"/>
      <c r="Y187" s="327"/>
      <c r="Z187" s="327"/>
      <c r="AA187" s="327"/>
      <c r="AB187" s="327"/>
      <c r="AC187" s="327"/>
      <c r="AD187" s="327"/>
      <c r="AE187" s="327"/>
      <c r="AF187" s="327"/>
      <c r="AG187" s="327"/>
      <c r="AH187" s="327"/>
      <c r="AI187" s="327"/>
      <c r="AJ187" s="327"/>
      <c r="AK187" s="327"/>
      <c r="AL187" s="327"/>
      <c r="AM187" s="327"/>
    </row>
    <row r="188" spans="1:39">
      <c r="A188" s="69"/>
      <c r="B188" s="69"/>
      <c r="C188" s="327"/>
      <c r="D188" s="327"/>
      <c r="E188" s="327"/>
      <c r="F188" s="327"/>
      <c r="G188" s="327"/>
      <c r="H188" s="327"/>
      <c r="I188" s="327"/>
      <c r="J188" s="327"/>
      <c r="K188" s="327"/>
      <c r="L188" s="327"/>
      <c r="M188" s="327"/>
      <c r="N188" s="327"/>
      <c r="O188" s="327"/>
      <c r="P188" s="327"/>
      <c r="Q188" s="327"/>
      <c r="R188" s="327"/>
      <c r="S188" s="327"/>
      <c r="T188" s="327"/>
      <c r="U188" s="327"/>
      <c r="V188" s="327"/>
      <c r="W188" s="327"/>
      <c r="X188" s="327"/>
      <c r="Y188" s="327"/>
      <c r="Z188" s="327"/>
      <c r="AA188" s="327"/>
      <c r="AB188" s="327"/>
      <c r="AC188" s="327"/>
      <c r="AD188" s="327"/>
      <c r="AE188" s="327"/>
      <c r="AF188" s="327"/>
      <c r="AG188" s="327"/>
      <c r="AH188" s="327"/>
      <c r="AI188" s="327"/>
      <c r="AJ188" s="327"/>
      <c r="AK188" s="327"/>
      <c r="AL188" s="327"/>
      <c r="AM188" s="327"/>
    </row>
    <row r="189" spans="1:39">
      <c r="A189" s="69"/>
      <c r="B189" s="69"/>
      <c r="C189" s="327"/>
      <c r="D189" s="327"/>
      <c r="E189" s="327"/>
      <c r="F189" s="327"/>
      <c r="G189" s="327"/>
      <c r="H189" s="327"/>
      <c r="I189" s="327"/>
      <c r="J189" s="327"/>
      <c r="K189" s="327"/>
      <c r="L189" s="327"/>
      <c r="M189" s="327"/>
      <c r="N189" s="327"/>
      <c r="O189" s="327"/>
      <c r="P189" s="327"/>
      <c r="Q189" s="327"/>
      <c r="R189" s="327"/>
      <c r="S189" s="327"/>
      <c r="T189" s="327"/>
      <c r="U189" s="327"/>
      <c r="V189" s="327"/>
      <c r="W189" s="327"/>
      <c r="X189" s="327"/>
      <c r="Y189" s="327"/>
      <c r="Z189" s="327"/>
      <c r="AA189" s="327"/>
      <c r="AB189" s="327"/>
      <c r="AC189" s="327"/>
      <c r="AD189" s="327"/>
      <c r="AE189" s="327"/>
      <c r="AF189" s="327"/>
      <c r="AG189" s="327"/>
      <c r="AH189" s="327"/>
      <c r="AI189" s="327"/>
      <c r="AJ189" s="327"/>
      <c r="AK189" s="327"/>
      <c r="AL189" s="327"/>
      <c r="AM189" s="327"/>
    </row>
    <row r="190" spans="1:39">
      <c r="A190" s="69"/>
      <c r="B190" s="69"/>
      <c r="C190" s="327"/>
      <c r="D190" s="327"/>
      <c r="E190" s="327"/>
      <c r="F190" s="327"/>
      <c r="G190" s="327"/>
      <c r="H190" s="327"/>
      <c r="I190" s="327"/>
      <c r="J190" s="327"/>
      <c r="K190" s="327"/>
      <c r="L190" s="327"/>
      <c r="M190" s="327"/>
      <c r="N190" s="327"/>
      <c r="O190" s="327"/>
      <c r="P190" s="327"/>
      <c r="Q190" s="327"/>
      <c r="R190" s="327"/>
      <c r="S190" s="327"/>
      <c r="T190" s="327"/>
      <c r="U190" s="327"/>
      <c r="V190" s="327"/>
      <c r="W190" s="327"/>
      <c r="X190" s="327"/>
      <c r="Y190" s="327"/>
      <c r="Z190" s="327"/>
      <c r="AA190" s="327"/>
      <c r="AB190" s="327"/>
      <c r="AC190" s="327"/>
      <c r="AD190" s="327"/>
      <c r="AE190" s="327"/>
      <c r="AF190" s="327"/>
      <c r="AG190" s="327"/>
      <c r="AH190" s="327"/>
      <c r="AI190" s="327"/>
      <c r="AJ190" s="327"/>
      <c r="AK190" s="327"/>
      <c r="AL190" s="327"/>
      <c r="AM190" s="327"/>
    </row>
    <row r="191" spans="1:39">
      <c r="A191" s="69"/>
      <c r="B191" s="69"/>
      <c r="C191" s="327"/>
      <c r="D191" s="327"/>
      <c r="E191" s="327"/>
      <c r="F191" s="327"/>
      <c r="G191" s="327"/>
      <c r="H191" s="327"/>
      <c r="I191" s="327"/>
      <c r="J191" s="327"/>
      <c r="K191" s="327"/>
      <c r="L191" s="327"/>
      <c r="M191" s="327"/>
      <c r="N191" s="327"/>
      <c r="O191" s="327"/>
      <c r="P191" s="327"/>
      <c r="Q191" s="327"/>
      <c r="R191" s="327"/>
      <c r="S191" s="327"/>
      <c r="T191" s="327"/>
      <c r="U191" s="327"/>
      <c r="V191" s="327"/>
      <c r="W191" s="327"/>
      <c r="X191" s="327"/>
      <c r="Y191" s="327"/>
      <c r="Z191" s="327"/>
      <c r="AA191" s="327"/>
      <c r="AB191" s="327"/>
      <c r="AC191" s="327"/>
      <c r="AD191" s="327"/>
      <c r="AE191" s="327"/>
      <c r="AF191" s="327"/>
      <c r="AG191" s="327"/>
      <c r="AH191" s="327"/>
      <c r="AI191" s="327"/>
      <c r="AJ191" s="327"/>
      <c r="AK191" s="327"/>
      <c r="AL191" s="327"/>
      <c r="AM191" s="327"/>
    </row>
    <row r="192" spans="1:39">
      <c r="A192" s="69"/>
      <c r="B192" s="69"/>
      <c r="C192" s="327"/>
      <c r="D192" s="327"/>
      <c r="E192" s="327"/>
      <c r="F192" s="327"/>
      <c r="G192" s="327"/>
      <c r="H192" s="327"/>
      <c r="I192" s="327"/>
      <c r="J192" s="327"/>
      <c r="K192" s="327"/>
      <c r="L192" s="327"/>
      <c r="M192" s="327"/>
      <c r="N192" s="327"/>
      <c r="O192" s="327"/>
      <c r="P192" s="327"/>
      <c r="Q192" s="327"/>
      <c r="R192" s="327"/>
      <c r="S192" s="327"/>
      <c r="T192" s="327"/>
      <c r="U192" s="327"/>
      <c r="V192" s="327"/>
      <c r="W192" s="327"/>
      <c r="X192" s="327"/>
      <c r="Y192" s="327"/>
      <c r="Z192" s="327"/>
      <c r="AA192" s="327"/>
      <c r="AB192" s="327"/>
      <c r="AC192" s="327"/>
      <c r="AD192" s="327"/>
      <c r="AE192" s="327"/>
      <c r="AF192" s="327"/>
      <c r="AG192" s="327"/>
      <c r="AH192" s="327"/>
      <c r="AI192" s="327"/>
      <c r="AJ192" s="327"/>
      <c r="AK192" s="327"/>
      <c r="AL192" s="327"/>
      <c r="AM192" s="327"/>
    </row>
    <row r="193" spans="1:39">
      <c r="A193" s="69"/>
      <c r="B193" s="69"/>
      <c r="C193" s="327"/>
      <c r="D193" s="327"/>
      <c r="E193" s="327"/>
      <c r="F193" s="327"/>
      <c r="G193" s="327"/>
      <c r="H193" s="327"/>
      <c r="I193" s="327"/>
      <c r="J193" s="327"/>
      <c r="K193" s="327"/>
      <c r="L193" s="327"/>
      <c r="M193" s="327"/>
      <c r="N193" s="327"/>
      <c r="O193" s="327"/>
      <c r="P193" s="327"/>
      <c r="Q193" s="327"/>
      <c r="R193" s="327"/>
      <c r="S193" s="327"/>
      <c r="T193" s="327"/>
      <c r="U193" s="327"/>
      <c r="V193" s="327"/>
      <c r="W193" s="327"/>
      <c r="X193" s="327"/>
      <c r="Y193" s="327"/>
      <c r="Z193" s="327"/>
      <c r="AA193" s="327"/>
      <c r="AB193" s="327"/>
      <c r="AC193" s="327"/>
      <c r="AD193" s="327"/>
      <c r="AE193" s="327"/>
      <c r="AF193" s="327"/>
      <c r="AG193" s="327"/>
      <c r="AH193" s="327"/>
      <c r="AI193" s="327"/>
      <c r="AJ193" s="327"/>
      <c r="AK193" s="327"/>
      <c r="AL193" s="327"/>
      <c r="AM193" s="327"/>
    </row>
    <row r="194" spans="1:39">
      <c r="A194" s="69"/>
      <c r="B194" s="69"/>
      <c r="C194" s="327"/>
      <c r="D194" s="327"/>
      <c r="E194" s="327"/>
      <c r="F194" s="327"/>
      <c r="G194" s="327"/>
      <c r="H194" s="327"/>
      <c r="I194" s="327"/>
      <c r="J194" s="327"/>
      <c r="K194" s="327"/>
      <c r="L194" s="327"/>
      <c r="M194" s="327"/>
      <c r="N194" s="327"/>
      <c r="O194" s="327"/>
      <c r="P194" s="327"/>
      <c r="Q194" s="327"/>
      <c r="R194" s="327"/>
      <c r="S194" s="327"/>
      <c r="T194" s="327"/>
      <c r="U194" s="327"/>
      <c r="V194" s="327"/>
      <c r="W194" s="327"/>
      <c r="X194" s="327"/>
      <c r="Y194" s="327"/>
      <c r="Z194" s="327"/>
      <c r="AA194" s="327"/>
      <c r="AB194" s="327"/>
      <c r="AC194" s="327"/>
      <c r="AD194" s="327"/>
      <c r="AE194" s="327"/>
      <c r="AF194" s="327"/>
      <c r="AG194" s="327"/>
      <c r="AH194" s="327"/>
      <c r="AI194" s="327"/>
      <c r="AJ194" s="327"/>
      <c r="AK194" s="327"/>
      <c r="AL194" s="327"/>
      <c r="AM194" s="327"/>
    </row>
    <row r="195" spans="1:39">
      <c r="A195" s="69"/>
      <c r="B195" s="69"/>
      <c r="C195" s="327"/>
      <c r="D195" s="327"/>
      <c r="E195" s="327"/>
      <c r="F195" s="327"/>
      <c r="G195" s="327"/>
      <c r="H195" s="327"/>
      <c r="I195" s="327"/>
      <c r="J195" s="327"/>
      <c r="K195" s="327"/>
      <c r="L195" s="327"/>
      <c r="M195" s="327"/>
      <c r="N195" s="327"/>
      <c r="O195" s="327"/>
      <c r="P195" s="327"/>
      <c r="Q195" s="327"/>
      <c r="R195" s="327"/>
      <c r="S195" s="327"/>
      <c r="T195" s="327"/>
      <c r="U195" s="327"/>
      <c r="V195" s="327"/>
      <c r="W195" s="327"/>
      <c r="X195" s="327"/>
      <c r="Y195" s="327"/>
      <c r="Z195" s="327"/>
      <c r="AA195" s="327"/>
      <c r="AB195" s="327"/>
      <c r="AC195" s="327"/>
      <c r="AD195" s="327"/>
      <c r="AE195" s="327"/>
      <c r="AF195" s="327"/>
      <c r="AG195" s="327"/>
      <c r="AH195" s="327"/>
      <c r="AI195" s="327"/>
      <c r="AJ195" s="327"/>
      <c r="AK195" s="327"/>
      <c r="AL195" s="327"/>
      <c r="AM195" s="327"/>
    </row>
    <row r="196" spans="1:39">
      <c r="A196" s="69"/>
      <c r="B196" s="69"/>
      <c r="C196" s="327"/>
      <c r="D196" s="327"/>
      <c r="E196" s="327"/>
      <c r="F196" s="327"/>
      <c r="G196" s="327"/>
      <c r="H196" s="327"/>
      <c r="I196" s="327"/>
      <c r="J196" s="327"/>
      <c r="K196" s="327"/>
      <c r="L196" s="327"/>
      <c r="M196" s="327"/>
      <c r="N196" s="327"/>
      <c r="O196" s="327"/>
      <c r="P196" s="327"/>
      <c r="Q196" s="327"/>
      <c r="R196" s="327"/>
      <c r="S196" s="327"/>
      <c r="T196" s="327"/>
      <c r="U196" s="327"/>
      <c r="V196" s="327"/>
      <c r="W196" s="327"/>
      <c r="X196" s="327"/>
      <c r="Y196" s="327"/>
      <c r="Z196" s="327"/>
      <c r="AA196" s="327"/>
      <c r="AB196" s="327"/>
      <c r="AC196" s="327"/>
      <c r="AD196" s="327"/>
      <c r="AE196" s="327"/>
      <c r="AF196" s="327"/>
      <c r="AG196" s="327"/>
      <c r="AH196" s="327"/>
      <c r="AI196" s="327"/>
      <c r="AJ196" s="327"/>
      <c r="AK196" s="327"/>
      <c r="AL196" s="327"/>
      <c r="AM196" s="327"/>
    </row>
    <row r="197" spans="1:39">
      <c r="A197" s="69"/>
      <c r="B197" s="69"/>
      <c r="C197" s="327"/>
      <c r="D197" s="327"/>
      <c r="E197" s="327"/>
      <c r="F197" s="327"/>
      <c r="G197" s="327"/>
      <c r="H197" s="327"/>
      <c r="I197" s="327"/>
      <c r="J197" s="327"/>
      <c r="K197" s="327"/>
      <c r="L197" s="327"/>
      <c r="M197" s="327"/>
      <c r="N197" s="327"/>
      <c r="O197" s="327"/>
      <c r="P197" s="327"/>
      <c r="Q197" s="327"/>
      <c r="R197" s="327"/>
      <c r="S197" s="327"/>
      <c r="T197" s="327"/>
      <c r="U197" s="327"/>
      <c r="V197" s="327"/>
      <c r="W197" s="327"/>
      <c r="X197" s="327"/>
      <c r="Y197" s="327"/>
      <c r="Z197" s="327"/>
      <c r="AA197" s="327"/>
      <c r="AB197" s="327"/>
      <c r="AC197" s="327"/>
      <c r="AD197" s="327"/>
      <c r="AE197" s="327"/>
      <c r="AF197" s="327"/>
      <c r="AG197" s="327"/>
      <c r="AH197" s="327"/>
      <c r="AI197" s="327"/>
      <c r="AJ197" s="327"/>
      <c r="AK197" s="327"/>
      <c r="AL197" s="327"/>
      <c r="AM197" s="327"/>
    </row>
    <row r="198" spans="1:39">
      <c r="A198" s="69"/>
      <c r="B198" s="69"/>
      <c r="C198" s="327"/>
      <c r="D198" s="327"/>
      <c r="E198" s="327"/>
      <c r="F198" s="327"/>
      <c r="G198" s="327"/>
      <c r="H198" s="327"/>
      <c r="I198" s="327"/>
      <c r="J198" s="327"/>
      <c r="K198" s="327"/>
      <c r="L198" s="327"/>
      <c r="M198" s="327"/>
      <c r="N198" s="327"/>
      <c r="O198" s="327"/>
      <c r="P198" s="327"/>
      <c r="Q198" s="327"/>
      <c r="R198" s="327"/>
      <c r="S198" s="327"/>
      <c r="T198" s="327"/>
      <c r="U198" s="327"/>
      <c r="V198" s="327"/>
      <c r="W198" s="327"/>
      <c r="X198" s="327"/>
      <c r="Y198" s="327"/>
      <c r="Z198" s="327"/>
      <c r="AA198" s="327"/>
      <c r="AB198" s="327"/>
      <c r="AC198" s="327"/>
      <c r="AD198" s="327"/>
      <c r="AE198" s="327"/>
      <c r="AF198" s="327"/>
      <c r="AG198" s="327"/>
      <c r="AH198" s="327"/>
      <c r="AI198" s="327"/>
      <c r="AJ198" s="327"/>
      <c r="AK198" s="327"/>
      <c r="AL198" s="327"/>
      <c r="AM198" s="327"/>
    </row>
    <row r="199" spans="1:39">
      <c r="A199" s="69"/>
      <c r="B199" s="69"/>
      <c r="C199" s="327"/>
      <c r="D199" s="327"/>
      <c r="E199" s="327"/>
      <c r="F199" s="327"/>
      <c r="G199" s="327"/>
      <c r="H199" s="327"/>
      <c r="I199" s="327"/>
      <c r="J199" s="327"/>
      <c r="K199" s="327"/>
      <c r="L199" s="327"/>
      <c r="M199" s="327"/>
      <c r="N199" s="327"/>
      <c r="O199" s="327"/>
      <c r="P199" s="327"/>
      <c r="Q199" s="327"/>
      <c r="R199" s="327"/>
      <c r="S199" s="327"/>
      <c r="T199" s="327"/>
      <c r="U199" s="327"/>
      <c r="V199" s="327"/>
      <c r="W199" s="327"/>
      <c r="X199" s="327"/>
      <c r="Y199" s="327"/>
      <c r="Z199" s="327"/>
      <c r="AA199" s="327"/>
      <c r="AB199" s="327"/>
      <c r="AC199" s="327"/>
      <c r="AD199" s="327"/>
      <c r="AE199" s="327"/>
      <c r="AF199" s="327"/>
      <c r="AG199" s="327"/>
      <c r="AH199" s="327"/>
      <c r="AI199" s="327"/>
      <c r="AJ199" s="327"/>
      <c r="AK199" s="327"/>
      <c r="AL199" s="327"/>
      <c r="AM199" s="327"/>
    </row>
    <row r="200" spans="1:39">
      <c r="A200" s="69"/>
      <c r="B200" s="69"/>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327"/>
      <c r="AE200" s="327"/>
      <c r="AF200" s="327"/>
      <c r="AG200" s="327"/>
      <c r="AH200" s="327"/>
      <c r="AI200" s="327"/>
      <c r="AJ200" s="327"/>
      <c r="AK200" s="327"/>
      <c r="AL200" s="327"/>
      <c r="AM200" s="327"/>
    </row>
    <row r="201" spans="1:39">
      <c r="A201" s="69"/>
      <c r="B201" s="69"/>
      <c r="C201" s="327"/>
      <c r="D201" s="327"/>
      <c r="E201" s="327"/>
      <c r="F201" s="327"/>
      <c r="G201" s="327"/>
      <c r="H201" s="327"/>
      <c r="I201" s="327"/>
      <c r="J201" s="327"/>
      <c r="K201" s="327"/>
      <c r="L201" s="327"/>
      <c r="M201" s="327"/>
      <c r="N201" s="327"/>
      <c r="O201" s="327"/>
      <c r="P201" s="327"/>
      <c r="Q201" s="327"/>
      <c r="R201" s="327"/>
      <c r="S201" s="327"/>
      <c r="T201" s="327"/>
      <c r="U201" s="327"/>
      <c r="V201" s="327"/>
      <c r="W201" s="327"/>
      <c r="X201" s="327"/>
      <c r="Y201" s="327"/>
      <c r="Z201" s="327"/>
      <c r="AA201" s="327"/>
      <c r="AB201" s="327"/>
      <c r="AC201" s="327"/>
      <c r="AD201" s="327"/>
      <c r="AE201" s="327"/>
      <c r="AF201" s="327"/>
      <c r="AG201" s="327"/>
      <c r="AH201" s="327"/>
      <c r="AI201" s="327"/>
      <c r="AJ201" s="327"/>
      <c r="AK201" s="327"/>
      <c r="AL201" s="327"/>
      <c r="AM201" s="327"/>
    </row>
    <row r="202" spans="1:39">
      <c r="A202" s="69"/>
      <c r="B202" s="69"/>
      <c r="C202" s="327"/>
      <c r="D202" s="327"/>
      <c r="E202" s="327"/>
      <c r="F202" s="327"/>
      <c r="G202" s="327"/>
      <c r="H202" s="327"/>
      <c r="I202" s="327"/>
      <c r="J202" s="327"/>
      <c r="K202" s="327"/>
      <c r="L202" s="327"/>
      <c r="M202" s="327"/>
      <c r="N202" s="327"/>
      <c r="O202" s="327"/>
      <c r="P202" s="327"/>
      <c r="Q202" s="327"/>
      <c r="R202" s="327"/>
      <c r="S202" s="327"/>
      <c r="T202" s="327"/>
      <c r="U202" s="327"/>
      <c r="V202" s="327"/>
      <c r="W202" s="327"/>
      <c r="X202" s="327"/>
      <c r="Y202" s="327"/>
      <c r="Z202" s="327"/>
      <c r="AA202" s="327"/>
      <c r="AB202" s="327"/>
      <c r="AC202" s="327"/>
      <c r="AD202" s="327"/>
      <c r="AE202" s="327"/>
      <c r="AF202" s="327"/>
      <c r="AG202" s="327"/>
      <c r="AH202" s="327"/>
      <c r="AI202" s="327"/>
      <c r="AJ202" s="327"/>
      <c r="AK202" s="327"/>
      <c r="AL202" s="327"/>
      <c r="AM202" s="327"/>
    </row>
    <row r="203" spans="1:39">
      <c r="A203" s="69"/>
      <c r="B203" s="69"/>
      <c r="C203" s="327"/>
      <c r="D203" s="327"/>
      <c r="E203" s="327"/>
      <c r="F203" s="327"/>
      <c r="G203" s="327"/>
      <c r="H203" s="327"/>
      <c r="I203" s="327"/>
      <c r="J203" s="327"/>
      <c r="K203" s="327"/>
      <c r="L203" s="327"/>
      <c r="M203" s="327"/>
      <c r="N203" s="327"/>
      <c r="O203" s="327"/>
      <c r="P203" s="327"/>
      <c r="Q203" s="327"/>
      <c r="R203" s="327"/>
      <c r="S203" s="327"/>
      <c r="T203" s="327"/>
      <c r="U203" s="327"/>
      <c r="V203" s="327"/>
      <c r="W203" s="327"/>
      <c r="X203" s="327"/>
      <c r="Y203" s="327"/>
      <c r="Z203" s="327"/>
      <c r="AA203" s="327"/>
      <c r="AB203" s="327"/>
      <c r="AC203" s="327"/>
      <c r="AD203" s="327"/>
      <c r="AE203" s="327"/>
      <c r="AF203" s="327"/>
      <c r="AG203" s="327"/>
      <c r="AH203" s="327"/>
      <c r="AI203" s="327"/>
      <c r="AJ203" s="327"/>
      <c r="AK203" s="327"/>
      <c r="AL203" s="327"/>
      <c r="AM203" s="327"/>
    </row>
    <row r="204" spans="1:39">
      <c r="A204" s="69"/>
      <c r="B204" s="69"/>
      <c r="C204" s="327"/>
      <c r="D204" s="327"/>
      <c r="E204" s="327"/>
      <c r="F204" s="327"/>
      <c r="G204" s="327"/>
      <c r="H204" s="327"/>
      <c r="I204" s="327"/>
      <c r="J204" s="327"/>
      <c r="K204" s="327"/>
      <c r="L204" s="327"/>
      <c r="M204" s="327"/>
      <c r="N204" s="327"/>
      <c r="O204" s="327"/>
      <c r="P204" s="327"/>
      <c r="Q204" s="327"/>
      <c r="R204" s="327"/>
      <c r="S204" s="327"/>
      <c r="T204" s="327"/>
      <c r="U204" s="327"/>
      <c r="V204" s="327"/>
      <c r="W204" s="327"/>
      <c r="X204" s="327"/>
      <c r="Y204" s="327"/>
      <c r="Z204" s="327"/>
      <c r="AA204" s="327"/>
      <c r="AB204" s="327"/>
      <c r="AC204" s="327"/>
      <c r="AD204" s="327"/>
      <c r="AE204" s="327"/>
      <c r="AF204" s="327"/>
      <c r="AG204" s="327"/>
      <c r="AH204" s="327"/>
      <c r="AI204" s="327"/>
      <c r="AJ204" s="327"/>
      <c r="AK204" s="327"/>
      <c r="AL204" s="327"/>
      <c r="AM204" s="327"/>
    </row>
    <row r="205" spans="1:39">
      <c r="A205" s="69"/>
      <c r="B205" s="69"/>
      <c r="C205" s="327"/>
      <c r="D205" s="327"/>
      <c r="E205" s="327"/>
      <c r="F205" s="327"/>
      <c r="G205" s="327"/>
      <c r="H205" s="327"/>
      <c r="I205" s="327"/>
      <c r="J205" s="327"/>
      <c r="K205" s="327"/>
      <c r="L205" s="327"/>
      <c r="M205" s="327"/>
      <c r="N205" s="327"/>
      <c r="O205" s="327"/>
      <c r="P205" s="327"/>
      <c r="Q205" s="327"/>
      <c r="R205" s="327"/>
      <c r="S205" s="327"/>
      <c r="T205" s="327"/>
      <c r="U205" s="327"/>
      <c r="V205" s="327"/>
      <c r="W205" s="327"/>
      <c r="X205" s="327"/>
      <c r="Y205" s="327"/>
      <c r="Z205" s="327"/>
      <c r="AA205" s="327"/>
      <c r="AB205" s="327"/>
      <c r="AC205" s="327"/>
      <c r="AD205" s="327"/>
      <c r="AE205" s="327"/>
      <c r="AF205" s="327"/>
      <c r="AG205" s="327"/>
      <c r="AH205" s="327"/>
      <c r="AI205" s="327"/>
      <c r="AJ205" s="327"/>
      <c r="AK205" s="327"/>
      <c r="AL205" s="327"/>
      <c r="AM205" s="327"/>
    </row>
    <row r="206" spans="1:39">
      <c r="A206" s="69"/>
      <c r="B206" s="69"/>
      <c r="C206" s="327"/>
      <c r="D206" s="327"/>
      <c r="E206" s="327"/>
      <c r="F206" s="327"/>
      <c r="G206" s="327"/>
      <c r="H206" s="327"/>
      <c r="I206" s="327"/>
      <c r="J206" s="327"/>
      <c r="K206" s="327"/>
      <c r="L206" s="327"/>
      <c r="M206" s="327"/>
      <c r="N206" s="327"/>
      <c r="O206" s="327"/>
      <c r="P206" s="327"/>
      <c r="Q206" s="327"/>
      <c r="R206" s="327"/>
      <c r="S206" s="327"/>
      <c r="T206" s="327"/>
      <c r="U206" s="327"/>
      <c r="V206" s="327"/>
      <c r="W206" s="327"/>
      <c r="X206" s="327"/>
      <c r="Y206" s="327"/>
      <c r="Z206" s="327"/>
      <c r="AA206" s="327"/>
      <c r="AB206" s="327"/>
      <c r="AC206" s="327"/>
      <c r="AD206" s="327"/>
      <c r="AE206" s="327"/>
      <c r="AF206" s="327"/>
      <c r="AG206" s="327"/>
      <c r="AH206" s="327"/>
      <c r="AI206" s="327"/>
      <c r="AJ206" s="327"/>
      <c r="AK206" s="327"/>
      <c r="AL206" s="327"/>
      <c r="AM206" s="327"/>
    </row>
    <row r="207" spans="1:39">
      <c r="A207" s="69"/>
      <c r="B207" s="69"/>
      <c r="C207" s="327"/>
      <c r="D207" s="327"/>
      <c r="E207" s="327"/>
      <c r="F207" s="327"/>
      <c r="G207" s="327"/>
      <c r="H207" s="327"/>
      <c r="I207" s="327"/>
      <c r="J207" s="327"/>
      <c r="K207" s="327"/>
      <c r="L207" s="327"/>
      <c r="M207" s="327"/>
      <c r="N207" s="327"/>
      <c r="O207" s="327"/>
      <c r="P207" s="327"/>
      <c r="Q207" s="327"/>
      <c r="R207" s="327"/>
      <c r="S207" s="327"/>
      <c r="T207" s="327"/>
      <c r="U207" s="327"/>
      <c r="V207" s="327"/>
      <c r="W207" s="327"/>
      <c r="X207" s="327"/>
      <c r="Y207" s="327"/>
      <c r="Z207" s="327"/>
      <c r="AA207" s="327"/>
      <c r="AB207" s="327"/>
      <c r="AC207" s="327"/>
      <c r="AD207" s="327"/>
      <c r="AE207" s="327"/>
      <c r="AF207" s="327"/>
      <c r="AG207" s="327"/>
      <c r="AH207" s="327"/>
      <c r="AI207" s="327"/>
      <c r="AJ207" s="327"/>
      <c r="AK207" s="327"/>
      <c r="AL207" s="327"/>
      <c r="AM207" s="327"/>
    </row>
    <row r="208" spans="1:39">
      <c r="A208" s="69"/>
      <c r="B208" s="69"/>
      <c r="C208" s="327"/>
      <c r="D208" s="327"/>
      <c r="E208" s="327"/>
      <c r="F208" s="327"/>
      <c r="G208" s="327"/>
      <c r="H208" s="327"/>
      <c r="I208" s="327"/>
      <c r="J208" s="327"/>
      <c r="K208" s="327"/>
      <c r="L208" s="327"/>
      <c r="M208" s="327"/>
      <c r="N208" s="327"/>
      <c r="O208" s="327"/>
      <c r="P208" s="327"/>
      <c r="Q208" s="327"/>
      <c r="R208" s="327"/>
      <c r="S208" s="327"/>
      <c r="T208" s="327"/>
      <c r="U208" s="327"/>
      <c r="V208" s="327"/>
      <c r="W208" s="327"/>
      <c r="X208" s="327"/>
      <c r="Y208" s="327"/>
      <c r="Z208" s="327"/>
      <c r="AA208" s="327"/>
      <c r="AB208" s="327"/>
      <c r="AC208" s="327"/>
      <c r="AD208" s="327"/>
      <c r="AE208" s="327"/>
      <c r="AF208" s="327"/>
      <c r="AG208" s="327"/>
      <c r="AH208" s="327"/>
      <c r="AI208" s="327"/>
      <c r="AJ208" s="327"/>
      <c r="AK208" s="327"/>
      <c r="AL208" s="327"/>
      <c r="AM208" s="327"/>
    </row>
    <row r="209" spans="1:39">
      <c r="A209" s="69"/>
      <c r="B209" s="69"/>
      <c r="C209" s="327"/>
      <c r="D209" s="327"/>
      <c r="E209" s="327"/>
      <c r="F209" s="327"/>
      <c r="G209" s="327"/>
      <c r="H209" s="327"/>
      <c r="I209" s="327"/>
      <c r="J209" s="327"/>
      <c r="K209" s="327"/>
      <c r="L209" s="327"/>
      <c r="M209" s="327"/>
      <c r="N209" s="327"/>
      <c r="O209" s="327"/>
      <c r="P209" s="327"/>
      <c r="Q209" s="327"/>
      <c r="R209" s="327"/>
      <c r="S209" s="327"/>
      <c r="T209" s="327"/>
      <c r="U209" s="327"/>
      <c r="V209" s="327"/>
      <c r="W209" s="327"/>
      <c r="X209" s="327"/>
      <c r="Y209" s="327"/>
      <c r="Z209" s="327"/>
      <c r="AA209" s="327"/>
      <c r="AB209" s="327"/>
      <c r="AC209" s="327"/>
      <c r="AD209" s="327"/>
      <c r="AE209" s="327"/>
      <c r="AF209" s="327"/>
      <c r="AG209" s="327"/>
      <c r="AH209" s="327"/>
      <c r="AI209" s="327"/>
      <c r="AJ209" s="327"/>
      <c r="AK209" s="327"/>
      <c r="AL209" s="327"/>
      <c r="AM209" s="327"/>
    </row>
    <row r="210" spans="1:39">
      <c r="A210" s="69"/>
      <c r="B210" s="69"/>
      <c r="C210" s="327"/>
      <c r="D210" s="327"/>
      <c r="E210" s="327"/>
      <c r="F210" s="327"/>
      <c r="G210" s="327"/>
      <c r="H210" s="327"/>
      <c r="I210" s="327"/>
      <c r="J210" s="327"/>
      <c r="K210" s="327"/>
      <c r="L210" s="327"/>
      <c r="M210" s="327"/>
      <c r="N210" s="327"/>
      <c r="O210" s="327"/>
      <c r="P210" s="327"/>
      <c r="Q210" s="327"/>
      <c r="R210" s="327"/>
      <c r="S210" s="327"/>
      <c r="T210" s="327"/>
      <c r="U210" s="327"/>
      <c r="V210" s="327"/>
      <c r="W210" s="327"/>
      <c r="X210" s="327"/>
      <c r="Y210" s="327"/>
      <c r="Z210" s="327"/>
      <c r="AA210" s="327"/>
      <c r="AB210" s="327"/>
      <c r="AC210" s="327"/>
      <c r="AD210" s="327"/>
      <c r="AE210" s="327"/>
      <c r="AF210" s="327"/>
      <c r="AG210" s="327"/>
      <c r="AH210" s="327"/>
      <c r="AI210" s="327"/>
      <c r="AJ210" s="327"/>
      <c r="AK210" s="327"/>
      <c r="AL210" s="327"/>
      <c r="AM210" s="327"/>
    </row>
    <row r="211" spans="1:39">
      <c r="A211" s="69"/>
      <c r="B211" s="69"/>
      <c r="C211" s="327"/>
      <c r="D211" s="327"/>
      <c r="E211" s="327"/>
      <c r="F211" s="327"/>
      <c r="G211" s="327"/>
      <c r="H211" s="327"/>
      <c r="I211" s="327"/>
      <c r="J211" s="327"/>
      <c r="K211" s="327"/>
      <c r="L211" s="327"/>
      <c r="M211" s="327"/>
      <c r="N211" s="327"/>
      <c r="O211" s="327"/>
      <c r="P211" s="327"/>
      <c r="Q211" s="327"/>
      <c r="R211" s="327"/>
      <c r="S211" s="327"/>
      <c r="T211" s="327"/>
      <c r="U211" s="327"/>
      <c r="V211" s="327"/>
      <c r="W211" s="327"/>
      <c r="X211" s="327"/>
      <c r="Y211" s="327"/>
      <c r="Z211" s="327"/>
      <c r="AA211" s="327"/>
      <c r="AB211" s="327"/>
      <c r="AC211" s="327"/>
      <c r="AD211" s="327"/>
      <c r="AE211" s="327"/>
      <c r="AF211" s="327"/>
      <c r="AG211" s="327"/>
      <c r="AH211" s="327"/>
      <c r="AI211" s="327"/>
      <c r="AJ211" s="327"/>
      <c r="AK211" s="327"/>
      <c r="AL211" s="327"/>
      <c r="AM211" s="327"/>
    </row>
    <row r="212" spans="1:39">
      <c r="A212" s="69"/>
      <c r="B212" s="69"/>
      <c r="C212" s="327"/>
      <c r="D212" s="327"/>
      <c r="E212" s="327"/>
      <c r="F212" s="327"/>
      <c r="G212" s="327"/>
      <c r="H212" s="327"/>
      <c r="I212" s="327"/>
      <c r="J212" s="327"/>
      <c r="K212" s="327"/>
      <c r="L212" s="327"/>
      <c r="M212" s="327"/>
      <c r="N212" s="327"/>
      <c r="O212" s="327"/>
      <c r="P212" s="327"/>
      <c r="Q212" s="327"/>
      <c r="R212" s="327"/>
      <c r="S212" s="327"/>
      <c r="T212" s="327"/>
      <c r="U212" s="327"/>
      <c r="V212" s="327"/>
      <c r="W212" s="327"/>
      <c r="X212" s="327"/>
      <c r="Y212" s="327"/>
      <c r="Z212" s="327"/>
      <c r="AA212" s="327"/>
      <c r="AB212" s="327"/>
      <c r="AC212" s="327"/>
      <c r="AD212" s="327"/>
      <c r="AE212" s="327"/>
      <c r="AF212" s="327"/>
      <c r="AG212" s="327"/>
      <c r="AH212" s="327"/>
      <c r="AI212" s="327"/>
      <c r="AJ212" s="327"/>
      <c r="AK212" s="327"/>
      <c r="AL212" s="327"/>
      <c r="AM212" s="327"/>
    </row>
    <row r="213" spans="1:39">
      <c r="A213" s="69"/>
      <c r="B213" s="69"/>
      <c r="C213" s="327"/>
      <c r="D213" s="327"/>
      <c r="E213" s="327"/>
      <c r="F213" s="327"/>
      <c r="G213" s="327"/>
      <c r="H213" s="327"/>
      <c r="I213" s="327"/>
      <c r="J213" s="327"/>
      <c r="K213" s="327"/>
      <c r="L213" s="327"/>
      <c r="M213" s="327"/>
      <c r="N213" s="327"/>
      <c r="O213" s="327"/>
      <c r="P213" s="327"/>
      <c r="Q213" s="327"/>
      <c r="R213" s="327"/>
      <c r="S213" s="327"/>
      <c r="T213" s="327"/>
      <c r="U213" s="327"/>
      <c r="V213" s="327"/>
      <c r="W213" s="327"/>
      <c r="X213" s="327"/>
      <c r="Y213" s="327"/>
      <c r="Z213" s="327"/>
      <c r="AA213" s="327"/>
      <c r="AB213" s="327"/>
      <c r="AC213" s="327"/>
      <c r="AD213" s="327"/>
      <c r="AE213" s="327"/>
      <c r="AF213" s="327"/>
      <c r="AG213" s="327"/>
      <c r="AH213" s="327"/>
      <c r="AI213" s="327"/>
      <c r="AJ213" s="327"/>
      <c r="AK213" s="327"/>
      <c r="AL213" s="327"/>
      <c r="AM213" s="327"/>
    </row>
    <row r="214" spans="1:39">
      <c r="A214" s="69"/>
      <c r="B214" s="69"/>
      <c r="C214" s="327"/>
      <c r="D214" s="327"/>
      <c r="E214" s="327"/>
      <c r="F214" s="327"/>
      <c r="G214" s="327"/>
      <c r="H214" s="327"/>
      <c r="I214" s="327"/>
      <c r="J214" s="327"/>
      <c r="K214" s="327"/>
      <c r="L214" s="327"/>
      <c r="M214" s="327"/>
      <c r="N214" s="327"/>
      <c r="O214" s="327"/>
      <c r="P214" s="327"/>
      <c r="Q214" s="327"/>
      <c r="R214" s="327"/>
      <c r="S214" s="327"/>
      <c r="T214" s="327"/>
      <c r="U214" s="327"/>
      <c r="V214" s="327"/>
      <c r="W214" s="327"/>
      <c r="X214" s="327"/>
      <c r="Y214" s="327"/>
      <c r="Z214" s="327"/>
      <c r="AA214" s="327"/>
      <c r="AB214" s="327"/>
      <c r="AC214" s="327"/>
      <c r="AD214" s="327"/>
      <c r="AE214" s="327"/>
      <c r="AF214" s="327"/>
      <c r="AG214" s="327"/>
      <c r="AH214" s="327"/>
      <c r="AI214" s="327"/>
      <c r="AJ214" s="327"/>
      <c r="AK214" s="327"/>
      <c r="AL214" s="327"/>
      <c r="AM214" s="327"/>
    </row>
    <row r="215" spans="1:39">
      <c r="A215" s="69"/>
      <c r="B215" s="69"/>
      <c r="C215" s="327"/>
      <c r="D215" s="327"/>
      <c r="E215" s="327"/>
      <c r="F215" s="327"/>
      <c r="G215" s="327"/>
      <c r="H215" s="327"/>
      <c r="I215" s="327"/>
      <c r="J215" s="327"/>
      <c r="K215" s="327"/>
      <c r="L215" s="327"/>
      <c r="M215" s="327"/>
      <c r="N215" s="327"/>
      <c r="O215" s="327"/>
      <c r="P215" s="327"/>
      <c r="Q215" s="327"/>
      <c r="R215" s="327"/>
      <c r="S215" s="327"/>
      <c r="T215" s="327"/>
      <c r="U215" s="327"/>
      <c r="V215" s="327"/>
      <c r="W215" s="327"/>
      <c r="X215" s="327"/>
      <c r="Y215" s="327"/>
      <c r="Z215" s="327"/>
      <c r="AA215" s="327"/>
      <c r="AB215" s="327"/>
      <c r="AC215" s="327"/>
      <c r="AD215" s="327"/>
      <c r="AE215" s="327"/>
      <c r="AF215" s="327"/>
      <c r="AG215" s="327"/>
      <c r="AH215" s="327"/>
      <c r="AI215" s="327"/>
      <c r="AJ215" s="327"/>
      <c r="AK215" s="327"/>
      <c r="AL215" s="327"/>
      <c r="AM215" s="327"/>
    </row>
    <row r="216" spans="1:39">
      <c r="A216" s="69"/>
      <c r="B216" s="69"/>
      <c r="C216" s="327"/>
      <c r="D216" s="327"/>
      <c r="E216" s="327"/>
      <c r="F216" s="327"/>
      <c r="G216" s="327"/>
      <c r="H216" s="327"/>
      <c r="I216" s="327"/>
      <c r="J216" s="327"/>
      <c r="K216" s="327"/>
      <c r="L216" s="327"/>
      <c r="M216" s="327"/>
      <c r="N216" s="327"/>
      <c r="O216" s="327"/>
      <c r="P216" s="327"/>
      <c r="Q216" s="327"/>
      <c r="R216" s="327"/>
      <c r="S216" s="327"/>
      <c r="T216" s="327"/>
      <c r="U216" s="327"/>
      <c r="V216" s="327"/>
      <c r="W216" s="327"/>
      <c r="X216" s="327"/>
      <c r="Y216" s="327"/>
      <c r="Z216" s="327"/>
      <c r="AA216" s="327"/>
      <c r="AB216" s="327"/>
      <c r="AC216" s="327"/>
      <c r="AD216" s="327"/>
      <c r="AE216" s="327"/>
      <c r="AF216" s="327"/>
      <c r="AG216" s="327"/>
      <c r="AH216" s="327"/>
      <c r="AI216" s="327"/>
      <c r="AJ216" s="327"/>
      <c r="AK216" s="327"/>
      <c r="AL216" s="327"/>
      <c r="AM216" s="327"/>
    </row>
    <row r="217" spans="1:39">
      <c r="A217" s="69"/>
      <c r="B217" s="69"/>
      <c r="C217" s="327"/>
      <c r="D217" s="327"/>
      <c r="E217" s="327"/>
      <c r="F217" s="327"/>
      <c r="G217" s="327"/>
      <c r="H217" s="327"/>
      <c r="I217" s="327"/>
      <c r="J217" s="327"/>
      <c r="K217" s="327"/>
      <c r="L217" s="327"/>
      <c r="M217" s="327"/>
      <c r="N217" s="327"/>
      <c r="O217" s="327"/>
      <c r="P217" s="327"/>
      <c r="Q217" s="327"/>
      <c r="R217" s="327"/>
      <c r="S217" s="327"/>
      <c r="T217" s="327"/>
      <c r="U217" s="327"/>
      <c r="V217" s="327"/>
      <c r="W217" s="327"/>
      <c r="X217" s="327"/>
      <c r="Y217" s="327"/>
      <c r="Z217" s="327"/>
      <c r="AA217" s="327"/>
      <c r="AB217" s="327"/>
      <c r="AC217" s="327"/>
      <c r="AD217" s="327"/>
      <c r="AE217" s="327"/>
      <c r="AF217" s="327"/>
      <c r="AG217" s="327"/>
      <c r="AH217" s="327"/>
      <c r="AI217" s="327"/>
      <c r="AJ217" s="327"/>
      <c r="AK217" s="327"/>
      <c r="AL217" s="327"/>
      <c r="AM217" s="327"/>
    </row>
    <row r="218" spans="1:39">
      <c r="A218" s="69"/>
      <c r="B218" s="69"/>
      <c r="C218" s="327"/>
      <c r="D218" s="327"/>
      <c r="E218" s="327"/>
      <c r="F218" s="327"/>
      <c r="G218" s="327"/>
      <c r="H218" s="327"/>
      <c r="I218" s="327"/>
      <c r="J218" s="327"/>
      <c r="K218" s="327"/>
      <c r="L218" s="327"/>
      <c r="M218" s="327"/>
      <c r="N218" s="327"/>
      <c r="O218" s="327"/>
      <c r="P218" s="327"/>
      <c r="Q218" s="327"/>
      <c r="R218" s="327"/>
      <c r="S218" s="327"/>
      <c r="T218" s="327"/>
      <c r="U218" s="327"/>
      <c r="V218" s="327"/>
      <c r="W218" s="327"/>
      <c r="X218" s="327"/>
      <c r="Y218" s="327"/>
      <c r="Z218" s="327"/>
      <c r="AA218" s="327"/>
      <c r="AB218" s="327"/>
      <c r="AC218" s="327"/>
      <c r="AD218" s="327"/>
      <c r="AE218" s="327"/>
      <c r="AF218" s="327"/>
      <c r="AG218" s="327"/>
      <c r="AH218" s="327"/>
      <c r="AI218" s="327"/>
      <c r="AJ218" s="327"/>
      <c r="AK218" s="327"/>
      <c r="AL218" s="327"/>
      <c r="AM218" s="327"/>
    </row>
    <row r="219" spans="1:39">
      <c r="A219" s="69"/>
      <c r="B219" s="69"/>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327"/>
      <c r="AE219" s="327"/>
      <c r="AF219" s="327"/>
      <c r="AG219" s="327"/>
      <c r="AH219" s="327"/>
      <c r="AI219" s="327"/>
      <c r="AJ219" s="327"/>
      <c r="AK219" s="327"/>
      <c r="AL219" s="327"/>
      <c r="AM219" s="327"/>
    </row>
    <row r="220" spans="1:39">
      <c r="A220" s="69"/>
      <c r="B220" s="69"/>
      <c r="C220" s="327"/>
      <c r="D220" s="327"/>
      <c r="E220" s="327"/>
      <c r="F220" s="327"/>
      <c r="G220" s="327"/>
      <c r="H220" s="327"/>
      <c r="I220" s="327"/>
      <c r="J220" s="327"/>
      <c r="K220" s="327"/>
      <c r="L220" s="327"/>
      <c r="M220" s="327"/>
      <c r="N220" s="327"/>
      <c r="O220" s="327"/>
      <c r="P220" s="327"/>
      <c r="Q220" s="327"/>
      <c r="R220" s="327"/>
      <c r="S220" s="327"/>
      <c r="T220" s="327"/>
      <c r="U220" s="327"/>
      <c r="V220" s="327"/>
      <c r="W220" s="327"/>
      <c r="X220" s="327"/>
      <c r="Y220" s="327"/>
      <c r="Z220" s="327"/>
      <c r="AA220" s="327"/>
      <c r="AB220" s="327"/>
      <c r="AC220" s="327"/>
      <c r="AD220" s="327"/>
      <c r="AE220" s="327"/>
      <c r="AF220" s="327"/>
      <c r="AG220" s="327"/>
      <c r="AH220" s="327"/>
      <c r="AI220" s="327"/>
      <c r="AJ220" s="327"/>
      <c r="AK220" s="327"/>
      <c r="AL220" s="327"/>
      <c r="AM220" s="327"/>
    </row>
    <row r="221" spans="1:39">
      <c r="A221" s="69"/>
      <c r="B221" s="69"/>
      <c r="C221" s="327"/>
      <c r="D221" s="327"/>
      <c r="E221" s="327"/>
      <c r="F221" s="327"/>
      <c r="G221" s="327"/>
      <c r="H221" s="327"/>
      <c r="I221" s="327"/>
      <c r="J221" s="327"/>
      <c r="K221" s="327"/>
      <c r="L221" s="327"/>
      <c r="M221" s="327"/>
      <c r="N221" s="327"/>
      <c r="O221" s="327"/>
      <c r="P221" s="327"/>
      <c r="Q221" s="327"/>
      <c r="R221" s="327"/>
      <c r="S221" s="327"/>
      <c r="T221" s="327"/>
      <c r="U221" s="327"/>
      <c r="V221" s="327"/>
      <c r="W221" s="327"/>
      <c r="X221" s="327"/>
      <c r="Y221" s="327"/>
      <c r="Z221" s="327"/>
      <c r="AA221" s="327"/>
      <c r="AB221" s="327"/>
      <c r="AC221" s="327"/>
      <c r="AD221" s="327"/>
      <c r="AE221" s="327"/>
      <c r="AF221" s="327"/>
      <c r="AG221" s="327"/>
      <c r="AH221" s="327"/>
      <c r="AI221" s="327"/>
      <c r="AJ221" s="327"/>
      <c r="AK221" s="327"/>
      <c r="AL221" s="327"/>
      <c r="AM221" s="327"/>
    </row>
    <row r="222" spans="1:39">
      <c r="A222" s="69"/>
      <c r="B222" s="69"/>
      <c r="C222" s="327"/>
      <c r="D222" s="327"/>
      <c r="E222" s="327"/>
      <c r="F222" s="327"/>
      <c r="G222" s="327"/>
      <c r="H222" s="327"/>
      <c r="I222" s="327"/>
      <c r="J222" s="327"/>
      <c r="K222" s="327"/>
      <c r="L222" s="327"/>
      <c r="M222" s="327"/>
      <c r="N222" s="327"/>
      <c r="O222" s="327"/>
      <c r="P222" s="327"/>
      <c r="Q222" s="327"/>
      <c r="R222" s="327"/>
      <c r="S222" s="327"/>
      <c r="T222" s="327"/>
      <c r="U222" s="327"/>
      <c r="V222" s="327"/>
      <c r="W222" s="327"/>
      <c r="X222" s="327"/>
      <c r="Y222" s="327"/>
      <c r="Z222" s="327"/>
      <c r="AA222" s="327"/>
      <c r="AB222" s="327"/>
      <c r="AC222" s="327"/>
      <c r="AD222" s="327"/>
      <c r="AE222" s="327"/>
      <c r="AF222" s="327"/>
      <c r="AG222" s="327"/>
      <c r="AH222" s="327"/>
      <c r="AI222" s="327"/>
      <c r="AJ222" s="327"/>
      <c r="AK222" s="327"/>
      <c r="AL222" s="327"/>
      <c r="AM222" s="327"/>
    </row>
    <row r="223" spans="1:39">
      <c r="A223" s="69"/>
      <c r="B223" s="69"/>
      <c r="C223" s="327"/>
      <c r="D223" s="327"/>
      <c r="E223" s="327"/>
      <c r="F223" s="327"/>
      <c r="G223" s="327"/>
      <c r="H223" s="327"/>
      <c r="I223" s="327"/>
      <c r="J223" s="327"/>
      <c r="K223" s="327"/>
      <c r="L223" s="327"/>
      <c r="M223" s="327"/>
      <c r="N223" s="327"/>
      <c r="O223" s="327"/>
      <c r="P223" s="327"/>
      <c r="Q223" s="327"/>
      <c r="R223" s="327"/>
      <c r="S223" s="327"/>
      <c r="T223" s="327"/>
      <c r="U223" s="327"/>
      <c r="V223" s="327"/>
      <c r="W223" s="327"/>
      <c r="X223" s="327"/>
      <c r="Y223" s="327"/>
      <c r="Z223" s="327"/>
      <c r="AA223" s="327"/>
      <c r="AB223" s="327"/>
      <c r="AC223" s="327"/>
      <c r="AD223" s="327"/>
      <c r="AE223" s="327"/>
      <c r="AF223" s="327"/>
      <c r="AG223" s="327"/>
      <c r="AH223" s="327"/>
      <c r="AI223" s="327"/>
      <c r="AJ223" s="327"/>
      <c r="AK223" s="327"/>
      <c r="AL223" s="327"/>
      <c r="AM223" s="327"/>
    </row>
    <row r="224" spans="1:39">
      <c r="A224" s="69"/>
      <c r="B224" s="69"/>
      <c r="C224" s="327"/>
      <c r="D224" s="327"/>
      <c r="E224" s="327"/>
      <c r="F224" s="327"/>
      <c r="G224" s="327"/>
      <c r="H224" s="327"/>
      <c r="I224" s="327"/>
      <c r="J224" s="327"/>
      <c r="K224" s="327"/>
      <c r="L224" s="327"/>
      <c r="M224" s="327"/>
      <c r="N224" s="327"/>
      <c r="O224" s="327"/>
      <c r="P224" s="327"/>
      <c r="Q224" s="327"/>
      <c r="R224" s="327"/>
      <c r="S224" s="327"/>
      <c r="T224" s="327"/>
      <c r="U224" s="327"/>
      <c r="V224" s="327"/>
      <c r="W224" s="327"/>
      <c r="X224" s="327"/>
      <c r="Y224" s="327"/>
      <c r="Z224" s="327"/>
      <c r="AA224" s="327"/>
      <c r="AB224" s="327"/>
      <c r="AC224" s="327"/>
      <c r="AD224" s="327"/>
      <c r="AE224" s="327"/>
      <c r="AF224" s="327"/>
      <c r="AG224" s="327"/>
      <c r="AH224" s="327"/>
      <c r="AI224" s="327"/>
      <c r="AJ224" s="327"/>
      <c r="AK224" s="327"/>
      <c r="AL224" s="327"/>
      <c r="AM224" s="327"/>
    </row>
    <row r="225" spans="1:39">
      <c r="A225" s="69"/>
      <c r="B225" s="69"/>
      <c r="C225" s="327"/>
      <c r="D225" s="327"/>
      <c r="E225" s="327"/>
      <c r="F225" s="327"/>
      <c r="G225" s="327"/>
      <c r="H225" s="327"/>
      <c r="I225" s="327"/>
      <c r="J225" s="327"/>
      <c r="K225" s="327"/>
      <c r="L225" s="327"/>
      <c r="M225" s="327"/>
      <c r="N225" s="327"/>
      <c r="O225" s="327"/>
      <c r="P225" s="327"/>
      <c r="Q225" s="327"/>
      <c r="R225" s="327"/>
      <c r="S225" s="327"/>
      <c r="T225" s="327"/>
      <c r="U225" s="327"/>
      <c r="V225" s="327"/>
      <c r="W225" s="327"/>
      <c r="X225" s="327"/>
      <c r="Y225" s="327"/>
      <c r="Z225" s="327"/>
      <c r="AA225" s="327"/>
      <c r="AB225" s="327"/>
      <c r="AC225" s="327"/>
      <c r="AD225" s="327"/>
      <c r="AE225" s="327"/>
      <c r="AF225" s="327"/>
      <c r="AG225" s="327"/>
      <c r="AH225" s="327"/>
      <c r="AI225" s="327"/>
      <c r="AJ225" s="327"/>
      <c r="AK225" s="327"/>
      <c r="AL225" s="327"/>
      <c r="AM225" s="327"/>
    </row>
    <row r="226" spans="1:39">
      <c r="A226" s="69"/>
      <c r="B226" s="69"/>
      <c r="C226" s="327"/>
      <c r="D226" s="327"/>
      <c r="E226" s="327"/>
      <c r="F226" s="327"/>
      <c r="G226" s="327"/>
      <c r="H226" s="327"/>
      <c r="I226" s="327"/>
      <c r="J226" s="327"/>
      <c r="K226" s="327"/>
      <c r="L226" s="327"/>
      <c r="M226" s="327"/>
      <c r="N226" s="327"/>
      <c r="O226" s="327"/>
      <c r="P226" s="327"/>
      <c r="Q226" s="327"/>
      <c r="R226" s="327"/>
      <c r="S226" s="327"/>
      <c r="T226" s="327"/>
      <c r="U226" s="327"/>
      <c r="V226" s="327"/>
      <c r="W226" s="327"/>
      <c r="X226" s="327"/>
      <c r="Y226" s="327"/>
      <c r="Z226" s="327"/>
      <c r="AA226" s="327"/>
      <c r="AB226" s="327"/>
      <c r="AC226" s="327"/>
      <c r="AD226" s="327"/>
      <c r="AE226" s="327"/>
      <c r="AF226" s="327"/>
      <c r="AG226" s="327"/>
      <c r="AH226" s="327"/>
      <c r="AI226" s="327"/>
      <c r="AJ226" s="327"/>
      <c r="AK226" s="327"/>
      <c r="AL226" s="327"/>
      <c r="AM226" s="327"/>
    </row>
    <row r="227" spans="1:39">
      <c r="A227" s="69"/>
      <c r="B227" s="69"/>
      <c r="C227" s="327"/>
      <c r="D227" s="327"/>
      <c r="E227" s="327"/>
      <c r="F227" s="327"/>
      <c r="G227" s="327"/>
      <c r="H227" s="327"/>
      <c r="I227" s="327"/>
      <c r="J227" s="327"/>
      <c r="K227" s="327"/>
      <c r="L227" s="327"/>
      <c r="M227" s="327"/>
      <c r="N227" s="327"/>
      <c r="O227" s="327"/>
      <c r="P227" s="327"/>
      <c r="Q227" s="327"/>
      <c r="R227" s="327"/>
      <c r="S227" s="327"/>
      <c r="T227" s="327"/>
      <c r="U227" s="327"/>
      <c r="V227" s="327"/>
      <c r="W227" s="327"/>
      <c r="X227" s="327"/>
      <c r="Y227" s="327"/>
      <c r="Z227" s="327"/>
      <c r="AA227" s="327"/>
      <c r="AB227" s="327"/>
      <c r="AC227" s="327"/>
      <c r="AD227" s="327"/>
      <c r="AE227" s="327"/>
      <c r="AF227" s="327"/>
      <c r="AG227" s="327"/>
      <c r="AH227" s="327"/>
      <c r="AI227" s="327"/>
      <c r="AJ227" s="327"/>
      <c r="AK227" s="327"/>
      <c r="AL227" s="327"/>
      <c r="AM227" s="327"/>
    </row>
    <row r="228" spans="1:39">
      <c r="A228" s="69"/>
      <c r="B228" s="69"/>
      <c r="C228" s="327"/>
      <c r="D228" s="327"/>
      <c r="E228" s="327"/>
      <c r="F228" s="327"/>
      <c r="G228" s="327"/>
      <c r="H228" s="327"/>
      <c r="I228" s="327"/>
      <c r="J228" s="327"/>
      <c r="K228" s="327"/>
      <c r="L228" s="327"/>
      <c r="M228" s="327"/>
      <c r="N228" s="327"/>
      <c r="O228" s="327"/>
      <c r="P228" s="327"/>
      <c r="Q228" s="327"/>
      <c r="R228" s="327"/>
      <c r="S228" s="327"/>
      <c r="T228" s="327"/>
      <c r="U228" s="327"/>
      <c r="V228" s="327"/>
      <c r="W228" s="327"/>
      <c r="X228" s="327"/>
      <c r="Y228" s="327"/>
      <c r="Z228" s="327"/>
      <c r="AA228" s="327"/>
      <c r="AB228" s="327"/>
      <c r="AC228" s="327"/>
      <c r="AD228" s="327"/>
      <c r="AE228" s="327"/>
      <c r="AF228" s="327"/>
      <c r="AG228" s="327"/>
      <c r="AH228" s="327"/>
      <c r="AI228" s="327"/>
      <c r="AJ228" s="327"/>
      <c r="AK228" s="327"/>
      <c r="AL228" s="327"/>
      <c r="AM228" s="327"/>
    </row>
    <row r="229" spans="1:39">
      <c r="A229" s="69"/>
      <c r="B229" s="69"/>
      <c r="C229" s="327"/>
      <c r="D229" s="327"/>
      <c r="E229" s="327"/>
      <c r="F229" s="327"/>
      <c r="G229" s="327"/>
      <c r="H229" s="327"/>
      <c r="I229" s="327"/>
      <c r="J229" s="327"/>
      <c r="K229" s="327"/>
      <c r="L229" s="327"/>
      <c r="M229" s="327"/>
      <c r="N229" s="327"/>
      <c r="O229" s="327"/>
      <c r="P229" s="327"/>
      <c r="Q229" s="327"/>
      <c r="R229" s="327"/>
      <c r="S229" s="327"/>
      <c r="T229" s="327"/>
      <c r="U229" s="327"/>
      <c r="V229" s="327"/>
      <c r="W229" s="327"/>
      <c r="X229" s="327"/>
      <c r="Y229" s="327"/>
      <c r="Z229" s="327"/>
      <c r="AA229" s="327"/>
      <c r="AB229" s="327"/>
      <c r="AC229" s="327"/>
      <c r="AD229" s="327"/>
      <c r="AE229" s="327"/>
      <c r="AF229" s="327"/>
      <c r="AG229" s="327"/>
      <c r="AH229" s="327"/>
      <c r="AI229" s="327"/>
      <c r="AJ229" s="327"/>
      <c r="AK229" s="327"/>
      <c r="AL229" s="327"/>
      <c r="AM229" s="327"/>
    </row>
    <row r="230" spans="1:39">
      <c r="A230" s="69"/>
      <c r="B230" s="69"/>
      <c r="C230" s="327"/>
      <c r="D230" s="327"/>
      <c r="E230" s="327"/>
      <c r="F230" s="327"/>
      <c r="G230" s="327"/>
      <c r="H230" s="327"/>
      <c r="I230" s="327"/>
      <c r="J230" s="327"/>
      <c r="K230" s="327"/>
      <c r="L230" s="327"/>
      <c r="M230" s="327"/>
      <c r="N230" s="327"/>
      <c r="O230" s="327"/>
      <c r="P230" s="327"/>
      <c r="Q230" s="327"/>
      <c r="R230" s="327"/>
      <c r="S230" s="327"/>
      <c r="T230" s="327"/>
      <c r="U230" s="327"/>
      <c r="V230" s="327"/>
      <c r="W230" s="327"/>
      <c r="X230" s="327"/>
      <c r="Y230" s="327"/>
      <c r="Z230" s="327"/>
      <c r="AA230" s="327"/>
      <c r="AB230" s="327"/>
      <c r="AC230" s="327"/>
      <c r="AD230" s="327"/>
      <c r="AE230" s="327"/>
      <c r="AF230" s="327"/>
      <c r="AG230" s="327"/>
      <c r="AH230" s="327"/>
      <c r="AI230" s="327"/>
      <c r="AJ230" s="327"/>
      <c r="AK230" s="327"/>
      <c r="AL230" s="327"/>
      <c r="AM230" s="327"/>
    </row>
    <row r="231" spans="1:39">
      <c r="A231" s="69"/>
      <c r="B231" s="69"/>
      <c r="C231" s="327"/>
      <c r="D231" s="327"/>
      <c r="E231" s="327"/>
      <c r="F231" s="327"/>
      <c r="G231" s="327"/>
      <c r="H231" s="327"/>
      <c r="I231" s="327"/>
      <c r="J231" s="327"/>
      <c r="K231" s="327"/>
      <c r="L231" s="327"/>
      <c r="M231" s="327"/>
      <c r="N231" s="327"/>
      <c r="O231" s="327"/>
      <c r="P231" s="327"/>
      <c r="Q231" s="327"/>
      <c r="R231" s="327"/>
      <c r="S231" s="327"/>
      <c r="T231" s="327"/>
      <c r="U231" s="327"/>
      <c r="V231" s="327"/>
      <c r="W231" s="327"/>
      <c r="X231" s="327"/>
      <c r="Y231" s="327"/>
      <c r="Z231" s="327"/>
      <c r="AA231" s="327"/>
      <c r="AB231" s="327"/>
      <c r="AC231" s="327"/>
      <c r="AD231" s="327"/>
      <c r="AE231" s="327"/>
      <c r="AF231" s="327"/>
      <c r="AG231" s="327"/>
      <c r="AH231" s="327"/>
      <c r="AI231" s="327"/>
      <c r="AJ231" s="327"/>
      <c r="AK231" s="327"/>
      <c r="AL231" s="327"/>
      <c r="AM231" s="327"/>
    </row>
    <row r="232" spans="1:39">
      <c r="A232" s="69"/>
      <c r="B232" s="69"/>
      <c r="C232" s="327"/>
      <c r="D232" s="327"/>
      <c r="E232" s="327"/>
      <c r="F232" s="327"/>
      <c r="G232" s="327"/>
      <c r="H232" s="327"/>
      <c r="I232" s="327"/>
      <c r="J232" s="327"/>
      <c r="K232" s="327"/>
      <c r="L232" s="327"/>
      <c r="M232" s="327"/>
      <c r="N232" s="327"/>
      <c r="O232" s="327"/>
      <c r="P232" s="327"/>
      <c r="Q232" s="327"/>
      <c r="R232" s="327"/>
      <c r="S232" s="327"/>
      <c r="T232" s="327"/>
      <c r="U232" s="327"/>
      <c r="V232" s="327"/>
      <c r="W232" s="327"/>
      <c r="X232" s="327"/>
      <c r="Y232" s="327"/>
      <c r="Z232" s="327"/>
      <c r="AA232" s="327"/>
      <c r="AB232" s="327"/>
      <c r="AC232" s="327"/>
      <c r="AD232" s="327"/>
      <c r="AE232" s="327"/>
      <c r="AF232" s="327"/>
      <c r="AG232" s="327"/>
      <c r="AH232" s="327"/>
      <c r="AI232" s="327"/>
      <c r="AJ232" s="327"/>
      <c r="AK232" s="327"/>
      <c r="AL232" s="327"/>
      <c r="AM232" s="327"/>
    </row>
    <row r="233" spans="1:39">
      <c r="A233" s="69"/>
      <c r="B233" s="69"/>
      <c r="C233" s="327"/>
      <c r="D233" s="327"/>
      <c r="E233" s="327"/>
      <c r="F233" s="327"/>
      <c r="G233" s="327"/>
      <c r="H233" s="327"/>
      <c r="I233" s="327"/>
      <c r="J233" s="327"/>
      <c r="K233" s="327"/>
      <c r="L233" s="327"/>
      <c r="M233" s="327"/>
      <c r="N233" s="327"/>
      <c r="O233" s="327"/>
      <c r="P233" s="327"/>
      <c r="Q233" s="327"/>
      <c r="R233" s="327"/>
      <c r="S233" s="327"/>
      <c r="T233" s="327"/>
      <c r="U233" s="327"/>
      <c r="V233" s="327"/>
      <c r="W233" s="327"/>
      <c r="X233" s="327"/>
      <c r="Y233" s="327"/>
      <c r="Z233" s="327"/>
      <c r="AA233" s="327"/>
      <c r="AB233" s="327"/>
      <c r="AC233" s="327"/>
      <c r="AD233" s="327"/>
      <c r="AE233" s="327"/>
      <c r="AF233" s="327"/>
      <c r="AG233" s="327"/>
      <c r="AH233" s="327"/>
      <c r="AI233" s="327"/>
      <c r="AJ233" s="327"/>
      <c r="AK233" s="327"/>
      <c r="AL233" s="327"/>
      <c r="AM233" s="327"/>
    </row>
    <row r="234" spans="1:39">
      <c r="A234" s="69"/>
      <c r="B234" s="69"/>
      <c r="C234" s="327"/>
      <c r="D234" s="327"/>
      <c r="E234" s="327"/>
      <c r="F234" s="327"/>
      <c r="G234" s="327"/>
      <c r="H234" s="327"/>
      <c r="I234" s="327"/>
      <c r="J234" s="327"/>
      <c r="K234" s="327"/>
      <c r="L234" s="327"/>
      <c r="M234" s="327"/>
      <c r="N234" s="327"/>
      <c r="O234" s="327"/>
      <c r="P234" s="327"/>
      <c r="Q234" s="327"/>
      <c r="R234" s="327"/>
      <c r="S234" s="327"/>
      <c r="T234" s="327"/>
      <c r="U234" s="327"/>
      <c r="V234" s="327"/>
      <c r="W234" s="327"/>
      <c r="X234" s="327"/>
      <c r="Y234" s="327"/>
      <c r="Z234" s="327"/>
      <c r="AA234" s="327"/>
      <c r="AB234" s="327"/>
      <c r="AC234" s="327"/>
      <c r="AD234" s="327"/>
      <c r="AE234" s="327"/>
      <c r="AF234" s="327"/>
      <c r="AG234" s="327"/>
      <c r="AH234" s="327"/>
      <c r="AI234" s="327"/>
      <c r="AJ234" s="327"/>
      <c r="AK234" s="327"/>
      <c r="AL234" s="327"/>
      <c r="AM234" s="327"/>
    </row>
    <row r="235" spans="1:39">
      <c r="A235" s="69"/>
      <c r="B235" s="69"/>
      <c r="C235" s="327"/>
      <c r="D235" s="327"/>
      <c r="E235" s="327"/>
      <c r="F235" s="327"/>
      <c r="G235" s="327"/>
      <c r="H235" s="327"/>
      <c r="I235" s="327"/>
      <c r="J235" s="327"/>
      <c r="K235" s="327"/>
      <c r="L235" s="327"/>
      <c r="M235" s="327"/>
      <c r="N235" s="327"/>
      <c r="O235" s="327"/>
      <c r="P235" s="327"/>
      <c r="Q235" s="327"/>
      <c r="R235" s="327"/>
      <c r="S235" s="327"/>
      <c r="T235" s="327"/>
      <c r="U235" s="327"/>
      <c r="V235" s="327"/>
      <c r="W235" s="327"/>
      <c r="X235" s="327"/>
      <c r="Y235" s="327"/>
      <c r="Z235" s="327"/>
      <c r="AA235" s="327"/>
      <c r="AB235" s="327"/>
      <c r="AC235" s="327"/>
      <c r="AD235" s="327"/>
      <c r="AE235" s="327"/>
      <c r="AF235" s="327"/>
      <c r="AG235" s="327"/>
      <c r="AH235" s="327"/>
      <c r="AI235" s="327"/>
      <c r="AJ235" s="327"/>
      <c r="AK235" s="327"/>
      <c r="AL235" s="327"/>
      <c r="AM235" s="327"/>
    </row>
    <row r="236" spans="1:39">
      <c r="A236" s="69"/>
      <c r="B236" s="69"/>
      <c r="C236" s="327"/>
      <c r="D236" s="327"/>
      <c r="E236" s="327"/>
      <c r="F236" s="327"/>
      <c r="G236" s="327"/>
      <c r="H236" s="327"/>
      <c r="I236" s="327"/>
      <c r="J236" s="327"/>
      <c r="K236" s="327"/>
      <c r="L236" s="327"/>
      <c r="M236" s="327"/>
      <c r="N236" s="327"/>
      <c r="O236" s="327"/>
      <c r="P236" s="327"/>
      <c r="Q236" s="327"/>
      <c r="R236" s="327"/>
      <c r="S236" s="327"/>
      <c r="T236" s="327"/>
      <c r="U236" s="327"/>
      <c r="V236" s="327"/>
      <c r="W236" s="327"/>
      <c r="X236" s="327"/>
      <c r="Y236" s="327"/>
      <c r="Z236" s="327"/>
      <c r="AA236" s="327"/>
      <c r="AB236" s="327"/>
      <c r="AC236" s="327"/>
      <c r="AD236" s="327"/>
      <c r="AE236" s="327"/>
      <c r="AF236" s="327"/>
      <c r="AG236" s="327"/>
      <c r="AH236" s="327"/>
      <c r="AI236" s="327"/>
      <c r="AJ236" s="327"/>
      <c r="AK236" s="327"/>
      <c r="AL236" s="327"/>
      <c r="AM236" s="327"/>
    </row>
    <row r="237" spans="1:39">
      <c r="A237" s="69"/>
      <c r="B237" s="69"/>
      <c r="C237" s="327"/>
      <c r="D237" s="327"/>
      <c r="E237" s="327"/>
      <c r="F237" s="327"/>
      <c r="G237" s="327"/>
      <c r="H237" s="327"/>
      <c r="I237" s="327"/>
      <c r="J237" s="327"/>
      <c r="K237" s="327"/>
      <c r="L237" s="327"/>
      <c r="M237" s="327"/>
      <c r="N237" s="327"/>
      <c r="O237" s="327"/>
      <c r="P237" s="327"/>
      <c r="Q237" s="327"/>
      <c r="R237" s="327"/>
      <c r="S237" s="327"/>
      <c r="T237" s="327"/>
      <c r="U237" s="327"/>
      <c r="V237" s="327"/>
      <c r="W237" s="327"/>
      <c r="X237" s="327"/>
      <c r="Y237" s="327"/>
      <c r="Z237" s="327"/>
      <c r="AA237" s="327"/>
      <c r="AB237" s="327"/>
      <c r="AC237" s="327"/>
      <c r="AD237" s="327"/>
      <c r="AE237" s="327"/>
      <c r="AF237" s="327"/>
      <c r="AG237" s="327"/>
      <c r="AH237" s="327"/>
      <c r="AI237" s="327"/>
      <c r="AJ237" s="327"/>
      <c r="AK237" s="327"/>
      <c r="AL237" s="327"/>
      <c r="AM237" s="327"/>
    </row>
    <row r="238" spans="1:39">
      <c r="A238" s="69"/>
      <c r="B238" s="69"/>
      <c r="C238" s="327"/>
      <c r="D238" s="327"/>
      <c r="E238" s="327"/>
      <c r="F238" s="327"/>
      <c r="G238" s="327"/>
      <c r="H238" s="327"/>
      <c r="I238" s="327"/>
      <c r="J238" s="327"/>
      <c r="K238" s="327"/>
      <c r="L238" s="327"/>
      <c r="M238" s="327"/>
      <c r="N238" s="327"/>
      <c r="O238" s="327"/>
      <c r="P238" s="327"/>
      <c r="Q238" s="327"/>
      <c r="R238" s="327"/>
      <c r="S238" s="327"/>
      <c r="T238" s="327"/>
      <c r="U238" s="327"/>
      <c r="V238" s="327"/>
      <c r="W238" s="327"/>
      <c r="X238" s="327"/>
      <c r="Y238" s="327"/>
      <c r="Z238" s="327"/>
      <c r="AA238" s="327"/>
      <c r="AB238" s="327"/>
      <c r="AC238" s="327"/>
      <c r="AD238" s="327"/>
      <c r="AE238" s="327"/>
      <c r="AF238" s="327"/>
      <c r="AG238" s="327"/>
      <c r="AH238" s="327"/>
      <c r="AI238" s="327"/>
      <c r="AJ238" s="327"/>
      <c r="AK238" s="327"/>
      <c r="AL238" s="327"/>
      <c r="AM238" s="327"/>
    </row>
    <row r="239" spans="1:39">
      <c r="A239" s="69"/>
      <c r="B239" s="69"/>
      <c r="C239" s="327"/>
      <c r="D239" s="327"/>
      <c r="E239" s="327"/>
      <c r="F239" s="327"/>
      <c r="G239" s="327"/>
      <c r="H239" s="327"/>
      <c r="I239" s="327"/>
      <c r="J239" s="327"/>
      <c r="K239" s="327"/>
      <c r="L239" s="327"/>
      <c r="M239" s="327"/>
      <c r="N239" s="327"/>
      <c r="O239" s="327"/>
      <c r="P239" s="327"/>
      <c r="Q239" s="327"/>
      <c r="R239" s="327"/>
      <c r="S239" s="327"/>
      <c r="T239" s="327"/>
      <c r="U239" s="327"/>
      <c r="V239" s="327"/>
      <c r="W239" s="327"/>
      <c r="X239" s="327"/>
      <c r="Y239" s="327"/>
      <c r="Z239" s="327"/>
      <c r="AA239" s="327"/>
      <c r="AB239" s="327"/>
      <c r="AC239" s="327"/>
      <c r="AD239" s="327"/>
      <c r="AE239" s="327"/>
      <c r="AF239" s="327"/>
      <c r="AG239" s="327"/>
      <c r="AH239" s="327"/>
      <c r="AI239" s="327"/>
      <c r="AJ239" s="327"/>
      <c r="AK239" s="327"/>
      <c r="AL239" s="327"/>
      <c r="AM239" s="327"/>
    </row>
    <row r="240" spans="1:39">
      <c r="A240" s="69"/>
      <c r="B240" s="69"/>
      <c r="C240" s="327"/>
      <c r="D240" s="327"/>
      <c r="E240" s="327"/>
      <c r="F240" s="327"/>
      <c r="G240" s="327"/>
      <c r="H240" s="327"/>
      <c r="I240" s="327"/>
      <c r="J240" s="327"/>
      <c r="K240" s="327"/>
      <c r="L240" s="327"/>
      <c r="M240" s="327"/>
      <c r="N240" s="327"/>
      <c r="O240" s="327"/>
      <c r="P240" s="327"/>
      <c r="Q240" s="327"/>
      <c r="R240" s="327"/>
      <c r="S240" s="327"/>
      <c r="T240" s="327"/>
      <c r="U240" s="327"/>
      <c r="V240" s="327"/>
      <c r="W240" s="327"/>
      <c r="X240" s="327"/>
      <c r="Y240" s="327"/>
      <c r="Z240" s="327"/>
      <c r="AA240" s="327"/>
      <c r="AB240" s="327"/>
      <c r="AC240" s="327"/>
      <c r="AD240" s="327"/>
      <c r="AE240" s="327"/>
      <c r="AF240" s="327"/>
      <c r="AG240" s="327"/>
      <c r="AH240" s="327"/>
      <c r="AI240" s="327"/>
      <c r="AJ240" s="327"/>
      <c r="AK240" s="327"/>
      <c r="AL240" s="327"/>
      <c r="AM240" s="327"/>
    </row>
    <row r="241" spans="1:39">
      <c r="A241" s="69"/>
      <c r="B241" s="69"/>
      <c r="C241" s="327"/>
      <c r="D241" s="327"/>
      <c r="E241" s="327"/>
      <c r="F241" s="327"/>
      <c r="G241" s="327"/>
      <c r="H241" s="327"/>
      <c r="I241" s="327"/>
      <c r="J241" s="327"/>
      <c r="K241" s="327"/>
      <c r="L241" s="327"/>
      <c r="M241" s="327"/>
      <c r="N241" s="327"/>
      <c r="O241" s="327"/>
      <c r="P241" s="327"/>
      <c r="Q241" s="327"/>
      <c r="R241" s="327"/>
      <c r="S241" s="327"/>
      <c r="T241" s="327"/>
      <c r="U241" s="327"/>
      <c r="V241" s="327"/>
      <c r="W241" s="327"/>
      <c r="X241" s="327"/>
      <c r="Y241" s="327"/>
      <c r="Z241" s="327"/>
      <c r="AA241" s="327"/>
      <c r="AB241" s="327"/>
      <c r="AC241" s="327"/>
      <c r="AD241" s="327"/>
      <c r="AE241" s="327"/>
      <c r="AF241" s="327"/>
      <c r="AG241" s="327"/>
      <c r="AH241" s="327"/>
      <c r="AI241" s="327"/>
      <c r="AJ241" s="327"/>
      <c r="AK241" s="327"/>
      <c r="AL241" s="327"/>
      <c r="AM241" s="327"/>
    </row>
    <row r="242" spans="1:39">
      <c r="A242" s="69"/>
      <c r="B242" s="69"/>
      <c r="C242" s="327"/>
      <c r="D242" s="327"/>
      <c r="E242" s="327"/>
      <c r="F242" s="327"/>
      <c r="G242" s="327"/>
      <c r="H242" s="327"/>
      <c r="I242" s="327"/>
      <c r="J242" s="327"/>
      <c r="K242" s="327"/>
      <c r="L242" s="327"/>
      <c r="M242" s="327"/>
      <c r="N242" s="327"/>
      <c r="O242" s="327"/>
      <c r="P242" s="327"/>
      <c r="Q242" s="327"/>
      <c r="R242" s="327"/>
      <c r="S242" s="327"/>
      <c r="T242" s="327"/>
      <c r="U242" s="327"/>
      <c r="V242" s="327"/>
      <c r="W242" s="327"/>
      <c r="X242" s="327"/>
      <c r="Y242" s="327"/>
      <c r="Z242" s="327"/>
      <c r="AA242" s="327"/>
      <c r="AB242" s="327"/>
      <c r="AC242" s="327"/>
      <c r="AD242" s="327"/>
      <c r="AE242" s="327"/>
      <c r="AF242" s="327"/>
      <c r="AG242" s="327"/>
      <c r="AH242" s="327"/>
      <c r="AI242" s="327"/>
      <c r="AJ242" s="327"/>
      <c r="AK242" s="327"/>
      <c r="AL242" s="327"/>
      <c r="AM242" s="327"/>
    </row>
    <row r="243" spans="1:39">
      <c r="A243" s="69"/>
      <c r="B243" s="69"/>
      <c r="C243" s="327"/>
      <c r="D243" s="327"/>
      <c r="E243" s="327"/>
      <c r="F243" s="327"/>
      <c r="G243" s="327"/>
      <c r="H243" s="327"/>
      <c r="I243" s="327"/>
      <c r="J243" s="327"/>
      <c r="K243" s="327"/>
      <c r="L243" s="327"/>
      <c r="M243" s="327"/>
      <c r="N243" s="327"/>
      <c r="O243" s="327"/>
      <c r="P243" s="327"/>
      <c r="Q243" s="327"/>
      <c r="R243" s="327"/>
      <c r="S243" s="327"/>
      <c r="T243" s="327"/>
      <c r="U243" s="327"/>
      <c r="V243" s="327"/>
      <c r="W243" s="327"/>
      <c r="X243" s="327"/>
      <c r="Y243" s="327"/>
      <c r="Z243" s="327"/>
      <c r="AA243" s="327"/>
      <c r="AB243" s="327"/>
      <c r="AC243" s="327"/>
      <c r="AD243" s="327"/>
      <c r="AE243" s="327"/>
      <c r="AF243" s="327"/>
      <c r="AG243" s="327"/>
      <c r="AH243" s="327"/>
      <c r="AI243" s="327"/>
      <c r="AJ243" s="327"/>
      <c r="AK243" s="327"/>
      <c r="AL243" s="327"/>
      <c r="AM243" s="327"/>
    </row>
    <row r="244" spans="1:39">
      <c r="A244" s="69"/>
      <c r="B244" s="69"/>
      <c r="C244" s="327"/>
      <c r="D244" s="327"/>
      <c r="E244" s="327"/>
      <c r="F244" s="327"/>
      <c r="G244" s="327"/>
      <c r="H244" s="327"/>
      <c r="I244" s="327"/>
      <c r="J244" s="327"/>
      <c r="K244" s="327"/>
      <c r="L244" s="327"/>
      <c r="M244" s="327"/>
      <c r="N244" s="327"/>
      <c r="O244" s="327"/>
      <c r="P244" s="327"/>
      <c r="Q244" s="327"/>
      <c r="R244" s="327"/>
      <c r="S244" s="327"/>
      <c r="T244" s="327"/>
      <c r="U244" s="327"/>
      <c r="V244" s="327"/>
      <c r="W244" s="327"/>
      <c r="X244" s="327"/>
      <c r="Y244" s="327"/>
      <c r="Z244" s="327"/>
      <c r="AA244" s="327"/>
      <c r="AB244" s="327"/>
      <c r="AC244" s="327"/>
      <c r="AD244" s="327"/>
      <c r="AE244" s="327"/>
      <c r="AF244" s="327"/>
      <c r="AG244" s="327"/>
      <c r="AH244" s="327"/>
      <c r="AI244" s="327"/>
      <c r="AJ244" s="327"/>
      <c r="AK244" s="327"/>
      <c r="AL244" s="327"/>
      <c r="AM244" s="327"/>
    </row>
    <row r="245" spans="1:39">
      <c r="A245" s="69"/>
      <c r="B245" s="69"/>
      <c r="C245" s="327"/>
      <c r="D245" s="327"/>
      <c r="E245" s="327"/>
      <c r="F245" s="327"/>
      <c r="G245" s="327"/>
      <c r="H245" s="327"/>
      <c r="I245" s="327"/>
      <c r="J245" s="327"/>
      <c r="K245" s="327"/>
      <c r="L245" s="327"/>
      <c r="M245" s="327"/>
      <c r="N245" s="327"/>
      <c r="O245" s="327"/>
      <c r="P245" s="327"/>
      <c r="Q245" s="327"/>
      <c r="R245" s="327"/>
      <c r="S245" s="327"/>
      <c r="T245" s="327"/>
      <c r="U245" s="327"/>
      <c r="V245" s="327"/>
      <c r="W245" s="327"/>
      <c r="X245" s="327"/>
      <c r="Y245" s="327"/>
      <c r="Z245" s="327"/>
      <c r="AA245" s="327"/>
      <c r="AB245" s="327"/>
      <c r="AC245" s="327"/>
      <c r="AD245" s="327"/>
      <c r="AE245" s="327"/>
      <c r="AF245" s="327"/>
      <c r="AG245" s="327"/>
      <c r="AH245" s="327"/>
      <c r="AI245" s="327"/>
      <c r="AJ245" s="327"/>
      <c r="AK245" s="327"/>
      <c r="AL245" s="327"/>
      <c r="AM245" s="327"/>
    </row>
    <row r="246" spans="1:39">
      <c r="A246" s="69"/>
      <c r="B246" s="69"/>
      <c r="C246" s="327"/>
      <c r="D246" s="327"/>
      <c r="E246" s="327"/>
      <c r="F246" s="327"/>
      <c r="G246" s="327"/>
      <c r="H246" s="327"/>
      <c r="I246" s="327"/>
      <c r="J246" s="327"/>
      <c r="K246" s="327"/>
      <c r="L246" s="327"/>
      <c r="M246" s="327"/>
      <c r="N246" s="327"/>
      <c r="O246" s="327"/>
      <c r="P246" s="327"/>
      <c r="Q246" s="327"/>
      <c r="R246" s="327"/>
      <c r="S246" s="327"/>
      <c r="T246" s="327"/>
      <c r="U246" s="327"/>
      <c r="V246" s="327"/>
      <c r="W246" s="327"/>
      <c r="X246" s="327"/>
      <c r="Y246" s="327"/>
      <c r="Z246" s="327"/>
      <c r="AA246" s="327"/>
      <c r="AB246" s="327"/>
      <c r="AC246" s="327"/>
      <c r="AD246" s="327"/>
      <c r="AE246" s="327"/>
      <c r="AF246" s="327"/>
      <c r="AG246" s="327"/>
      <c r="AH246" s="327"/>
      <c r="AI246" s="327"/>
      <c r="AJ246" s="327"/>
      <c r="AK246" s="327"/>
      <c r="AL246" s="327"/>
      <c r="AM246" s="327"/>
    </row>
    <row r="247" spans="1:39">
      <c r="A247" s="69"/>
      <c r="B247" s="69"/>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327"/>
      <c r="AE247" s="327"/>
      <c r="AF247" s="327"/>
      <c r="AG247" s="327"/>
      <c r="AH247" s="327"/>
      <c r="AI247" s="327"/>
      <c r="AJ247" s="327"/>
      <c r="AK247" s="327"/>
      <c r="AL247" s="327"/>
      <c r="AM247" s="327"/>
    </row>
    <row r="248" spans="1:39">
      <c r="A248" s="69"/>
      <c r="B248" s="69"/>
      <c r="C248" s="327"/>
      <c r="D248" s="327"/>
      <c r="E248" s="327"/>
      <c r="F248" s="327"/>
      <c r="G248" s="327"/>
      <c r="H248" s="327"/>
      <c r="I248" s="327"/>
      <c r="J248" s="327"/>
      <c r="K248" s="327"/>
      <c r="L248" s="327"/>
      <c r="M248" s="327"/>
      <c r="N248" s="327"/>
      <c r="O248" s="327"/>
      <c r="P248" s="327"/>
      <c r="Q248" s="327"/>
      <c r="R248" s="327"/>
      <c r="S248" s="327"/>
      <c r="T248" s="327"/>
      <c r="U248" s="327"/>
      <c r="V248" s="327"/>
      <c r="W248" s="327"/>
      <c r="X248" s="327"/>
      <c r="Y248" s="327"/>
      <c r="Z248" s="327"/>
      <c r="AA248" s="327"/>
      <c r="AB248" s="327"/>
      <c r="AC248" s="327"/>
      <c r="AD248" s="327"/>
      <c r="AE248" s="327"/>
      <c r="AF248" s="327"/>
      <c r="AG248" s="327"/>
      <c r="AH248" s="327"/>
      <c r="AI248" s="327"/>
      <c r="AJ248" s="327"/>
      <c r="AK248" s="327"/>
      <c r="AL248" s="327"/>
      <c r="AM248" s="327"/>
    </row>
    <row r="249" spans="1:39">
      <c r="A249" s="69"/>
      <c r="B249" s="69"/>
      <c r="C249" s="327"/>
      <c r="D249" s="327"/>
      <c r="E249" s="327"/>
      <c r="F249" s="327"/>
      <c r="G249" s="327"/>
      <c r="H249" s="327"/>
      <c r="I249" s="327"/>
      <c r="J249" s="327"/>
      <c r="K249" s="327"/>
      <c r="L249" s="327"/>
      <c r="M249" s="327"/>
      <c r="N249" s="327"/>
      <c r="O249" s="327"/>
      <c r="P249" s="327"/>
      <c r="Q249" s="327"/>
      <c r="R249" s="327"/>
      <c r="S249" s="327"/>
      <c r="T249" s="327"/>
      <c r="U249" s="327"/>
      <c r="V249" s="327"/>
      <c r="W249" s="327"/>
      <c r="X249" s="327"/>
      <c r="Y249" s="327"/>
      <c r="Z249" s="327"/>
      <c r="AA249" s="327"/>
      <c r="AB249" s="327"/>
      <c r="AC249" s="327"/>
      <c r="AD249" s="327"/>
      <c r="AE249" s="327"/>
      <c r="AF249" s="327"/>
      <c r="AG249" s="327"/>
      <c r="AH249" s="327"/>
      <c r="AI249" s="327"/>
      <c r="AJ249" s="327"/>
      <c r="AK249" s="327"/>
      <c r="AL249" s="327"/>
      <c r="AM249" s="327"/>
    </row>
    <row r="250" spans="1:39">
      <c r="A250" s="69"/>
      <c r="B250" s="69"/>
      <c r="C250" s="327"/>
      <c r="D250" s="327"/>
      <c r="E250" s="327"/>
      <c r="F250" s="327"/>
      <c r="G250" s="327"/>
      <c r="H250" s="327"/>
      <c r="I250" s="327"/>
      <c r="J250" s="327"/>
      <c r="K250" s="327"/>
      <c r="L250" s="327"/>
      <c r="M250" s="327"/>
      <c r="N250" s="327"/>
      <c r="O250" s="327"/>
      <c r="P250" s="327"/>
      <c r="Q250" s="327"/>
      <c r="R250" s="327"/>
      <c r="S250" s="327"/>
      <c r="T250" s="327"/>
      <c r="U250" s="327"/>
      <c r="V250" s="327"/>
      <c r="W250" s="327"/>
      <c r="X250" s="327"/>
      <c r="Y250" s="327"/>
      <c r="Z250" s="327"/>
      <c r="AA250" s="327"/>
      <c r="AB250" s="327"/>
      <c r="AC250" s="327"/>
      <c r="AD250" s="327"/>
      <c r="AE250" s="327"/>
      <c r="AF250" s="327"/>
      <c r="AG250" s="327"/>
      <c r="AH250" s="327"/>
      <c r="AI250" s="327"/>
      <c r="AJ250" s="327"/>
      <c r="AK250" s="327"/>
      <c r="AL250" s="327"/>
      <c r="AM250" s="327"/>
    </row>
    <row r="251" spans="1:39">
      <c r="A251" s="69"/>
      <c r="B251" s="69"/>
      <c r="C251" s="327"/>
      <c r="D251" s="327"/>
      <c r="E251" s="327"/>
      <c r="F251" s="327"/>
      <c r="G251" s="327"/>
      <c r="H251" s="327"/>
      <c r="I251" s="327"/>
      <c r="J251" s="327"/>
      <c r="K251" s="327"/>
      <c r="L251" s="327"/>
      <c r="M251" s="327"/>
      <c r="N251" s="327"/>
      <c r="O251" s="327"/>
      <c r="P251" s="327"/>
      <c r="Q251" s="327"/>
      <c r="R251" s="327"/>
      <c r="S251" s="327"/>
      <c r="T251" s="327"/>
      <c r="U251" s="327"/>
      <c r="V251" s="327"/>
      <c r="W251" s="327"/>
      <c r="X251" s="327"/>
      <c r="Y251" s="327"/>
      <c r="Z251" s="327"/>
      <c r="AA251" s="327"/>
      <c r="AB251" s="327"/>
      <c r="AC251" s="327"/>
      <c r="AD251" s="327"/>
      <c r="AE251" s="327"/>
      <c r="AF251" s="327"/>
      <c r="AG251" s="327"/>
      <c r="AH251" s="327"/>
      <c r="AI251" s="327"/>
      <c r="AJ251" s="327"/>
      <c r="AK251" s="327"/>
      <c r="AL251" s="327"/>
      <c r="AM251" s="327"/>
    </row>
    <row r="252" spans="1:39">
      <c r="A252" s="69"/>
      <c r="B252" s="69"/>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327"/>
      <c r="AE252" s="327"/>
      <c r="AF252" s="327"/>
      <c r="AG252" s="327"/>
      <c r="AH252" s="327"/>
      <c r="AI252" s="327"/>
      <c r="AJ252" s="327"/>
      <c r="AK252" s="327"/>
      <c r="AL252" s="327"/>
      <c r="AM252" s="327"/>
    </row>
    <row r="253" spans="1:39">
      <c r="A253" s="69"/>
      <c r="B253" s="69"/>
      <c r="C253" s="327"/>
      <c r="D253" s="327"/>
      <c r="E253" s="327"/>
      <c r="F253" s="327"/>
      <c r="G253" s="327"/>
      <c r="H253" s="327"/>
      <c r="I253" s="327"/>
      <c r="J253" s="327"/>
      <c r="K253" s="327"/>
      <c r="L253" s="327"/>
      <c r="M253" s="327"/>
      <c r="N253" s="327"/>
      <c r="O253" s="327"/>
      <c r="P253" s="327"/>
      <c r="Q253" s="327"/>
      <c r="R253" s="327"/>
      <c r="S253" s="327"/>
      <c r="T253" s="327"/>
      <c r="U253" s="327"/>
      <c r="V253" s="327"/>
      <c r="W253" s="327"/>
      <c r="X253" s="327"/>
      <c r="Y253" s="327"/>
      <c r="Z253" s="327"/>
      <c r="AA253" s="327"/>
      <c r="AB253" s="327"/>
      <c r="AC253" s="327"/>
      <c r="AD253" s="327"/>
      <c r="AE253" s="327"/>
      <c r="AF253" s="327"/>
      <c r="AG253" s="327"/>
      <c r="AH253" s="327"/>
      <c r="AI253" s="327"/>
      <c r="AJ253" s="327"/>
      <c r="AK253" s="327"/>
      <c r="AL253" s="327"/>
      <c r="AM253" s="327"/>
    </row>
    <row r="254" spans="1:39">
      <c r="A254" s="69"/>
      <c r="B254" s="69"/>
      <c r="C254" s="327"/>
      <c r="D254" s="327"/>
      <c r="E254" s="327"/>
      <c r="F254" s="327"/>
      <c r="G254" s="327"/>
      <c r="H254" s="327"/>
      <c r="I254" s="327"/>
      <c r="J254" s="327"/>
      <c r="K254" s="327"/>
      <c r="L254" s="327"/>
      <c r="M254" s="327"/>
      <c r="N254" s="327"/>
      <c r="O254" s="327"/>
      <c r="P254" s="327"/>
      <c r="Q254" s="327"/>
      <c r="R254" s="327"/>
      <c r="S254" s="327"/>
      <c r="T254" s="327"/>
      <c r="U254" s="327"/>
      <c r="V254" s="327"/>
      <c r="W254" s="327"/>
      <c r="X254" s="327"/>
      <c r="Y254" s="327"/>
      <c r="Z254" s="327"/>
      <c r="AA254" s="327"/>
      <c r="AB254" s="327"/>
      <c r="AC254" s="327"/>
      <c r="AD254" s="327"/>
      <c r="AE254" s="327"/>
      <c r="AF254" s="327"/>
      <c r="AG254" s="327"/>
      <c r="AH254" s="327"/>
      <c r="AI254" s="327"/>
      <c r="AJ254" s="327"/>
      <c r="AK254" s="327"/>
      <c r="AL254" s="327"/>
      <c r="AM254" s="327"/>
    </row>
    <row r="255" spans="1:39">
      <c r="A255" s="69"/>
      <c r="B255" s="69"/>
      <c r="C255" s="327"/>
      <c r="D255" s="327"/>
      <c r="E255" s="327"/>
      <c r="F255" s="327"/>
      <c r="G255" s="327"/>
      <c r="H255" s="327"/>
      <c r="I255" s="327"/>
      <c r="J255" s="327"/>
      <c r="K255" s="327"/>
      <c r="L255" s="327"/>
      <c r="M255" s="327"/>
      <c r="N255" s="327"/>
      <c r="O255" s="327"/>
      <c r="P255" s="327"/>
      <c r="Q255" s="327"/>
      <c r="R255" s="327"/>
      <c r="S255" s="327"/>
      <c r="T255" s="327"/>
      <c r="U255" s="327"/>
      <c r="V255" s="327"/>
      <c r="W255" s="327"/>
      <c r="X255" s="327"/>
      <c r="Y255" s="327"/>
      <c r="Z255" s="327"/>
      <c r="AA255" s="327"/>
      <c r="AB255" s="327"/>
      <c r="AC255" s="327"/>
      <c r="AD255" s="327"/>
      <c r="AE255" s="327"/>
      <c r="AF255" s="327"/>
      <c r="AG255" s="327"/>
      <c r="AH255" s="327"/>
      <c r="AI255" s="327"/>
      <c r="AJ255" s="327"/>
      <c r="AK255" s="327"/>
      <c r="AL255" s="327"/>
      <c r="AM255" s="327"/>
    </row>
    <row r="256" spans="1:39">
      <c r="A256" s="69"/>
      <c r="B256" s="69"/>
      <c r="C256" s="327"/>
      <c r="D256" s="327"/>
      <c r="E256" s="327"/>
      <c r="F256" s="327"/>
      <c r="G256" s="327"/>
      <c r="H256" s="327"/>
      <c r="I256" s="327"/>
      <c r="J256" s="327"/>
      <c r="K256" s="327"/>
      <c r="L256" s="327"/>
      <c r="M256" s="327"/>
      <c r="N256" s="327"/>
      <c r="O256" s="327"/>
      <c r="P256" s="327"/>
      <c r="Q256" s="327"/>
      <c r="R256" s="327"/>
      <c r="S256" s="327"/>
      <c r="T256" s="327"/>
      <c r="U256" s="327"/>
      <c r="V256" s="327"/>
      <c r="W256" s="327"/>
      <c r="X256" s="327"/>
      <c r="Y256" s="327"/>
      <c r="Z256" s="327"/>
      <c r="AA256" s="327"/>
      <c r="AB256" s="327"/>
      <c r="AC256" s="327"/>
      <c r="AD256" s="327"/>
      <c r="AE256" s="327"/>
      <c r="AF256" s="327"/>
      <c r="AG256" s="327"/>
      <c r="AH256" s="327"/>
      <c r="AI256" s="327"/>
      <c r="AJ256" s="327"/>
      <c r="AK256" s="327"/>
      <c r="AL256" s="327"/>
      <c r="AM256" s="327"/>
    </row>
    <row r="257" spans="1:39">
      <c r="A257" s="69"/>
      <c r="B257" s="69"/>
      <c r="C257" s="327"/>
      <c r="D257" s="327"/>
      <c r="E257" s="327"/>
      <c r="F257" s="327"/>
      <c r="G257" s="327"/>
      <c r="H257" s="327"/>
      <c r="I257" s="327"/>
      <c r="J257" s="327"/>
      <c r="K257" s="327"/>
      <c r="L257" s="327"/>
      <c r="M257" s="327"/>
      <c r="N257" s="327"/>
      <c r="O257" s="327"/>
      <c r="P257" s="327"/>
      <c r="Q257" s="327"/>
      <c r="R257" s="327"/>
      <c r="S257" s="327"/>
      <c r="T257" s="327"/>
      <c r="U257" s="327"/>
      <c r="V257" s="327"/>
      <c r="W257" s="327"/>
      <c r="X257" s="327"/>
      <c r="Y257" s="327"/>
      <c r="Z257" s="327"/>
      <c r="AA257" s="327"/>
      <c r="AB257" s="327"/>
      <c r="AC257" s="327"/>
      <c r="AD257" s="327"/>
      <c r="AE257" s="327"/>
      <c r="AF257" s="327"/>
      <c r="AG257" s="327"/>
      <c r="AH257" s="327"/>
      <c r="AI257" s="327"/>
      <c r="AJ257" s="327"/>
      <c r="AK257" s="327"/>
      <c r="AL257" s="327"/>
      <c r="AM257" s="327"/>
    </row>
    <row r="258" spans="1:39">
      <c r="A258" s="69"/>
      <c r="B258" s="69"/>
      <c r="C258" s="327"/>
      <c r="D258" s="327"/>
      <c r="E258" s="327"/>
      <c r="F258" s="327"/>
      <c r="G258" s="327"/>
      <c r="H258" s="327"/>
      <c r="I258" s="327"/>
      <c r="J258" s="327"/>
      <c r="K258" s="327"/>
      <c r="L258" s="327"/>
      <c r="M258" s="327"/>
      <c r="N258" s="327"/>
      <c r="O258" s="327"/>
      <c r="P258" s="327"/>
      <c r="Q258" s="327"/>
      <c r="R258" s="327"/>
      <c r="S258" s="327"/>
      <c r="T258" s="327"/>
      <c r="U258" s="327"/>
      <c r="V258" s="327"/>
      <c r="W258" s="327"/>
      <c r="X258" s="327"/>
      <c r="Y258" s="327"/>
      <c r="Z258" s="327"/>
      <c r="AA258" s="327"/>
      <c r="AB258" s="327"/>
      <c r="AC258" s="327"/>
      <c r="AD258" s="327"/>
      <c r="AE258" s="327"/>
      <c r="AF258" s="327"/>
      <c r="AG258" s="327"/>
      <c r="AH258" s="327"/>
      <c r="AI258" s="327"/>
      <c r="AJ258" s="327"/>
      <c r="AK258" s="327"/>
      <c r="AL258" s="327"/>
      <c r="AM258" s="327"/>
    </row>
    <row r="259" spans="1:39">
      <c r="A259" s="69"/>
      <c r="B259" s="69"/>
      <c r="C259" s="327"/>
      <c r="D259" s="327"/>
      <c r="E259" s="327"/>
      <c r="F259" s="327"/>
      <c r="G259" s="327"/>
      <c r="H259" s="327"/>
      <c r="I259" s="327"/>
      <c r="J259" s="327"/>
      <c r="K259" s="327"/>
      <c r="L259" s="327"/>
      <c r="M259" s="327"/>
      <c r="N259" s="327"/>
      <c r="O259" s="327"/>
      <c r="P259" s="327"/>
      <c r="Q259" s="327"/>
      <c r="R259" s="327"/>
      <c r="S259" s="327"/>
      <c r="T259" s="327"/>
      <c r="U259" s="327"/>
      <c r="V259" s="327"/>
      <c r="W259" s="327"/>
      <c r="X259" s="327"/>
      <c r="Y259" s="327"/>
      <c r="Z259" s="327"/>
      <c r="AA259" s="327"/>
      <c r="AB259" s="327"/>
      <c r="AC259" s="327"/>
      <c r="AD259" s="327"/>
      <c r="AE259" s="327"/>
      <c r="AF259" s="327"/>
      <c r="AG259" s="327"/>
      <c r="AH259" s="327"/>
      <c r="AI259" s="327"/>
      <c r="AJ259" s="327"/>
      <c r="AK259" s="327"/>
      <c r="AL259" s="327"/>
      <c r="AM259" s="327"/>
    </row>
    <row r="260" spans="1:39">
      <c r="A260" s="69"/>
      <c r="B260" s="69"/>
      <c r="C260" s="327"/>
      <c r="D260" s="327"/>
      <c r="E260" s="327"/>
      <c r="F260" s="327"/>
      <c r="G260" s="327"/>
      <c r="H260" s="327"/>
      <c r="I260" s="327"/>
      <c r="J260" s="327"/>
      <c r="K260" s="327"/>
      <c r="L260" s="327"/>
      <c r="M260" s="327"/>
      <c r="N260" s="327"/>
      <c r="O260" s="327"/>
      <c r="P260" s="327"/>
      <c r="Q260" s="327"/>
      <c r="R260" s="327"/>
      <c r="S260" s="327"/>
      <c r="T260" s="327"/>
      <c r="U260" s="327"/>
      <c r="V260" s="327"/>
      <c r="W260" s="327"/>
      <c r="X260" s="327"/>
      <c r="Y260" s="327"/>
      <c r="Z260" s="327"/>
      <c r="AA260" s="327"/>
      <c r="AB260" s="327"/>
      <c r="AC260" s="327"/>
      <c r="AD260" s="327"/>
      <c r="AE260" s="327"/>
      <c r="AF260" s="327"/>
      <c r="AG260" s="327"/>
      <c r="AH260" s="327"/>
      <c r="AI260" s="327"/>
      <c r="AJ260" s="327"/>
      <c r="AK260" s="327"/>
      <c r="AL260" s="327"/>
      <c r="AM260" s="327"/>
    </row>
    <row r="261" spans="1:39">
      <c r="A261" s="69"/>
      <c r="B261" s="69"/>
      <c r="C261" s="327"/>
      <c r="D261" s="327"/>
      <c r="E261" s="327"/>
      <c r="F261" s="327"/>
      <c r="G261" s="327"/>
      <c r="H261" s="327"/>
      <c r="I261" s="327"/>
      <c r="J261" s="327"/>
      <c r="K261" s="327"/>
      <c r="L261" s="327"/>
      <c r="M261" s="327"/>
      <c r="N261" s="327"/>
      <c r="O261" s="327"/>
      <c r="P261" s="327"/>
      <c r="Q261" s="327"/>
      <c r="R261" s="327"/>
      <c r="S261" s="327"/>
      <c r="T261" s="327"/>
      <c r="U261" s="327"/>
      <c r="V261" s="327"/>
      <c r="W261" s="327"/>
      <c r="X261" s="327"/>
      <c r="Y261" s="327"/>
      <c r="Z261" s="327"/>
      <c r="AA261" s="327"/>
      <c r="AB261" s="327"/>
      <c r="AC261" s="327"/>
      <c r="AD261" s="327"/>
      <c r="AE261" s="327"/>
      <c r="AF261" s="327"/>
      <c r="AG261" s="327"/>
      <c r="AH261" s="327"/>
      <c r="AI261" s="327"/>
      <c r="AJ261" s="327"/>
      <c r="AK261" s="327"/>
      <c r="AL261" s="327"/>
      <c r="AM261" s="327"/>
    </row>
    <row r="262" spans="1:39">
      <c r="A262" s="69"/>
      <c r="B262" s="69"/>
      <c r="C262" s="327"/>
      <c r="D262" s="327"/>
      <c r="E262" s="327"/>
      <c r="F262" s="327"/>
      <c r="G262" s="327"/>
      <c r="H262" s="327"/>
      <c r="I262" s="327"/>
      <c r="J262" s="327"/>
      <c r="K262" s="327"/>
      <c r="L262" s="327"/>
      <c r="M262" s="327"/>
      <c r="N262" s="327"/>
      <c r="O262" s="327"/>
      <c r="P262" s="327"/>
      <c r="Q262" s="327"/>
      <c r="R262" s="327"/>
      <c r="S262" s="327"/>
      <c r="T262" s="327"/>
      <c r="U262" s="327"/>
      <c r="V262" s="327"/>
      <c r="W262" s="327"/>
      <c r="X262" s="327"/>
      <c r="Y262" s="327"/>
      <c r="Z262" s="327"/>
      <c r="AA262" s="327"/>
      <c r="AB262" s="327"/>
      <c r="AC262" s="327"/>
      <c r="AD262" s="327"/>
      <c r="AE262" s="327"/>
      <c r="AF262" s="327"/>
      <c r="AG262" s="327"/>
      <c r="AH262" s="327"/>
      <c r="AI262" s="327"/>
      <c r="AJ262" s="327"/>
      <c r="AK262" s="327"/>
      <c r="AL262" s="327"/>
      <c r="AM262" s="327"/>
    </row>
    <row r="263" spans="1:39">
      <c r="A263" s="69"/>
      <c r="B263" s="69"/>
      <c r="C263" s="327"/>
      <c r="D263" s="327"/>
      <c r="E263" s="327"/>
      <c r="F263" s="327"/>
      <c r="G263" s="327"/>
      <c r="H263" s="327"/>
      <c r="I263" s="327"/>
      <c r="J263" s="327"/>
      <c r="K263" s="327"/>
      <c r="L263" s="327"/>
      <c r="M263" s="327"/>
      <c r="N263" s="327"/>
      <c r="O263" s="327"/>
      <c r="P263" s="327"/>
      <c r="Q263" s="327"/>
      <c r="R263" s="327"/>
      <c r="S263" s="327"/>
      <c r="T263" s="327"/>
      <c r="U263" s="327"/>
      <c r="V263" s="327"/>
      <c r="W263" s="327"/>
      <c r="X263" s="327"/>
      <c r="Y263" s="327"/>
      <c r="Z263" s="327"/>
      <c r="AA263" s="327"/>
      <c r="AB263" s="327"/>
      <c r="AC263" s="327"/>
      <c r="AD263" s="327"/>
      <c r="AE263" s="327"/>
      <c r="AF263" s="327"/>
      <c r="AG263" s="327"/>
      <c r="AH263" s="327"/>
      <c r="AI263" s="327"/>
      <c r="AJ263" s="327"/>
      <c r="AK263" s="327"/>
      <c r="AL263" s="327"/>
      <c r="AM263" s="327"/>
    </row>
    <row r="264" spans="1:39">
      <c r="A264" s="69"/>
      <c r="B264" s="69"/>
      <c r="C264" s="327"/>
      <c r="D264" s="327"/>
      <c r="E264" s="327"/>
      <c r="F264" s="327"/>
      <c r="G264" s="327"/>
      <c r="H264" s="327"/>
      <c r="I264" s="327"/>
      <c r="J264" s="327"/>
      <c r="K264" s="327"/>
      <c r="L264" s="327"/>
      <c r="M264" s="327"/>
      <c r="N264" s="327"/>
      <c r="O264" s="327"/>
      <c r="P264" s="327"/>
      <c r="Q264" s="327"/>
      <c r="R264" s="327"/>
      <c r="S264" s="327"/>
      <c r="T264" s="327"/>
      <c r="U264" s="327"/>
      <c r="V264" s="327"/>
      <c r="W264" s="327"/>
      <c r="X264" s="327"/>
      <c r="Y264" s="327"/>
      <c r="Z264" s="327"/>
      <c r="AA264" s="327"/>
      <c r="AB264" s="327"/>
      <c r="AC264" s="327"/>
      <c r="AD264" s="327"/>
      <c r="AE264" s="327"/>
      <c r="AF264" s="327"/>
      <c r="AG264" s="327"/>
      <c r="AH264" s="327"/>
      <c r="AI264" s="327"/>
      <c r="AJ264" s="327"/>
      <c r="AK264" s="327"/>
      <c r="AL264" s="327"/>
      <c r="AM264" s="327"/>
    </row>
    <row r="265" spans="1:39">
      <c r="A265" s="69"/>
      <c r="B265" s="69"/>
      <c r="C265" s="327"/>
      <c r="D265" s="327"/>
      <c r="E265" s="327"/>
      <c r="F265" s="327"/>
      <c r="G265" s="327"/>
      <c r="H265" s="327"/>
      <c r="I265" s="327"/>
      <c r="J265" s="327"/>
      <c r="K265" s="327"/>
      <c r="L265" s="327"/>
      <c r="M265" s="327"/>
      <c r="N265" s="327"/>
      <c r="O265" s="327"/>
      <c r="P265" s="327"/>
      <c r="Q265" s="327"/>
      <c r="R265" s="327"/>
      <c r="S265" s="327"/>
      <c r="T265" s="327"/>
      <c r="U265" s="327"/>
      <c r="V265" s="327"/>
      <c r="W265" s="327"/>
      <c r="X265" s="327"/>
      <c r="Y265" s="327"/>
      <c r="Z265" s="327"/>
      <c r="AA265" s="327"/>
      <c r="AB265" s="327"/>
      <c r="AC265" s="327"/>
      <c r="AD265" s="327"/>
      <c r="AE265" s="327"/>
      <c r="AF265" s="327"/>
      <c r="AG265" s="327"/>
      <c r="AH265" s="327"/>
      <c r="AI265" s="327"/>
      <c r="AJ265" s="327"/>
      <c r="AK265" s="327"/>
      <c r="AL265" s="327"/>
      <c r="AM265" s="327"/>
    </row>
    <row r="266" spans="1:39">
      <c r="A266" s="69"/>
      <c r="B266" s="69"/>
      <c r="C266" s="327"/>
      <c r="D266" s="327"/>
      <c r="E266" s="327"/>
      <c r="F266" s="327"/>
      <c r="G266" s="327"/>
      <c r="H266" s="327"/>
      <c r="I266" s="327"/>
      <c r="J266" s="327"/>
      <c r="K266" s="327"/>
      <c r="L266" s="327"/>
      <c r="M266" s="327"/>
      <c r="N266" s="327"/>
      <c r="O266" s="327"/>
      <c r="P266" s="327"/>
      <c r="Q266" s="327"/>
      <c r="R266" s="327"/>
      <c r="S266" s="327"/>
      <c r="T266" s="327"/>
      <c r="U266" s="327"/>
      <c r="V266" s="327"/>
      <c r="W266" s="327"/>
      <c r="X266" s="327"/>
      <c r="Y266" s="327"/>
      <c r="Z266" s="327"/>
      <c r="AA266" s="327"/>
      <c r="AB266" s="327"/>
      <c r="AC266" s="327"/>
      <c r="AD266" s="327"/>
      <c r="AE266" s="327"/>
      <c r="AF266" s="327"/>
      <c r="AG266" s="327"/>
      <c r="AH266" s="327"/>
      <c r="AI266" s="327"/>
      <c r="AJ266" s="327"/>
      <c r="AK266" s="327"/>
      <c r="AL266" s="327"/>
      <c r="AM266" s="327"/>
    </row>
    <row r="267" spans="1:39">
      <c r="A267" s="69"/>
      <c r="B267" s="69"/>
      <c r="C267" s="327"/>
      <c r="D267" s="327"/>
      <c r="E267" s="327"/>
      <c r="F267" s="327"/>
      <c r="G267" s="327"/>
      <c r="H267" s="327"/>
      <c r="I267" s="327"/>
      <c r="J267" s="327"/>
      <c r="K267" s="327"/>
      <c r="L267" s="327"/>
      <c r="M267" s="327"/>
      <c r="N267" s="327"/>
      <c r="O267" s="327"/>
      <c r="P267" s="327"/>
      <c r="Q267" s="327"/>
      <c r="R267" s="327"/>
      <c r="S267" s="327"/>
      <c r="T267" s="327"/>
      <c r="U267" s="327"/>
      <c r="V267" s="327"/>
      <c r="W267" s="327"/>
      <c r="X267" s="327"/>
      <c r="Y267" s="327"/>
      <c r="Z267" s="327"/>
      <c r="AA267" s="327"/>
      <c r="AB267" s="327"/>
      <c r="AC267" s="327"/>
      <c r="AD267" s="327"/>
      <c r="AE267" s="327"/>
      <c r="AF267" s="327"/>
      <c r="AG267" s="327"/>
      <c r="AH267" s="327"/>
      <c r="AI267" s="327"/>
      <c r="AJ267" s="327"/>
      <c r="AK267" s="327"/>
      <c r="AL267" s="327"/>
      <c r="AM267" s="327"/>
    </row>
    <row r="268" spans="1:39">
      <c r="A268" s="69"/>
      <c r="B268" s="69"/>
      <c r="C268" s="327"/>
      <c r="D268" s="327"/>
      <c r="E268" s="327"/>
      <c r="F268" s="327"/>
      <c r="G268" s="327"/>
      <c r="H268" s="327"/>
      <c r="I268" s="327"/>
      <c r="J268" s="327"/>
      <c r="K268" s="327"/>
      <c r="L268" s="327"/>
      <c r="M268" s="327"/>
      <c r="N268" s="327"/>
      <c r="O268" s="327"/>
      <c r="P268" s="327"/>
      <c r="Q268" s="327"/>
      <c r="R268" s="327"/>
      <c r="S268" s="327"/>
      <c r="T268" s="327"/>
      <c r="U268" s="327"/>
      <c r="V268" s="327"/>
      <c r="W268" s="327"/>
      <c r="X268" s="327"/>
      <c r="Y268" s="327"/>
      <c r="Z268" s="327"/>
      <c r="AA268" s="327"/>
      <c r="AB268" s="327"/>
      <c r="AC268" s="327"/>
      <c r="AD268" s="327"/>
      <c r="AE268" s="327"/>
      <c r="AF268" s="327"/>
      <c r="AG268" s="327"/>
      <c r="AH268" s="327"/>
      <c r="AI268" s="327"/>
      <c r="AJ268" s="327"/>
      <c r="AK268" s="327"/>
      <c r="AL268" s="327"/>
      <c r="AM268" s="327"/>
    </row>
    <row r="269" spans="1:39">
      <c r="A269" s="69"/>
      <c r="B269" s="69"/>
      <c r="C269" s="327"/>
      <c r="D269" s="327"/>
      <c r="E269" s="327"/>
      <c r="F269" s="327"/>
      <c r="G269" s="327"/>
      <c r="H269" s="327"/>
      <c r="I269" s="327"/>
      <c r="J269" s="327"/>
      <c r="K269" s="327"/>
      <c r="L269" s="327"/>
      <c r="M269" s="327"/>
      <c r="N269" s="327"/>
      <c r="O269" s="327"/>
      <c r="P269" s="327"/>
      <c r="Q269" s="327"/>
      <c r="R269" s="327"/>
      <c r="S269" s="327"/>
      <c r="T269" s="327"/>
      <c r="U269" s="327"/>
      <c r="V269" s="327"/>
      <c r="W269" s="327"/>
      <c r="X269" s="327"/>
      <c r="Y269" s="327"/>
      <c r="Z269" s="327"/>
      <c r="AA269" s="327"/>
      <c r="AB269" s="327"/>
      <c r="AC269" s="327"/>
      <c r="AD269" s="327"/>
      <c r="AE269" s="327"/>
      <c r="AF269" s="327"/>
      <c r="AG269" s="327"/>
      <c r="AH269" s="327"/>
      <c r="AI269" s="327"/>
      <c r="AJ269" s="327"/>
      <c r="AK269" s="327"/>
      <c r="AL269" s="327"/>
      <c r="AM269" s="327"/>
    </row>
    <row r="270" spans="1:39">
      <c r="A270" s="69"/>
      <c r="B270" s="69"/>
      <c r="C270" s="327"/>
      <c r="D270" s="327"/>
      <c r="E270" s="327"/>
      <c r="F270" s="327"/>
      <c r="G270" s="327"/>
      <c r="H270" s="327"/>
      <c r="I270" s="327"/>
      <c r="J270" s="327"/>
      <c r="K270" s="327"/>
      <c r="L270" s="327"/>
      <c r="M270" s="327"/>
      <c r="N270" s="327"/>
      <c r="O270" s="327"/>
      <c r="P270" s="327"/>
      <c r="Q270" s="327"/>
      <c r="R270" s="327"/>
      <c r="S270" s="327"/>
      <c r="T270" s="327"/>
      <c r="U270" s="327"/>
      <c r="V270" s="327"/>
      <c r="W270" s="327"/>
      <c r="X270" s="327"/>
      <c r="Y270" s="327"/>
      <c r="Z270" s="327"/>
      <c r="AA270" s="327"/>
      <c r="AB270" s="327"/>
      <c r="AC270" s="327"/>
      <c r="AD270" s="327"/>
      <c r="AE270" s="327"/>
      <c r="AF270" s="327"/>
      <c r="AG270" s="327"/>
      <c r="AH270" s="327"/>
      <c r="AI270" s="327"/>
      <c r="AJ270" s="327"/>
      <c r="AK270" s="327"/>
      <c r="AL270" s="327"/>
      <c r="AM270" s="327"/>
    </row>
    <row r="271" spans="1:39">
      <c r="A271" s="69"/>
      <c r="B271" s="69"/>
      <c r="C271" s="327"/>
      <c r="D271" s="327"/>
      <c r="E271" s="327"/>
      <c r="F271" s="327"/>
      <c r="G271" s="327"/>
      <c r="H271" s="327"/>
      <c r="I271" s="327"/>
      <c r="J271" s="327"/>
      <c r="K271" s="327"/>
      <c r="L271" s="327"/>
      <c r="M271" s="327"/>
      <c r="N271" s="327"/>
      <c r="O271" s="327"/>
      <c r="P271" s="327"/>
      <c r="Q271" s="327"/>
      <c r="R271" s="327"/>
      <c r="S271" s="327"/>
      <c r="T271" s="327"/>
      <c r="U271" s="327"/>
      <c r="V271" s="327"/>
      <c r="W271" s="327"/>
      <c r="X271" s="327"/>
      <c r="Y271" s="327"/>
      <c r="Z271" s="327"/>
      <c r="AA271" s="327"/>
      <c r="AB271" s="327"/>
      <c r="AC271" s="327"/>
      <c r="AD271" s="327"/>
      <c r="AE271" s="327"/>
      <c r="AF271" s="327"/>
      <c r="AG271" s="327"/>
      <c r="AH271" s="327"/>
      <c r="AI271" s="327"/>
      <c r="AJ271" s="327"/>
      <c r="AK271" s="327"/>
      <c r="AL271" s="327"/>
      <c r="AM271" s="327"/>
    </row>
    <row r="272" spans="1:39">
      <c r="A272" s="69"/>
      <c r="B272" s="69"/>
      <c r="C272" s="327"/>
      <c r="D272" s="327"/>
      <c r="E272" s="327"/>
      <c r="F272" s="327"/>
      <c r="G272" s="327"/>
      <c r="H272" s="327"/>
      <c r="I272" s="327"/>
      <c r="J272" s="327"/>
      <c r="K272" s="327"/>
      <c r="L272" s="327"/>
      <c r="M272" s="327"/>
      <c r="N272" s="327"/>
      <c r="O272" s="327"/>
      <c r="P272" s="327"/>
      <c r="Q272" s="327"/>
      <c r="R272" s="327"/>
      <c r="S272" s="327"/>
      <c r="T272" s="327"/>
      <c r="U272" s="327"/>
      <c r="V272" s="327"/>
      <c r="W272" s="327"/>
      <c r="X272" s="327"/>
      <c r="Y272" s="327"/>
      <c r="Z272" s="327"/>
      <c r="AA272" s="327"/>
      <c r="AB272" s="327"/>
      <c r="AC272" s="327"/>
      <c r="AD272" s="327"/>
      <c r="AE272" s="327"/>
      <c r="AF272" s="327"/>
      <c r="AG272" s="327"/>
      <c r="AH272" s="327"/>
      <c r="AI272" s="327"/>
      <c r="AJ272" s="327"/>
      <c r="AK272" s="327"/>
      <c r="AL272" s="327"/>
      <c r="AM272" s="327"/>
    </row>
    <row r="273" spans="1:39">
      <c r="A273" s="69"/>
      <c r="B273" s="69"/>
      <c r="C273" s="327"/>
      <c r="D273" s="327"/>
      <c r="E273" s="327"/>
      <c r="F273" s="327"/>
      <c r="G273" s="327"/>
      <c r="H273" s="327"/>
      <c r="I273" s="327"/>
      <c r="J273" s="327"/>
      <c r="K273" s="327"/>
      <c r="L273" s="327"/>
      <c r="M273" s="327"/>
      <c r="N273" s="327"/>
      <c r="O273" s="327"/>
      <c r="P273" s="327"/>
      <c r="Q273" s="327"/>
      <c r="R273" s="327"/>
      <c r="S273" s="327"/>
      <c r="T273" s="327"/>
      <c r="U273" s="327"/>
      <c r="V273" s="327"/>
      <c r="W273" s="327"/>
      <c r="X273" s="327"/>
      <c r="Y273" s="327"/>
      <c r="Z273" s="327"/>
      <c r="AA273" s="327"/>
      <c r="AB273" s="327"/>
      <c r="AC273" s="327"/>
      <c r="AD273" s="327"/>
      <c r="AE273" s="327"/>
      <c r="AF273" s="327"/>
      <c r="AG273" s="327"/>
      <c r="AH273" s="327"/>
      <c r="AI273" s="327"/>
      <c r="AJ273" s="327"/>
      <c r="AK273" s="327"/>
      <c r="AL273" s="327"/>
      <c r="AM273" s="327"/>
    </row>
    <row r="274" spans="1:39">
      <c r="A274" s="69"/>
      <c r="B274" s="69"/>
      <c r="C274" s="327"/>
      <c r="D274" s="327"/>
      <c r="E274" s="327"/>
      <c r="F274" s="327"/>
      <c r="G274" s="327"/>
      <c r="H274" s="327"/>
      <c r="I274" s="327"/>
      <c r="J274" s="327"/>
      <c r="K274" s="327"/>
      <c r="L274" s="327"/>
      <c r="M274" s="327"/>
      <c r="N274" s="327"/>
      <c r="O274" s="327"/>
      <c r="P274" s="327"/>
      <c r="Q274" s="327"/>
      <c r="R274" s="327"/>
      <c r="S274" s="327"/>
      <c r="T274" s="327"/>
      <c r="U274" s="327"/>
      <c r="V274" s="327"/>
      <c r="W274" s="327"/>
      <c r="X274" s="327"/>
      <c r="Y274" s="327"/>
      <c r="Z274" s="327"/>
      <c r="AA274" s="327"/>
      <c r="AB274" s="327"/>
      <c r="AC274" s="327"/>
      <c r="AD274" s="327"/>
      <c r="AE274" s="327"/>
      <c r="AF274" s="327"/>
      <c r="AG274" s="327"/>
      <c r="AH274" s="327"/>
      <c r="AI274" s="327"/>
      <c r="AJ274" s="327"/>
      <c r="AK274" s="327"/>
      <c r="AL274" s="327"/>
      <c r="AM274" s="327"/>
    </row>
    <row r="275" spans="1:39">
      <c r="A275" s="69"/>
      <c r="B275" s="69"/>
      <c r="C275" s="327"/>
      <c r="D275" s="327"/>
      <c r="E275" s="327"/>
      <c r="F275" s="327"/>
      <c r="G275" s="327"/>
      <c r="H275" s="327"/>
      <c r="I275" s="327"/>
      <c r="J275" s="327"/>
      <c r="K275" s="327"/>
      <c r="L275" s="327"/>
      <c r="M275" s="327"/>
      <c r="N275" s="327"/>
      <c r="O275" s="327"/>
      <c r="P275" s="327"/>
      <c r="Q275" s="327"/>
      <c r="R275" s="327"/>
      <c r="S275" s="327"/>
      <c r="T275" s="327"/>
      <c r="U275" s="327"/>
      <c r="V275" s="327"/>
      <c r="W275" s="327"/>
      <c r="X275" s="327"/>
      <c r="Y275" s="327"/>
      <c r="Z275" s="327"/>
      <c r="AA275" s="327"/>
      <c r="AB275" s="327"/>
      <c r="AC275" s="327"/>
      <c r="AD275" s="327"/>
      <c r="AE275" s="327"/>
      <c r="AF275" s="327"/>
      <c r="AG275" s="327"/>
      <c r="AH275" s="327"/>
      <c r="AI275" s="327"/>
      <c r="AJ275" s="327"/>
      <c r="AK275" s="327"/>
      <c r="AL275" s="327"/>
      <c r="AM275" s="327"/>
    </row>
    <row r="276" spans="1:39">
      <c r="A276" s="69"/>
      <c r="B276" s="69"/>
      <c r="C276" s="327"/>
      <c r="D276" s="327"/>
      <c r="E276" s="327"/>
      <c r="F276" s="327"/>
      <c r="G276" s="327"/>
      <c r="H276" s="327"/>
      <c r="I276" s="327"/>
      <c r="J276" s="327"/>
      <c r="K276" s="327"/>
      <c r="L276" s="327"/>
      <c r="M276" s="327"/>
      <c r="N276" s="327"/>
      <c r="O276" s="327"/>
      <c r="P276" s="327"/>
      <c r="Q276" s="327"/>
      <c r="R276" s="327"/>
      <c r="S276" s="327"/>
      <c r="T276" s="327"/>
      <c r="U276" s="327"/>
      <c r="V276" s="327"/>
      <c r="W276" s="327"/>
      <c r="X276" s="327"/>
      <c r="Y276" s="327"/>
      <c r="Z276" s="327"/>
      <c r="AA276" s="327"/>
      <c r="AB276" s="327"/>
      <c r="AC276" s="327"/>
      <c r="AD276" s="327"/>
      <c r="AE276" s="327"/>
      <c r="AF276" s="327"/>
      <c r="AG276" s="327"/>
      <c r="AH276" s="327"/>
      <c r="AI276" s="327"/>
      <c r="AJ276" s="327"/>
      <c r="AK276" s="327"/>
      <c r="AL276" s="327"/>
      <c r="AM276" s="327"/>
    </row>
    <row r="277" spans="1:39">
      <c r="A277" s="69"/>
      <c r="B277" s="69"/>
      <c r="C277" s="327"/>
      <c r="D277" s="327"/>
      <c r="E277" s="327"/>
      <c r="F277" s="327"/>
      <c r="G277" s="327"/>
      <c r="H277" s="327"/>
      <c r="I277" s="327"/>
      <c r="J277" s="327"/>
      <c r="K277" s="327"/>
      <c r="L277" s="327"/>
      <c r="M277" s="327"/>
      <c r="N277" s="327"/>
      <c r="O277" s="327"/>
      <c r="P277" s="327"/>
      <c r="Q277" s="327"/>
      <c r="R277" s="327"/>
      <c r="S277" s="327"/>
      <c r="T277" s="327"/>
      <c r="U277" s="327"/>
      <c r="V277" s="327"/>
      <c r="W277" s="327"/>
      <c r="X277" s="327"/>
      <c r="Y277" s="327"/>
      <c r="Z277" s="327"/>
      <c r="AA277" s="327"/>
      <c r="AB277" s="327"/>
      <c r="AC277" s="327"/>
      <c r="AD277" s="327"/>
      <c r="AE277" s="327"/>
      <c r="AF277" s="327"/>
      <c r="AG277" s="327"/>
      <c r="AH277" s="327"/>
      <c r="AI277" s="327"/>
      <c r="AJ277" s="327"/>
      <c r="AK277" s="327"/>
      <c r="AL277" s="327"/>
      <c r="AM277" s="327"/>
    </row>
    <row r="278" spans="1:39">
      <c r="A278" s="69"/>
      <c r="B278" s="69"/>
      <c r="C278" s="327"/>
      <c r="D278" s="327"/>
      <c r="E278" s="327"/>
      <c r="F278" s="327"/>
      <c r="G278" s="327"/>
      <c r="H278" s="327"/>
      <c r="I278" s="327"/>
      <c r="J278" s="327"/>
      <c r="K278" s="327"/>
      <c r="L278" s="327"/>
      <c r="M278" s="327"/>
      <c r="N278" s="327"/>
      <c r="O278" s="327"/>
      <c r="P278" s="327"/>
      <c r="Q278" s="327"/>
      <c r="R278" s="327"/>
      <c r="S278" s="327"/>
      <c r="T278" s="327"/>
      <c r="U278" s="327"/>
      <c r="V278" s="327"/>
      <c r="W278" s="327"/>
      <c r="X278" s="327"/>
      <c r="Y278" s="327"/>
      <c r="Z278" s="327"/>
      <c r="AA278" s="327"/>
      <c r="AB278" s="327"/>
      <c r="AC278" s="327"/>
      <c r="AD278" s="327"/>
      <c r="AE278" s="327"/>
      <c r="AF278" s="327"/>
      <c r="AG278" s="327"/>
      <c r="AH278" s="327"/>
      <c r="AI278" s="327"/>
      <c r="AJ278" s="327"/>
      <c r="AK278" s="327"/>
      <c r="AL278" s="327"/>
      <c r="AM278" s="327"/>
    </row>
    <row r="279" spans="1:39">
      <c r="A279" s="69"/>
      <c r="B279" s="69"/>
      <c r="C279" s="327"/>
      <c r="D279" s="327"/>
      <c r="E279" s="327"/>
      <c r="F279" s="327"/>
      <c r="G279" s="327"/>
      <c r="H279" s="327"/>
      <c r="I279" s="327"/>
      <c r="J279" s="327"/>
      <c r="K279" s="327"/>
      <c r="L279" s="327"/>
      <c r="M279" s="327"/>
      <c r="N279" s="327"/>
      <c r="O279" s="327"/>
      <c r="P279" s="327"/>
      <c r="Q279" s="327"/>
      <c r="R279" s="327"/>
      <c r="S279" s="327"/>
      <c r="T279" s="327"/>
      <c r="U279" s="327"/>
      <c r="V279" s="327"/>
      <c r="W279" s="327"/>
      <c r="X279" s="327"/>
      <c r="Y279" s="327"/>
      <c r="Z279" s="327"/>
      <c r="AA279" s="327"/>
      <c r="AB279" s="327"/>
      <c r="AC279" s="327"/>
      <c r="AD279" s="327"/>
      <c r="AE279" s="327"/>
      <c r="AF279" s="327"/>
      <c r="AG279" s="327"/>
      <c r="AH279" s="327"/>
      <c r="AI279" s="327"/>
      <c r="AJ279" s="327"/>
      <c r="AK279" s="327"/>
      <c r="AL279" s="327"/>
      <c r="AM279" s="327"/>
    </row>
    <row r="280" spans="1:39">
      <c r="A280" s="69"/>
      <c r="B280" s="69"/>
      <c r="C280" s="327"/>
      <c r="D280" s="327"/>
      <c r="E280" s="327"/>
      <c r="F280" s="327"/>
      <c r="G280" s="327"/>
      <c r="H280" s="327"/>
      <c r="I280" s="327"/>
      <c r="J280" s="327"/>
      <c r="K280" s="327"/>
      <c r="L280" s="327"/>
      <c r="M280" s="327"/>
      <c r="N280" s="327"/>
      <c r="O280" s="327"/>
      <c r="P280" s="327"/>
      <c r="Q280" s="327"/>
      <c r="R280" s="327"/>
      <c r="S280" s="327"/>
      <c r="T280" s="327"/>
      <c r="U280" s="327"/>
      <c r="V280" s="327"/>
      <c r="W280" s="327"/>
      <c r="X280" s="327"/>
      <c r="Y280" s="327"/>
      <c r="Z280" s="327"/>
      <c r="AA280" s="327"/>
      <c r="AB280" s="327"/>
      <c r="AC280" s="327"/>
      <c r="AD280" s="327"/>
      <c r="AE280" s="327"/>
      <c r="AF280" s="327"/>
      <c r="AG280" s="327"/>
      <c r="AH280" s="327"/>
      <c r="AI280" s="327"/>
      <c r="AJ280" s="327"/>
      <c r="AK280" s="327"/>
      <c r="AL280" s="327"/>
      <c r="AM280" s="327"/>
    </row>
    <row r="281" spans="1:39">
      <c r="A281" s="69"/>
      <c r="B281" s="69"/>
      <c r="C281" s="327"/>
      <c r="D281" s="327"/>
      <c r="E281" s="327"/>
      <c r="F281" s="327"/>
      <c r="G281" s="327"/>
      <c r="H281" s="327"/>
      <c r="I281" s="327"/>
      <c r="J281" s="327"/>
      <c r="K281" s="327"/>
      <c r="L281" s="327"/>
      <c r="M281" s="327"/>
      <c r="N281" s="327"/>
      <c r="O281" s="327"/>
      <c r="P281" s="327"/>
      <c r="Q281" s="327"/>
      <c r="R281" s="327"/>
      <c r="S281" s="327"/>
      <c r="T281" s="327"/>
      <c r="U281" s="327"/>
      <c r="V281" s="327"/>
      <c r="W281" s="327"/>
      <c r="X281" s="327"/>
      <c r="Y281" s="327"/>
      <c r="Z281" s="327"/>
      <c r="AA281" s="327"/>
      <c r="AB281" s="327"/>
      <c r="AC281" s="327"/>
      <c r="AD281" s="327"/>
      <c r="AE281" s="327"/>
      <c r="AF281" s="327"/>
      <c r="AG281" s="327"/>
      <c r="AH281" s="327"/>
      <c r="AI281" s="327"/>
      <c r="AJ281" s="327"/>
      <c r="AK281" s="327"/>
      <c r="AL281" s="327"/>
      <c r="AM281" s="327"/>
    </row>
    <row r="282" spans="1:39">
      <c r="A282" s="69"/>
      <c r="B282" s="69"/>
      <c r="C282" s="327"/>
      <c r="D282" s="327"/>
      <c r="E282" s="327"/>
      <c r="F282" s="327"/>
      <c r="G282" s="327"/>
      <c r="H282" s="327"/>
      <c r="I282" s="327"/>
      <c r="J282" s="327"/>
      <c r="K282" s="327"/>
      <c r="L282" s="327"/>
      <c r="M282" s="327"/>
      <c r="N282" s="327"/>
      <c r="O282" s="327"/>
      <c r="P282" s="327"/>
      <c r="Q282" s="327"/>
      <c r="R282" s="327"/>
      <c r="S282" s="327"/>
      <c r="T282" s="327"/>
      <c r="U282" s="327"/>
      <c r="V282" s="327"/>
      <c r="W282" s="327"/>
      <c r="X282" s="327"/>
      <c r="Y282" s="327"/>
      <c r="Z282" s="327"/>
      <c r="AA282" s="327"/>
      <c r="AB282" s="327"/>
      <c r="AC282" s="327"/>
      <c r="AD282" s="327"/>
      <c r="AE282" s="327"/>
      <c r="AF282" s="327"/>
      <c r="AG282" s="327"/>
      <c r="AH282" s="327"/>
      <c r="AI282" s="327"/>
      <c r="AJ282" s="327"/>
      <c r="AK282" s="327"/>
      <c r="AL282" s="327"/>
      <c r="AM282" s="327"/>
    </row>
    <row r="283" spans="1:39">
      <c r="A283" s="69"/>
      <c r="B283" s="69"/>
      <c r="C283" s="327"/>
      <c r="D283" s="327"/>
      <c r="E283" s="327"/>
      <c r="F283" s="327"/>
      <c r="G283" s="327"/>
      <c r="H283" s="327"/>
      <c r="I283" s="327"/>
      <c r="J283" s="327"/>
      <c r="K283" s="327"/>
      <c r="L283" s="327"/>
      <c r="M283" s="327"/>
      <c r="N283" s="327"/>
      <c r="O283" s="327"/>
      <c r="P283" s="327"/>
      <c r="Q283" s="327"/>
      <c r="R283" s="327"/>
      <c r="S283" s="327"/>
      <c r="T283" s="327"/>
      <c r="U283" s="327"/>
      <c r="V283" s="327"/>
      <c r="W283" s="327"/>
      <c r="X283" s="327"/>
      <c r="Y283" s="327"/>
      <c r="Z283" s="327"/>
      <c r="AA283" s="327"/>
      <c r="AB283" s="327"/>
      <c r="AC283" s="327"/>
      <c r="AD283" s="327"/>
      <c r="AE283" s="327"/>
      <c r="AF283" s="327"/>
      <c r="AG283" s="327"/>
      <c r="AH283" s="327"/>
      <c r="AI283" s="327"/>
      <c r="AJ283" s="327"/>
      <c r="AK283" s="327"/>
      <c r="AL283" s="327"/>
      <c r="AM283" s="327"/>
    </row>
    <row r="284" spans="1:39">
      <c r="A284" s="69"/>
      <c r="B284" s="69"/>
      <c r="C284" s="327"/>
      <c r="D284" s="327"/>
      <c r="E284" s="327"/>
      <c r="F284" s="327"/>
      <c r="G284" s="327"/>
      <c r="H284" s="327"/>
      <c r="I284" s="327"/>
      <c r="J284" s="327"/>
      <c r="K284" s="327"/>
      <c r="L284" s="327"/>
      <c r="M284" s="327"/>
      <c r="N284" s="327"/>
      <c r="O284" s="327"/>
      <c r="P284" s="327"/>
      <c r="Q284" s="327"/>
      <c r="R284" s="327"/>
      <c r="S284" s="327"/>
      <c r="T284" s="327"/>
      <c r="U284" s="327"/>
      <c r="V284" s="327"/>
      <c r="W284" s="327"/>
      <c r="X284" s="327"/>
      <c r="Y284" s="327"/>
      <c r="Z284" s="327"/>
      <c r="AA284" s="327"/>
      <c r="AB284" s="327"/>
      <c r="AC284" s="327"/>
      <c r="AD284" s="327"/>
      <c r="AE284" s="327"/>
      <c r="AF284" s="327"/>
      <c r="AG284" s="327"/>
      <c r="AH284" s="327"/>
      <c r="AI284" s="327"/>
      <c r="AJ284" s="327"/>
      <c r="AK284" s="327"/>
      <c r="AL284" s="327"/>
      <c r="AM284" s="327"/>
    </row>
    <row r="285" spans="1:39">
      <c r="A285" s="69"/>
      <c r="B285" s="69"/>
      <c r="C285" s="327"/>
      <c r="D285" s="327"/>
      <c r="E285" s="327"/>
      <c r="F285" s="327"/>
      <c r="G285" s="327"/>
      <c r="H285" s="327"/>
      <c r="I285" s="327"/>
      <c r="J285" s="327"/>
      <c r="K285" s="327"/>
      <c r="L285" s="327"/>
      <c r="M285" s="327"/>
      <c r="N285" s="327"/>
      <c r="O285" s="327"/>
      <c r="P285" s="327"/>
      <c r="Q285" s="327"/>
      <c r="R285" s="327"/>
      <c r="S285" s="327"/>
      <c r="T285" s="327"/>
      <c r="U285" s="327"/>
      <c r="V285" s="327"/>
      <c r="W285" s="327"/>
      <c r="X285" s="327"/>
      <c r="Y285" s="327"/>
      <c r="Z285" s="327"/>
      <c r="AA285" s="327"/>
      <c r="AB285" s="327"/>
      <c r="AC285" s="327"/>
      <c r="AD285" s="327"/>
      <c r="AE285" s="327"/>
      <c r="AF285" s="327"/>
      <c r="AG285" s="327"/>
      <c r="AH285" s="327"/>
      <c r="AI285" s="327"/>
      <c r="AJ285" s="327"/>
      <c r="AK285" s="327"/>
      <c r="AL285" s="327"/>
      <c r="AM285" s="327"/>
    </row>
    <row r="286" spans="1:39">
      <c r="A286" s="69"/>
      <c r="B286" s="69"/>
      <c r="C286" s="327"/>
      <c r="D286" s="327"/>
      <c r="E286" s="327"/>
      <c r="F286" s="327"/>
      <c r="G286" s="327"/>
      <c r="H286" s="327"/>
      <c r="I286" s="327"/>
      <c r="J286" s="327"/>
      <c r="K286" s="327"/>
      <c r="L286" s="327"/>
      <c r="M286" s="327"/>
      <c r="N286" s="327"/>
      <c r="O286" s="327"/>
      <c r="P286" s="327"/>
      <c r="Q286" s="327"/>
      <c r="R286" s="327"/>
      <c r="S286" s="327"/>
      <c r="T286" s="327"/>
      <c r="U286" s="327"/>
      <c r="V286" s="327"/>
      <c r="W286" s="327"/>
      <c r="X286" s="327"/>
      <c r="Y286" s="327"/>
      <c r="Z286" s="327"/>
      <c r="AA286" s="327"/>
      <c r="AB286" s="327"/>
      <c r="AC286" s="327"/>
      <c r="AD286" s="327"/>
      <c r="AE286" s="327"/>
      <c r="AF286" s="327"/>
      <c r="AG286" s="327"/>
      <c r="AH286" s="327"/>
      <c r="AI286" s="327"/>
      <c r="AJ286" s="327"/>
      <c r="AK286" s="327"/>
      <c r="AL286" s="327"/>
      <c r="AM286" s="327"/>
    </row>
    <row r="287" spans="1:39">
      <c r="A287" s="69"/>
      <c r="B287" s="69"/>
      <c r="C287" s="327"/>
      <c r="D287" s="327"/>
      <c r="E287" s="327"/>
      <c r="F287" s="327"/>
      <c r="G287" s="327"/>
      <c r="H287" s="327"/>
      <c r="I287" s="327"/>
      <c r="J287" s="327"/>
      <c r="K287" s="327"/>
      <c r="L287" s="327"/>
      <c r="M287" s="327"/>
      <c r="N287" s="327"/>
      <c r="O287" s="327"/>
      <c r="P287" s="327"/>
      <c r="Q287" s="327"/>
      <c r="R287" s="327"/>
      <c r="S287" s="327"/>
      <c r="T287" s="327"/>
      <c r="U287" s="327"/>
      <c r="V287" s="327"/>
      <c r="W287" s="327"/>
      <c r="X287" s="327"/>
      <c r="Y287" s="327"/>
      <c r="Z287" s="327"/>
      <c r="AA287" s="327"/>
      <c r="AB287" s="327"/>
      <c r="AC287" s="327"/>
      <c r="AD287" s="327"/>
      <c r="AE287" s="327"/>
      <c r="AF287" s="327"/>
      <c r="AG287" s="327"/>
      <c r="AH287" s="327"/>
      <c r="AI287" s="327"/>
      <c r="AJ287" s="327"/>
      <c r="AK287" s="327"/>
      <c r="AL287" s="327"/>
      <c r="AM287" s="327"/>
    </row>
    <row r="288" spans="1:39">
      <c r="A288" s="69"/>
      <c r="B288" s="69"/>
      <c r="C288" s="327"/>
      <c r="D288" s="327"/>
      <c r="E288" s="327"/>
      <c r="F288" s="327"/>
      <c r="G288" s="327"/>
      <c r="H288" s="327"/>
      <c r="I288" s="327"/>
      <c r="J288" s="327"/>
      <c r="K288" s="327"/>
      <c r="L288" s="327"/>
      <c r="M288" s="327"/>
      <c r="N288" s="327"/>
      <c r="O288" s="327"/>
      <c r="P288" s="327"/>
      <c r="Q288" s="327"/>
      <c r="R288" s="327"/>
      <c r="S288" s="327"/>
      <c r="T288" s="327"/>
      <c r="U288" s="327"/>
      <c r="V288" s="327"/>
      <c r="W288" s="327"/>
      <c r="X288" s="327"/>
      <c r="Y288" s="327"/>
      <c r="Z288" s="327"/>
      <c r="AA288" s="327"/>
      <c r="AB288" s="327"/>
      <c r="AC288" s="327"/>
      <c r="AD288" s="327"/>
      <c r="AE288" s="327"/>
      <c r="AF288" s="327"/>
      <c r="AG288" s="327"/>
      <c r="AH288" s="327"/>
      <c r="AI288" s="327"/>
      <c r="AJ288" s="327"/>
      <c r="AK288" s="327"/>
      <c r="AL288" s="327"/>
      <c r="AM288" s="327"/>
    </row>
    <row r="289" spans="1:39">
      <c r="A289" s="69"/>
      <c r="B289" s="69"/>
      <c r="C289" s="327"/>
      <c r="D289" s="327"/>
      <c r="E289" s="327"/>
      <c r="F289" s="327"/>
      <c r="G289" s="327"/>
      <c r="H289" s="327"/>
      <c r="I289" s="327"/>
      <c r="J289" s="327"/>
      <c r="K289" s="327"/>
      <c r="L289" s="327"/>
      <c r="M289" s="327"/>
      <c r="N289" s="327"/>
      <c r="O289" s="327"/>
      <c r="P289" s="327"/>
      <c r="Q289" s="327"/>
      <c r="R289" s="327"/>
      <c r="S289" s="327"/>
      <c r="T289" s="327"/>
      <c r="U289" s="327"/>
      <c r="V289" s="327"/>
      <c r="W289" s="327"/>
      <c r="X289" s="327"/>
      <c r="Y289" s="327"/>
      <c r="Z289" s="327"/>
      <c r="AA289" s="327"/>
      <c r="AB289" s="327"/>
      <c r="AC289" s="327"/>
      <c r="AD289" s="327"/>
      <c r="AE289" s="327"/>
      <c r="AF289" s="327"/>
      <c r="AG289" s="327"/>
      <c r="AH289" s="327"/>
      <c r="AI289" s="327"/>
      <c r="AJ289" s="327"/>
      <c r="AK289" s="327"/>
      <c r="AL289" s="327"/>
      <c r="AM289" s="327"/>
    </row>
    <row r="290" spans="1:39">
      <c r="A290" s="69"/>
      <c r="B290" s="69"/>
      <c r="C290" s="327"/>
      <c r="D290" s="327"/>
      <c r="E290" s="327"/>
      <c r="F290" s="327"/>
      <c r="G290" s="327"/>
      <c r="H290" s="327"/>
      <c r="I290" s="327"/>
      <c r="J290" s="327"/>
      <c r="K290" s="327"/>
      <c r="L290" s="327"/>
      <c r="M290" s="327"/>
      <c r="N290" s="327"/>
      <c r="O290" s="327"/>
      <c r="P290" s="327"/>
      <c r="Q290" s="327"/>
      <c r="R290" s="327"/>
      <c r="S290" s="327"/>
      <c r="T290" s="327"/>
      <c r="U290" s="327"/>
      <c r="V290" s="327"/>
      <c r="W290" s="327"/>
      <c r="X290" s="327"/>
      <c r="Y290" s="327"/>
      <c r="Z290" s="327"/>
      <c r="AA290" s="327"/>
      <c r="AB290" s="327"/>
      <c r="AC290" s="327"/>
      <c r="AD290" s="327"/>
      <c r="AE290" s="327"/>
      <c r="AF290" s="327"/>
      <c r="AG290" s="327"/>
      <c r="AH290" s="327"/>
      <c r="AI290" s="327"/>
      <c r="AJ290" s="327"/>
      <c r="AK290" s="327"/>
      <c r="AL290" s="327"/>
      <c r="AM290" s="327"/>
    </row>
    <row r="291" spans="1:39">
      <c r="A291" s="69"/>
      <c r="B291" s="69"/>
      <c r="C291" s="327"/>
      <c r="D291" s="327"/>
      <c r="E291" s="327"/>
      <c r="F291" s="327"/>
      <c r="G291" s="327"/>
      <c r="H291" s="327"/>
      <c r="I291" s="327"/>
      <c r="J291" s="327"/>
      <c r="K291" s="327"/>
      <c r="L291" s="327"/>
      <c r="M291" s="327"/>
      <c r="N291" s="327"/>
      <c r="O291" s="327"/>
      <c r="P291" s="327"/>
      <c r="Q291" s="327"/>
      <c r="R291" s="327"/>
      <c r="S291" s="327"/>
      <c r="T291" s="327"/>
      <c r="U291" s="327"/>
      <c r="V291" s="327"/>
      <c r="W291" s="327"/>
      <c r="X291" s="327"/>
      <c r="Y291" s="327"/>
      <c r="Z291" s="327"/>
      <c r="AA291" s="327"/>
      <c r="AB291" s="327"/>
      <c r="AC291" s="327"/>
      <c r="AD291" s="327"/>
      <c r="AE291" s="327"/>
      <c r="AF291" s="327"/>
      <c r="AG291" s="327"/>
      <c r="AH291" s="327"/>
      <c r="AI291" s="327"/>
      <c r="AJ291" s="327"/>
      <c r="AK291" s="327"/>
      <c r="AL291" s="327"/>
      <c r="AM291" s="327"/>
    </row>
    <row r="292" spans="1:39">
      <c r="A292" s="69"/>
      <c r="B292" s="69"/>
      <c r="C292" s="327"/>
      <c r="D292" s="327"/>
      <c r="E292" s="327"/>
      <c r="F292" s="327"/>
      <c r="G292" s="327"/>
      <c r="H292" s="327"/>
      <c r="I292" s="327"/>
      <c r="J292" s="327"/>
      <c r="K292" s="327"/>
      <c r="L292" s="327"/>
      <c r="M292" s="327"/>
      <c r="N292" s="327"/>
      <c r="O292" s="327"/>
      <c r="P292" s="327"/>
      <c r="Q292" s="327"/>
      <c r="R292" s="327"/>
      <c r="S292" s="327"/>
      <c r="T292" s="327"/>
      <c r="U292" s="327"/>
      <c r="V292" s="327"/>
      <c r="W292" s="327"/>
      <c r="X292" s="327"/>
      <c r="Y292" s="327"/>
      <c r="Z292" s="327"/>
      <c r="AA292" s="327"/>
      <c r="AB292" s="327"/>
      <c r="AC292" s="327"/>
      <c r="AD292" s="327"/>
      <c r="AE292" s="327"/>
      <c r="AF292" s="327"/>
      <c r="AG292" s="327"/>
      <c r="AH292" s="327"/>
      <c r="AI292" s="327"/>
      <c r="AJ292" s="327"/>
      <c r="AK292" s="327"/>
      <c r="AL292" s="327"/>
      <c r="AM292" s="327"/>
    </row>
    <row r="293" spans="1:39">
      <c r="A293" s="69"/>
      <c r="B293" s="69"/>
      <c r="C293" s="327"/>
      <c r="D293" s="327"/>
      <c r="E293" s="327"/>
      <c r="F293" s="327"/>
      <c r="G293" s="327"/>
      <c r="H293" s="327"/>
      <c r="I293" s="327"/>
      <c r="J293" s="327"/>
      <c r="K293" s="327"/>
      <c r="L293" s="327"/>
      <c r="M293" s="327"/>
      <c r="N293" s="327"/>
      <c r="O293" s="327"/>
      <c r="P293" s="327"/>
      <c r="Q293" s="327"/>
      <c r="R293" s="327"/>
      <c r="S293" s="327"/>
      <c r="T293" s="327"/>
      <c r="U293" s="327"/>
      <c r="V293" s="327"/>
      <c r="W293" s="327"/>
      <c r="X293" s="327"/>
      <c r="Y293" s="327"/>
      <c r="Z293" s="327"/>
      <c r="AA293" s="327"/>
      <c r="AB293" s="327"/>
      <c r="AC293" s="327"/>
      <c r="AD293" s="327"/>
      <c r="AE293" s="327"/>
      <c r="AF293" s="327"/>
      <c r="AG293" s="327"/>
      <c r="AH293" s="327"/>
      <c r="AI293" s="327"/>
      <c r="AJ293" s="327"/>
      <c r="AK293" s="327"/>
      <c r="AL293" s="327"/>
      <c r="AM293" s="327"/>
    </row>
    <row r="294" spans="1:39">
      <c r="A294" s="69"/>
      <c r="B294" s="69"/>
      <c r="C294" s="327"/>
      <c r="D294" s="327"/>
      <c r="E294" s="327"/>
      <c r="F294" s="327"/>
      <c r="G294" s="327"/>
      <c r="H294" s="327"/>
      <c r="I294" s="327"/>
      <c r="J294" s="327"/>
      <c r="K294" s="327"/>
      <c r="L294" s="327"/>
      <c r="M294" s="327"/>
      <c r="N294" s="327"/>
      <c r="O294" s="327"/>
      <c r="P294" s="327"/>
      <c r="Q294" s="327"/>
      <c r="R294" s="327"/>
      <c r="S294" s="327"/>
      <c r="T294" s="327"/>
      <c r="U294" s="327"/>
      <c r="V294" s="327"/>
      <c r="W294" s="327"/>
      <c r="X294" s="327"/>
      <c r="Y294" s="327"/>
      <c r="Z294" s="327"/>
      <c r="AA294" s="327"/>
      <c r="AB294" s="327"/>
      <c r="AC294" s="327"/>
      <c r="AD294" s="327"/>
      <c r="AE294" s="327"/>
      <c r="AF294" s="327"/>
      <c r="AG294" s="327"/>
      <c r="AH294" s="327"/>
      <c r="AI294" s="327"/>
      <c r="AJ294" s="327"/>
      <c r="AK294" s="327"/>
      <c r="AL294" s="327"/>
      <c r="AM294" s="327"/>
    </row>
    <row r="295" spans="1:39">
      <c r="A295" s="69"/>
      <c r="B295" s="69"/>
      <c r="C295" s="327"/>
      <c r="D295" s="327"/>
      <c r="E295" s="327"/>
      <c r="F295" s="327"/>
      <c r="G295" s="327"/>
      <c r="H295" s="327"/>
      <c r="I295" s="327"/>
      <c r="J295" s="327"/>
      <c r="K295" s="327"/>
      <c r="L295" s="327"/>
      <c r="M295" s="327"/>
      <c r="N295" s="327"/>
      <c r="O295" s="327"/>
      <c r="P295" s="327"/>
      <c r="Q295" s="327"/>
      <c r="R295" s="327"/>
      <c r="S295" s="327"/>
      <c r="T295" s="327"/>
      <c r="U295" s="327"/>
      <c r="V295" s="327"/>
      <c r="W295" s="327"/>
      <c r="X295" s="327"/>
      <c r="Y295" s="327"/>
      <c r="Z295" s="327"/>
      <c r="AA295" s="327"/>
      <c r="AB295" s="327"/>
      <c r="AC295" s="327"/>
      <c r="AD295" s="327"/>
      <c r="AE295" s="327"/>
      <c r="AF295" s="327"/>
      <c r="AG295" s="327"/>
      <c r="AH295" s="327"/>
      <c r="AI295" s="327"/>
      <c r="AJ295" s="327"/>
      <c r="AK295" s="327"/>
      <c r="AL295" s="327"/>
      <c r="AM295" s="327"/>
    </row>
    <row r="296" spans="1:39">
      <c r="A296" s="69"/>
      <c r="B296" s="69"/>
      <c r="C296" s="327"/>
      <c r="D296" s="327"/>
      <c r="E296" s="327"/>
      <c r="F296" s="327"/>
      <c r="G296" s="327"/>
      <c r="H296" s="327"/>
      <c r="I296" s="327"/>
      <c r="J296" s="327"/>
      <c r="K296" s="327"/>
      <c r="L296" s="327"/>
      <c r="M296" s="327"/>
      <c r="N296" s="327"/>
      <c r="O296" s="327"/>
      <c r="P296" s="327"/>
      <c r="Q296" s="327"/>
      <c r="R296" s="327"/>
      <c r="S296" s="327"/>
      <c r="T296" s="327"/>
      <c r="U296" s="327"/>
      <c r="V296" s="327"/>
      <c r="W296" s="327"/>
      <c r="X296" s="327"/>
      <c r="Y296" s="327"/>
      <c r="Z296" s="327"/>
      <c r="AA296" s="327"/>
      <c r="AB296" s="327"/>
      <c r="AC296" s="327"/>
      <c r="AD296" s="327"/>
      <c r="AE296" s="327"/>
      <c r="AF296" s="327"/>
      <c r="AG296" s="327"/>
      <c r="AH296" s="327"/>
      <c r="AI296" s="327"/>
      <c r="AJ296" s="327"/>
      <c r="AK296" s="327"/>
      <c r="AL296" s="327"/>
      <c r="AM296" s="327"/>
    </row>
    <row r="297" spans="1:39">
      <c r="A297" s="69"/>
      <c r="B297" s="69"/>
      <c r="C297" s="327"/>
      <c r="D297" s="327"/>
      <c r="E297" s="327"/>
      <c r="F297" s="327"/>
      <c r="G297" s="327"/>
      <c r="H297" s="327"/>
      <c r="I297" s="327"/>
      <c r="J297" s="327"/>
      <c r="K297" s="327"/>
      <c r="L297" s="327"/>
      <c r="M297" s="327"/>
      <c r="N297" s="327"/>
      <c r="O297" s="327"/>
      <c r="P297" s="327"/>
      <c r="Q297" s="327"/>
      <c r="R297" s="327"/>
      <c r="S297" s="327"/>
      <c r="T297" s="327"/>
      <c r="U297" s="327"/>
      <c r="V297" s="327"/>
      <c r="W297" s="327"/>
      <c r="X297" s="327"/>
      <c r="Y297" s="327"/>
      <c r="Z297" s="327"/>
      <c r="AA297" s="327"/>
      <c r="AB297" s="327"/>
      <c r="AC297" s="327"/>
      <c r="AD297" s="327"/>
      <c r="AE297" s="327"/>
      <c r="AF297" s="327"/>
      <c r="AG297" s="327"/>
      <c r="AH297" s="327"/>
      <c r="AI297" s="327"/>
      <c r="AJ297" s="327"/>
      <c r="AK297" s="327"/>
      <c r="AL297" s="327"/>
      <c r="AM297" s="327"/>
    </row>
    <row r="298" spans="1:39">
      <c r="A298" s="69"/>
      <c r="B298" s="69"/>
      <c r="C298" s="327"/>
      <c r="D298" s="327"/>
      <c r="E298" s="327"/>
      <c r="F298" s="327"/>
      <c r="G298" s="327"/>
      <c r="H298" s="327"/>
      <c r="I298" s="327"/>
      <c r="J298" s="327"/>
      <c r="K298" s="327"/>
      <c r="L298" s="327"/>
      <c r="M298" s="327"/>
      <c r="N298" s="327"/>
      <c r="O298" s="327"/>
      <c r="P298" s="327"/>
      <c r="Q298" s="327"/>
      <c r="R298" s="327"/>
      <c r="S298" s="327"/>
      <c r="T298" s="327"/>
      <c r="U298" s="327"/>
      <c r="V298" s="327"/>
      <c r="W298" s="327"/>
      <c r="X298" s="327"/>
      <c r="Y298" s="327"/>
      <c r="Z298" s="327"/>
      <c r="AA298" s="327"/>
      <c r="AB298" s="327"/>
      <c r="AC298" s="327"/>
      <c r="AD298" s="327"/>
      <c r="AE298" s="327"/>
      <c r="AF298" s="327"/>
      <c r="AG298" s="327"/>
      <c r="AH298" s="327"/>
      <c r="AI298" s="327"/>
      <c r="AJ298" s="327"/>
      <c r="AK298" s="327"/>
      <c r="AL298" s="327"/>
      <c r="AM298" s="327"/>
    </row>
    <row r="299" spans="1:39">
      <c r="A299" s="69"/>
      <c r="B299" s="69"/>
      <c r="C299" s="327"/>
      <c r="D299" s="327"/>
      <c r="E299" s="327"/>
      <c r="F299" s="327"/>
      <c r="G299" s="327"/>
      <c r="H299" s="327"/>
      <c r="I299" s="327"/>
      <c r="J299" s="327"/>
      <c r="K299" s="327"/>
      <c r="L299" s="327"/>
      <c r="M299" s="327"/>
      <c r="N299" s="327"/>
      <c r="O299" s="327"/>
      <c r="P299" s="327"/>
      <c r="Q299" s="327"/>
      <c r="R299" s="327"/>
      <c r="S299" s="327"/>
      <c r="T299" s="327"/>
      <c r="U299" s="327"/>
      <c r="V299" s="327"/>
      <c r="W299" s="327"/>
      <c r="X299" s="327"/>
      <c r="Y299" s="327"/>
      <c r="Z299" s="327"/>
      <c r="AA299" s="327"/>
      <c r="AB299" s="327"/>
      <c r="AC299" s="327"/>
      <c r="AD299" s="327"/>
      <c r="AE299" s="327"/>
      <c r="AF299" s="327"/>
      <c r="AG299" s="327"/>
      <c r="AH299" s="327"/>
      <c r="AI299" s="327"/>
      <c r="AJ299" s="327"/>
      <c r="AK299" s="327"/>
      <c r="AL299" s="327"/>
      <c r="AM299" s="327"/>
    </row>
    <row r="300" spans="1:39">
      <c r="A300" s="69"/>
      <c r="B300" s="69"/>
      <c r="C300" s="327"/>
      <c r="D300" s="327"/>
      <c r="E300" s="327"/>
      <c r="F300" s="327"/>
      <c r="G300" s="327"/>
      <c r="H300" s="327"/>
      <c r="I300" s="327"/>
      <c r="J300" s="327"/>
      <c r="K300" s="327"/>
      <c r="L300" s="327"/>
      <c r="M300" s="327"/>
      <c r="N300" s="327"/>
      <c r="O300" s="327"/>
      <c r="P300" s="327"/>
      <c r="Q300" s="327"/>
      <c r="R300" s="327"/>
      <c r="S300" s="327"/>
      <c r="T300" s="327"/>
      <c r="U300" s="327"/>
      <c r="V300" s="327"/>
      <c r="W300" s="327"/>
      <c r="X300" s="327"/>
      <c r="Y300" s="327"/>
      <c r="Z300" s="327"/>
      <c r="AA300" s="327"/>
      <c r="AB300" s="327"/>
      <c r="AC300" s="327"/>
      <c r="AD300" s="327"/>
      <c r="AE300" s="327"/>
      <c r="AF300" s="327"/>
      <c r="AG300" s="327"/>
      <c r="AH300" s="327"/>
      <c r="AI300" s="327"/>
      <c r="AJ300" s="327"/>
      <c r="AK300" s="327"/>
      <c r="AL300" s="327"/>
      <c r="AM300" s="327"/>
    </row>
    <row r="301" spans="1:39">
      <c r="A301" s="69"/>
      <c r="B301" s="69"/>
      <c r="C301" s="327"/>
      <c r="D301" s="327"/>
      <c r="E301" s="327"/>
      <c r="F301" s="327"/>
      <c r="G301" s="327"/>
      <c r="H301" s="327"/>
      <c r="I301" s="327"/>
      <c r="J301" s="327"/>
      <c r="K301" s="327"/>
      <c r="L301" s="327"/>
      <c r="M301" s="327"/>
      <c r="N301" s="327"/>
      <c r="O301" s="327"/>
      <c r="P301" s="327"/>
      <c r="Q301" s="327"/>
      <c r="R301" s="327"/>
      <c r="S301" s="327"/>
      <c r="T301" s="327"/>
      <c r="U301" s="327"/>
      <c r="V301" s="327"/>
      <c r="W301" s="327"/>
      <c r="X301" s="327"/>
      <c r="Y301" s="327"/>
      <c r="Z301" s="327"/>
      <c r="AA301" s="327"/>
      <c r="AB301" s="327"/>
      <c r="AC301" s="327"/>
      <c r="AD301" s="327"/>
      <c r="AE301" s="327"/>
      <c r="AF301" s="327"/>
      <c r="AG301" s="327"/>
      <c r="AH301" s="327"/>
      <c r="AI301" s="327"/>
      <c r="AJ301" s="327"/>
      <c r="AK301" s="327"/>
      <c r="AL301" s="327"/>
      <c r="AM301" s="327"/>
    </row>
    <row r="302" spans="1:39">
      <c r="A302" s="69"/>
      <c r="B302" s="69"/>
      <c r="C302" s="327"/>
      <c r="D302" s="327"/>
      <c r="E302" s="327"/>
      <c r="F302" s="327"/>
      <c r="G302" s="327"/>
      <c r="H302" s="327"/>
      <c r="I302" s="327"/>
      <c r="J302" s="327"/>
      <c r="K302" s="327"/>
      <c r="L302" s="327"/>
      <c r="M302" s="327"/>
      <c r="N302" s="327"/>
      <c r="O302" s="327"/>
      <c r="P302" s="327"/>
      <c r="Q302" s="327"/>
      <c r="R302" s="327"/>
      <c r="S302" s="327"/>
      <c r="T302" s="327"/>
      <c r="U302" s="327"/>
      <c r="V302" s="327"/>
      <c r="W302" s="327"/>
      <c r="X302" s="327"/>
      <c r="Y302" s="327"/>
      <c r="Z302" s="327"/>
      <c r="AA302" s="327"/>
      <c r="AB302" s="327"/>
      <c r="AC302" s="327"/>
      <c r="AD302" s="327"/>
      <c r="AE302" s="327"/>
      <c r="AF302" s="327"/>
      <c r="AG302" s="327"/>
      <c r="AH302" s="327"/>
      <c r="AI302" s="327"/>
      <c r="AJ302" s="327"/>
      <c r="AK302" s="327"/>
      <c r="AL302" s="327"/>
      <c r="AM302" s="327"/>
    </row>
    <row r="303" spans="1:39">
      <c r="A303" s="69"/>
      <c r="B303" s="69"/>
      <c r="C303" s="327"/>
      <c r="D303" s="327"/>
      <c r="E303" s="327"/>
      <c r="F303" s="327"/>
      <c r="G303" s="327"/>
      <c r="H303" s="327"/>
      <c r="I303" s="327"/>
      <c r="J303" s="327"/>
      <c r="K303" s="327"/>
      <c r="L303" s="327"/>
      <c r="M303" s="327"/>
      <c r="N303" s="327"/>
      <c r="O303" s="327"/>
      <c r="P303" s="327"/>
      <c r="Q303" s="327"/>
      <c r="R303" s="327"/>
      <c r="S303" s="327"/>
      <c r="T303" s="327"/>
      <c r="U303" s="327"/>
      <c r="V303" s="327"/>
      <c r="W303" s="327"/>
      <c r="X303" s="327"/>
      <c r="Y303" s="327"/>
      <c r="Z303" s="327"/>
      <c r="AA303" s="327"/>
      <c r="AB303" s="327"/>
      <c r="AC303" s="327"/>
      <c r="AD303" s="327"/>
      <c r="AE303" s="327"/>
      <c r="AF303" s="327"/>
      <c r="AG303" s="327"/>
      <c r="AH303" s="327"/>
      <c r="AI303" s="327"/>
      <c r="AJ303" s="327"/>
      <c r="AK303" s="327"/>
      <c r="AL303" s="327"/>
      <c r="AM303" s="327"/>
    </row>
    <row r="304" spans="1:39">
      <c r="A304" s="69"/>
      <c r="B304" s="69"/>
      <c r="C304" s="327"/>
      <c r="D304" s="327"/>
      <c r="E304" s="327"/>
      <c r="F304" s="327"/>
      <c r="G304" s="327"/>
      <c r="H304" s="327"/>
      <c r="I304" s="327"/>
      <c r="J304" s="327"/>
      <c r="K304" s="327"/>
      <c r="L304" s="327"/>
      <c r="M304" s="327"/>
      <c r="N304" s="327"/>
      <c r="O304" s="327"/>
      <c r="P304" s="327"/>
      <c r="Q304" s="327"/>
      <c r="R304" s="327"/>
      <c r="S304" s="327"/>
      <c r="T304" s="327"/>
      <c r="U304" s="327"/>
      <c r="V304" s="327"/>
      <c r="W304" s="327"/>
      <c r="X304" s="327"/>
      <c r="Y304" s="327"/>
      <c r="Z304" s="327"/>
      <c r="AA304" s="327"/>
      <c r="AB304" s="327"/>
      <c r="AC304" s="327"/>
      <c r="AD304" s="327"/>
      <c r="AE304" s="327"/>
      <c r="AF304" s="327"/>
      <c r="AG304" s="327"/>
      <c r="AH304" s="327"/>
      <c r="AI304" s="327"/>
      <c r="AJ304" s="327"/>
      <c r="AK304" s="327"/>
      <c r="AL304" s="327"/>
      <c r="AM304" s="327"/>
    </row>
    <row r="305" spans="1:39">
      <c r="A305" s="69"/>
      <c r="B305" s="69"/>
      <c r="C305" s="327"/>
      <c r="D305" s="327"/>
      <c r="E305" s="327"/>
      <c r="F305" s="327"/>
      <c r="G305" s="327"/>
      <c r="H305" s="327"/>
      <c r="I305" s="327"/>
      <c r="J305" s="327"/>
      <c r="K305" s="327"/>
      <c r="L305" s="327"/>
      <c r="M305" s="327"/>
      <c r="N305" s="327"/>
      <c r="O305" s="327"/>
      <c r="P305" s="327"/>
      <c r="Q305" s="327"/>
      <c r="R305" s="327"/>
      <c r="S305" s="327"/>
      <c r="T305" s="327"/>
      <c r="U305" s="327"/>
      <c r="V305" s="327"/>
      <c r="W305" s="327"/>
      <c r="X305" s="327"/>
      <c r="Y305" s="327"/>
      <c r="Z305" s="327"/>
      <c r="AA305" s="327"/>
      <c r="AB305" s="327"/>
      <c r="AC305" s="327"/>
      <c r="AD305" s="327"/>
      <c r="AE305" s="327"/>
      <c r="AF305" s="327"/>
      <c r="AG305" s="327"/>
      <c r="AH305" s="327"/>
      <c r="AI305" s="327"/>
      <c r="AJ305" s="327"/>
      <c r="AK305" s="327"/>
      <c r="AL305" s="327"/>
      <c r="AM305" s="327"/>
    </row>
    <row r="306" spans="1:39">
      <c r="A306" s="69"/>
      <c r="B306" s="69"/>
      <c r="C306" s="327"/>
      <c r="D306" s="327"/>
      <c r="E306" s="327"/>
      <c r="F306" s="327"/>
      <c r="G306" s="327"/>
      <c r="H306" s="327"/>
      <c r="I306" s="327"/>
      <c r="J306" s="327"/>
      <c r="K306" s="327"/>
      <c r="L306" s="327"/>
      <c r="M306" s="327"/>
      <c r="N306" s="327"/>
      <c r="O306" s="327"/>
      <c r="P306" s="327"/>
      <c r="Q306" s="327"/>
      <c r="R306" s="327"/>
      <c r="S306" s="327"/>
      <c r="T306" s="327"/>
      <c r="U306" s="327"/>
      <c r="V306" s="327"/>
      <c r="W306" s="327"/>
      <c r="X306" s="327"/>
      <c r="Y306" s="327"/>
      <c r="Z306" s="327"/>
      <c r="AA306" s="327"/>
      <c r="AB306" s="327"/>
      <c r="AC306" s="327"/>
      <c r="AD306" s="327"/>
      <c r="AE306" s="327"/>
      <c r="AF306" s="327"/>
      <c r="AG306" s="327"/>
      <c r="AH306" s="327"/>
      <c r="AI306" s="327"/>
      <c r="AJ306" s="327"/>
      <c r="AK306" s="327"/>
      <c r="AL306" s="327"/>
      <c r="AM306" s="327"/>
    </row>
    <row r="307" spans="1:39">
      <c r="A307" s="69"/>
      <c r="B307" s="69"/>
      <c r="C307" s="327"/>
      <c r="D307" s="327"/>
      <c r="E307" s="327"/>
      <c r="F307" s="327"/>
      <c r="G307" s="327"/>
      <c r="H307" s="327"/>
      <c r="I307" s="327"/>
      <c r="J307" s="327"/>
      <c r="K307" s="327"/>
      <c r="L307" s="327"/>
      <c r="M307" s="327"/>
      <c r="N307" s="327"/>
      <c r="O307" s="327"/>
      <c r="P307" s="327"/>
      <c r="Q307" s="327"/>
      <c r="R307" s="327"/>
      <c r="S307" s="327"/>
      <c r="T307" s="327"/>
      <c r="U307" s="327"/>
      <c r="V307" s="327"/>
      <c r="W307" s="327"/>
      <c r="X307" s="327"/>
      <c r="Y307" s="327"/>
      <c r="Z307" s="327"/>
      <c r="AA307" s="327"/>
      <c r="AB307" s="327"/>
      <c r="AC307" s="327"/>
      <c r="AD307" s="327"/>
      <c r="AE307" s="327"/>
      <c r="AF307" s="327"/>
      <c r="AG307" s="327"/>
      <c r="AH307" s="327"/>
      <c r="AI307" s="327"/>
      <c r="AJ307" s="327"/>
      <c r="AK307" s="327"/>
      <c r="AL307" s="327"/>
      <c r="AM307" s="327"/>
    </row>
    <row r="308" spans="1:39">
      <c r="A308" s="69"/>
      <c r="B308" s="69"/>
      <c r="C308" s="327"/>
      <c r="D308" s="327"/>
      <c r="E308" s="327"/>
      <c r="F308" s="327"/>
      <c r="G308" s="327"/>
      <c r="H308" s="327"/>
      <c r="I308" s="327"/>
      <c r="J308" s="327"/>
      <c r="K308" s="327"/>
      <c r="L308" s="327"/>
      <c r="M308" s="327"/>
      <c r="N308" s="327"/>
      <c r="O308" s="327"/>
      <c r="P308" s="327"/>
      <c r="Q308" s="327"/>
      <c r="R308" s="327"/>
      <c r="S308" s="327"/>
      <c r="T308" s="327"/>
      <c r="U308" s="327"/>
      <c r="V308" s="327"/>
      <c r="W308" s="327"/>
      <c r="X308" s="327"/>
      <c r="Y308" s="327"/>
      <c r="Z308" s="327"/>
      <c r="AA308" s="327"/>
      <c r="AB308" s="327"/>
      <c r="AC308" s="327"/>
      <c r="AD308" s="327"/>
      <c r="AE308" s="327"/>
      <c r="AF308" s="327"/>
      <c r="AG308" s="327"/>
      <c r="AH308" s="327"/>
      <c r="AI308" s="327"/>
      <c r="AJ308" s="327"/>
      <c r="AK308" s="327"/>
      <c r="AL308" s="327"/>
      <c r="AM308" s="327"/>
    </row>
    <row r="309" spans="1:39">
      <c r="A309" s="69"/>
      <c r="B309" s="69"/>
      <c r="C309" s="327"/>
      <c r="D309" s="327"/>
      <c r="E309" s="327"/>
      <c r="F309" s="327"/>
      <c r="G309" s="327"/>
      <c r="H309" s="327"/>
      <c r="I309" s="327"/>
      <c r="J309" s="327"/>
      <c r="K309" s="327"/>
      <c r="L309" s="327"/>
      <c r="M309" s="327"/>
      <c r="N309" s="327"/>
      <c r="O309" s="327"/>
      <c r="P309" s="327"/>
      <c r="Q309" s="327"/>
      <c r="R309" s="327"/>
      <c r="S309" s="327"/>
      <c r="T309" s="327"/>
      <c r="U309" s="327"/>
      <c r="V309" s="327"/>
      <c r="W309" s="327"/>
      <c r="X309" s="327"/>
      <c r="Y309" s="327"/>
      <c r="Z309" s="327"/>
      <c r="AA309" s="327"/>
      <c r="AB309" s="327"/>
      <c r="AC309" s="327"/>
      <c r="AD309" s="327"/>
      <c r="AE309" s="327"/>
      <c r="AF309" s="327"/>
      <c r="AG309" s="327"/>
      <c r="AH309" s="327"/>
      <c r="AI309" s="327"/>
      <c r="AJ309" s="327"/>
      <c r="AK309" s="327"/>
      <c r="AL309" s="327"/>
      <c r="AM309" s="327"/>
    </row>
    <row r="310" spans="1:39">
      <c r="A310" s="69"/>
      <c r="B310" s="69"/>
      <c r="C310" s="327"/>
      <c r="D310" s="327"/>
      <c r="E310" s="327"/>
      <c r="F310" s="327"/>
      <c r="G310" s="327"/>
      <c r="H310" s="327"/>
      <c r="I310" s="327"/>
      <c r="J310" s="327"/>
      <c r="K310" s="327"/>
      <c r="L310" s="327"/>
      <c r="M310" s="327"/>
      <c r="N310" s="327"/>
      <c r="O310" s="327"/>
      <c r="P310" s="327"/>
      <c r="Q310" s="327"/>
      <c r="R310" s="327"/>
      <c r="S310" s="327"/>
      <c r="T310" s="327"/>
      <c r="U310" s="327"/>
      <c r="V310" s="327"/>
      <c r="W310" s="327"/>
      <c r="X310" s="327"/>
      <c r="Y310" s="327"/>
      <c r="Z310" s="327"/>
      <c r="AA310" s="327"/>
      <c r="AB310" s="327"/>
      <c r="AC310" s="327"/>
      <c r="AD310" s="327"/>
      <c r="AE310" s="327"/>
      <c r="AF310" s="327"/>
      <c r="AG310" s="327"/>
      <c r="AH310" s="327"/>
      <c r="AI310" s="327"/>
      <c r="AJ310" s="327"/>
      <c r="AK310" s="327"/>
      <c r="AL310" s="327"/>
      <c r="AM310" s="327"/>
    </row>
    <row r="311" spans="1:39">
      <c r="A311" s="69"/>
      <c r="B311" s="69"/>
      <c r="C311" s="327"/>
      <c r="D311" s="327"/>
      <c r="E311" s="327"/>
      <c r="F311" s="327"/>
      <c r="G311" s="327"/>
      <c r="H311" s="327"/>
      <c r="I311" s="327"/>
      <c r="J311" s="327"/>
      <c r="K311" s="327"/>
      <c r="L311" s="327"/>
      <c r="M311" s="327"/>
      <c r="N311" s="327"/>
      <c r="O311" s="327"/>
      <c r="P311" s="327"/>
      <c r="Q311" s="327"/>
      <c r="R311" s="327"/>
      <c r="S311" s="327"/>
      <c r="T311" s="327"/>
      <c r="U311" s="327"/>
      <c r="V311" s="327"/>
      <c r="W311" s="327"/>
      <c r="X311" s="327"/>
      <c r="Y311" s="327"/>
      <c r="Z311" s="327"/>
      <c r="AA311" s="327"/>
      <c r="AB311" s="327"/>
      <c r="AC311" s="327"/>
      <c r="AD311" s="327"/>
      <c r="AE311" s="327"/>
      <c r="AF311" s="327"/>
      <c r="AG311" s="327"/>
      <c r="AH311" s="327"/>
      <c r="AI311" s="327"/>
      <c r="AJ311" s="327"/>
      <c r="AK311" s="327"/>
      <c r="AL311" s="327"/>
      <c r="AM311" s="327"/>
    </row>
    <row r="312" spans="1:39">
      <c r="A312" s="69"/>
      <c r="B312" s="69"/>
      <c r="C312" s="327"/>
      <c r="D312" s="327"/>
      <c r="E312" s="327"/>
      <c r="F312" s="327"/>
      <c r="G312" s="327"/>
      <c r="H312" s="327"/>
      <c r="I312" s="327"/>
      <c r="J312" s="327"/>
      <c r="K312" s="327"/>
      <c r="L312" s="327"/>
      <c r="M312" s="327"/>
      <c r="N312" s="327"/>
      <c r="O312" s="327"/>
      <c r="P312" s="327"/>
      <c r="Q312" s="327"/>
      <c r="R312" s="327"/>
      <c r="S312" s="327"/>
      <c r="T312" s="327"/>
      <c r="U312" s="327"/>
      <c r="V312" s="327"/>
      <c r="W312" s="327"/>
      <c r="X312" s="327"/>
      <c r="Y312" s="327"/>
      <c r="Z312" s="327"/>
      <c r="AA312" s="327"/>
      <c r="AB312" s="327"/>
      <c r="AC312" s="327"/>
      <c r="AD312" s="327"/>
      <c r="AE312" s="327"/>
      <c r="AF312" s="327"/>
      <c r="AG312" s="327"/>
      <c r="AH312" s="327"/>
      <c r="AI312" s="327"/>
      <c r="AJ312" s="327"/>
      <c r="AK312" s="327"/>
      <c r="AL312" s="327"/>
      <c r="AM312" s="327"/>
    </row>
    <row r="313" spans="1:39">
      <c r="A313" s="69"/>
      <c r="B313" s="69"/>
      <c r="C313" s="327"/>
      <c r="D313" s="327"/>
      <c r="E313" s="327"/>
      <c r="F313" s="327"/>
      <c r="G313" s="327"/>
      <c r="H313" s="327"/>
      <c r="I313" s="327"/>
      <c r="J313" s="327"/>
      <c r="K313" s="327"/>
      <c r="L313" s="327"/>
      <c r="M313" s="327"/>
      <c r="N313" s="327"/>
      <c r="O313" s="327"/>
      <c r="P313" s="327"/>
      <c r="Q313" s="327"/>
      <c r="R313" s="327"/>
      <c r="S313" s="327"/>
      <c r="T313" s="327"/>
      <c r="U313" s="327"/>
      <c r="V313" s="327"/>
      <c r="W313" s="327"/>
      <c r="X313" s="327"/>
      <c r="Y313" s="327"/>
      <c r="Z313" s="327"/>
      <c r="AA313" s="327"/>
      <c r="AB313" s="327"/>
      <c r="AC313" s="327"/>
      <c r="AD313" s="327"/>
      <c r="AE313" s="327"/>
      <c r="AF313" s="327"/>
      <c r="AG313" s="327"/>
      <c r="AH313" s="327"/>
      <c r="AI313" s="327"/>
      <c r="AJ313" s="327"/>
      <c r="AK313" s="327"/>
      <c r="AL313" s="327"/>
      <c r="AM313" s="327"/>
    </row>
    <row r="314" spans="1:39">
      <c r="A314" s="69"/>
      <c r="B314" s="69"/>
      <c r="C314" s="327"/>
      <c r="D314" s="327"/>
      <c r="E314" s="327"/>
      <c r="F314" s="327"/>
      <c r="G314" s="327"/>
      <c r="H314" s="327"/>
      <c r="I314" s="327"/>
      <c r="J314" s="327"/>
      <c r="K314" s="327"/>
      <c r="L314" s="327"/>
      <c r="M314" s="327"/>
      <c r="N314" s="327"/>
      <c r="O314" s="327"/>
      <c r="P314" s="327"/>
      <c r="Q314" s="327"/>
      <c r="R314" s="327"/>
      <c r="S314" s="327"/>
      <c r="T314" s="327"/>
      <c r="U314" s="327"/>
      <c r="V314" s="327"/>
      <c r="W314" s="327"/>
      <c r="X314" s="327"/>
      <c r="Y314" s="327"/>
      <c r="Z314" s="327"/>
      <c r="AA314" s="327"/>
      <c r="AB314" s="327"/>
      <c r="AC314" s="327"/>
      <c r="AD314" s="327"/>
      <c r="AE314" s="327"/>
      <c r="AF314" s="327"/>
      <c r="AG314" s="327"/>
      <c r="AH314" s="327"/>
      <c r="AI314" s="327"/>
      <c r="AJ314" s="327"/>
      <c r="AK314" s="327"/>
      <c r="AL314" s="327"/>
      <c r="AM314" s="327"/>
    </row>
    <row r="315" spans="1:39">
      <c r="A315" s="69"/>
      <c r="B315" s="69"/>
      <c r="C315" s="327"/>
      <c r="D315" s="327"/>
      <c r="E315" s="327"/>
      <c r="F315" s="327"/>
      <c r="G315" s="327"/>
      <c r="H315" s="327"/>
      <c r="I315" s="327"/>
      <c r="J315" s="327"/>
      <c r="K315" s="327"/>
      <c r="L315" s="327"/>
      <c r="M315" s="327"/>
      <c r="N315" s="327"/>
      <c r="O315" s="327"/>
      <c r="P315" s="327"/>
      <c r="Q315" s="327"/>
      <c r="R315" s="327"/>
      <c r="S315" s="327"/>
      <c r="T315" s="327"/>
      <c r="U315" s="327"/>
      <c r="V315" s="327"/>
      <c r="W315" s="327"/>
      <c r="X315" s="327"/>
      <c r="Y315" s="327"/>
      <c r="Z315" s="327"/>
      <c r="AA315" s="327"/>
      <c r="AB315" s="327"/>
      <c r="AC315" s="327"/>
      <c r="AD315" s="327"/>
      <c r="AE315" s="327"/>
      <c r="AF315" s="327"/>
      <c r="AG315" s="327"/>
      <c r="AH315" s="327"/>
      <c r="AI315" s="327"/>
      <c r="AJ315" s="327"/>
      <c r="AK315" s="327"/>
      <c r="AL315" s="327"/>
      <c r="AM315" s="327"/>
    </row>
    <row r="316" spans="1:39">
      <c r="A316" s="69"/>
      <c r="B316" s="69"/>
      <c r="C316" s="327"/>
      <c r="D316" s="327"/>
      <c r="E316" s="327"/>
      <c r="F316" s="327"/>
      <c r="G316" s="327"/>
      <c r="H316" s="327"/>
      <c r="I316" s="327"/>
      <c r="J316" s="327"/>
      <c r="K316" s="327"/>
      <c r="L316" s="327"/>
      <c r="M316" s="327"/>
      <c r="N316" s="327"/>
      <c r="O316" s="327"/>
      <c r="P316" s="327"/>
      <c r="Q316" s="327"/>
      <c r="R316" s="327"/>
      <c r="S316" s="327"/>
      <c r="T316" s="327"/>
      <c r="U316" s="327"/>
      <c r="V316" s="327"/>
      <c r="W316" s="327"/>
      <c r="X316" s="327"/>
      <c r="Y316" s="327"/>
      <c r="Z316" s="327"/>
      <c r="AA316" s="327"/>
      <c r="AB316" s="327"/>
      <c r="AC316" s="327"/>
      <c r="AD316" s="327"/>
      <c r="AE316" s="327"/>
      <c r="AF316" s="327"/>
      <c r="AG316" s="327"/>
      <c r="AH316" s="327"/>
      <c r="AI316" s="327"/>
      <c r="AJ316" s="327"/>
      <c r="AK316" s="327"/>
      <c r="AL316" s="327"/>
      <c r="AM316" s="327"/>
    </row>
    <row r="317" spans="1:39">
      <c r="A317" s="69"/>
      <c r="B317" s="69"/>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327"/>
      <c r="AE317" s="327"/>
      <c r="AF317" s="327"/>
      <c r="AG317" s="327"/>
      <c r="AH317" s="327"/>
      <c r="AI317" s="327"/>
      <c r="AJ317" s="327"/>
      <c r="AK317" s="327"/>
      <c r="AL317" s="327"/>
      <c r="AM317" s="327"/>
    </row>
    <row r="318" spans="1:39">
      <c r="A318" s="69"/>
      <c r="B318" s="69"/>
      <c r="C318" s="327"/>
      <c r="D318" s="327"/>
      <c r="E318" s="327"/>
      <c r="F318" s="327"/>
      <c r="G318" s="327"/>
      <c r="H318" s="327"/>
      <c r="I318" s="327"/>
      <c r="J318" s="327"/>
      <c r="K318" s="327"/>
      <c r="L318" s="327"/>
      <c r="M318" s="327"/>
      <c r="N318" s="327"/>
      <c r="O318" s="327"/>
      <c r="P318" s="327"/>
      <c r="Q318" s="327"/>
      <c r="R318" s="327"/>
      <c r="S318" s="327"/>
      <c r="T318" s="327"/>
      <c r="U318" s="327"/>
      <c r="V318" s="327"/>
      <c r="W318" s="327"/>
      <c r="X318" s="327"/>
      <c r="Y318" s="327"/>
      <c r="Z318" s="327"/>
      <c r="AA318" s="327"/>
      <c r="AB318" s="327"/>
      <c r="AC318" s="327"/>
      <c r="AD318" s="327"/>
      <c r="AE318" s="327"/>
      <c r="AF318" s="327"/>
      <c r="AG318" s="327"/>
      <c r="AH318" s="327"/>
      <c r="AI318" s="327"/>
      <c r="AJ318" s="327"/>
      <c r="AK318" s="327"/>
      <c r="AL318" s="327"/>
      <c r="AM318" s="327"/>
    </row>
    <row r="319" spans="1:39">
      <c r="A319" s="69"/>
      <c r="B319" s="69"/>
      <c r="C319" s="327"/>
      <c r="D319" s="327"/>
      <c r="E319" s="327"/>
      <c r="F319" s="327"/>
      <c r="G319" s="327"/>
      <c r="H319" s="327"/>
      <c r="I319" s="327"/>
      <c r="J319" s="327"/>
      <c r="K319" s="327"/>
      <c r="L319" s="327"/>
      <c r="M319" s="327"/>
      <c r="N319" s="327"/>
      <c r="O319" s="327"/>
      <c r="P319" s="327"/>
      <c r="Q319" s="327"/>
      <c r="R319" s="327"/>
      <c r="S319" s="327"/>
      <c r="T319" s="327"/>
      <c r="U319" s="327"/>
      <c r="V319" s="327"/>
      <c r="W319" s="327"/>
      <c r="X319" s="327"/>
      <c r="Y319" s="327"/>
      <c r="Z319" s="327"/>
      <c r="AA319" s="327"/>
      <c r="AB319" s="327"/>
      <c r="AC319" s="327"/>
      <c r="AD319" s="327"/>
      <c r="AE319" s="327"/>
      <c r="AF319" s="327"/>
      <c r="AG319" s="327"/>
      <c r="AH319" s="327"/>
      <c r="AI319" s="327"/>
      <c r="AJ319" s="327"/>
      <c r="AK319" s="327"/>
      <c r="AL319" s="327"/>
      <c r="AM319" s="327"/>
    </row>
    <row r="320" spans="1:39">
      <c r="A320" s="69"/>
      <c r="B320" s="69"/>
      <c r="C320" s="327"/>
      <c r="D320" s="327"/>
      <c r="E320" s="327"/>
      <c r="F320" s="327"/>
      <c r="G320" s="327"/>
      <c r="H320" s="327"/>
      <c r="I320" s="327"/>
      <c r="J320" s="327"/>
      <c r="K320" s="327"/>
      <c r="L320" s="327"/>
      <c r="M320" s="327"/>
      <c r="N320" s="327"/>
      <c r="O320" s="327"/>
      <c r="P320" s="327"/>
      <c r="Q320" s="327"/>
      <c r="R320" s="327"/>
      <c r="S320" s="327"/>
      <c r="T320" s="327"/>
      <c r="U320" s="327"/>
      <c r="V320" s="327"/>
      <c r="W320" s="327"/>
      <c r="X320" s="327"/>
      <c r="Y320" s="327"/>
      <c r="Z320" s="327"/>
      <c r="AA320" s="327"/>
      <c r="AB320" s="327"/>
      <c r="AC320" s="327"/>
      <c r="AD320" s="327"/>
      <c r="AE320" s="327"/>
      <c r="AF320" s="327"/>
      <c r="AG320" s="327"/>
      <c r="AH320" s="327"/>
      <c r="AI320" s="327"/>
      <c r="AJ320" s="327"/>
      <c r="AK320" s="327"/>
      <c r="AL320" s="327"/>
      <c r="AM320" s="327"/>
    </row>
    <row r="321" spans="1:39">
      <c r="A321" s="69"/>
      <c r="B321" s="69"/>
      <c r="C321" s="327"/>
      <c r="D321" s="327"/>
      <c r="E321" s="327"/>
      <c r="F321" s="327"/>
      <c r="G321" s="327"/>
      <c r="H321" s="327"/>
      <c r="I321" s="327"/>
      <c r="J321" s="327"/>
      <c r="K321" s="327"/>
      <c r="L321" s="327"/>
      <c r="M321" s="327"/>
      <c r="N321" s="327"/>
      <c r="O321" s="327"/>
      <c r="P321" s="327"/>
      <c r="Q321" s="327"/>
      <c r="R321" s="327"/>
      <c r="S321" s="327"/>
      <c r="T321" s="327"/>
      <c r="U321" s="327"/>
      <c r="V321" s="327"/>
      <c r="W321" s="327"/>
      <c r="X321" s="327"/>
      <c r="Y321" s="327"/>
      <c r="Z321" s="327"/>
      <c r="AA321" s="327"/>
      <c r="AB321" s="327"/>
      <c r="AC321" s="327"/>
      <c r="AD321" s="327"/>
      <c r="AE321" s="327"/>
      <c r="AF321" s="327"/>
      <c r="AG321" s="327"/>
      <c r="AH321" s="327"/>
      <c r="AI321" s="327"/>
      <c r="AJ321" s="327"/>
      <c r="AK321" s="327"/>
      <c r="AL321" s="327"/>
      <c r="AM321" s="327"/>
    </row>
    <row r="322" spans="1:39">
      <c r="A322" s="69"/>
      <c r="B322" s="69"/>
      <c r="C322" s="327"/>
      <c r="D322" s="327"/>
      <c r="E322" s="327"/>
      <c r="F322" s="327"/>
      <c r="G322" s="327"/>
      <c r="H322" s="327"/>
      <c r="I322" s="327"/>
      <c r="J322" s="327"/>
      <c r="K322" s="327"/>
      <c r="L322" s="327"/>
      <c r="M322" s="327"/>
      <c r="N322" s="327"/>
      <c r="O322" s="327"/>
      <c r="P322" s="327"/>
      <c r="Q322" s="327"/>
      <c r="R322" s="327"/>
      <c r="S322" s="327"/>
      <c r="T322" s="327"/>
      <c r="U322" s="327"/>
      <c r="V322" s="327"/>
      <c r="W322" s="327"/>
      <c r="X322" s="327"/>
      <c r="Y322" s="327"/>
      <c r="Z322" s="327"/>
      <c r="AA322" s="327"/>
      <c r="AB322" s="327"/>
      <c r="AC322" s="327"/>
      <c r="AD322" s="327"/>
      <c r="AE322" s="327"/>
      <c r="AF322" s="327"/>
      <c r="AG322" s="327"/>
      <c r="AH322" s="327"/>
      <c r="AI322" s="327"/>
      <c r="AJ322" s="327"/>
      <c r="AK322" s="327"/>
      <c r="AL322" s="327"/>
      <c r="AM322" s="327"/>
    </row>
    <row r="323" spans="1:39">
      <c r="A323" s="69"/>
      <c r="B323" s="69"/>
      <c r="C323" s="327"/>
      <c r="D323" s="327"/>
      <c r="E323" s="327"/>
      <c r="F323" s="327"/>
      <c r="G323" s="327"/>
      <c r="H323" s="327"/>
      <c r="I323" s="327"/>
      <c r="J323" s="327"/>
      <c r="K323" s="327"/>
      <c r="L323" s="327"/>
      <c r="M323" s="327"/>
      <c r="N323" s="327"/>
      <c r="O323" s="327"/>
      <c r="P323" s="327"/>
      <c r="Q323" s="327"/>
      <c r="R323" s="327"/>
      <c r="S323" s="327"/>
      <c r="T323" s="327"/>
      <c r="U323" s="327"/>
      <c r="V323" s="327"/>
      <c r="W323" s="327"/>
      <c r="X323" s="327"/>
      <c r="Y323" s="327"/>
      <c r="Z323" s="327"/>
      <c r="AA323" s="327"/>
      <c r="AB323" s="327"/>
      <c r="AC323" s="327"/>
      <c r="AD323" s="327"/>
      <c r="AE323" s="327"/>
      <c r="AF323" s="327"/>
      <c r="AG323" s="327"/>
      <c r="AH323" s="327"/>
      <c r="AI323" s="327"/>
      <c r="AJ323" s="327"/>
      <c r="AK323" s="327"/>
      <c r="AL323" s="327"/>
      <c r="AM323" s="327"/>
    </row>
    <row r="324" spans="1:39">
      <c r="A324" s="69"/>
      <c r="B324" s="69"/>
      <c r="C324" s="327"/>
      <c r="D324" s="327"/>
      <c r="E324" s="327"/>
      <c r="F324" s="327"/>
      <c r="G324" s="327"/>
      <c r="H324" s="327"/>
      <c r="I324" s="327"/>
      <c r="J324" s="327"/>
      <c r="K324" s="327"/>
      <c r="L324" s="327"/>
      <c r="M324" s="327"/>
      <c r="N324" s="327"/>
      <c r="O324" s="327"/>
      <c r="P324" s="327"/>
      <c r="Q324" s="327"/>
      <c r="R324" s="327"/>
      <c r="S324" s="327"/>
      <c r="T324" s="327"/>
      <c r="U324" s="327"/>
      <c r="V324" s="327"/>
      <c r="W324" s="327"/>
      <c r="X324" s="327"/>
      <c r="Y324" s="327"/>
      <c r="Z324" s="327"/>
      <c r="AA324" s="327"/>
      <c r="AB324" s="327"/>
      <c r="AC324" s="327"/>
      <c r="AD324" s="327"/>
      <c r="AE324" s="327"/>
      <c r="AF324" s="327"/>
      <c r="AG324" s="327"/>
      <c r="AH324" s="327"/>
      <c r="AI324" s="327"/>
      <c r="AJ324" s="327"/>
      <c r="AK324" s="327"/>
      <c r="AL324" s="327"/>
      <c r="AM324" s="327"/>
    </row>
    <row r="325" spans="1:39">
      <c r="A325" s="69"/>
      <c r="B325" s="69"/>
      <c r="C325" s="327"/>
      <c r="D325" s="327"/>
      <c r="E325" s="327"/>
      <c r="F325" s="327"/>
      <c r="G325" s="327"/>
      <c r="H325" s="327"/>
      <c r="I325" s="327"/>
      <c r="J325" s="327"/>
      <c r="K325" s="327"/>
      <c r="L325" s="327"/>
      <c r="M325" s="327"/>
      <c r="N325" s="327"/>
      <c r="O325" s="327"/>
      <c r="P325" s="327"/>
      <c r="Q325" s="327"/>
      <c r="R325" s="327"/>
      <c r="S325" s="327"/>
      <c r="T325" s="327"/>
      <c r="U325" s="327"/>
      <c r="V325" s="327"/>
      <c r="W325" s="327"/>
      <c r="X325" s="327"/>
      <c r="Y325" s="327"/>
      <c r="Z325" s="327"/>
      <c r="AA325" s="327"/>
      <c r="AB325" s="327"/>
      <c r="AC325" s="327"/>
      <c r="AD325" s="327"/>
      <c r="AE325" s="327"/>
      <c r="AF325" s="327"/>
      <c r="AG325" s="327"/>
      <c r="AH325" s="327"/>
      <c r="AI325" s="327"/>
      <c r="AJ325" s="327"/>
      <c r="AK325" s="327"/>
      <c r="AL325" s="327"/>
      <c r="AM325" s="327"/>
    </row>
    <row r="326" spans="1:39">
      <c r="A326" s="69"/>
      <c r="B326" s="69"/>
      <c r="C326" s="327"/>
      <c r="D326" s="327"/>
      <c r="E326" s="327"/>
      <c r="F326" s="327"/>
      <c r="G326" s="327"/>
      <c r="H326" s="327"/>
      <c r="I326" s="327"/>
      <c r="J326" s="327"/>
      <c r="K326" s="327"/>
      <c r="L326" s="327"/>
      <c r="M326" s="327"/>
      <c r="N326" s="327"/>
      <c r="O326" s="327"/>
      <c r="P326" s="327"/>
      <c r="Q326" s="327"/>
      <c r="R326" s="327"/>
      <c r="S326" s="327"/>
      <c r="T326" s="327"/>
      <c r="U326" s="327"/>
      <c r="V326" s="327"/>
      <c r="W326" s="327"/>
      <c r="X326" s="327"/>
      <c r="Y326" s="327"/>
      <c r="Z326" s="327"/>
      <c r="AA326" s="327"/>
      <c r="AB326" s="327"/>
      <c r="AC326" s="327"/>
      <c r="AD326" s="327"/>
      <c r="AE326" s="327"/>
      <c r="AF326" s="327"/>
      <c r="AG326" s="327"/>
      <c r="AH326" s="327"/>
      <c r="AI326" s="327"/>
      <c r="AJ326" s="327"/>
      <c r="AK326" s="327"/>
      <c r="AL326" s="327"/>
      <c r="AM326" s="327"/>
    </row>
    <row r="327" spans="1:39">
      <c r="A327" s="69"/>
      <c r="B327" s="69"/>
      <c r="C327" s="327"/>
      <c r="D327" s="327"/>
      <c r="E327" s="327"/>
      <c r="F327" s="327"/>
      <c r="G327" s="327"/>
      <c r="H327" s="327"/>
      <c r="I327" s="327"/>
      <c r="J327" s="327"/>
      <c r="K327" s="327"/>
      <c r="L327" s="327"/>
      <c r="M327" s="327"/>
      <c r="N327" s="327"/>
      <c r="O327" s="327"/>
      <c r="P327" s="327"/>
      <c r="Q327" s="327"/>
      <c r="R327" s="327"/>
      <c r="S327" s="327"/>
      <c r="T327" s="327"/>
      <c r="U327" s="327"/>
      <c r="V327" s="327"/>
      <c r="W327" s="327"/>
      <c r="X327" s="327"/>
      <c r="Y327" s="327"/>
      <c r="Z327" s="327"/>
      <c r="AA327" s="327"/>
      <c r="AB327" s="327"/>
      <c r="AC327" s="327"/>
      <c r="AD327" s="327"/>
      <c r="AE327" s="327"/>
      <c r="AF327" s="327"/>
      <c r="AG327" s="327"/>
      <c r="AH327" s="327"/>
      <c r="AI327" s="327"/>
      <c r="AJ327" s="327"/>
      <c r="AK327" s="327"/>
      <c r="AL327" s="327"/>
      <c r="AM327" s="327"/>
    </row>
    <row r="328" spans="1:39">
      <c r="A328" s="69"/>
      <c r="B328" s="69"/>
      <c r="C328" s="327"/>
      <c r="D328" s="327"/>
      <c r="E328" s="327"/>
      <c r="F328" s="327"/>
      <c r="G328" s="327"/>
      <c r="H328" s="327"/>
      <c r="I328" s="327"/>
      <c r="J328" s="327"/>
      <c r="K328" s="327"/>
      <c r="L328" s="327"/>
      <c r="M328" s="327"/>
      <c r="N328" s="327"/>
      <c r="O328" s="327"/>
      <c r="P328" s="327"/>
      <c r="Q328" s="327"/>
      <c r="R328" s="327"/>
      <c r="S328" s="327"/>
      <c r="T328" s="327"/>
      <c r="U328" s="327"/>
      <c r="V328" s="327"/>
      <c r="W328" s="327"/>
      <c r="X328" s="327"/>
      <c r="Y328" s="327"/>
      <c r="Z328" s="327"/>
      <c r="AA328" s="327"/>
      <c r="AB328" s="327"/>
      <c r="AC328" s="327"/>
      <c r="AD328" s="327"/>
      <c r="AE328" s="327"/>
      <c r="AF328" s="327"/>
      <c r="AG328" s="327"/>
      <c r="AH328" s="327"/>
      <c r="AI328" s="327"/>
      <c r="AJ328" s="327"/>
      <c r="AK328" s="327"/>
      <c r="AL328" s="327"/>
      <c r="AM328" s="327"/>
    </row>
    <row r="329" spans="1:39">
      <c r="A329" s="69"/>
      <c r="B329" s="69"/>
      <c r="C329" s="327"/>
      <c r="D329" s="327"/>
      <c r="E329" s="327"/>
      <c r="F329" s="327"/>
      <c r="G329" s="327"/>
      <c r="H329" s="327"/>
      <c r="I329" s="327"/>
      <c r="J329" s="327"/>
      <c r="K329" s="327"/>
      <c r="L329" s="327"/>
      <c r="M329" s="327"/>
      <c r="N329" s="327"/>
      <c r="O329" s="327"/>
      <c r="P329" s="327"/>
      <c r="Q329" s="327"/>
      <c r="R329" s="327"/>
      <c r="S329" s="327"/>
      <c r="T329" s="327"/>
      <c r="U329" s="327"/>
      <c r="V329" s="327"/>
      <c r="W329" s="327"/>
      <c r="X329" s="327"/>
      <c r="Y329" s="327"/>
      <c r="Z329" s="327"/>
      <c r="AA329" s="327"/>
      <c r="AB329" s="327"/>
      <c r="AC329" s="327"/>
      <c r="AD329" s="327"/>
      <c r="AE329" s="327"/>
      <c r="AF329" s="327"/>
      <c r="AG329" s="327"/>
      <c r="AH329" s="327"/>
      <c r="AI329" s="327"/>
      <c r="AJ329" s="327"/>
      <c r="AK329" s="327"/>
      <c r="AL329" s="327"/>
      <c r="AM329" s="327"/>
    </row>
    <row r="330" spans="1:39">
      <c r="A330" s="69"/>
      <c r="B330" s="69"/>
      <c r="C330" s="327"/>
      <c r="D330" s="327"/>
      <c r="E330" s="327"/>
      <c r="F330" s="327"/>
      <c r="G330" s="327"/>
      <c r="H330" s="327"/>
      <c r="I330" s="327"/>
      <c r="J330" s="327"/>
      <c r="K330" s="327"/>
      <c r="L330" s="327"/>
      <c r="M330" s="327"/>
      <c r="N330" s="327"/>
      <c r="O330" s="327"/>
      <c r="P330" s="327"/>
      <c r="Q330" s="327"/>
      <c r="R330" s="327"/>
      <c r="S330" s="327"/>
      <c r="T330" s="327"/>
      <c r="U330" s="327"/>
      <c r="V330" s="327"/>
      <c r="W330" s="327"/>
      <c r="X330" s="327"/>
      <c r="Y330" s="327"/>
      <c r="Z330" s="327"/>
      <c r="AA330" s="327"/>
      <c r="AB330" s="327"/>
      <c r="AC330" s="327"/>
      <c r="AD330" s="327"/>
      <c r="AE330" s="327"/>
      <c r="AF330" s="327"/>
      <c r="AG330" s="327"/>
      <c r="AH330" s="327"/>
      <c r="AI330" s="327"/>
      <c r="AJ330" s="327"/>
      <c r="AK330" s="327"/>
      <c r="AL330" s="327"/>
      <c r="AM330" s="327"/>
    </row>
    <row r="331" spans="1:39">
      <c r="A331" s="69"/>
      <c r="B331" s="69"/>
      <c r="C331" s="327"/>
      <c r="D331" s="327"/>
      <c r="E331" s="327"/>
      <c r="F331" s="327"/>
      <c r="G331" s="327"/>
      <c r="H331" s="327"/>
      <c r="I331" s="327"/>
      <c r="J331" s="327"/>
      <c r="K331" s="327"/>
      <c r="L331" s="327"/>
      <c r="M331" s="327"/>
      <c r="N331" s="327"/>
      <c r="O331" s="327"/>
      <c r="P331" s="327"/>
      <c r="Q331" s="327"/>
      <c r="R331" s="327"/>
      <c r="S331" s="327"/>
      <c r="T331" s="327"/>
      <c r="U331" s="327"/>
      <c r="V331" s="327"/>
      <c r="W331" s="327"/>
      <c r="X331" s="327"/>
      <c r="Y331" s="327"/>
      <c r="Z331" s="327"/>
      <c r="AA331" s="327"/>
      <c r="AB331" s="327"/>
      <c r="AC331" s="327"/>
      <c r="AD331" s="327"/>
      <c r="AE331" s="327"/>
      <c r="AF331" s="327"/>
      <c r="AG331" s="327"/>
      <c r="AH331" s="327"/>
      <c r="AI331" s="327"/>
      <c r="AJ331" s="327"/>
      <c r="AK331" s="327"/>
      <c r="AL331" s="327"/>
      <c r="AM331" s="327"/>
    </row>
    <row r="332" spans="1:39">
      <c r="A332" s="69"/>
      <c r="B332" s="69"/>
      <c r="C332" s="327"/>
      <c r="D332" s="327"/>
      <c r="E332" s="327"/>
      <c r="F332" s="327"/>
      <c r="G332" s="327"/>
      <c r="H332" s="327"/>
      <c r="I332" s="327"/>
      <c r="J332" s="327"/>
      <c r="K332" s="327"/>
      <c r="L332" s="327"/>
      <c r="M332" s="327"/>
      <c r="N332" s="327"/>
      <c r="O332" s="327"/>
      <c r="P332" s="327"/>
      <c r="Q332" s="327"/>
      <c r="R332" s="327"/>
      <c r="S332" s="327"/>
      <c r="T332" s="327"/>
      <c r="U332" s="327"/>
      <c r="V332" s="327"/>
      <c r="W332" s="327"/>
      <c r="X332" s="327"/>
      <c r="Y332" s="327"/>
      <c r="Z332" s="327"/>
      <c r="AA332" s="327"/>
      <c r="AB332" s="327"/>
      <c r="AC332" s="327"/>
      <c r="AD332" s="327"/>
      <c r="AE332" s="327"/>
      <c r="AF332" s="327"/>
      <c r="AG332" s="327"/>
      <c r="AH332" s="327"/>
      <c r="AI332" s="327"/>
      <c r="AJ332" s="327"/>
      <c r="AK332" s="327"/>
      <c r="AL332" s="327"/>
      <c r="AM332" s="327"/>
    </row>
    <row r="333" spans="1:39">
      <c r="A333" s="69"/>
      <c r="B333" s="69"/>
      <c r="C333" s="327"/>
      <c r="D333" s="327"/>
      <c r="E333" s="327"/>
      <c r="F333" s="327"/>
      <c r="G333" s="327"/>
      <c r="H333" s="327"/>
      <c r="I333" s="327"/>
      <c r="J333" s="327"/>
      <c r="K333" s="327"/>
      <c r="L333" s="327"/>
      <c r="M333" s="327"/>
      <c r="N333" s="327"/>
      <c r="O333" s="327"/>
      <c r="P333" s="327"/>
      <c r="Q333" s="327"/>
      <c r="R333" s="327"/>
      <c r="S333" s="327"/>
      <c r="T333" s="327"/>
      <c r="U333" s="327"/>
      <c r="V333" s="327"/>
      <c r="W333" s="327"/>
      <c r="X333" s="327"/>
      <c r="Y333" s="327"/>
      <c r="Z333" s="327"/>
      <c r="AA333" s="327"/>
      <c r="AB333" s="327"/>
      <c r="AC333" s="327"/>
      <c r="AD333" s="327"/>
      <c r="AE333" s="327"/>
      <c r="AF333" s="327"/>
      <c r="AG333" s="327"/>
      <c r="AH333" s="327"/>
      <c r="AI333" s="327"/>
      <c r="AJ333" s="327"/>
      <c r="AK333" s="327"/>
      <c r="AL333" s="327"/>
      <c r="AM333" s="327"/>
    </row>
    <row r="334" spans="1:39">
      <c r="A334" s="69"/>
      <c r="B334" s="69"/>
      <c r="C334" s="327"/>
      <c r="D334" s="327"/>
      <c r="E334" s="327"/>
      <c r="F334" s="327"/>
      <c r="G334" s="327"/>
      <c r="H334" s="327"/>
      <c r="I334" s="327"/>
      <c r="J334" s="327"/>
      <c r="K334" s="327"/>
      <c r="L334" s="327"/>
      <c r="M334" s="327"/>
      <c r="N334" s="327"/>
      <c r="O334" s="327"/>
      <c r="P334" s="327"/>
      <c r="Q334" s="327"/>
      <c r="R334" s="327"/>
      <c r="S334" s="327"/>
      <c r="T334" s="327"/>
      <c r="U334" s="327"/>
      <c r="V334" s="327"/>
      <c r="W334" s="327"/>
      <c r="X334" s="327"/>
      <c r="Y334" s="327"/>
      <c r="Z334" s="327"/>
      <c r="AA334" s="327"/>
      <c r="AB334" s="327"/>
      <c r="AC334" s="327"/>
      <c r="AD334" s="327"/>
      <c r="AE334" s="327"/>
      <c r="AF334" s="327"/>
      <c r="AG334" s="327"/>
      <c r="AH334" s="327"/>
      <c r="AI334" s="327"/>
      <c r="AJ334" s="327"/>
      <c r="AK334" s="327"/>
      <c r="AL334" s="327"/>
      <c r="AM334" s="327"/>
    </row>
    <row r="335" spans="1:39">
      <c r="A335" s="69"/>
      <c r="B335" s="69"/>
      <c r="C335" s="327"/>
      <c r="D335" s="327"/>
      <c r="E335" s="327"/>
      <c r="F335" s="327"/>
      <c r="G335" s="327"/>
      <c r="H335" s="327"/>
      <c r="I335" s="327"/>
      <c r="J335" s="327"/>
      <c r="K335" s="327"/>
      <c r="L335" s="327"/>
      <c r="M335" s="327"/>
      <c r="N335" s="327"/>
      <c r="O335" s="327"/>
      <c r="P335" s="327"/>
      <c r="Q335" s="327"/>
      <c r="R335" s="327"/>
      <c r="S335" s="327"/>
      <c r="T335" s="327"/>
      <c r="U335" s="327"/>
      <c r="V335" s="327"/>
      <c r="W335" s="327"/>
      <c r="X335" s="327"/>
      <c r="Y335" s="327"/>
      <c r="Z335" s="327"/>
      <c r="AA335" s="327"/>
      <c r="AB335" s="327"/>
      <c r="AC335" s="327"/>
      <c r="AD335" s="327"/>
      <c r="AE335" s="327"/>
      <c r="AF335" s="327"/>
      <c r="AG335" s="327"/>
      <c r="AH335" s="327"/>
      <c r="AI335" s="327"/>
      <c r="AJ335" s="327"/>
      <c r="AK335" s="327"/>
      <c r="AL335" s="327"/>
      <c r="AM335" s="327"/>
    </row>
    <row r="336" spans="1:39">
      <c r="A336" s="69"/>
      <c r="B336" s="69"/>
      <c r="C336" s="327"/>
      <c r="D336" s="327"/>
      <c r="E336" s="327"/>
      <c r="F336" s="327"/>
      <c r="G336" s="327"/>
      <c r="H336" s="327"/>
      <c r="I336" s="327"/>
      <c r="J336" s="327"/>
      <c r="K336" s="327"/>
      <c r="L336" s="327"/>
      <c r="M336" s="327"/>
      <c r="N336" s="327"/>
      <c r="O336" s="327"/>
      <c r="P336" s="327"/>
      <c r="Q336" s="327"/>
      <c r="R336" s="327"/>
      <c r="S336" s="327"/>
      <c r="T336" s="327"/>
      <c r="U336" s="327"/>
      <c r="V336" s="327"/>
      <c r="W336" s="327"/>
      <c r="X336" s="327"/>
      <c r="Y336" s="327"/>
      <c r="Z336" s="327"/>
      <c r="AA336" s="327"/>
      <c r="AB336" s="327"/>
      <c r="AC336" s="327"/>
      <c r="AD336" s="327"/>
      <c r="AE336" s="327"/>
      <c r="AF336" s="327"/>
      <c r="AG336" s="327"/>
      <c r="AH336" s="327"/>
      <c r="AI336" s="327"/>
      <c r="AJ336" s="327"/>
      <c r="AK336" s="327"/>
      <c r="AL336" s="327"/>
      <c r="AM336" s="327"/>
    </row>
    <row r="337" spans="1:39">
      <c r="A337" s="69"/>
      <c r="B337" s="69"/>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327"/>
      <c r="AE337" s="327"/>
      <c r="AF337" s="327"/>
      <c r="AG337" s="327"/>
      <c r="AH337" s="327"/>
      <c r="AI337" s="327"/>
      <c r="AJ337" s="327"/>
      <c r="AK337" s="327"/>
      <c r="AL337" s="327"/>
      <c r="AM337" s="327"/>
    </row>
    <row r="338" spans="1:39">
      <c r="A338" s="69"/>
      <c r="B338" s="69"/>
      <c r="C338" s="327"/>
      <c r="D338" s="327"/>
      <c r="E338" s="327"/>
      <c r="F338" s="327"/>
      <c r="G338" s="327"/>
      <c r="H338" s="327"/>
      <c r="I338" s="327"/>
      <c r="J338" s="327"/>
      <c r="K338" s="327"/>
      <c r="L338" s="327"/>
      <c r="M338" s="327"/>
      <c r="N338" s="327"/>
      <c r="O338" s="327"/>
      <c r="P338" s="327"/>
      <c r="Q338" s="327"/>
      <c r="R338" s="327"/>
      <c r="S338" s="327"/>
      <c r="T338" s="327"/>
      <c r="U338" s="327"/>
      <c r="V338" s="327"/>
      <c r="W338" s="327"/>
      <c r="X338" s="327"/>
      <c r="Y338" s="327"/>
      <c r="Z338" s="327"/>
      <c r="AA338" s="327"/>
      <c r="AB338" s="327"/>
      <c r="AC338" s="327"/>
      <c r="AD338" s="327"/>
      <c r="AE338" s="327"/>
      <c r="AF338" s="327"/>
      <c r="AG338" s="327"/>
      <c r="AH338" s="327"/>
      <c r="AI338" s="327"/>
      <c r="AJ338" s="327"/>
      <c r="AK338" s="327"/>
      <c r="AL338" s="327"/>
      <c r="AM338" s="327"/>
    </row>
    <row r="339" spans="1:39">
      <c r="A339" s="69"/>
      <c r="B339" s="69"/>
      <c r="C339" s="327"/>
      <c r="D339" s="327"/>
      <c r="E339" s="327"/>
      <c r="F339" s="327"/>
      <c r="G339" s="327"/>
      <c r="H339" s="327"/>
      <c r="I339" s="327"/>
      <c r="J339" s="327"/>
      <c r="K339" s="327"/>
      <c r="L339" s="327"/>
      <c r="M339" s="327"/>
      <c r="N339" s="327"/>
      <c r="O339" s="327"/>
      <c r="P339" s="327"/>
      <c r="Q339" s="327"/>
      <c r="R339" s="327"/>
      <c r="S339" s="327"/>
      <c r="T339" s="327"/>
      <c r="U339" s="327"/>
      <c r="V339" s="327"/>
      <c r="W339" s="327"/>
      <c r="X339" s="327"/>
      <c r="Y339" s="327"/>
      <c r="Z339" s="327"/>
      <c r="AA339" s="327"/>
      <c r="AB339" s="327"/>
      <c r="AC339" s="327"/>
      <c r="AD339" s="327"/>
      <c r="AE339" s="327"/>
      <c r="AF339" s="327"/>
      <c r="AG339" s="327"/>
      <c r="AH339" s="327"/>
      <c r="AI339" s="327"/>
      <c r="AJ339" s="327"/>
      <c r="AK339" s="327"/>
      <c r="AL339" s="327"/>
      <c r="AM339" s="327"/>
    </row>
    <row r="340" spans="1:39">
      <c r="A340" s="69"/>
      <c r="B340" s="69"/>
      <c r="C340" s="327"/>
      <c r="D340" s="327"/>
      <c r="E340" s="327"/>
      <c r="F340" s="327"/>
      <c r="G340" s="327"/>
      <c r="H340" s="327"/>
      <c r="I340" s="327"/>
      <c r="J340" s="327"/>
      <c r="K340" s="327"/>
      <c r="L340" s="327"/>
      <c r="M340" s="327"/>
      <c r="N340" s="327"/>
      <c r="O340" s="327"/>
      <c r="P340" s="327"/>
      <c r="Q340" s="327"/>
      <c r="R340" s="327"/>
      <c r="S340" s="327"/>
      <c r="T340" s="327"/>
      <c r="U340" s="327"/>
      <c r="V340" s="327"/>
      <c r="W340" s="327"/>
      <c r="X340" s="327"/>
      <c r="Y340" s="327"/>
      <c r="Z340" s="327"/>
      <c r="AA340" s="327"/>
      <c r="AB340" s="327"/>
      <c r="AC340" s="327"/>
      <c r="AD340" s="327"/>
      <c r="AE340" s="327"/>
      <c r="AF340" s="327"/>
      <c r="AG340" s="327"/>
      <c r="AH340" s="327"/>
      <c r="AI340" s="327"/>
      <c r="AJ340" s="327"/>
      <c r="AK340" s="327"/>
      <c r="AL340" s="327"/>
      <c r="AM340" s="327"/>
    </row>
    <row r="341" spans="1:39">
      <c r="A341" s="69"/>
      <c r="B341" s="69"/>
      <c r="C341" s="327"/>
      <c r="D341" s="327"/>
      <c r="E341" s="327"/>
      <c r="F341" s="327"/>
      <c r="G341" s="327"/>
      <c r="H341" s="327"/>
      <c r="I341" s="327"/>
      <c r="J341" s="327"/>
      <c r="K341" s="327"/>
      <c r="L341" s="327"/>
      <c r="M341" s="327"/>
      <c r="N341" s="327"/>
      <c r="O341" s="327"/>
      <c r="P341" s="327"/>
      <c r="Q341" s="327"/>
      <c r="R341" s="327"/>
      <c r="S341" s="327"/>
      <c r="T341" s="327"/>
      <c r="U341" s="327"/>
      <c r="V341" s="327"/>
      <c r="W341" s="327"/>
      <c r="X341" s="327"/>
      <c r="Y341" s="327"/>
      <c r="Z341" s="327"/>
      <c r="AA341" s="327"/>
      <c r="AB341" s="327"/>
      <c r="AC341" s="327"/>
      <c r="AD341" s="327"/>
      <c r="AE341" s="327"/>
      <c r="AF341" s="327"/>
      <c r="AG341" s="327"/>
      <c r="AH341" s="327"/>
      <c r="AI341" s="327"/>
      <c r="AJ341" s="327"/>
      <c r="AK341" s="327"/>
      <c r="AL341" s="327"/>
      <c r="AM341" s="327"/>
    </row>
    <row r="342" spans="1:39">
      <c r="A342" s="69"/>
      <c r="B342" s="69"/>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327"/>
      <c r="AE342" s="327"/>
      <c r="AF342" s="327"/>
      <c r="AG342" s="327"/>
      <c r="AH342" s="327"/>
      <c r="AI342" s="327"/>
      <c r="AJ342" s="327"/>
      <c r="AK342" s="327"/>
      <c r="AL342" s="327"/>
      <c r="AM342" s="327"/>
    </row>
    <row r="343" spans="1:39">
      <c r="A343" s="69"/>
      <c r="B343" s="69"/>
      <c r="C343" s="327"/>
      <c r="D343" s="327"/>
      <c r="E343" s="327"/>
      <c r="F343" s="327"/>
      <c r="G343" s="327"/>
      <c r="H343" s="327"/>
      <c r="I343" s="327"/>
      <c r="J343" s="327"/>
      <c r="K343" s="327"/>
      <c r="L343" s="327"/>
      <c r="M343" s="327"/>
      <c r="N343" s="327"/>
      <c r="O343" s="327"/>
      <c r="P343" s="327"/>
      <c r="Q343" s="327"/>
      <c r="R343" s="327"/>
      <c r="S343" s="327"/>
      <c r="T343" s="327"/>
      <c r="U343" s="327"/>
      <c r="V343" s="327"/>
      <c r="W343" s="327"/>
      <c r="X343" s="327"/>
      <c r="Y343" s="327"/>
      <c r="Z343" s="327"/>
      <c r="AA343" s="327"/>
      <c r="AB343" s="327"/>
      <c r="AC343" s="327"/>
      <c r="AD343" s="327"/>
      <c r="AE343" s="327"/>
      <c r="AF343" s="327"/>
      <c r="AG343" s="327"/>
      <c r="AH343" s="327"/>
      <c r="AI343" s="327"/>
      <c r="AJ343" s="327"/>
      <c r="AK343" s="327"/>
      <c r="AL343" s="327"/>
      <c r="AM343" s="327"/>
    </row>
    <row r="344" spans="1:39">
      <c r="A344" s="69"/>
      <c r="B344" s="69"/>
      <c r="C344" s="327"/>
      <c r="D344" s="327"/>
      <c r="E344" s="327"/>
      <c r="F344" s="327"/>
      <c r="G344" s="327"/>
      <c r="H344" s="327"/>
      <c r="I344" s="327"/>
      <c r="J344" s="327"/>
      <c r="K344" s="327"/>
      <c r="L344" s="327"/>
      <c r="M344" s="327"/>
      <c r="N344" s="327"/>
      <c r="O344" s="327"/>
      <c r="P344" s="327"/>
      <c r="Q344" s="327"/>
      <c r="R344" s="327"/>
      <c r="S344" s="327"/>
      <c r="T344" s="327"/>
      <c r="U344" s="327"/>
      <c r="V344" s="327"/>
      <c r="W344" s="327"/>
      <c r="X344" s="327"/>
      <c r="Y344" s="327"/>
      <c r="Z344" s="327"/>
      <c r="AA344" s="327"/>
      <c r="AB344" s="327"/>
      <c r="AC344" s="327"/>
      <c r="AD344" s="327"/>
      <c r="AE344" s="327"/>
      <c r="AF344" s="327"/>
      <c r="AG344" s="327"/>
      <c r="AH344" s="327"/>
      <c r="AI344" s="327"/>
      <c r="AJ344" s="327"/>
      <c r="AK344" s="327"/>
      <c r="AL344" s="327"/>
      <c r="AM344" s="327"/>
    </row>
    <row r="345" spans="1:39">
      <c r="A345" s="69"/>
      <c r="B345" s="69"/>
      <c r="C345" s="327"/>
      <c r="D345" s="327"/>
      <c r="E345" s="327"/>
      <c r="F345" s="327"/>
      <c r="G345" s="327"/>
      <c r="H345" s="327"/>
      <c r="I345" s="327"/>
      <c r="J345" s="327"/>
      <c r="K345" s="327"/>
      <c r="L345" s="327"/>
      <c r="M345" s="327"/>
      <c r="N345" s="327"/>
      <c r="O345" s="327"/>
      <c r="P345" s="327"/>
      <c r="Q345" s="327"/>
      <c r="R345" s="327"/>
      <c r="S345" s="327"/>
      <c r="T345" s="327"/>
      <c r="U345" s="327"/>
      <c r="V345" s="327"/>
      <c r="W345" s="327"/>
      <c r="X345" s="327"/>
      <c r="Y345" s="327"/>
      <c r="Z345" s="327"/>
      <c r="AA345" s="327"/>
      <c r="AB345" s="327"/>
      <c r="AC345" s="327"/>
      <c r="AD345" s="327"/>
      <c r="AE345" s="327"/>
      <c r="AF345" s="327"/>
      <c r="AG345" s="327"/>
      <c r="AH345" s="327"/>
      <c r="AI345" s="327"/>
      <c r="AJ345" s="327"/>
      <c r="AK345" s="327"/>
      <c r="AL345" s="327"/>
      <c r="AM345" s="327"/>
    </row>
    <row r="346" spans="1:39">
      <c r="A346" s="69"/>
      <c r="B346" s="69"/>
      <c r="C346" s="327"/>
      <c r="D346" s="327"/>
      <c r="E346" s="327"/>
      <c r="F346" s="327"/>
      <c r="G346" s="327"/>
      <c r="H346" s="327"/>
      <c r="I346" s="327"/>
      <c r="J346" s="327"/>
      <c r="K346" s="327"/>
      <c r="L346" s="327"/>
      <c r="M346" s="327"/>
      <c r="N346" s="327"/>
      <c r="O346" s="327"/>
      <c r="P346" s="327"/>
      <c r="Q346" s="327"/>
      <c r="R346" s="327"/>
      <c r="S346" s="327"/>
      <c r="T346" s="327"/>
      <c r="U346" s="327"/>
      <c r="V346" s="327"/>
      <c r="W346" s="327"/>
      <c r="X346" s="327"/>
      <c r="Y346" s="327"/>
      <c r="Z346" s="327"/>
      <c r="AA346" s="327"/>
      <c r="AB346" s="327"/>
      <c r="AC346" s="327"/>
      <c r="AD346" s="327"/>
      <c r="AE346" s="327"/>
      <c r="AF346" s="327"/>
      <c r="AG346" s="327"/>
      <c r="AH346" s="327"/>
      <c r="AI346" s="327"/>
      <c r="AJ346" s="327"/>
      <c r="AK346" s="327"/>
      <c r="AL346" s="327"/>
      <c r="AM346" s="327"/>
    </row>
    <row r="347" spans="1:39">
      <c r="A347" s="69"/>
      <c r="B347" s="69"/>
      <c r="C347" s="327"/>
      <c r="D347" s="327"/>
      <c r="E347" s="327"/>
      <c r="F347" s="327"/>
      <c r="G347" s="327"/>
      <c r="H347" s="327"/>
      <c r="I347" s="327"/>
      <c r="J347" s="327"/>
      <c r="K347" s="327"/>
      <c r="L347" s="327"/>
      <c r="M347" s="327"/>
      <c r="N347" s="327"/>
      <c r="O347" s="327"/>
      <c r="P347" s="327"/>
      <c r="Q347" s="327"/>
      <c r="R347" s="327"/>
      <c r="S347" s="327"/>
      <c r="T347" s="327"/>
      <c r="U347" s="327"/>
      <c r="V347" s="327"/>
      <c r="W347" s="327"/>
      <c r="X347" s="327"/>
      <c r="Y347" s="327"/>
      <c r="Z347" s="327"/>
      <c r="AA347" s="327"/>
      <c r="AB347" s="327"/>
      <c r="AC347" s="327"/>
      <c r="AD347" s="327"/>
      <c r="AE347" s="327"/>
      <c r="AF347" s="327"/>
      <c r="AG347" s="327"/>
      <c r="AH347" s="327"/>
      <c r="AI347" s="327"/>
      <c r="AJ347" s="327"/>
      <c r="AK347" s="327"/>
      <c r="AL347" s="327"/>
      <c r="AM347" s="327"/>
    </row>
    <row r="348" spans="1:39">
      <c r="A348" s="69"/>
      <c r="B348" s="69"/>
      <c r="C348" s="327"/>
      <c r="D348" s="327"/>
      <c r="E348" s="327"/>
      <c r="F348" s="327"/>
      <c r="G348" s="327"/>
      <c r="H348" s="327"/>
      <c r="I348" s="327"/>
      <c r="J348" s="327"/>
      <c r="K348" s="327"/>
      <c r="L348" s="327"/>
      <c r="M348" s="327"/>
      <c r="N348" s="327"/>
      <c r="O348" s="327"/>
      <c r="P348" s="327"/>
      <c r="Q348" s="327"/>
      <c r="R348" s="327"/>
      <c r="S348" s="327"/>
      <c r="T348" s="327"/>
      <c r="U348" s="327"/>
      <c r="V348" s="327"/>
      <c r="W348" s="327"/>
      <c r="X348" s="327"/>
      <c r="Y348" s="327"/>
      <c r="Z348" s="327"/>
      <c r="AA348" s="327"/>
      <c r="AB348" s="327"/>
      <c r="AC348" s="327"/>
      <c r="AD348" s="327"/>
      <c r="AE348" s="327"/>
      <c r="AF348" s="327"/>
      <c r="AG348" s="327"/>
      <c r="AH348" s="327"/>
      <c r="AI348" s="327"/>
      <c r="AJ348" s="327"/>
      <c r="AK348" s="327"/>
      <c r="AL348" s="327"/>
      <c r="AM348" s="327"/>
    </row>
    <row r="349" spans="1:39">
      <c r="A349" s="69"/>
      <c r="B349" s="69"/>
      <c r="C349" s="327"/>
      <c r="D349" s="327"/>
      <c r="E349" s="327"/>
      <c r="F349" s="327"/>
      <c r="G349" s="327"/>
      <c r="H349" s="327"/>
      <c r="I349" s="327"/>
      <c r="J349" s="327"/>
      <c r="K349" s="327"/>
      <c r="L349" s="327"/>
      <c r="M349" s="327"/>
      <c r="N349" s="327"/>
      <c r="O349" s="327"/>
      <c r="P349" s="327"/>
      <c r="Q349" s="327"/>
      <c r="R349" s="327"/>
      <c r="S349" s="327"/>
      <c r="T349" s="327"/>
      <c r="U349" s="327"/>
      <c r="V349" s="327"/>
      <c r="W349" s="327"/>
      <c r="X349" s="327"/>
      <c r="Y349" s="327"/>
      <c r="Z349" s="327"/>
      <c r="AA349" s="327"/>
      <c r="AB349" s="327"/>
      <c r="AC349" s="327"/>
      <c r="AD349" s="327"/>
      <c r="AE349" s="327"/>
      <c r="AF349" s="327"/>
      <c r="AG349" s="327"/>
      <c r="AH349" s="327"/>
      <c r="AI349" s="327"/>
      <c r="AJ349" s="327"/>
      <c r="AK349" s="327"/>
      <c r="AL349" s="327"/>
      <c r="AM349" s="327"/>
    </row>
    <row r="350" spans="1:39">
      <c r="A350" s="69"/>
      <c r="B350" s="69"/>
      <c r="C350" s="327"/>
      <c r="D350" s="327"/>
      <c r="E350" s="327"/>
      <c r="F350" s="327"/>
      <c r="G350" s="327"/>
      <c r="H350" s="327"/>
      <c r="I350" s="327"/>
      <c r="J350" s="327"/>
      <c r="K350" s="327"/>
      <c r="L350" s="327"/>
      <c r="M350" s="327"/>
      <c r="N350" s="327"/>
      <c r="O350" s="327"/>
      <c r="P350" s="327"/>
      <c r="Q350" s="327"/>
      <c r="R350" s="327"/>
      <c r="S350" s="327"/>
      <c r="T350" s="327"/>
      <c r="U350" s="327"/>
      <c r="V350" s="327"/>
      <c r="W350" s="327"/>
      <c r="X350" s="327"/>
      <c r="Y350" s="327"/>
      <c r="Z350" s="327"/>
      <c r="AA350" s="327"/>
      <c r="AB350" s="327"/>
      <c r="AC350" s="327"/>
      <c r="AD350" s="327"/>
      <c r="AE350" s="327"/>
      <c r="AF350" s="327"/>
      <c r="AG350" s="327"/>
      <c r="AH350" s="327"/>
      <c r="AI350" s="327"/>
      <c r="AJ350" s="327"/>
      <c r="AK350" s="327"/>
      <c r="AL350" s="327"/>
      <c r="AM350" s="327"/>
    </row>
    <row r="351" spans="1:39">
      <c r="A351" s="69"/>
      <c r="B351" s="69"/>
      <c r="C351" s="327"/>
      <c r="D351" s="327"/>
      <c r="E351" s="327"/>
      <c r="F351" s="327"/>
      <c r="G351" s="327"/>
      <c r="H351" s="327"/>
      <c r="I351" s="327"/>
      <c r="J351" s="327"/>
      <c r="K351" s="327"/>
      <c r="L351" s="327"/>
      <c r="M351" s="327"/>
      <c r="N351" s="327"/>
      <c r="O351" s="327"/>
      <c r="P351" s="327"/>
      <c r="Q351" s="327"/>
      <c r="R351" s="327"/>
      <c r="S351" s="327"/>
      <c r="T351" s="327"/>
      <c r="U351" s="327"/>
      <c r="V351" s="327"/>
      <c r="W351" s="327"/>
      <c r="X351" s="327"/>
      <c r="Y351" s="327"/>
      <c r="Z351" s="327"/>
      <c r="AA351" s="327"/>
      <c r="AB351" s="327"/>
      <c r="AC351" s="327"/>
      <c r="AD351" s="327"/>
      <c r="AE351" s="327"/>
      <c r="AF351" s="327"/>
      <c r="AG351" s="327"/>
      <c r="AH351" s="327"/>
      <c r="AI351" s="327"/>
      <c r="AJ351" s="327"/>
      <c r="AK351" s="327"/>
      <c r="AL351" s="327"/>
      <c r="AM351" s="327"/>
    </row>
    <row r="352" spans="1:39">
      <c r="A352" s="69"/>
      <c r="B352" s="69"/>
      <c r="C352" s="327"/>
      <c r="D352" s="327"/>
      <c r="E352" s="327"/>
      <c r="F352" s="327"/>
      <c r="G352" s="327"/>
      <c r="H352" s="327"/>
      <c r="I352" s="327"/>
      <c r="J352" s="327"/>
      <c r="K352" s="327"/>
      <c r="L352" s="327"/>
      <c r="M352" s="327"/>
      <c r="N352" s="327"/>
      <c r="O352" s="327"/>
      <c r="P352" s="327"/>
      <c r="Q352" s="327"/>
      <c r="R352" s="327"/>
      <c r="S352" s="327"/>
      <c r="T352" s="327"/>
      <c r="U352" s="327"/>
      <c r="V352" s="327"/>
      <c r="W352" s="327"/>
      <c r="X352" s="327"/>
      <c r="Y352" s="327"/>
      <c r="Z352" s="327"/>
      <c r="AA352" s="327"/>
      <c r="AB352" s="327"/>
      <c r="AC352" s="327"/>
      <c r="AD352" s="327"/>
      <c r="AE352" s="327"/>
      <c r="AF352" s="327"/>
      <c r="AG352" s="327"/>
      <c r="AH352" s="327"/>
      <c r="AI352" s="327"/>
      <c r="AJ352" s="327"/>
      <c r="AK352" s="327"/>
      <c r="AL352" s="327"/>
      <c r="AM352" s="327"/>
    </row>
    <row r="353" spans="1:39">
      <c r="A353" s="69"/>
      <c r="B353" s="69"/>
      <c r="C353" s="327"/>
      <c r="D353" s="327"/>
      <c r="E353" s="327"/>
      <c r="F353" s="327"/>
      <c r="G353" s="327"/>
      <c r="H353" s="327"/>
      <c r="I353" s="327"/>
      <c r="J353" s="327"/>
      <c r="K353" s="327"/>
      <c r="L353" s="327"/>
      <c r="M353" s="327"/>
      <c r="N353" s="327"/>
      <c r="O353" s="327"/>
      <c r="P353" s="327"/>
      <c r="Q353" s="327"/>
      <c r="R353" s="327"/>
      <c r="S353" s="327"/>
      <c r="T353" s="327"/>
      <c r="U353" s="327"/>
      <c r="V353" s="327"/>
      <c r="W353" s="327"/>
      <c r="X353" s="327"/>
      <c r="Y353" s="327"/>
      <c r="Z353" s="327"/>
      <c r="AA353" s="327"/>
      <c r="AB353" s="327"/>
      <c r="AC353" s="327"/>
      <c r="AD353" s="327"/>
      <c r="AE353" s="327"/>
      <c r="AF353" s="327"/>
      <c r="AG353" s="327"/>
      <c r="AH353" s="327"/>
      <c r="AI353" s="327"/>
      <c r="AJ353" s="327"/>
      <c r="AK353" s="327"/>
      <c r="AL353" s="327"/>
      <c r="AM353" s="327"/>
    </row>
    <row r="354" spans="1:39">
      <c r="A354" s="69"/>
      <c r="B354" s="69"/>
      <c r="C354" s="327"/>
      <c r="D354" s="327"/>
      <c r="E354" s="327"/>
      <c r="F354" s="327"/>
      <c r="G354" s="327"/>
      <c r="H354" s="327"/>
      <c r="I354" s="327"/>
      <c r="J354" s="327"/>
      <c r="K354" s="327"/>
      <c r="L354" s="327"/>
      <c r="M354" s="327"/>
      <c r="N354" s="327"/>
      <c r="O354" s="327"/>
      <c r="P354" s="327"/>
      <c r="Q354" s="327"/>
      <c r="R354" s="327"/>
      <c r="S354" s="327"/>
      <c r="T354" s="327"/>
      <c r="U354" s="327"/>
      <c r="V354" s="327"/>
      <c r="W354" s="327"/>
      <c r="X354" s="327"/>
      <c r="Y354" s="327"/>
      <c r="Z354" s="327"/>
      <c r="AA354" s="327"/>
      <c r="AB354" s="327"/>
      <c r="AC354" s="327"/>
      <c r="AD354" s="327"/>
      <c r="AE354" s="327"/>
      <c r="AF354" s="327"/>
      <c r="AG354" s="327"/>
      <c r="AH354" s="327"/>
      <c r="AI354" s="327"/>
      <c r="AJ354" s="327"/>
      <c r="AK354" s="327"/>
      <c r="AL354" s="327"/>
      <c r="AM354" s="327"/>
    </row>
    <row r="355" spans="1:39">
      <c r="A355" s="69"/>
      <c r="B355" s="69"/>
      <c r="C355" s="327"/>
      <c r="D355" s="327"/>
      <c r="E355" s="327"/>
      <c r="F355" s="327"/>
      <c r="G355" s="327"/>
      <c r="H355" s="327"/>
      <c r="I355" s="327"/>
      <c r="J355" s="327"/>
      <c r="K355" s="327"/>
      <c r="L355" s="327"/>
      <c r="M355" s="327"/>
      <c r="N355" s="327"/>
      <c r="O355" s="327"/>
      <c r="P355" s="327"/>
      <c r="Q355" s="327"/>
      <c r="R355" s="327"/>
      <c r="S355" s="327"/>
      <c r="T355" s="327"/>
      <c r="U355" s="327"/>
      <c r="V355" s="327"/>
      <c r="W355" s="327"/>
      <c r="X355" s="327"/>
      <c r="Y355" s="327"/>
      <c r="Z355" s="327"/>
      <c r="AA355" s="327"/>
      <c r="AB355" s="327"/>
      <c r="AC355" s="327"/>
      <c r="AD355" s="327"/>
      <c r="AE355" s="327"/>
      <c r="AF355" s="327"/>
      <c r="AG355" s="327"/>
      <c r="AH355" s="327"/>
      <c r="AI355" s="327"/>
      <c r="AJ355" s="327"/>
      <c r="AK355" s="327"/>
      <c r="AL355" s="327"/>
      <c r="AM355" s="327"/>
    </row>
    <row r="356" spans="1:39">
      <c r="A356" s="69"/>
      <c r="B356" s="69"/>
      <c r="C356" s="327"/>
      <c r="D356" s="327"/>
      <c r="E356" s="327"/>
      <c r="F356" s="327"/>
      <c r="G356" s="327"/>
      <c r="H356" s="327"/>
      <c r="I356" s="327"/>
      <c r="J356" s="327"/>
      <c r="K356" s="327"/>
      <c r="L356" s="327"/>
      <c r="M356" s="327"/>
      <c r="N356" s="327"/>
      <c r="O356" s="327"/>
      <c r="P356" s="327"/>
      <c r="Q356" s="327"/>
      <c r="R356" s="327"/>
      <c r="S356" s="327"/>
      <c r="T356" s="327"/>
      <c r="U356" s="327"/>
      <c r="V356" s="327"/>
      <c r="W356" s="327"/>
      <c r="X356" s="327"/>
      <c r="Y356" s="327"/>
      <c r="Z356" s="327"/>
      <c r="AA356" s="327"/>
      <c r="AB356" s="327"/>
      <c r="AC356" s="327"/>
      <c r="AD356" s="327"/>
      <c r="AE356" s="327"/>
      <c r="AF356" s="327"/>
      <c r="AG356" s="327"/>
      <c r="AH356" s="327"/>
      <c r="AI356" s="327"/>
      <c r="AJ356" s="327"/>
      <c r="AK356" s="327"/>
      <c r="AL356" s="327"/>
      <c r="AM356" s="327"/>
    </row>
    <row r="357" spans="1:39">
      <c r="A357" s="69"/>
      <c r="B357" s="69"/>
      <c r="C357" s="327"/>
      <c r="D357" s="327"/>
      <c r="E357" s="327"/>
      <c r="F357" s="327"/>
      <c r="G357" s="327"/>
      <c r="H357" s="327"/>
      <c r="I357" s="327"/>
      <c r="J357" s="327"/>
      <c r="K357" s="327"/>
      <c r="L357" s="327"/>
      <c r="M357" s="327"/>
      <c r="N357" s="327"/>
      <c r="O357" s="327"/>
      <c r="P357" s="327"/>
      <c r="Q357" s="327"/>
      <c r="R357" s="327"/>
      <c r="S357" s="327"/>
      <c r="T357" s="327"/>
      <c r="U357" s="327"/>
      <c r="V357" s="327"/>
      <c r="W357" s="327"/>
      <c r="X357" s="327"/>
      <c r="Y357" s="327"/>
      <c r="Z357" s="327"/>
      <c r="AA357" s="327"/>
      <c r="AB357" s="327"/>
      <c r="AC357" s="327"/>
      <c r="AD357" s="327"/>
      <c r="AE357" s="327"/>
      <c r="AF357" s="327"/>
      <c r="AG357" s="327"/>
      <c r="AH357" s="327"/>
      <c r="AI357" s="327"/>
      <c r="AJ357" s="327"/>
      <c r="AK357" s="327"/>
      <c r="AL357" s="327"/>
      <c r="AM357" s="327"/>
    </row>
    <row r="358" spans="1:39">
      <c r="A358" s="69"/>
      <c r="B358" s="69"/>
      <c r="C358" s="327"/>
      <c r="D358" s="327"/>
      <c r="E358" s="327"/>
      <c r="F358" s="327"/>
      <c r="G358" s="327"/>
      <c r="H358" s="327"/>
      <c r="I358" s="327"/>
      <c r="J358" s="327"/>
      <c r="K358" s="327"/>
      <c r="L358" s="327"/>
      <c r="M358" s="327"/>
      <c r="N358" s="327"/>
      <c r="O358" s="327"/>
      <c r="P358" s="327"/>
      <c r="Q358" s="327"/>
      <c r="R358" s="327"/>
      <c r="S358" s="327"/>
      <c r="T358" s="327"/>
      <c r="U358" s="327"/>
      <c r="V358" s="327"/>
      <c r="W358" s="327"/>
      <c r="X358" s="327"/>
      <c r="Y358" s="327"/>
      <c r="Z358" s="327"/>
      <c r="AA358" s="327"/>
      <c r="AB358" s="327"/>
      <c r="AC358" s="327"/>
      <c r="AD358" s="327"/>
      <c r="AE358" s="327"/>
      <c r="AF358" s="327"/>
      <c r="AG358" s="327"/>
      <c r="AH358" s="327"/>
      <c r="AI358" s="327"/>
      <c r="AJ358" s="327"/>
      <c r="AK358" s="327"/>
      <c r="AL358" s="327"/>
      <c r="AM358" s="327"/>
    </row>
    <row r="359" spans="1:39">
      <c r="A359" s="69"/>
      <c r="B359" s="69"/>
      <c r="C359" s="327"/>
      <c r="D359" s="327"/>
      <c r="E359" s="327"/>
      <c r="F359" s="327"/>
      <c r="G359" s="327"/>
      <c r="H359" s="327"/>
      <c r="I359" s="327"/>
      <c r="J359" s="327"/>
      <c r="K359" s="327"/>
      <c r="L359" s="327"/>
      <c r="M359" s="327"/>
      <c r="N359" s="327"/>
      <c r="O359" s="327"/>
      <c r="P359" s="327"/>
      <c r="Q359" s="327"/>
      <c r="R359" s="327"/>
      <c r="S359" s="327"/>
      <c r="T359" s="327"/>
      <c r="U359" s="327"/>
      <c r="V359" s="327"/>
      <c r="W359" s="327"/>
      <c r="X359" s="327"/>
      <c r="Y359" s="327"/>
      <c r="Z359" s="327"/>
      <c r="AA359" s="327"/>
      <c r="AB359" s="327"/>
      <c r="AC359" s="327"/>
      <c r="AD359" s="327"/>
      <c r="AE359" s="327"/>
      <c r="AF359" s="327"/>
      <c r="AG359" s="327"/>
      <c r="AH359" s="327"/>
      <c r="AI359" s="327"/>
      <c r="AJ359" s="327"/>
      <c r="AK359" s="327"/>
      <c r="AL359" s="327"/>
      <c r="AM359" s="327"/>
    </row>
    <row r="360" spans="1:39">
      <c r="A360" s="69"/>
      <c r="B360" s="69"/>
      <c r="C360" s="327"/>
      <c r="D360" s="327"/>
      <c r="E360" s="327"/>
      <c r="F360" s="327"/>
      <c r="G360" s="327"/>
      <c r="H360" s="327"/>
      <c r="I360" s="327"/>
      <c r="J360" s="327"/>
      <c r="K360" s="327"/>
      <c r="L360" s="327"/>
      <c r="M360" s="327"/>
      <c r="N360" s="327"/>
      <c r="O360" s="327"/>
      <c r="P360" s="327"/>
      <c r="Q360" s="327"/>
      <c r="R360" s="327"/>
      <c r="S360" s="327"/>
      <c r="T360" s="327"/>
      <c r="U360" s="327"/>
      <c r="V360" s="327"/>
      <c r="W360" s="327"/>
      <c r="X360" s="327"/>
      <c r="Y360" s="327"/>
      <c r="Z360" s="327"/>
      <c r="AA360" s="327"/>
      <c r="AB360" s="327"/>
      <c r="AC360" s="327"/>
      <c r="AD360" s="327"/>
      <c r="AE360" s="327"/>
      <c r="AF360" s="327"/>
      <c r="AG360" s="327"/>
      <c r="AH360" s="327"/>
      <c r="AI360" s="327"/>
      <c r="AJ360" s="327"/>
      <c r="AK360" s="327"/>
      <c r="AL360" s="327"/>
      <c r="AM360" s="327"/>
    </row>
    <row r="361" spans="1:39">
      <c r="A361" s="69"/>
      <c r="B361" s="69"/>
      <c r="C361" s="327"/>
      <c r="D361" s="327"/>
      <c r="E361" s="327"/>
      <c r="F361" s="327"/>
      <c r="G361" s="327"/>
      <c r="H361" s="327"/>
      <c r="I361" s="327"/>
      <c r="J361" s="327"/>
      <c r="K361" s="327"/>
      <c r="L361" s="327"/>
      <c r="M361" s="327"/>
      <c r="N361" s="327"/>
      <c r="O361" s="327"/>
      <c r="P361" s="327"/>
      <c r="Q361" s="327"/>
      <c r="R361" s="327"/>
      <c r="S361" s="327"/>
      <c r="T361" s="327"/>
      <c r="U361" s="327"/>
      <c r="V361" s="327"/>
      <c r="W361" s="327"/>
      <c r="X361" s="327"/>
      <c r="Y361" s="327"/>
      <c r="Z361" s="327"/>
      <c r="AA361" s="327"/>
      <c r="AB361" s="327"/>
      <c r="AC361" s="327"/>
      <c r="AD361" s="327"/>
      <c r="AE361" s="327"/>
      <c r="AF361" s="327"/>
      <c r="AG361" s="327"/>
      <c r="AH361" s="327"/>
      <c r="AI361" s="327"/>
      <c r="AJ361" s="327"/>
      <c r="AK361" s="327"/>
      <c r="AL361" s="327"/>
      <c r="AM361" s="327"/>
    </row>
    <row r="362" spans="1:39">
      <c r="A362" s="69"/>
      <c r="B362" s="69"/>
      <c r="C362" s="327"/>
      <c r="D362" s="327"/>
      <c r="E362" s="327"/>
      <c r="F362" s="327"/>
      <c r="G362" s="327"/>
      <c r="H362" s="327"/>
      <c r="I362" s="327"/>
      <c r="J362" s="327"/>
      <c r="K362" s="327"/>
      <c r="L362" s="327"/>
      <c r="M362" s="327"/>
      <c r="N362" s="327"/>
      <c r="O362" s="327"/>
      <c r="P362" s="327"/>
      <c r="Q362" s="327"/>
      <c r="R362" s="327"/>
      <c r="S362" s="327"/>
      <c r="T362" s="327"/>
      <c r="U362" s="327"/>
      <c r="V362" s="327"/>
      <c r="W362" s="327"/>
      <c r="X362" s="327"/>
      <c r="Y362" s="327"/>
      <c r="Z362" s="327"/>
      <c r="AA362" s="327"/>
      <c r="AB362" s="327"/>
      <c r="AC362" s="327"/>
      <c r="AD362" s="327"/>
      <c r="AE362" s="327"/>
      <c r="AF362" s="327"/>
      <c r="AG362" s="327"/>
      <c r="AH362" s="327"/>
      <c r="AI362" s="327"/>
      <c r="AJ362" s="327"/>
      <c r="AK362" s="327"/>
      <c r="AL362" s="327"/>
      <c r="AM362" s="327"/>
    </row>
    <row r="363" spans="1:39">
      <c r="A363" s="69"/>
      <c r="B363" s="69"/>
      <c r="C363" s="327"/>
      <c r="D363" s="327"/>
      <c r="E363" s="327"/>
      <c r="F363" s="327"/>
      <c r="G363" s="327"/>
      <c r="H363" s="327"/>
      <c r="I363" s="327"/>
      <c r="J363" s="327"/>
      <c r="K363" s="327"/>
      <c r="L363" s="327"/>
      <c r="M363" s="327"/>
      <c r="N363" s="327"/>
      <c r="O363" s="327"/>
      <c r="P363" s="327"/>
      <c r="Q363" s="327"/>
      <c r="R363" s="327"/>
      <c r="S363" s="327"/>
      <c r="T363" s="327"/>
      <c r="U363" s="327"/>
      <c r="V363" s="327"/>
      <c r="W363" s="327"/>
      <c r="X363" s="327"/>
      <c r="Y363" s="327"/>
      <c r="Z363" s="327"/>
      <c r="AA363" s="327"/>
      <c r="AB363" s="327"/>
      <c r="AC363" s="327"/>
      <c r="AD363" s="327"/>
      <c r="AE363" s="327"/>
      <c r="AF363" s="327"/>
      <c r="AG363" s="327"/>
      <c r="AH363" s="327"/>
      <c r="AI363" s="327"/>
      <c r="AJ363" s="327"/>
      <c r="AK363" s="327"/>
      <c r="AL363" s="327"/>
      <c r="AM363" s="327"/>
    </row>
    <row r="364" spans="1:39">
      <c r="A364" s="69"/>
      <c r="B364" s="69"/>
      <c r="C364" s="327"/>
      <c r="D364" s="327"/>
      <c r="E364" s="327"/>
      <c r="F364" s="327"/>
      <c r="G364" s="327"/>
      <c r="H364" s="327"/>
      <c r="I364" s="327"/>
      <c r="J364" s="327"/>
      <c r="K364" s="327"/>
      <c r="L364" s="327"/>
      <c r="M364" s="327"/>
      <c r="N364" s="327"/>
      <c r="O364" s="327"/>
      <c r="P364" s="327"/>
      <c r="Q364" s="327"/>
      <c r="R364" s="327"/>
      <c r="S364" s="327"/>
      <c r="T364" s="327"/>
      <c r="U364" s="327"/>
      <c r="V364" s="327"/>
      <c r="W364" s="327"/>
      <c r="X364" s="327"/>
      <c r="Y364" s="327"/>
      <c r="Z364" s="327"/>
      <c r="AA364" s="327"/>
      <c r="AB364" s="327"/>
      <c r="AC364" s="327"/>
      <c r="AD364" s="327"/>
      <c r="AE364" s="327"/>
      <c r="AF364" s="327"/>
      <c r="AG364" s="327"/>
      <c r="AH364" s="327"/>
      <c r="AI364" s="327"/>
      <c r="AJ364" s="327"/>
      <c r="AK364" s="327"/>
      <c r="AL364" s="327"/>
      <c r="AM364" s="327"/>
    </row>
    <row r="365" spans="1:39">
      <c r="A365" s="69"/>
      <c r="B365" s="69"/>
      <c r="C365" s="327"/>
      <c r="D365" s="327"/>
      <c r="E365" s="327"/>
      <c r="F365" s="327"/>
      <c r="G365" s="327"/>
      <c r="H365" s="327"/>
      <c r="I365" s="327"/>
      <c r="J365" s="327"/>
      <c r="K365" s="327"/>
      <c r="L365" s="327"/>
      <c r="M365" s="327"/>
      <c r="N365" s="327"/>
      <c r="O365" s="327"/>
      <c r="P365" s="327"/>
      <c r="Q365" s="327"/>
      <c r="R365" s="327"/>
      <c r="S365" s="327"/>
      <c r="T365" s="327"/>
      <c r="U365" s="327"/>
      <c r="V365" s="327"/>
      <c r="W365" s="327"/>
      <c r="X365" s="327"/>
      <c r="Y365" s="327"/>
      <c r="Z365" s="327"/>
      <c r="AA365" s="327"/>
      <c r="AB365" s="327"/>
      <c r="AC365" s="327"/>
      <c r="AD365" s="327"/>
      <c r="AE365" s="327"/>
      <c r="AF365" s="327"/>
      <c r="AG365" s="327"/>
      <c r="AH365" s="327"/>
      <c r="AI365" s="327"/>
      <c r="AJ365" s="327"/>
      <c r="AK365" s="327"/>
      <c r="AL365" s="327"/>
      <c r="AM365" s="327"/>
    </row>
    <row r="366" spans="1:39">
      <c r="A366" s="69"/>
      <c r="B366" s="69"/>
      <c r="C366" s="327"/>
      <c r="D366" s="327"/>
      <c r="E366" s="327"/>
      <c r="F366" s="327"/>
      <c r="G366" s="327"/>
      <c r="H366" s="327"/>
      <c r="I366" s="327"/>
      <c r="J366" s="327"/>
      <c r="K366" s="327"/>
      <c r="L366" s="327"/>
      <c r="M366" s="327"/>
      <c r="N366" s="327"/>
      <c r="O366" s="327"/>
      <c r="P366" s="327"/>
      <c r="Q366" s="327"/>
      <c r="R366" s="327"/>
      <c r="S366" s="327"/>
      <c r="T366" s="327"/>
      <c r="U366" s="327"/>
      <c r="V366" s="327"/>
      <c r="W366" s="327"/>
      <c r="X366" s="327"/>
      <c r="Y366" s="327"/>
      <c r="Z366" s="327"/>
      <c r="AA366" s="327"/>
      <c r="AB366" s="327"/>
      <c r="AC366" s="327"/>
      <c r="AD366" s="327"/>
      <c r="AE366" s="327"/>
      <c r="AF366" s="327"/>
      <c r="AG366" s="327"/>
      <c r="AH366" s="327"/>
      <c r="AI366" s="327"/>
      <c r="AJ366" s="327"/>
      <c r="AK366" s="327"/>
      <c r="AL366" s="327"/>
      <c r="AM366" s="327"/>
    </row>
    <row r="367" spans="1:39">
      <c r="A367" s="69"/>
      <c r="B367" s="69"/>
      <c r="C367" s="327"/>
      <c r="D367" s="327"/>
      <c r="E367" s="327"/>
      <c r="F367" s="327"/>
      <c r="G367" s="327"/>
      <c r="H367" s="327"/>
      <c r="I367" s="327"/>
      <c r="J367" s="327"/>
      <c r="K367" s="327"/>
      <c r="L367" s="327"/>
      <c r="M367" s="327"/>
      <c r="N367" s="327"/>
      <c r="O367" s="327"/>
      <c r="P367" s="327"/>
      <c r="Q367" s="327"/>
      <c r="R367" s="327"/>
      <c r="S367" s="327"/>
      <c r="T367" s="327"/>
      <c r="U367" s="327"/>
      <c r="V367" s="327"/>
      <c r="W367" s="327"/>
      <c r="X367" s="327"/>
      <c r="Y367" s="327"/>
      <c r="Z367" s="327"/>
      <c r="AA367" s="327"/>
      <c r="AB367" s="327"/>
      <c r="AC367" s="327"/>
      <c r="AD367" s="327"/>
      <c r="AE367" s="327"/>
      <c r="AF367" s="327"/>
      <c r="AG367" s="327"/>
      <c r="AH367" s="327"/>
      <c r="AI367" s="327"/>
      <c r="AJ367" s="327"/>
      <c r="AK367" s="327"/>
      <c r="AL367" s="327"/>
      <c r="AM367" s="327"/>
    </row>
    <row r="368" spans="1:39">
      <c r="A368" s="69"/>
      <c r="B368" s="69"/>
      <c r="C368" s="327"/>
      <c r="D368" s="327"/>
      <c r="E368" s="327"/>
      <c r="F368" s="327"/>
      <c r="G368" s="327"/>
      <c r="H368" s="327"/>
      <c r="I368" s="327"/>
      <c r="J368" s="327"/>
      <c r="K368" s="327"/>
      <c r="L368" s="327"/>
      <c r="M368" s="327"/>
      <c r="N368" s="327"/>
      <c r="O368" s="327"/>
      <c r="P368" s="327"/>
      <c r="Q368" s="327"/>
      <c r="R368" s="327"/>
      <c r="S368" s="327"/>
      <c r="T368" s="327"/>
      <c r="U368" s="327"/>
      <c r="V368" s="327"/>
      <c r="W368" s="327"/>
      <c r="X368" s="327"/>
      <c r="Y368" s="327"/>
      <c r="Z368" s="327"/>
      <c r="AA368" s="327"/>
      <c r="AB368" s="327"/>
      <c r="AC368" s="327"/>
      <c r="AD368" s="327"/>
      <c r="AE368" s="327"/>
      <c r="AF368" s="327"/>
      <c r="AG368" s="327"/>
      <c r="AH368" s="327"/>
      <c r="AI368" s="327"/>
      <c r="AJ368" s="327"/>
      <c r="AK368" s="327"/>
      <c r="AL368" s="327"/>
      <c r="AM368" s="327"/>
    </row>
    <row r="369" spans="1:39">
      <c r="A369" s="69"/>
      <c r="B369" s="69"/>
      <c r="C369" s="327"/>
      <c r="D369" s="327"/>
      <c r="E369" s="327"/>
      <c r="F369" s="327"/>
      <c r="G369" s="327"/>
      <c r="H369" s="327"/>
      <c r="I369" s="327"/>
      <c r="J369" s="327"/>
      <c r="K369" s="327"/>
      <c r="L369" s="327"/>
      <c r="M369" s="327"/>
      <c r="N369" s="327"/>
      <c r="O369" s="327"/>
      <c r="P369" s="327"/>
      <c r="Q369" s="327"/>
      <c r="R369" s="327"/>
      <c r="S369" s="327"/>
      <c r="T369" s="327"/>
      <c r="U369" s="327"/>
      <c r="V369" s="327"/>
      <c r="W369" s="327"/>
      <c r="X369" s="327"/>
      <c r="Y369" s="327"/>
      <c r="Z369" s="327"/>
      <c r="AA369" s="327"/>
      <c r="AB369" s="327"/>
      <c r="AC369" s="327"/>
      <c r="AD369" s="327"/>
      <c r="AE369" s="327"/>
      <c r="AF369" s="327"/>
      <c r="AG369" s="327"/>
      <c r="AH369" s="327"/>
      <c r="AI369" s="327"/>
      <c r="AJ369" s="327"/>
      <c r="AK369" s="327"/>
      <c r="AL369" s="327"/>
      <c r="AM369" s="327"/>
    </row>
    <row r="370" spans="1:39">
      <c r="A370" s="69"/>
      <c r="B370" s="69"/>
      <c r="C370" s="327"/>
      <c r="D370" s="327"/>
      <c r="E370" s="327"/>
      <c r="F370" s="327"/>
      <c r="G370" s="327"/>
      <c r="H370" s="327"/>
      <c r="I370" s="327"/>
      <c r="J370" s="327"/>
      <c r="K370" s="327"/>
      <c r="L370" s="327"/>
      <c r="M370" s="327"/>
      <c r="N370" s="327"/>
      <c r="O370" s="327"/>
      <c r="P370" s="327"/>
      <c r="Q370" s="327"/>
      <c r="R370" s="327"/>
      <c r="S370" s="327"/>
      <c r="T370" s="327"/>
      <c r="U370" s="327"/>
      <c r="V370" s="327"/>
      <c r="W370" s="327"/>
      <c r="X370" s="327"/>
      <c r="Y370" s="327"/>
      <c r="Z370" s="327"/>
      <c r="AA370" s="327"/>
      <c r="AB370" s="327"/>
      <c r="AC370" s="327"/>
      <c r="AD370" s="327"/>
      <c r="AE370" s="327"/>
      <c r="AF370" s="327"/>
      <c r="AG370" s="327"/>
      <c r="AH370" s="327"/>
      <c r="AI370" s="327"/>
      <c r="AJ370" s="327"/>
      <c r="AK370" s="327"/>
      <c r="AL370" s="327"/>
      <c r="AM370" s="327"/>
    </row>
    <row r="371" spans="1:39">
      <c r="A371" s="69"/>
      <c r="B371" s="69"/>
      <c r="C371" s="327"/>
      <c r="D371" s="327"/>
      <c r="E371" s="327"/>
      <c r="F371" s="327"/>
      <c r="G371" s="327"/>
      <c r="H371" s="327"/>
      <c r="I371" s="327"/>
      <c r="J371" s="327"/>
      <c r="K371" s="327"/>
      <c r="L371" s="327"/>
      <c r="M371" s="327"/>
      <c r="N371" s="327"/>
      <c r="O371" s="327"/>
      <c r="P371" s="327"/>
      <c r="Q371" s="327"/>
      <c r="R371" s="327"/>
      <c r="S371" s="327"/>
      <c r="T371" s="327"/>
      <c r="U371" s="327"/>
      <c r="V371" s="327"/>
      <c r="W371" s="327"/>
      <c r="X371" s="327"/>
      <c r="Y371" s="327"/>
      <c r="Z371" s="327"/>
      <c r="AA371" s="327"/>
      <c r="AB371" s="327"/>
      <c r="AC371" s="327"/>
      <c r="AD371" s="327"/>
      <c r="AE371" s="327"/>
      <c r="AF371" s="327"/>
      <c r="AG371" s="327"/>
      <c r="AH371" s="327"/>
      <c r="AI371" s="327"/>
      <c r="AJ371" s="327"/>
      <c r="AK371" s="327"/>
      <c r="AL371" s="327"/>
      <c r="AM371" s="327"/>
    </row>
    <row r="372" spans="1:39">
      <c r="A372" s="69"/>
      <c r="B372" s="69"/>
      <c r="C372" s="327"/>
      <c r="D372" s="327"/>
      <c r="E372" s="327"/>
      <c r="F372" s="327"/>
      <c r="G372" s="327"/>
      <c r="H372" s="327"/>
      <c r="I372" s="327"/>
      <c r="J372" s="327"/>
      <c r="K372" s="327"/>
      <c r="L372" s="327"/>
      <c r="M372" s="327"/>
      <c r="N372" s="327"/>
      <c r="O372" s="327"/>
      <c r="P372" s="327"/>
      <c r="Q372" s="327"/>
      <c r="R372" s="327"/>
      <c r="S372" s="327"/>
      <c r="T372" s="327"/>
      <c r="U372" s="327"/>
      <c r="V372" s="327"/>
      <c r="W372" s="327"/>
      <c r="X372" s="327"/>
      <c r="Y372" s="327"/>
      <c r="Z372" s="327"/>
      <c r="AA372" s="327"/>
      <c r="AB372" s="327"/>
      <c r="AC372" s="327"/>
      <c r="AD372" s="327"/>
      <c r="AE372" s="327"/>
      <c r="AF372" s="327"/>
      <c r="AG372" s="327"/>
      <c r="AH372" s="327"/>
      <c r="AI372" s="327"/>
      <c r="AJ372" s="327"/>
      <c r="AK372" s="327"/>
      <c r="AL372" s="327"/>
      <c r="AM372" s="327"/>
    </row>
    <row r="373" spans="1:39">
      <c r="A373" s="69"/>
      <c r="B373" s="69"/>
      <c r="C373" s="327"/>
      <c r="D373" s="327"/>
      <c r="E373" s="327"/>
      <c r="F373" s="327"/>
      <c r="G373" s="327"/>
      <c r="H373" s="327"/>
      <c r="I373" s="327"/>
      <c r="J373" s="327"/>
      <c r="K373" s="327"/>
      <c r="L373" s="327"/>
      <c r="M373" s="327"/>
      <c r="N373" s="327"/>
      <c r="O373" s="327"/>
      <c r="P373" s="327"/>
      <c r="Q373" s="327"/>
      <c r="R373" s="327"/>
      <c r="S373" s="327"/>
      <c r="T373" s="327"/>
      <c r="U373" s="327"/>
      <c r="V373" s="327"/>
      <c r="W373" s="327"/>
      <c r="X373" s="327"/>
      <c r="Y373" s="327"/>
      <c r="Z373" s="327"/>
      <c r="AA373" s="327"/>
      <c r="AB373" s="327"/>
      <c r="AC373" s="327"/>
      <c r="AD373" s="327"/>
      <c r="AE373" s="327"/>
      <c r="AF373" s="327"/>
      <c r="AG373" s="327"/>
      <c r="AH373" s="327"/>
      <c r="AI373" s="327"/>
      <c r="AJ373" s="327"/>
      <c r="AK373" s="327"/>
      <c r="AL373" s="327"/>
      <c r="AM373" s="327"/>
    </row>
    <row r="374" spans="1:39">
      <c r="A374" s="69"/>
      <c r="B374" s="69"/>
      <c r="C374" s="327"/>
      <c r="D374" s="327"/>
      <c r="E374" s="327"/>
      <c r="F374" s="327"/>
      <c r="G374" s="327"/>
      <c r="H374" s="327"/>
      <c r="I374" s="327"/>
      <c r="J374" s="327"/>
      <c r="K374" s="327"/>
      <c r="L374" s="327"/>
      <c r="M374" s="327"/>
      <c r="N374" s="327"/>
      <c r="O374" s="327"/>
      <c r="P374" s="327"/>
      <c r="Q374" s="327"/>
      <c r="R374" s="327"/>
      <c r="S374" s="327"/>
      <c r="T374" s="327"/>
      <c r="U374" s="327"/>
      <c r="V374" s="327"/>
      <c r="W374" s="327"/>
      <c r="X374" s="327"/>
      <c r="Y374" s="327"/>
      <c r="Z374" s="327"/>
      <c r="AA374" s="327"/>
      <c r="AB374" s="327"/>
      <c r="AC374" s="327"/>
      <c r="AD374" s="327"/>
      <c r="AE374" s="327"/>
      <c r="AF374" s="327"/>
      <c r="AG374" s="327"/>
      <c r="AH374" s="327"/>
      <c r="AI374" s="327"/>
      <c r="AJ374" s="327"/>
      <c r="AK374" s="327"/>
      <c r="AL374" s="327"/>
      <c r="AM374" s="327"/>
    </row>
    <row r="375" spans="1:39">
      <c r="A375" s="69"/>
      <c r="B375" s="69"/>
      <c r="C375" s="327"/>
      <c r="D375" s="327"/>
      <c r="E375" s="327"/>
      <c r="F375" s="327"/>
      <c r="G375" s="327"/>
      <c r="H375" s="327"/>
      <c r="I375" s="327"/>
      <c r="J375" s="327"/>
      <c r="K375" s="327"/>
      <c r="L375" s="327"/>
      <c r="M375" s="327"/>
      <c r="N375" s="327"/>
      <c r="O375" s="327"/>
      <c r="P375" s="327"/>
      <c r="Q375" s="327"/>
      <c r="R375" s="327"/>
      <c r="S375" s="327"/>
      <c r="T375" s="327"/>
      <c r="U375" s="327"/>
      <c r="V375" s="327"/>
      <c r="W375" s="327"/>
      <c r="X375" s="327"/>
      <c r="Y375" s="327"/>
      <c r="Z375" s="327"/>
      <c r="AA375" s="327"/>
      <c r="AB375" s="327"/>
      <c r="AC375" s="327"/>
      <c r="AD375" s="327"/>
      <c r="AE375" s="327"/>
      <c r="AF375" s="327"/>
      <c r="AG375" s="327"/>
      <c r="AH375" s="327"/>
      <c r="AI375" s="327"/>
      <c r="AJ375" s="327"/>
      <c r="AK375" s="327"/>
      <c r="AL375" s="327"/>
      <c r="AM375" s="327"/>
    </row>
    <row r="376" spans="1:39">
      <c r="A376" s="69"/>
      <c r="B376" s="69"/>
      <c r="C376" s="327"/>
      <c r="D376" s="327"/>
      <c r="E376" s="327"/>
      <c r="F376" s="327"/>
      <c r="G376" s="327"/>
      <c r="H376" s="327"/>
      <c r="I376" s="327"/>
      <c r="J376" s="327"/>
      <c r="K376" s="327"/>
      <c r="L376" s="327"/>
      <c r="M376" s="327"/>
      <c r="N376" s="327"/>
      <c r="O376" s="327"/>
      <c r="P376" s="327"/>
      <c r="Q376" s="327"/>
      <c r="R376" s="327"/>
      <c r="S376" s="327"/>
      <c r="T376" s="327"/>
      <c r="U376" s="327"/>
      <c r="V376" s="327"/>
      <c r="W376" s="327"/>
      <c r="X376" s="327"/>
      <c r="Y376" s="327"/>
      <c r="Z376" s="327"/>
      <c r="AA376" s="327"/>
      <c r="AB376" s="327"/>
      <c r="AC376" s="327"/>
      <c r="AD376" s="327"/>
      <c r="AE376" s="327"/>
      <c r="AF376" s="327"/>
      <c r="AG376" s="327"/>
      <c r="AH376" s="327"/>
      <c r="AI376" s="327"/>
      <c r="AJ376" s="327"/>
      <c r="AK376" s="327"/>
      <c r="AL376" s="327"/>
      <c r="AM376" s="327"/>
    </row>
    <row r="377" spans="1:39">
      <c r="A377" s="69"/>
      <c r="B377" s="69"/>
      <c r="C377" s="327"/>
      <c r="D377" s="327"/>
      <c r="E377" s="327"/>
      <c r="F377" s="327"/>
      <c r="G377" s="327"/>
      <c r="H377" s="327"/>
      <c r="I377" s="327"/>
      <c r="J377" s="327"/>
      <c r="K377" s="327"/>
      <c r="L377" s="327"/>
      <c r="M377" s="327"/>
      <c r="N377" s="327"/>
      <c r="O377" s="327"/>
      <c r="P377" s="327"/>
      <c r="Q377" s="327"/>
      <c r="R377" s="327"/>
      <c r="S377" s="327"/>
      <c r="T377" s="327"/>
      <c r="U377" s="327"/>
      <c r="V377" s="327"/>
      <c r="W377" s="327"/>
      <c r="X377" s="327"/>
      <c r="Y377" s="327"/>
      <c r="Z377" s="327"/>
      <c r="AA377" s="327"/>
      <c r="AB377" s="327"/>
      <c r="AC377" s="327"/>
      <c r="AD377" s="327"/>
      <c r="AE377" s="327"/>
      <c r="AF377" s="327"/>
      <c r="AG377" s="327"/>
      <c r="AH377" s="327"/>
      <c r="AI377" s="327"/>
      <c r="AJ377" s="327"/>
      <c r="AK377" s="327"/>
      <c r="AL377" s="327"/>
      <c r="AM377" s="327"/>
    </row>
    <row r="378" spans="1:39">
      <c r="A378" s="69"/>
      <c r="B378" s="69"/>
      <c r="C378" s="327"/>
      <c r="D378" s="327"/>
      <c r="E378" s="327"/>
      <c r="F378" s="327"/>
      <c r="G378" s="327"/>
      <c r="H378" s="327"/>
      <c r="I378" s="327"/>
      <c r="J378" s="327"/>
      <c r="K378" s="327"/>
      <c r="L378" s="327"/>
      <c r="M378" s="327"/>
      <c r="N378" s="327"/>
      <c r="O378" s="327"/>
      <c r="P378" s="327"/>
      <c r="Q378" s="327"/>
      <c r="R378" s="327"/>
      <c r="S378" s="327"/>
      <c r="T378" s="327"/>
      <c r="U378" s="327"/>
      <c r="V378" s="327"/>
      <c r="W378" s="327"/>
      <c r="X378" s="327"/>
      <c r="Y378" s="327"/>
      <c r="Z378" s="327"/>
      <c r="AA378" s="327"/>
      <c r="AB378" s="327"/>
      <c r="AC378" s="327"/>
      <c r="AD378" s="327"/>
      <c r="AE378" s="327"/>
      <c r="AF378" s="327"/>
      <c r="AG378" s="327"/>
      <c r="AH378" s="327"/>
      <c r="AI378" s="327"/>
      <c r="AJ378" s="327"/>
      <c r="AK378" s="327"/>
      <c r="AL378" s="327"/>
      <c r="AM378" s="327"/>
    </row>
    <row r="379" spans="1:39">
      <c r="A379" s="69"/>
      <c r="B379" s="69"/>
      <c r="C379" s="327"/>
      <c r="D379" s="327"/>
      <c r="E379" s="327"/>
      <c r="F379" s="327"/>
      <c r="G379" s="327"/>
      <c r="H379" s="327"/>
      <c r="I379" s="327"/>
      <c r="J379" s="327"/>
      <c r="K379" s="327"/>
      <c r="L379" s="327"/>
      <c r="M379" s="327"/>
      <c r="N379" s="327"/>
      <c r="O379" s="327"/>
      <c r="P379" s="327"/>
      <c r="Q379" s="327"/>
      <c r="R379" s="327"/>
      <c r="S379" s="327"/>
      <c r="T379" s="327"/>
      <c r="U379" s="327"/>
      <c r="V379" s="327"/>
      <c r="W379" s="327"/>
      <c r="X379" s="327"/>
      <c r="Y379" s="327"/>
      <c r="Z379" s="327"/>
      <c r="AA379" s="327"/>
      <c r="AB379" s="327"/>
      <c r="AC379" s="327"/>
      <c r="AD379" s="327"/>
      <c r="AE379" s="327"/>
      <c r="AF379" s="327"/>
      <c r="AG379" s="327"/>
      <c r="AH379" s="327"/>
      <c r="AI379" s="327"/>
      <c r="AJ379" s="327"/>
      <c r="AK379" s="327"/>
      <c r="AL379" s="327"/>
      <c r="AM379" s="327"/>
    </row>
    <row r="380" spans="1:39">
      <c r="A380" s="69"/>
      <c r="B380" s="69"/>
      <c r="C380" s="327"/>
      <c r="D380" s="327"/>
      <c r="E380" s="327"/>
      <c r="F380" s="327"/>
      <c r="G380" s="327"/>
      <c r="H380" s="327"/>
      <c r="I380" s="327"/>
      <c r="J380" s="327"/>
      <c r="K380" s="327"/>
      <c r="L380" s="327"/>
      <c r="M380" s="327"/>
      <c r="N380" s="327"/>
      <c r="O380" s="327"/>
      <c r="P380" s="327"/>
      <c r="Q380" s="327"/>
      <c r="R380" s="327"/>
      <c r="S380" s="327"/>
      <c r="T380" s="327"/>
      <c r="U380" s="327"/>
      <c r="V380" s="327"/>
      <c r="W380" s="327"/>
      <c r="X380" s="327"/>
      <c r="Y380" s="327"/>
      <c r="Z380" s="327"/>
      <c r="AA380" s="327"/>
      <c r="AB380" s="327"/>
      <c r="AC380" s="327"/>
      <c r="AD380" s="327"/>
      <c r="AE380" s="327"/>
      <c r="AF380" s="327"/>
      <c r="AG380" s="327"/>
      <c r="AH380" s="327"/>
      <c r="AI380" s="327"/>
      <c r="AJ380" s="327"/>
      <c r="AK380" s="327"/>
      <c r="AL380" s="327"/>
      <c r="AM380" s="327"/>
    </row>
    <row r="381" spans="1:39">
      <c r="A381" s="69"/>
      <c r="B381" s="69"/>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327"/>
      <c r="AE381" s="327"/>
      <c r="AF381" s="327"/>
      <c r="AG381" s="327"/>
      <c r="AH381" s="327"/>
      <c r="AI381" s="327"/>
      <c r="AJ381" s="327"/>
      <c r="AK381" s="327"/>
      <c r="AL381" s="327"/>
      <c r="AM381" s="327"/>
    </row>
    <row r="382" spans="1:39">
      <c r="A382" s="69"/>
      <c r="B382" s="69"/>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327"/>
      <c r="AE382" s="327"/>
      <c r="AF382" s="327"/>
      <c r="AG382" s="327"/>
      <c r="AH382" s="327"/>
      <c r="AI382" s="327"/>
      <c r="AJ382" s="327"/>
      <c r="AK382" s="327"/>
      <c r="AL382" s="327"/>
      <c r="AM382" s="327"/>
    </row>
    <row r="383" spans="1:39">
      <c r="A383" s="69"/>
      <c r="B383" s="69"/>
      <c r="C383" s="327"/>
      <c r="D383" s="327"/>
      <c r="E383" s="327"/>
      <c r="F383" s="327"/>
      <c r="G383" s="327"/>
      <c r="H383" s="327"/>
      <c r="I383" s="327"/>
      <c r="J383" s="327"/>
      <c r="K383" s="327"/>
      <c r="L383" s="327"/>
      <c r="M383" s="327"/>
      <c r="N383" s="327"/>
      <c r="O383" s="327"/>
      <c r="P383" s="327"/>
      <c r="Q383" s="327"/>
      <c r="R383" s="327"/>
      <c r="S383" s="327"/>
      <c r="T383" s="327"/>
      <c r="U383" s="327"/>
      <c r="V383" s="327"/>
      <c r="W383" s="327"/>
      <c r="X383" s="327"/>
      <c r="Y383" s="327"/>
      <c r="Z383" s="327"/>
      <c r="AA383" s="327"/>
      <c r="AB383" s="327"/>
      <c r="AC383" s="327"/>
      <c r="AD383" s="327"/>
      <c r="AE383" s="327"/>
      <c r="AF383" s="327"/>
      <c r="AG383" s="327"/>
      <c r="AH383" s="327"/>
      <c r="AI383" s="327"/>
      <c r="AJ383" s="327"/>
      <c r="AK383" s="327"/>
      <c r="AL383" s="327"/>
      <c r="AM383" s="327"/>
    </row>
    <row r="384" spans="1:39">
      <c r="A384" s="69"/>
      <c r="B384" s="69"/>
      <c r="C384" s="327"/>
      <c r="D384" s="327"/>
      <c r="E384" s="327"/>
      <c r="F384" s="327"/>
      <c r="G384" s="327"/>
      <c r="H384" s="327"/>
      <c r="I384" s="327"/>
      <c r="J384" s="327"/>
      <c r="K384" s="327"/>
      <c r="L384" s="327"/>
      <c r="M384" s="327"/>
      <c r="N384" s="327"/>
      <c r="O384" s="327"/>
      <c r="P384" s="327"/>
      <c r="Q384" s="327"/>
      <c r="R384" s="327"/>
      <c r="S384" s="327"/>
      <c r="T384" s="327"/>
      <c r="U384" s="327"/>
      <c r="V384" s="327"/>
      <c r="W384" s="327"/>
      <c r="X384" s="327"/>
      <c r="Y384" s="327"/>
      <c r="Z384" s="327"/>
      <c r="AA384" s="327"/>
      <c r="AB384" s="327"/>
      <c r="AC384" s="327"/>
      <c r="AD384" s="327"/>
      <c r="AE384" s="327"/>
      <c r="AF384" s="327"/>
      <c r="AG384" s="327"/>
      <c r="AH384" s="327"/>
      <c r="AI384" s="327"/>
      <c r="AJ384" s="327"/>
      <c r="AK384" s="327"/>
      <c r="AL384" s="327"/>
      <c r="AM384" s="327"/>
    </row>
    <row r="385" spans="1:39">
      <c r="A385" s="69"/>
      <c r="B385" s="69"/>
      <c r="C385" s="327"/>
      <c r="D385" s="327"/>
      <c r="E385" s="327"/>
      <c r="F385" s="327"/>
      <c r="G385" s="327"/>
      <c r="H385" s="327"/>
      <c r="I385" s="327"/>
      <c r="J385" s="327"/>
      <c r="K385" s="327"/>
      <c r="L385" s="327"/>
      <c r="M385" s="327"/>
      <c r="N385" s="327"/>
      <c r="O385" s="327"/>
      <c r="P385" s="327"/>
      <c r="Q385" s="327"/>
      <c r="R385" s="327"/>
      <c r="S385" s="327"/>
      <c r="T385" s="327"/>
      <c r="U385" s="327"/>
      <c r="V385" s="327"/>
      <c r="W385" s="327"/>
      <c r="X385" s="327"/>
      <c r="Y385" s="327"/>
      <c r="Z385" s="327"/>
      <c r="AA385" s="327"/>
      <c r="AB385" s="327"/>
      <c r="AC385" s="327"/>
      <c r="AD385" s="327"/>
      <c r="AE385" s="327"/>
      <c r="AF385" s="327"/>
      <c r="AG385" s="327"/>
      <c r="AH385" s="327"/>
      <c r="AI385" s="327"/>
      <c r="AJ385" s="327"/>
      <c r="AK385" s="327"/>
      <c r="AL385" s="327"/>
      <c r="AM385" s="327"/>
    </row>
    <row r="386" spans="1:39">
      <c r="A386" s="69"/>
      <c r="B386" s="69"/>
      <c r="C386" s="327"/>
      <c r="D386" s="327"/>
      <c r="E386" s="327"/>
      <c r="F386" s="327"/>
      <c r="G386" s="327"/>
      <c r="H386" s="327"/>
      <c r="I386" s="327"/>
      <c r="J386" s="327"/>
      <c r="K386" s="327"/>
      <c r="L386" s="327"/>
      <c r="M386" s="327"/>
      <c r="N386" s="327"/>
      <c r="O386" s="327"/>
      <c r="P386" s="327"/>
      <c r="Q386" s="327"/>
      <c r="R386" s="327"/>
      <c r="S386" s="327"/>
      <c r="T386" s="327"/>
      <c r="U386" s="327"/>
      <c r="V386" s="327"/>
      <c r="W386" s="327"/>
      <c r="X386" s="327"/>
      <c r="Y386" s="327"/>
      <c r="Z386" s="327"/>
      <c r="AA386" s="327"/>
      <c r="AB386" s="327"/>
      <c r="AC386" s="327"/>
      <c r="AD386" s="327"/>
      <c r="AE386" s="327"/>
      <c r="AF386" s="327"/>
      <c r="AG386" s="327"/>
      <c r="AH386" s="327"/>
      <c r="AI386" s="327"/>
      <c r="AJ386" s="327"/>
      <c r="AK386" s="327"/>
      <c r="AL386" s="327"/>
      <c r="AM386" s="327"/>
    </row>
    <row r="387" spans="1:39">
      <c r="A387" s="69"/>
      <c r="B387" s="69"/>
      <c r="C387" s="327"/>
      <c r="D387" s="327"/>
      <c r="E387" s="327"/>
      <c r="F387" s="327"/>
      <c r="G387" s="327"/>
      <c r="H387" s="327"/>
      <c r="I387" s="327"/>
      <c r="J387" s="327"/>
      <c r="K387" s="327"/>
      <c r="L387" s="327"/>
      <c r="M387" s="327"/>
      <c r="N387" s="327"/>
      <c r="O387" s="327"/>
      <c r="P387" s="327"/>
      <c r="Q387" s="327"/>
      <c r="R387" s="327"/>
      <c r="S387" s="327"/>
      <c r="T387" s="327"/>
      <c r="U387" s="327"/>
      <c r="V387" s="327"/>
      <c r="W387" s="327"/>
      <c r="X387" s="327"/>
      <c r="Y387" s="327"/>
      <c r="Z387" s="327"/>
      <c r="AA387" s="327"/>
      <c r="AB387" s="327"/>
      <c r="AC387" s="327"/>
      <c r="AD387" s="327"/>
      <c r="AE387" s="327"/>
      <c r="AF387" s="327"/>
      <c r="AG387" s="327"/>
      <c r="AH387" s="327"/>
      <c r="AI387" s="327"/>
      <c r="AJ387" s="327"/>
      <c r="AK387" s="327"/>
      <c r="AL387" s="327"/>
      <c r="AM387" s="327"/>
    </row>
    <row r="388" spans="1:39">
      <c r="A388" s="69"/>
      <c r="B388" s="69"/>
      <c r="C388" s="327"/>
      <c r="D388" s="327"/>
      <c r="E388" s="327"/>
      <c r="F388" s="327"/>
      <c r="G388" s="327"/>
      <c r="H388" s="327"/>
      <c r="I388" s="327"/>
      <c r="J388" s="327"/>
      <c r="K388" s="327"/>
      <c r="L388" s="327"/>
      <c r="M388" s="327"/>
      <c r="N388" s="327"/>
      <c r="O388" s="327"/>
      <c r="P388" s="327"/>
      <c r="Q388" s="327"/>
      <c r="R388" s="327"/>
      <c r="S388" s="327"/>
      <c r="T388" s="327"/>
      <c r="U388" s="327"/>
      <c r="V388" s="327"/>
      <c r="W388" s="327"/>
      <c r="X388" s="327"/>
      <c r="Y388" s="327"/>
      <c r="Z388" s="327"/>
      <c r="AA388" s="327"/>
      <c r="AB388" s="327"/>
      <c r="AC388" s="327"/>
      <c r="AD388" s="327"/>
      <c r="AE388" s="327"/>
      <c r="AF388" s="327"/>
      <c r="AG388" s="327"/>
      <c r="AH388" s="327"/>
      <c r="AI388" s="327"/>
      <c r="AJ388" s="327"/>
      <c r="AK388" s="327"/>
      <c r="AL388" s="327"/>
      <c r="AM388" s="327"/>
    </row>
    <row r="389" spans="1:39">
      <c r="A389" s="69"/>
      <c r="B389" s="69"/>
      <c r="C389" s="327"/>
      <c r="D389" s="327"/>
      <c r="E389" s="327"/>
      <c r="F389" s="327"/>
      <c r="G389" s="327"/>
      <c r="H389" s="327"/>
      <c r="I389" s="327"/>
      <c r="J389" s="327"/>
      <c r="K389" s="327"/>
      <c r="L389" s="327"/>
      <c r="M389" s="327"/>
      <c r="N389" s="327"/>
      <c r="O389" s="327"/>
      <c r="P389" s="327"/>
      <c r="Q389" s="327"/>
      <c r="R389" s="327"/>
      <c r="S389" s="327"/>
      <c r="T389" s="327"/>
      <c r="U389" s="327"/>
      <c r="V389" s="327"/>
      <c r="W389" s="327"/>
      <c r="X389" s="327"/>
      <c r="Y389" s="327"/>
      <c r="Z389" s="327"/>
      <c r="AA389" s="327"/>
      <c r="AB389" s="327"/>
      <c r="AC389" s="327"/>
      <c r="AD389" s="327"/>
      <c r="AE389" s="327"/>
      <c r="AF389" s="327"/>
      <c r="AG389" s="327"/>
      <c r="AH389" s="327"/>
      <c r="AI389" s="327"/>
      <c r="AJ389" s="327"/>
      <c r="AK389" s="327"/>
      <c r="AL389" s="327"/>
      <c r="AM389" s="327"/>
    </row>
    <row r="390" spans="1:39">
      <c r="A390" s="69"/>
      <c r="B390" s="69"/>
      <c r="C390" s="327"/>
      <c r="D390" s="327"/>
      <c r="E390" s="327"/>
      <c r="F390" s="327"/>
      <c r="G390" s="327"/>
      <c r="H390" s="327"/>
      <c r="I390" s="327"/>
      <c r="J390" s="327"/>
      <c r="K390" s="327"/>
      <c r="L390" s="327"/>
      <c r="M390" s="327"/>
      <c r="N390" s="327"/>
      <c r="O390" s="327"/>
      <c r="P390" s="327"/>
      <c r="Q390" s="327"/>
      <c r="R390" s="327"/>
      <c r="S390" s="327"/>
      <c r="T390" s="327"/>
      <c r="U390" s="327"/>
      <c r="V390" s="327"/>
      <c r="W390" s="327"/>
      <c r="X390" s="327"/>
      <c r="Y390" s="327"/>
      <c r="Z390" s="327"/>
      <c r="AA390" s="327"/>
      <c r="AB390" s="327"/>
      <c r="AC390" s="327"/>
      <c r="AD390" s="327"/>
      <c r="AE390" s="327"/>
      <c r="AF390" s="327"/>
      <c r="AG390" s="327"/>
      <c r="AH390" s="327"/>
      <c r="AI390" s="327"/>
      <c r="AJ390" s="327"/>
      <c r="AK390" s="327"/>
      <c r="AL390" s="327"/>
      <c r="AM390" s="327"/>
    </row>
    <row r="391" spans="1:39">
      <c r="A391" s="69"/>
      <c r="B391" s="69"/>
      <c r="C391" s="327"/>
      <c r="D391" s="327"/>
      <c r="E391" s="327"/>
      <c r="F391" s="327"/>
      <c r="G391" s="327"/>
      <c r="H391" s="327"/>
      <c r="I391" s="327"/>
      <c r="J391" s="327"/>
      <c r="K391" s="327"/>
      <c r="L391" s="327"/>
      <c r="M391" s="327"/>
      <c r="N391" s="327"/>
      <c r="O391" s="327"/>
      <c r="P391" s="327"/>
      <c r="Q391" s="327"/>
      <c r="R391" s="327"/>
      <c r="S391" s="327"/>
      <c r="T391" s="327"/>
      <c r="U391" s="327"/>
      <c r="V391" s="327"/>
      <c r="W391" s="327"/>
      <c r="X391" s="327"/>
      <c r="Y391" s="327"/>
      <c r="Z391" s="327"/>
      <c r="AA391" s="327"/>
      <c r="AB391" s="327"/>
      <c r="AC391" s="327"/>
      <c r="AD391" s="327"/>
      <c r="AE391" s="327"/>
      <c r="AF391" s="327"/>
      <c r="AG391" s="327"/>
      <c r="AH391" s="327"/>
      <c r="AI391" s="327"/>
      <c r="AJ391" s="327"/>
      <c r="AK391" s="327"/>
      <c r="AL391" s="327"/>
      <c r="AM391" s="327"/>
    </row>
    <row r="392" spans="1:39">
      <c r="A392" s="69"/>
      <c r="B392" s="69"/>
      <c r="C392" s="327"/>
      <c r="D392" s="327"/>
      <c r="E392" s="327"/>
      <c r="F392" s="327"/>
      <c r="G392" s="327"/>
      <c r="H392" s="327"/>
      <c r="I392" s="327"/>
      <c r="J392" s="327"/>
      <c r="K392" s="327"/>
      <c r="L392" s="327"/>
      <c r="M392" s="327"/>
      <c r="N392" s="327"/>
      <c r="O392" s="327"/>
      <c r="P392" s="327"/>
      <c r="Q392" s="327"/>
      <c r="R392" s="327"/>
      <c r="S392" s="327"/>
      <c r="T392" s="327"/>
      <c r="U392" s="327"/>
      <c r="V392" s="327"/>
      <c r="W392" s="327"/>
      <c r="X392" s="327"/>
      <c r="Y392" s="327"/>
      <c r="Z392" s="327"/>
      <c r="AA392" s="327"/>
      <c r="AB392" s="327"/>
      <c r="AC392" s="327"/>
      <c r="AD392" s="327"/>
      <c r="AE392" s="327"/>
      <c r="AF392" s="327"/>
      <c r="AG392" s="327"/>
      <c r="AH392" s="327"/>
      <c r="AI392" s="327"/>
      <c r="AJ392" s="327"/>
      <c r="AK392" s="327"/>
      <c r="AL392" s="327"/>
      <c r="AM392" s="327"/>
    </row>
    <row r="393" spans="1:39">
      <c r="A393" s="69"/>
      <c r="B393" s="69"/>
      <c r="C393" s="327"/>
      <c r="D393" s="327"/>
      <c r="E393" s="327"/>
      <c r="F393" s="327"/>
      <c r="G393" s="327"/>
      <c r="H393" s="327"/>
      <c r="I393" s="327"/>
      <c r="J393" s="327"/>
      <c r="K393" s="327"/>
      <c r="L393" s="327"/>
      <c r="M393" s="327"/>
      <c r="N393" s="327"/>
      <c r="O393" s="327"/>
      <c r="P393" s="327"/>
      <c r="Q393" s="327"/>
      <c r="R393" s="327"/>
      <c r="S393" s="327"/>
      <c r="T393" s="327"/>
      <c r="U393" s="327"/>
      <c r="V393" s="327"/>
      <c r="W393" s="327"/>
      <c r="X393" s="327"/>
      <c r="Y393" s="327"/>
      <c r="Z393" s="327"/>
      <c r="AA393" s="327"/>
      <c r="AB393" s="327"/>
      <c r="AC393" s="327"/>
      <c r="AD393" s="327"/>
      <c r="AE393" s="327"/>
      <c r="AF393" s="327"/>
      <c r="AG393" s="327"/>
      <c r="AH393" s="327"/>
      <c r="AI393" s="327"/>
      <c r="AJ393" s="327"/>
      <c r="AK393" s="327"/>
      <c r="AL393" s="327"/>
      <c r="AM393" s="327"/>
    </row>
    <row r="394" spans="1:39">
      <c r="A394" s="69"/>
      <c r="B394" s="69"/>
      <c r="C394" s="327"/>
      <c r="D394" s="327"/>
      <c r="E394" s="327"/>
      <c r="F394" s="327"/>
      <c r="G394" s="327"/>
      <c r="H394" s="327"/>
      <c r="I394" s="327"/>
      <c r="J394" s="327"/>
      <c r="K394" s="327"/>
      <c r="L394" s="327"/>
      <c r="M394" s="327"/>
      <c r="N394" s="327"/>
      <c r="O394" s="327"/>
      <c r="P394" s="327"/>
      <c r="Q394" s="327"/>
      <c r="R394" s="327"/>
      <c r="S394" s="327"/>
      <c r="T394" s="327"/>
      <c r="U394" s="327"/>
      <c r="V394" s="327"/>
      <c r="W394" s="327"/>
      <c r="X394" s="327"/>
      <c r="Y394" s="327"/>
      <c r="Z394" s="327"/>
      <c r="AA394" s="327"/>
      <c r="AB394" s="327"/>
      <c r="AC394" s="327"/>
      <c r="AD394" s="327"/>
      <c r="AE394" s="327"/>
      <c r="AF394" s="327"/>
      <c r="AG394" s="327"/>
      <c r="AH394" s="327"/>
      <c r="AI394" s="327"/>
      <c r="AJ394" s="327"/>
      <c r="AK394" s="327"/>
      <c r="AL394" s="327"/>
      <c r="AM394" s="327"/>
    </row>
    <row r="395" spans="1:39">
      <c r="A395" s="69"/>
      <c r="B395" s="69"/>
      <c r="C395" s="327"/>
      <c r="D395" s="327"/>
      <c r="E395" s="327"/>
      <c r="F395" s="327"/>
      <c r="G395" s="327"/>
      <c r="H395" s="327"/>
      <c r="I395" s="327"/>
      <c r="J395" s="327"/>
      <c r="K395" s="327"/>
      <c r="L395" s="327"/>
      <c r="M395" s="327"/>
      <c r="N395" s="327"/>
      <c r="O395" s="327"/>
      <c r="P395" s="327"/>
      <c r="Q395" s="327"/>
      <c r="R395" s="327"/>
      <c r="S395" s="327"/>
      <c r="T395" s="327"/>
      <c r="U395" s="327"/>
      <c r="V395" s="327"/>
      <c r="W395" s="327"/>
      <c r="X395" s="327"/>
      <c r="Y395" s="327"/>
      <c r="Z395" s="327"/>
      <c r="AA395" s="327"/>
      <c r="AB395" s="327"/>
      <c r="AC395" s="327"/>
      <c r="AD395" s="327"/>
      <c r="AE395" s="327"/>
      <c r="AF395" s="327"/>
      <c r="AG395" s="327"/>
      <c r="AH395" s="327"/>
      <c r="AI395" s="327"/>
      <c r="AJ395" s="327"/>
      <c r="AK395" s="327"/>
      <c r="AL395" s="327"/>
      <c r="AM395" s="327"/>
    </row>
    <row r="396" spans="1:39">
      <c r="A396" s="69"/>
      <c r="B396" s="69"/>
      <c r="C396" s="327"/>
      <c r="D396" s="327"/>
      <c r="E396" s="327"/>
      <c r="F396" s="327"/>
      <c r="G396" s="327"/>
      <c r="H396" s="327"/>
      <c r="I396" s="327"/>
      <c r="J396" s="327"/>
      <c r="K396" s="327"/>
      <c r="L396" s="327"/>
      <c r="M396" s="327"/>
      <c r="N396" s="327"/>
      <c r="O396" s="327"/>
      <c r="P396" s="327"/>
      <c r="Q396" s="327"/>
      <c r="R396" s="327"/>
      <c r="S396" s="327"/>
      <c r="T396" s="327"/>
      <c r="U396" s="327"/>
      <c r="V396" s="327"/>
      <c r="W396" s="327"/>
      <c r="X396" s="327"/>
      <c r="Y396" s="327"/>
      <c r="Z396" s="327"/>
      <c r="AA396" s="327"/>
      <c r="AB396" s="327"/>
      <c r="AC396" s="327"/>
      <c r="AD396" s="327"/>
      <c r="AE396" s="327"/>
      <c r="AF396" s="327"/>
      <c r="AG396" s="327"/>
      <c r="AH396" s="327"/>
      <c r="AI396" s="327"/>
      <c r="AJ396" s="327"/>
      <c r="AK396" s="327"/>
      <c r="AL396" s="327"/>
      <c r="AM396" s="327"/>
    </row>
    <row r="397" spans="1:39">
      <c r="A397" s="69"/>
      <c r="B397" s="69"/>
      <c r="C397" s="327"/>
      <c r="D397" s="327"/>
      <c r="E397" s="327"/>
      <c r="F397" s="327"/>
      <c r="G397" s="327"/>
      <c r="H397" s="327"/>
      <c r="I397" s="327"/>
      <c r="J397" s="327"/>
      <c r="K397" s="327"/>
      <c r="L397" s="327"/>
      <c r="M397" s="327"/>
      <c r="N397" s="327"/>
      <c r="O397" s="327"/>
      <c r="P397" s="327"/>
      <c r="Q397" s="327"/>
      <c r="R397" s="327"/>
      <c r="S397" s="327"/>
      <c r="T397" s="327"/>
      <c r="U397" s="327"/>
      <c r="V397" s="327"/>
      <c r="W397" s="327"/>
      <c r="X397" s="327"/>
      <c r="Y397" s="327"/>
      <c r="Z397" s="327"/>
      <c r="AA397" s="327"/>
      <c r="AB397" s="327"/>
      <c r="AC397" s="327"/>
      <c r="AD397" s="327"/>
      <c r="AE397" s="327"/>
      <c r="AF397" s="327"/>
      <c r="AG397" s="327"/>
      <c r="AH397" s="327"/>
      <c r="AI397" s="327"/>
      <c r="AJ397" s="327"/>
      <c r="AK397" s="327"/>
      <c r="AL397" s="327"/>
      <c r="AM397" s="327"/>
    </row>
    <row r="398" spans="1:39">
      <c r="A398" s="69"/>
      <c r="B398" s="69"/>
      <c r="C398" s="327"/>
      <c r="D398" s="327"/>
      <c r="E398" s="327"/>
      <c r="F398" s="327"/>
      <c r="G398" s="327"/>
      <c r="H398" s="327"/>
      <c r="I398" s="327"/>
      <c r="J398" s="327"/>
      <c r="K398" s="327"/>
      <c r="L398" s="327"/>
      <c r="M398" s="327"/>
      <c r="N398" s="327"/>
      <c r="O398" s="327"/>
      <c r="P398" s="327"/>
      <c r="Q398" s="327"/>
      <c r="R398" s="327"/>
      <c r="S398" s="327"/>
      <c r="T398" s="327"/>
      <c r="U398" s="327"/>
      <c r="V398" s="327"/>
      <c r="W398" s="327"/>
      <c r="X398" s="327"/>
      <c r="Y398" s="327"/>
      <c r="Z398" s="327"/>
      <c r="AA398" s="327"/>
      <c r="AB398" s="327"/>
      <c r="AC398" s="327"/>
      <c r="AD398" s="327"/>
      <c r="AE398" s="327"/>
      <c r="AF398" s="327"/>
      <c r="AG398" s="327"/>
      <c r="AH398" s="327"/>
      <c r="AI398" s="327"/>
      <c r="AJ398" s="327"/>
      <c r="AK398" s="327"/>
      <c r="AL398" s="327"/>
      <c r="AM398" s="327"/>
    </row>
    <row r="399" spans="1:39">
      <c r="A399" s="69"/>
      <c r="B399" s="69"/>
      <c r="C399" s="327"/>
      <c r="D399" s="327"/>
      <c r="E399" s="327"/>
      <c r="F399" s="327"/>
      <c r="G399" s="327"/>
      <c r="H399" s="327"/>
      <c r="I399" s="327"/>
      <c r="J399" s="327"/>
      <c r="K399" s="327"/>
      <c r="L399" s="327"/>
      <c r="M399" s="327"/>
      <c r="N399" s="327"/>
      <c r="O399" s="327"/>
      <c r="P399" s="327"/>
      <c r="Q399" s="327"/>
      <c r="R399" s="327"/>
      <c r="S399" s="327"/>
      <c r="T399" s="327"/>
      <c r="U399" s="327"/>
      <c r="V399" s="327"/>
      <c r="W399" s="327"/>
      <c r="X399" s="327"/>
      <c r="Y399" s="327"/>
      <c r="Z399" s="327"/>
      <c r="AA399" s="327"/>
      <c r="AB399" s="327"/>
      <c r="AC399" s="327"/>
      <c r="AD399" s="327"/>
      <c r="AE399" s="327"/>
      <c r="AF399" s="327"/>
      <c r="AG399" s="327"/>
      <c r="AH399" s="327"/>
      <c r="AI399" s="327"/>
      <c r="AJ399" s="327"/>
      <c r="AK399" s="327"/>
      <c r="AL399" s="327"/>
      <c r="AM399" s="327"/>
    </row>
    <row r="400" spans="1:39">
      <c r="A400" s="69"/>
      <c r="B400" s="69"/>
      <c r="C400" s="327"/>
      <c r="D400" s="327"/>
      <c r="E400" s="327"/>
      <c r="F400" s="327"/>
      <c r="G400" s="327"/>
      <c r="H400" s="327"/>
      <c r="I400" s="327"/>
      <c r="J400" s="327"/>
      <c r="K400" s="327"/>
      <c r="L400" s="327"/>
      <c r="M400" s="327"/>
      <c r="N400" s="327"/>
      <c r="O400" s="327"/>
      <c r="P400" s="327"/>
      <c r="Q400" s="327"/>
      <c r="R400" s="327"/>
      <c r="S400" s="327"/>
      <c r="T400" s="327"/>
      <c r="U400" s="327"/>
      <c r="V400" s="327"/>
      <c r="W400" s="327"/>
      <c r="X400" s="327"/>
      <c r="Y400" s="327"/>
      <c r="Z400" s="327"/>
      <c r="AA400" s="327"/>
      <c r="AB400" s="327"/>
      <c r="AC400" s="327"/>
      <c r="AD400" s="327"/>
      <c r="AE400" s="327"/>
      <c r="AF400" s="327"/>
      <c r="AG400" s="327"/>
      <c r="AH400" s="327"/>
      <c r="AI400" s="327"/>
      <c r="AJ400" s="327"/>
      <c r="AK400" s="327"/>
      <c r="AL400" s="327"/>
      <c r="AM400" s="327"/>
    </row>
    <row r="401" spans="1:39">
      <c r="A401" s="69"/>
      <c r="B401" s="69"/>
      <c r="C401" s="327"/>
      <c r="D401" s="327"/>
      <c r="E401" s="327"/>
      <c r="F401" s="327"/>
      <c r="G401" s="327"/>
      <c r="H401" s="327"/>
      <c r="I401" s="327"/>
      <c r="J401" s="327"/>
      <c r="K401" s="327"/>
      <c r="L401" s="327"/>
      <c r="M401" s="327"/>
      <c r="N401" s="327"/>
      <c r="O401" s="327"/>
      <c r="P401" s="327"/>
      <c r="Q401" s="327"/>
      <c r="R401" s="327"/>
      <c r="S401" s="327"/>
      <c r="T401" s="327"/>
      <c r="U401" s="327"/>
      <c r="V401" s="327"/>
      <c r="W401" s="327"/>
      <c r="X401" s="327"/>
      <c r="Y401" s="327"/>
      <c r="Z401" s="327"/>
      <c r="AA401" s="327"/>
      <c r="AB401" s="327"/>
      <c r="AC401" s="327"/>
      <c r="AD401" s="327"/>
      <c r="AE401" s="327"/>
      <c r="AF401" s="327"/>
      <c r="AG401" s="327"/>
      <c r="AH401" s="327"/>
      <c r="AI401" s="327"/>
      <c r="AJ401" s="327"/>
      <c r="AK401" s="327"/>
      <c r="AL401" s="327"/>
      <c r="AM401" s="327"/>
    </row>
    <row r="402" spans="1:39">
      <c r="A402" s="69"/>
      <c r="B402" s="69"/>
      <c r="C402" s="327"/>
      <c r="D402" s="327"/>
      <c r="E402" s="327"/>
      <c r="F402" s="327"/>
      <c r="G402" s="327"/>
      <c r="H402" s="327"/>
      <c r="I402" s="327"/>
      <c r="J402" s="327"/>
      <c r="K402" s="327"/>
      <c r="L402" s="327"/>
      <c r="M402" s="327"/>
      <c r="N402" s="327"/>
      <c r="O402" s="327"/>
      <c r="P402" s="327"/>
      <c r="Q402" s="327"/>
      <c r="R402" s="327"/>
      <c r="S402" s="327"/>
      <c r="T402" s="327"/>
      <c r="U402" s="327"/>
      <c r="V402" s="327"/>
      <c r="W402" s="327"/>
      <c r="X402" s="327"/>
      <c r="Y402" s="327"/>
      <c r="Z402" s="327"/>
      <c r="AA402" s="327"/>
      <c r="AB402" s="327"/>
      <c r="AC402" s="327"/>
      <c r="AD402" s="327"/>
      <c r="AE402" s="327"/>
      <c r="AF402" s="327"/>
      <c r="AG402" s="327"/>
      <c r="AH402" s="327"/>
      <c r="AI402" s="327"/>
      <c r="AJ402" s="327"/>
      <c r="AK402" s="327"/>
      <c r="AL402" s="327"/>
      <c r="AM402" s="327"/>
    </row>
    <row r="403" spans="1:39">
      <c r="A403" s="69"/>
      <c r="B403" s="69"/>
      <c r="C403" s="327"/>
      <c r="D403" s="327"/>
      <c r="E403" s="327"/>
      <c r="F403" s="327"/>
      <c r="G403" s="327"/>
      <c r="H403" s="327"/>
      <c r="I403" s="327"/>
      <c r="J403" s="327"/>
      <c r="K403" s="327"/>
      <c r="L403" s="327"/>
      <c r="M403" s="327"/>
      <c r="N403" s="327"/>
      <c r="O403" s="327"/>
      <c r="P403" s="327"/>
      <c r="Q403" s="327"/>
      <c r="R403" s="327"/>
      <c r="S403" s="327"/>
      <c r="T403" s="327"/>
      <c r="U403" s="327"/>
      <c r="V403" s="327"/>
      <c r="W403" s="327"/>
      <c r="X403" s="327"/>
      <c r="Y403" s="327"/>
      <c r="Z403" s="327"/>
      <c r="AA403" s="327"/>
      <c r="AB403" s="327"/>
      <c r="AC403" s="327"/>
      <c r="AD403" s="327"/>
      <c r="AE403" s="327"/>
      <c r="AF403" s="327"/>
      <c r="AG403" s="327"/>
      <c r="AH403" s="327"/>
      <c r="AI403" s="327"/>
      <c r="AJ403" s="327"/>
      <c r="AK403" s="327"/>
      <c r="AL403" s="327"/>
      <c r="AM403" s="327"/>
    </row>
    <row r="404" spans="1:39">
      <c r="A404" s="69"/>
      <c r="B404" s="69"/>
      <c r="C404" s="327"/>
      <c r="D404" s="327"/>
      <c r="E404" s="327"/>
      <c r="F404" s="327"/>
      <c r="G404" s="327"/>
      <c r="H404" s="327"/>
      <c r="I404" s="327"/>
      <c r="J404" s="327"/>
      <c r="K404" s="327"/>
      <c r="L404" s="327"/>
      <c r="M404" s="327"/>
      <c r="N404" s="327"/>
      <c r="O404" s="327"/>
      <c r="P404" s="327"/>
      <c r="Q404" s="327"/>
      <c r="R404" s="327"/>
      <c r="S404" s="327"/>
      <c r="T404" s="327"/>
      <c r="U404" s="327"/>
      <c r="V404" s="327"/>
      <c r="W404" s="327"/>
      <c r="X404" s="327"/>
      <c r="Y404" s="327"/>
      <c r="Z404" s="327"/>
      <c r="AA404" s="327"/>
      <c r="AB404" s="327"/>
      <c r="AC404" s="327"/>
      <c r="AD404" s="327"/>
      <c r="AE404" s="327"/>
      <c r="AF404" s="327"/>
      <c r="AG404" s="327"/>
      <c r="AH404" s="327"/>
      <c r="AI404" s="327"/>
      <c r="AJ404" s="327"/>
      <c r="AK404" s="327"/>
      <c r="AL404" s="327"/>
      <c r="AM404" s="327"/>
    </row>
    <row r="405" spans="1:39">
      <c r="A405" s="69"/>
      <c r="B405" s="69"/>
      <c r="C405" s="327"/>
      <c r="D405" s="327"/>
      <c r="E405" s="327"/>
      <c r="F405" s="327"/>
      <c r="G405" s="327"/>
      <c r="H405" s="327"/>
      <c r="I405" s="327"/>
      <c r="J405" s="327"/>
      <c r="K405" s="327"/>
      <c r="L405" s="327"/>
      <c r="M405" s="327"/>
      <c r="N405" s="327"/>
      <c r="O405" s="327"/>
      <c r="P405" s="327"/>
      <c r="Q405" s="327"/>
      <c r="R405" s="327"/>
      <c r="S405" s="327"/>
      <c r="T405" s="327"/>
      <c r="U405" s="327"/>
      <c r="V405" s="327"/>
      <c r="W405" s="327"/>
      <c r="X405" s="327"/>
      <c r="Y405" s="327"/>
      <c r="Z405" s="327"/>
      <c r="AA405" s="327"/>
      <c r="AB405" s="327"/>
      <c r="AC405" s="327"/>
      <c r="AD405" s="327"/>
      <c r="AE405" s="327"/>
      <c r="AF405" s="327"/>
      <c r="AG405" s="327"/>
      <c r="AH405" s="327"/>
      <c r="AI405" s="327"/>
      <c r="AJ405" s="327"/>
      <c r="AK405" s="327"/>
      <c r="AL405" s="327"/>
      <c r="AM405" s="327"/>
    </row>
    <row r="406" spans="1:39">
      <c r="A406" s="69"/>
      <c r="B406" s="69"/>
      <c r="C406" s="327"/>
      <c r="D406" s="327"/>
      <c r="E406" s="327"/>
      <c r="F406" s="327"/>
      <c r="G406" s="327"/>
      <c r="H406" s="327"/>
      <c r="I406" s="327"/>
      <c r="J406" s="327"/>
      <c r="K406" s="327"/>
      <c r="L406" s="327"/>
      <c r="M406" s="327"/>
      <c r="N406" s="327"/>
      <c r="O406" s="327"/>
      <c r="P406" s="327"/>
      <c r="Q406" s="327"/>
      <c r="R406" s="327"/>
      <c r="S406" s="327"/>
      <c r="T406" s="327"/>
      <c r="U406" s="327"/>
      <c r="V406" s="327"/>
      <c r="W406" s="327"/>
      <c r="X406" s="327"/>
      <c r="Y406" s="327"/>
      <c r="Z406" s="327"/>
      <c r="AA406" s="327"/>
      <c r="AB406" s="327"/>
      <c r="AC406" s="327"/>
      <c r="AD406" s="327"/>
      <c r="AE406" s="327"/>
      <c r="AF406" s="327"/>
      <c r="AG406" s="327"/>
      <c r="AH406" s="327"/>
      <c r="AI406" s="327"/>
      <c r="AJ406" s="327"/>
      <c r="AK406" s="327"/>
      <c r="AL406" s="327"/>
      <c r="AM406" s="327"/>
    </row>
    <row r="407" spans="1:39">
      <c r="A407" s="69"/>
      <c r="B407" s="69"/>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327"/>
      <c r="AE407" s="327"/>
      <c r="AF407" s="327"/>
      <c r="AG407" s="327"/>
      <c r="AH407" s="327"/>
      <c r="AI407" s="327"/>
      <c r="AJ407" s="327"/>
      <c r="AK407" s="327"/>
      <c r="AL407" s="327"/>
      <c r="AM407" s="327"/>
    </row>
    <row r="408" spans="1:39">
      <c r="A408" s="69"/>
      <c r="B408" s="69"/>
      <c r="C408" s="327"/>
      <c r="D408" s="327"/>
      <c r="E408" s="327"/>
      <c r="F408" s="327"/>
      <c r="G408" s="327"/>
      <c r="H408" s="327"/>
      <c r="I408" s="327"/>
      <c r="J408" s="327"/>
      <c r="K408" s="327"/>
      <c r="L408" s="327"/>
      <c r="M408" s="327"/>
      <c r="N408" s="327"/>
      <c r="O408" s="327"/>
      <c r="P408" s="327"/>
      <c r="Q408" s="327"/>
      <c r="R408" s="327"/>
      <c r="S408" s="327"/>
      <c r="T408" s="327"/>
      <c r="U408" s="327"/>
      <c r="V408" s="327"/>
      <c r="W408" s="327"/>
      <c r="X408" s="327"/>
      <c r="Y408" s="327"/>
      <c r="Z408" s="327"/>
      <c r="AA408" s="327"/>
      <c r="AB408" s="327"/>
      <c r="AC408" s="327"/>
      <c r="AD408" s="327"/>
      <c r="AE408" s="327"/>
      <c r="AF408" s="327"/>
      <c r="AG408" s="327"/>
      <c r="AH408" s="327"/>
      <c r="AI408" s="327"/>
      <c r="AJ408" s="327"/>
      <c r="AK408" s="327"/>
      <c r="AL408" s="327"/>
      <c r="AM408" s="327"/>
    </row>
    <row r="409" spans="1:39">
      <c r="A409" s="69"/>
      <c r="B409" s="69"/>
      <c r="C409" s="327"/>
      <c r="D409" s="327"/>
      <c r="E409" s="327"/>
      <c r="F409" s="327"/>
      <c r="G409" s="327"/>
      <c r="H409" s="327"/>
      <c r="I409" s="327"/>
      <c r="J409" s="327"/>
      <c r="K409" s="327"/>
      <c r="L409" s="327"/>
      <c r="M409" s="327"/>
      <c r="N409" s="327"/>
      <c r="O409" s="327"/>
      <c r="P409" s="327"/>
      <c r="Q409" s="327"/>
      <c r="R409" s="327"/>
      <c r="S409" s="327"/>
      <c r="T409" s="327"/>
      <c r="U409" s="327"/>
      <c r="V409" s="327"/>
      <c r="W409" s="327"/>
      <c r="X409" s="327"/>
      <c r="Y409" s="327"/>
      <c r="Z409" s="327"/>
      <c r="AA409" s="327"/>
      <c r="AB409" s="327"/>
      <c r="AC409" s="327"/>
      <c r="AD409" s="327"/>
      <c r="AE409" s="327"/>
      <c r="AF409" s="327"/>
      <c r="AG409" s="327"/>
      <c r="AH409" s="327"/>
      <c r="AI409" s="327"/>
      <c r="AJ409" s="327"/>
      <c r="AK409" s="327"/>
      <c r="AL409" s="327"/>
      <c r="AM409" s="327"/>
    </row>
    <row r="410" spans="1:39">
      <c r="A410" s="69"/>
      <c r="B410" s="69"/>
      <c r="C410" s="327"/>
      <c r="D410" s="327"/>
      <c r="E410" s="327"/>
      <c r="F410" s="327"/>
      <c r="G410" s="327"/>
      <c r="H410" s="327"/>
      <c r="I410" s="327"/>
      <c r="J410" s="327"/>
      <c r="K410" s="327"/>
      <c r="L410" s="327"/>
      <c r="M410" s="327"/>
      <c r="N410" s="327"/>
      <c r="O410" s="327"/>
      <c r="P410" s="327"/>
      <c r="Q410" s="327"/>
      <c r="R410" s="327"/>
      <c r="S410" s="327"/>
      <c r="T410" s="327"/>
      <c r="U410" s="327"/>
      <c r="V410" s="327"/>
      <c r="W410" s="327"/>
      <c r="X410" s="327"/>
      <c r="Y410" s="327"/>
      <c r="Z410" s="327"/>
      <c r="AA410" s="327"/>
      <c r="AB410" s="327"/>
      <c r="AC410" s="327"/>
      <c r="AD410" s="327"/>
      <c r="AE410" s="327"/>
      <c r="AF410" s="327"/>
      <c r="AG410" s="327"/>
      <c r="AH410" s="327"/>
      <c r="AI410" s="327"/>
      <c r="AJ410" s="327"/>
      <c r="AK410" s="327"/>
      <c r="AL410" s="327"/>
      <c r="AM410" s="327"/>
    </row>
    <row r="411" spans="1:39">
      <c r="A411" s="69"/>
      <c r="B411" s="69"/>
      <c r="C411" s="327"/>
      <c r="D411" s="327"/>
      <c r="E411" s="327"/>
      <c r="F411" s="327"/>
      <c r="G411" s="327"/>
      <c r="H411" s="327"/>
      <c r="I411" s="327"/>
      <c r="J411" s="327"/>
      <c r="K411" s="327"/>
      <c r="L411" s="327"/>
      <c r="M411" s="327"/>
      <c r="N411" s="327"/>
      <c r="O411" s="327"/>
      <c r="P411" s="327"/>
      <c r="Q411" s="327"/>
      <c r="R411" s="327"/>
      <c r="S411" s="327"/>
      <c r="T411" s="327"/>
      <c r="U411" s="327"/>
      <c r="V411" s="327"/>
      <c r="W411" s="327"/>
      <c r="X411" s="327"/>
      <c r="Y411" s="327"/>
      <c r="Z411" s="327"/>
      <c r="AA411" s="327"/>
      <c r="AB411" s="327"/>
      <c r="AC411" s="327"/>
      <c r="AD411" s="327"/>
      <c r="AE411" s="327"/>
      <c r="AF411" s="327"/>
      <c r="AG411" s="327"/>
      <c r="AH411" s="327"/>
      <c r="AI411" s="327"/>
      <c r="AJ411" s="327"/>
      <c r="AK411" s="327"/>
      <c r="AL411" s="327"/>
      <c r="AM411" s="327"/>
    </row>
    <row r="412" spans="1:39">
      <c r="A412" s="69"/>
      <c r="B412" s="69"/>
      <c r="C412" s="327"/>
      <c r="D412" s="327"/>
      <c r="E412" s="327"/>
      <c r="F412" s="327"/>
      <c r="G412" s="327"/>
      <c r="H412" s="327"/>
      <c r="I412" s="327"/>
      <c r="J412" s="327"/>
      <c r="K412" s="327"/>
      <c r="L412" s="327"/>
      <c r="M412" s="327"/>
      <c r="N412" s="327"/>
      <c r="O412" s="327"/>
      <c r="P412" s="327"/>
      <c r="Q412" s="327"/>
      <c r="R412" s="327"/>
      <c r="S412" s="327"/>
      <c r="T412" s="327"/>
      <c r="U412" s="327"/>
      <c r="V412" s="327"/>
      <c r="W412" s="327"/>
      <c r="X412" s="327"/>
      <c r="Y412" s="327"/>
      <c r="Z412" s="327"/>
      <c r="AA412" s="327"/>
      <c r="AB412" s="327"/>
      <c r="AC412" s="327"/>
      <c r="AD412" s="327"/>
      <c r="AE412" s="327"/>
      <c r="AF412" s="327"/>
      <c r="AG412" s="327"/>
      <c r="AH412" s="327"/>
      <c r="AI412" s="327"/>
      <c r="AJ412" s="327"/>
      <c r="AK412" s="327"/>
      <c r="AL412" s="327"/>
      <c r="AM412" s="327"/>
    </row>
    <row r="413" spans="1:39">
      <c r="A413" s="69"/>
      <c r="B413" s="69"/>
      <c r="C413" s="327"/>
      <c r="D413" s="327"/>
      <c r="E413" s="327"/>
      <c r="F413" s="327"/>
      <c r="G413" s="327"/>
      <c r="H413" s="327"/>
      <c r="I413" s="327"/>
      <c r="J413" s="327"/>
      <c r="K413" s="327"/>
      <c r="L413" s="327"/>
      <c r="M413" s="327"/>
      <c r="N413" s="327"/>
      <c r="O413" s="327"/>
      <c r="P413" s="327"/>
      <c r="Q413" s="327"/>
      <c r="R413" s="327"/>
      <c r="S413" s="327"/>
      <c r="T413" s="327"/>
      <c r="U413" s="327"/>
      <c r="V413" s="327"/>
      <c r="W413" s="327"/>
      <c r="X413" s="327"/>
      <c r="Y413" s="327"/>
      <c r="Z413" s="327"/>
      <c r="AA413" s="327"/>
      <c r="AB413" s="327"/>
      <c r="AC413" s="327"/>
      <c r="AD413" s="327"/>
      <c r="AE413" s="327"/>
      <c r="AF413" s="327"/>
      <c r="AG413" s="327"/>
      <c r="AH413" s="327"/>
      <c r="AI413" s="327"/>
      <c r="AJ413" s="327"/>
      <c r="AK413" s="327"/>
      <c r="AL413" s="327"/>
      <c r="AM413" s="327"/>
    </row>
    <row r="414" spans="1:39">
      <c r="A414" s="69"/>
      <c r="B414" s="69"/>
      <c r="C414" s="327"/>
      <c r="D414" s="327"/>
      <c r="E414" s="327"/>
      <c r="F414" s="327"/>
      <c r="G414" s="327"/>
      <c r="H414" s="327"/>
      <c r="I414" s="327"/>
      <c r="J414" s="327"/>
      <c r="K414" s="327"/>
      <c r="L414" s="327"/>
      <c r="M414" s="327"/>
      <c r="N414" s="327"/>
      <c r="O414" s="327"/>
      <c r="P414" s="327"/>
      <c r="Q414" s="327"/>
      <c r="R414" s="327"/>
      <c r="S414" s="327"/>
      <c r="T414" s="327"/>
      <c r="U414" s="327"/>
      <c r="V414" s="327"/>
      <c r="W414" s="327"/>
      <c r="X414" s="327"/>
      <c r="Y414" s="327"/>
      <c r="Z414" s="327"/>
      <c r="AA414" s="327"/>
      <c r="AB414" s="327"/>
      <c r="AC414" s="327"/>
      <c r="AD414" s="327"/>
      <c r="AE414" s="327"/>
      <c r="AF414" s="327"/>
      <c r="AG414" s="327"/>
      <c r="AH414" s="327"/>
      <c r="AI414" s="327"/>
      <c r="AJ414" s="327"/>
      <c r="AK414" s="327"/>
      <c r="AL414" s="327"/>
      <c r="AM414" s="327"/>
    </row>
    <row r="415" spans="1:39">
      <c r="A415" s="69"/>
      <c r="B415" s="69"/>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327"/>
      <c r="AE415" s="327"/>
      <c r="AF415" s="327"/>
      <c r="AG415" s="327"/>
      <c r="AH415" s="327"/>
      <c r="AI415" s="327"/>
      <c r="AJ415" s="327"/>
      <c r="AK415" s="327"/>
      <c r="AL415" s="327"/>
      <c r="AM415" s="327"/>
    </row>
    <row r="416" spans="1:39">
      <c r="A416" s="69"/>
      <c r="B416" s="69"/>
      <c r="C416" s="327"/>
      <c r="D416" s="327"/>
      <c r="E416" s="327"/>
      <c r="F416" s="327"/>
      <c r="G416" s="327"/>
      <c r="H416" s="327"/>
      <c r="I416" s="327"/>
      <c r="J416" s="327"/>
      <c r="K416" s="327"/>
      <c r="L416" s="327"/>
      <c r="M416" s="327"/>
      <c r="N416" s="327"/>
      <c r="O416" s="327"/>
      <c r="P416" s="327"/>
      <c r="Q416" s="327"/>
      <c r="R416" s="327"/>
      <c r="S416" s="327"/>
      <c r="T416" s="327"/>
      <c r="U416" s="327"/>
      <c r="V416" s="327"/>
      <c r="W416" s="327"/>
      <c r="X416" s="327"/>
      <c r="Y416" s="327"/>
      <c r="Z416" s="327"/>
      <c r="AA416" s="327"/>
      <c r="AB416" s="327"/>
      <c r="AC416" s="327"/>
      <c r="AD416" s="327"/>
      <c r="AE416" s="327"/>
      <c r="AF416" s="327"/>
      <c r="AG416" s="327"/>
      <c r="AH416" s="327"/>
      <c r="AI416" s="327"/>
      <c r="AJ416" s="327"/>
      <c r="AK416" s="327"/>
      <c r="AL416" s="327"/>
      <c r="AM416" s="327"/>
    </row>
    <row r="417" spans="1:39">
      <c r="A417" s="69"/>
      <c r="B417" s="69"/>
      <c r="C417" s="327"/>
      <c r="D417" s="327"/>
      <c r="E417" s="327"/>
      <c r="F417" s="327"/>
      <c r="G417" s="327"/>
      <c r="H417" s="327"/>
      <c r="I417" s="327"/>
      <c r="J417" s="327"/>
      <c r="K417" s="327"/>
      <c r="L417" s="327"/>
      <c r="M417" s="327"/>
      <c r="N417" s="327"/>
      <c r="O417" s="327"/>
      <c r="P417" s="327"/>
      <c r="Q417" s="327"/>
      <c r="R417" s="327"/>
      <c r="S417" s="327"/>
      <c r="T417" s="327"/>
      <c r="U417" s="327"/>
      <c r="V417" s="327"/>
      <c r="W417" s="327"/>
      <c r="X417" s="327"/>
      <c r="Y417" s="327"/>
      <c r="Z417" s="327"/>
      <c r="AA417" s="327"/>
      <c r="AB417" s="327"/>
      <c r="AC417" s="327"/>
      <c r="AD417" s="327"/>
      <c r="AE417" s="327"/>
      <c r="AF417" s="327"/>
      <c r="AG417" s="327"/>
      <c r="AH417" s="327"/>
      <c r="AI417" s="327"/>
      <c r="AJ417" s="327"/>
      <c r="AK417" s="327"/>
      <c r="AL417" s="327"/>
      <c r="AM417" s="327"/>
    </row>
    <row r="418" spans="1:39">
      <c r="A418" s="69"/>
      <c r="B418" s="69"/>
      <c r="C418" s="327"/>
      <c r="D418" s="327"/>
      <c r="E418" s="327"/>
      <c r="F418" s="327"/>
      <c r="G418" s="327"/>
      <c r="H418" s="327"/>
      <c r="I418" s="327"/>
      <c r="J418" s="327"/>
      <c r="K418" s="327"/>
      <c r="L418" s="327"/>
      <c r="M418" s="327"/>
      <c r="N418" s="327"/>
      <c r="O418" s="327"/>
      <c r="P418" s="327"/>
      <c r="Q418" s="327"/>
      <c r="R418" s="327"/>
      <c r="S418" s="327"/>
      <c r="T418" s="327"/>
      <c r="U418" s="327"/>
      <c r="V418" s="327"/>
      <c r="W418" s="327"/>
      <c r="X418" s="327"/>
      <c r="Y418" s="327"/>
      <c r="Z418" s="327"/>
      <c r="AA418" s="327"/>
      <c r="AB418" s="327"/>
      <c r="AC418" s="327"/>
      <c r="AD418" s="327"/>
      <c r="AE418" s="327"/>
      <c r="AF418" s="327"/>
      <c r="AG418" s="327"/>
      <c r="AH418" s="327"/>
      <c r="AI418" s="327"/>
      <c r="AJ418" s="327"/>
      <c r="AK418" s="327"/>
      <c r="AL418" s="327"/>
      <c r="AM418" s="327"/>
    </row>
    <row r="419" spans="1:39">
      <c r="A419" s="69"/>
      <c r="B419" s="69"/>
      <c r="C419" s="327"/>
      <c r="D419" s="327"/>
      <c r="E419" s="327"/>
      <c r="F419" s="327"/>
      <c r="G419" s="327"/>
      <c r="H419" s="327"/>
      <c r="I419" s="327"/>
      <c r="J419" s="327"/>
      <c r="K419" s="327"/>
      <c r="L419" s="327"/>
      <c r="M419" s="327"/>
      <c r="N419" s="327"/>
      <c r="O419" s="327"/>
      <c r="P419" s="327"/>
      <c r="Q419" s="327"/>
      <c r="R419" s="327"/>
      <c r="S419" s="327"/>
      <c r="T419" s="327"/>
      <c r="U419" s="327"/>
      <c r="V419" s="327"/>
      <c r="W419" s="327"/>
      <c r="X419" s="327"/>
      <c r="Y419" s="327"/>
      <c r="Z419" s="327"/>
      <c r="AA419" s="327"/>
      <c r="AB419" s="327"/>
      <c r="AC419" s="327"/>
      <c r="AD419" s="327"/>
      <c r="AE419" s="327"/>
      <c r="AF419" s="327"/>
      <c r="AG419" s="327"/>
      <c r="AH419" s="327"/>
      <c r="AI419" s="327"/>
      <c r="AJ419" s="327"/>
      <c r="AK419" s="327"/>
      <c r="AL419" s="327"/>
      <c r="AM419" s="327"/>
    </row>
    <row r="420" spans="1:39">
      <c r="A420" s="69"/>
      <c r="B420" s="69"/>
      <c r="C420" s="327"/>
      <c r="D420" s="327"/>
      <c r="E420" s="327"/>
      <c r="F420" s="327"/>
      <c r="G420" s="327"/>
      <c r="H420" s="327"/>
      <c r="I420" s="327"/>
      <c r="J420" s="327"/>
      <c r="K420" s="327"/>
      <c r="L420" s="327"/>
      <c r="M420" s="327"/>
      <c r="N420" s="327"/>
      <c r="O420" s="327"/>
      <c r="P420" s="327"/>
      <c r="Q420" s="327"/>
      <c r="R420" s="327"/>
      <c r="S420" s="327"/>
      <c r="T420" s="327"/>
      <c r="U420" s="327"/>
      <c r="V420" s="327"/>
      <c r="W420" s="327"/>
      <c r="X420" s="327"/>
      <c r="Y420" s="327"/>
      <c r="Z420" s="327"/>
      <c r="AA420" s="327"/>
      <c r="AB420" s="327"/>
      <c r="AC420" s="327"/>
      <c r="AD420" s="327"/>
      <c r="AE420" s="327"/>
      <c r="AF420" s="327"/>
      <c r="AG420" s="327"/>
      <c r="AH420" s="327"/>
      <c r="AI420" s="327"/>
      <c r="AJ420" s="327"/>
      <c r="AK420" s="327"/>
      <c r="AL420" s="327"/>
      <c r="AM420" s="327"/>
    </row>
    <row r="421" spans="1:39">
      <c r="A421" s="69"/>
      <c r="B421" s="69"/>
      <c r="C421" s="327"/>
      <c r="D421" s="327"/>
      <c r="E421" s="327"/>
      <c r="F421" s="327"/>
      <c r="G421" s="327"/>
      <c r="H421" s="327"/>
      <c r="I421" s="327"/>
      <c r="J421" s="327"/>
      <c r="K421" s="327"/>
      <c r="L421" s="327"/>
      <c r="M421" s="327"/>
      <c r="N421" s="327"/>
      <c r="O421" s="327"/>
      <c r="P421" s="327"/>
      <c r="Q421" s="327"/>
      <c r="R421" s="327"/>
      <c r="S421" s="327"/>
      <c r="T421" s="327"/>
      <c r="U421" s="327"/>
      <c r="V421" s="327"/>
      <c r="W421" s="327"/>
      <c r="X421" s="327"/>
      <c r="Y421" s="327"/>
      <c r="Z421" s="327"/>
      <c r="AA421" s="327"/>
      <c r="AB421" s="327"/>
      <c r="AC421" s="327"/>
      <c r="AD421" s="327"/>
      <c r="AE421" s="327"/>
      <c r="AF421" s="327"/>
      <c r="AG421" s="327"/>
      <c r="AH421" s="327"/>
      <c r="AI421" s="327"/>
      <c r="AJ421" s="327"/>
      <c r="AK421" s="327"/>
      <c r="AL421" s="327"/>
      <c r="AM421" s="327"/>
    </row>
    <row r="422" spans="1:39">
      <c r="A422" s="69"/>
      <c r="B422" s="69"/>
      <c r="C422" s="327"/>
      <c r="D422" s="327"/>
      <c r="E422" s="327"/>
      <c r="F422" s="327"/>
      <c r="G422" s="327"/>
      <c r="H422" s="327"/>
      <c r="I422" s="327"/>
      <c r="J422" s="327"/>
      <c r="K422" s="327"/>
      <c r="L422" s="327"/>
      <c r="M422" s="327"/>
      <c r="N422" s="327"/>
      <c r="O422" s="327"/>
      <c r="P422" s="327"/>
      <c r="Q422" s="327"/>
      <c r="R422" s="327"/>
      <c r="S422" s="327"/>
      <c r="T422" s="327"/>
      <c r="U422" s="327"/>
      <c r="V422" s="327"/>
      <c r="W422" s="327"/>
      <c r="X422" s="327"/>
      <c r="Y422" s="327"/>
      <c r="Z422" s="327"/>
      <c r="AA422" s="327"/>
      <c r="AB422" s="327"/>
      <c r="AC422" s="327"/>
      <c r="AD422" s="327"/>
      <c r="AE422" s="327"/>
      <c r="AF422" s="327"/>
      <c r="AG422" s="327"/>
      <c r="AH422" s="327"/>
      <c r="AI422" s="327"/>
      <c r="AJ422" s="327"/>
      <c r="AK422" s="327"/>
      <c r="AL422" s="327"/>
      <c r="AM422" s="327"/>
    </row>
    <row r="423" spans="1:39">
      <c r="A423" s="69"/>
      <c r="B423" s="69"/>
      <c r="C423" s="327"/>
      <c r="D423" s="327"/>
      <c r="E423" s="327"/>
      <c r="F423" s="327"/>
      <c r="G423" s="327"/>
      <c r="H423" s="327"/>
      <c r="I423" s="327"/>
      <c r="J423" s="327"/>
      <c r="K423" s="327"/>
      <c r="L423" s="327"/>
      <c r="M423" s="327"/>
      <c r="N423" s="327"/>
      <c r="O423" s="327"/>
      <c r="P423" s="327"/>
      <c r="Q423" s="327"/>
      <c r="R423" s="327"/>
      <c r="S423" s="327"/>
      <c r="T423" s="327"/>
      <c r="U423" s="327"/>
      <c r="V423" s="327"/>
      <c r="W423" s="327"/>
      <c r="X423" s="327"/>
      <c r="Y423" s="327"/>
      <c r="Z423" s="327"/>
      <c r="AA423" s="327"/>
      <c r="AB423" s="327"/>
      <c r="AC423" s="327"/>
      <c r="AD423" s="327"/>
      <c r="AE423" s="327"/>
      <c r="AF423" s="327"/>
      <c r="AG423" s="327"/>
      <c r="AH423" s="327"/>
      <c r="AI423" s="327"/>
      <c r="AJ423" s="327"/>
      <c r="AK423" s="327"/>
      <c r="AL423" s="327"/>
      <c r="AM423" s="327"/>
    </row>
    <row r="424" spans="1:39">
      <c r="A424" s="69"/>
      <c r="B424" s="69"/>
      <c r="C424" s="327"/>
      <c r="D424" s="327"/>
      <c r="E424" s="327"/>
      <c r="F424" s="327"/>
      <c r="G424" s="327"/>
      <c r="H424" s="327"/>
      <c r="I424" s="327"/>
      <c r="J424" s="327"/>
      <c r="K424" s="327"/>
      <c r="L424" s="327"/>
      <c r="M424" s="327"/>
      <c r="N424" s="327"/>
      <c r="O424" s="327"/>
      <c r="P424" s="327"/>
      <c r="Q424" s="327"/>
      <c r="R424" s="327"/>
      <c r="S424" s="327"/>
      <c r="T424" s="327"/>
      <c r="U424" s="327"/>
      <c r="V424" s="327"/>
      <c r="W424" s="327"/>
      <c r="X424" s="327"/>
      <c r="Y424" s="327"/>
      <c r="Z424" s="327"/>
      <c r="AA424" s="327"/>
      <c r="AB424" s="327"/>
      <c r="AC424" s="327"/>
      <c r="AD424" s="327"/>
      <c r="AE424" s="327"/>
      <c r="AF424" s="327"/>
      <c r="AG424" s="327"/>
      <c r="AH424" s="327"/>
      <c r="AI424" s="327"/>
      <c r="AJ424" s="327"/>
      <c r="AK424" s="327"/>
      <c r="AL424" s="327"/>
      <c r="AM424" s="327"/>
    </row>
    <row r="425" spans="1:39">
      <c r="A425" s="69"/>
      <c r="B425" s="69"/>
      <c r="C425" s="327"/>
      <c r="D425" s="327"/>
      <c r="E425" s="327"/>
      <c r="F425" s="327"/>
      <c r="G425" s="327"/>
      <c r="H425" s="327"/>
      <c r="I425" s="327"/>
      <c r="J425" s="327"/>
      <c r="K425" s="327"/>
      <c r="L425" s="327"/>
      <c r="M425" s="327"/>
      <c r="N425" s="327"/>
      <c r="O425" s="327"/>
      <c r="P425" s="327"/>
      <c r="Q425" s="327"/>
      <c r="R425" s="327"/>
      <c r="S425" s="327"/>
      <c r="T425" s="327"/>
      <c r="U425" s="327"/>
      <c r="V425" s="327"/>
      <c r="W425" s="327"/>
      <c r="X425" s="327"/>
      <c r="Y425" s="327"/>
      <c r="Z425" s="327"/>
      <c r="AA425" s="327"/>
      <c r="AB425" s="327"/>
      <c r="AC425" s="327"/>
      <c r="AD425" s="327"/>
      <c r="AE425" s="327"/>
      <c r="AF425" s="327"/>
      <c r="AG425" s="327"/>
      <c r="AH425" s="327"/>
      <c r="AI425" s="327"/>
      <c r="AJ425" s="327"/>
      <c r="AK425" s="327"/>
      <c r="AL425" s="327"/>
      <c r="AM425" s="327"/>
    </row>
    <row r="426" spans="1:39">
      <c r="A426" s="69"/>
      <c r="B426" s="69"/>
      <c r="C426" s="327"/>
      <c r="D426" s="327"/>
      <c r="E426" s="327"/>
      <c r="F426" s="327"/>
      <c r="G426" s="327"/>
      <c r="H426" s="327"/>
      <c r="I426" s="327"/>
      <c r="J426" s="327"/>
      <c r="K426" s="327"/>
      <c r="L426" s="327"/>
      <c r="M426" s="327"/>
      <c r="N426" s="327"/>
      <c r="O426" s="327"/>
      <c r="P426" s="327"/>
      <c r="Q426" s="327"/>
      <c r="R426" s="327"/>
      <c r="S426" s="327"/>
      <c r="T426" s="327"/>
      <c r="U426" s="327"/>
      <c r="V426" s="327"/>
      <c r="W426" s="327"/>
      <c r="X426" s="327"/>
      <c r="Y426" s="327"/>
      <c r="Z426" s="327"/>
      <c r="AA426" s="327"/>
      <c r="AB426" s="327"/>
      <c r="AC426" s="327"/>
      <c r="AD426" s="327"/>
      <c r="AE426" s="327"/>
      <c r="AF426" s="327"/>
      <c r="AG426" s="327"/>
      <c r="AH426" s="327"/>
      <c r="AI426" s="327"/>
      <c r="AJ426" s="327"/>
      <c r="AK426" s="327"/>
      <c r="AL426" s="327"/>
      <c r="AM426" s="327"/>
    </row>
    <row r="427" spans="1:39">
      <c r="A427" s="69"/>
      <c r="B427" s="69"/>
      <c r="C427" s="327"/>
      <c r="D427" s="327"/>
      <c r="E427" s="327"/>
      <c r="F427" s="327"/>
      <c r="G427" s="327"/>
      <c r="H427" s="327"/>
      <c r="I427" s="327"/>
      <c r="J427" s="327"/>
      <c r="K427" s="327"/>
      <c r="L427" s="327"/>
      <c r="M427" s="327"/>
      <c r="N427" s="327"/>
      <c r="O427" s="327"/>
      <c r="P427" s="327"/>
      <c r="Q427" s="327"/>
      <c r="R427" s="327"/>
      <c r="S427" s="327"/>
      <c r="T427" s="327"/>
      <c r="U427" s="327"/>
      <c r="V427" s="327"/>
      <c r="W427" s="327"/>
      <c r="X427" s="327"/>
      <c r="Y427" s="327"/>
      <c r="Z427" s="327"/>
      <c r="AA427" s="327"/>
      <c r="AB427" s="327"/>
      <c r="AC427" s="327"/>
      <c r="AD427" s="327"/>
      <c r="AE427" s="327"/>
      <c r="AF427" s="327"/>
      <c r="AG427" s="327"/>
      <c r="AH427" s="327"/>
      <c r="AI427" s="327"/>
      <c r="AJ427" s="327"/>
      <c r="AK427" s="327"/>
      <c r="AL427" s="327"/>
      <c r="AM427" s="327"/>
    </row>
    <row r="428" spans="1:39">
      <c r="A428" s="69"/>
      <c r="B428" s="69"/>
      <c r="C428" s="327"/>
      <c r="D428" s="327"/>
      <c r="E428" s="327"/>
      <c r="F428" s="327"/>
      <c r="G428" s="327"/>
      <c r="H428" s="327"/>
      <c r="I428" s="327"/>
      <c r="J428" s="327"/>
      <c r="K428" s="327"/>
      <c r="L428" s="327"/>
      <c r="M428" s="327"/>
      <c r="N428" s="327"/>
      <c r="O428" s="327"/>
      <c r="P428" s="327"/>
      <c r="Q428" s="327"/>
      <c r="R428" s="327"/>
      <c r="S428" s="327"/>
      <c r="T428" s="327"/>
      <c r="U428" s="327"/>
      <c r="V428" s="327"/>
      <c r="W428" s="327"/>
      <c r="X428" s="327"/>
      <c r="Y428" s="327"/>
      <c r="Z428" s="327"/>
      <c r="AA428" s="327"/>
      <c r="AB428" s="327"/>
      <c r="AC428" s="327"/>
      <c r="AD428" s="327"/>
      <c r="AE428" s="327"/>
      <c r="AF428" s="327"/>
      <c r="AG428" s="327"/>
      <c r="AH428" s="327"/>
      <c r="AI428" s="327"/>
      <c r="AJ428" s="327"/>
      <c r="AK428" s="327"/>
      <c r="AL428" s="327"/>
      <c r="AM428" s="327"/>
    </row>
    <row r="429" spans="1:39">
      <c r="A429" s="69"/>
      <c r="B429" s="69"/>
      <c r="C429" s="327"/>
      <c r="D429" s="327"/>
      <c r="E429" s="327"/>
      <c r="F429" s="327"/>
      <c r="G429" s="327"/>
      <c r="H429" s="327"/>
      <c r="I429" s="327"/>
      <c r="J429" s="327"/>
      <c r="K429" s="327"/>
      <c r="L429" s="327"/>
      <c r="M429" s="327"/>
      <c r="N429" s="327"/>
      <c r="O429" s="327"/>
      <c r="P429" s="327"/>
      <c r="Q429" s="327"/>
      <c r="R429" s="327"/>
      <c r="S429" s="327"/>
      <c r="T429" s="327"/>
      <c r="U429" s="327"/>
      <c r="V429" s="327"/>
      <c r="W429" s="327"/>
      <c r="X429" s="327"/>
      <c r="Y429" s="327"/>
      <c r="Z429" s="327"/>
      <c r="AA429" s="327"/>
      <c r="AB429" s="327"/>
      <c r="AC429" s="327"/>
      <c r="AD429" s="327"/>
      <c r="AE429" s="327"/>
      <c r="AF429" s="327"/>
      <c r="AG429" s="327"/>
      <c r="AH429" s="327"/>
      <c r="AI429" s="327"/>
      <c r="AJ429" s="327"/>
      <c r="AK429" s="327"/>
      <c r="AL429" s="327"/>
      <c r="AM429" s="327"/>
    </row>
    <row r="430" spans="1:39">
      <c r="A430" s="69"/>
      <c r="B430" s="69"/>
      <c r="C430" s="327"/>
      <c r="D430" s="327"/>
      <c r="E430" s="327"/>
      <c r="F430" s="327"/>
      <c r="G430" s="327"/>
      <c r="H430" s="327"/>
      <c r="I430" s="327"/>
      <c r="J430" s="327"/>
      <c r="K430" s="327"/>
      <c r="L430" s="327"/>
      <c r="M430" s="327"/>
      <c r="N430" s="327"/>
      <c r="O430" s="327"/>
      <c r="P430" s="327"/>
      <c r="Q430" s="327"/>
      <c r="R430" s="327"/>
      <c r="S430" s="327"/>
      <c r="T430" s="327"/>
      <c r="U430" s="327"/>
      <c r="V430" s="327"/>
      <c r="W430" s="327"/>
      <c r="X430" s="327"/>
      <c r="Y430" s="327"/>
      <c r="Z430" s="327"/>
      <c r="AA430" s="327"/>
      <c r="AB430" s="327"/>
      <c r="AC430" s="327"/>
      <c r="AD430" s="327"/>
      <c r="AE430" s="327"/>
      <c r="AF430" s="327"/>
      <c r="AG430" s="327"/>
      <c r="AH430" s="327"/>
      <c r="AI430" s="327"/>
      <c r="AJ430" s="327"/>
      <c r="AK430" s="327"/>
      <c r="AL430" s="327"/>
      <c r="AM430" s="327"/>
    </row>
    <row r="431" spans="1:39">
      <c r="A431" s="69"/>
      <c r="B431" s="69"/>
      <c r="C431" s="327"/>
      <c r="D431" s="327"/>
      <c r="E431" s="327"/>
      <c r="F431" s="327"/>
      <c r="G431" s="327"/>
      <c r="H431" s="327"/>
      <c r="I431" s="327"/>
      <c r="J431" s="327"/>
      <c r="K431" s="327"/>
      <c r="L431" s="327"/>
      <c r="M431" s="327"/>
      <c r="N431" s="327"/>
      <c r="O431" s="327"/>
      <c r="P431" s="327"/>
      <c r="Q431" s="327"/>
      <c r="R431" s="327"/>
      <c r="S431" s="327"/>
      <c r="T431" s="327"/>
      <c r="U431" s="327"/>
      <c r="V431" s="327"/>
      <c r="W431" s="327"/>
      <c r="X431" s="327"/>
      <c r="Y431" s="327"/>
      <c r="Z431" s="327"/>
      <c r="AA431" s="327"/>
      <c r="AB431" s="327"/>
      <c r="AC431" s="327"/>
      <c r="AD431" s="327"/>
      <c r="AE431" s="327"/>
      <c r="AF431" s="327"/>
      <c r="AG431" s="327"/>
      <c r="AH431" s="327"/>
      <c r="AI431" s="327"/>
      <c r="AJ431" s="327"/>
      <c r="AK431" s="327"/>
      <c r="AL431" s="327"/>
      <c r="AM431" s="327"/>
    </row>
    <row r="432" spans="1:39">
      <c r="A432" s="69"/>
      <c r="B432" s="69"/>
      <c r="C432" s="327"/>
      <c r="D432" s="327"/>
      <c r="E432" s="327"/>
      <c r="F432" s="327"/>
      <c r="G432" s="327"/>
      <c r="H432" s="327"/>
      <c r="I432" s="327"/>
      <c r="J432" s="327"/>
      <c r="K432" s="327"/>
      <c r="L432" s="327"/>
      <c r="M432" s="327"/>
      <c r="N432" s="327"/>
      <c r="O432" s="327"/>
      <c r="P432" s="327"/>
      <c r="Q432" s="327"/>
      <c r="R432" s="327"/>
      <c r="S432" s="327"/>
      <c r="T432" s="327"/>
      <c r="U432" s="327"/>
      <c r="V432" s="327"/>
      <c r="W432" s="327"/>
      <c r="X432" s="327"/>
      <c r="Y432" s="327"/>
      <c r="Z432" s="327"/>
      <c r="AA432" s="327"/>
      <c r="AB432" s="327"/>
      <c r="AC432" s="327"/>
      <c r="AD432" s="327"/>
      <c r="AE432" s="327"/>
      <c r="AF432" s="327"/>
      <c r="AG432" s="327"/>
      <c r="AH432" s="327"/>
      <c r="AI432" s="327"/>
      <c r="AJ432" s="327"/>
      <c r="AK432" s="327"/>
      <c r="AL432" s="327"/>
      <c r="AM432" s="327"/>
    </row>
    <row r="433" spans="1:39">
      <c r="A433" s="69"/>
      <c r="B433" s="69"/>
      <c r="C433" s="327"/>
      <c r="D433" s="327"/>
      <c r="E433" s="327"/>
      <c r="F433" s="327"/>
      <c r="G433" s="327"/>
      <c r="H433" s="327"/>
      <c r="I433" s="327"/>
      <c r="J433" s="327"/>
      <c r="K433" s="327"/>
      <c r="L433" s="327"/>
      <c r="M433" s="327"/>
      <c r="N433" s="327"/>
      <c r="O433" s="327"/>
      <c r="P433" s="327"/>
      <c r="Q433" s="327"/>
      <c r="R433" s="327"/>
      <c r="S433" s="327"/>
      <c r="T433" s="327"/>
      <c r="U433" s="327"/>
      <c r="V433" s="327"/>
      <c r="W433" s="327"/>
      <c r="X433" s="327"/>
      <c r="Y433" s="327"/>
      <c r="Z433" s="327"/>
      <c r="AA433" s="327"/>
      <c r="AB433" s="327"/>
      <c r="AC433" s="327"/>
      <c r="AD433" s="327"/>
      <c r="AE433" s="327"/>
      <c r="AF433" s="327"/>
      <c r="AG433" s="327"/>
      <c r="AH433" s="327"/>
      <c r="AI433" s="327"/>
      <c r="AJ433" s="327"/>
      <c r="AK433" s="327"/>
      <c r="AL433" s="327"/>
      <c r="AM433" s="327"/>
    </row>
    <row r="434" spans="1:39">
      <c r="A434" s="69"/>
      <c r="B434" s="69"/>
      <c r="C434" s="327"/>
      <c r="D434" s="327"/>
      <c r="E434" s="327"/>
      <c r="F434" s="327"/>
      <c r="G434" s="327"/>
      <c r="H434" s="327"/>
      <c r="I434" s="327"/>
      <c r="J434" s="327"/>
      <c r="K434" s="327"/>
      <c r="L434" s="327"/>
      <c r="M434" s="327"/>
      <c r="N434" s="327"/>
      <c r="O434" s="327"/>
      <c r="P434" s="327"/>
      <c r="Q434" s="327"/>
      <c r="R434" s="327"/>
      <c r="S434" s="327"/>
      <c r="T434" s="327"/>
      <c r="U434" s="327"/>
      <c r="V434" s="327"/>
      <c r="W434" s="327"/>
      <c r="X434" s="327"/>
      <c r="Y434" s="327"/>
      <c r="Z434" s="327"/>
      <c r="AA434" s="327"/>
      <c r="AB434" s="327"/>
      <c r="AC434" s="327"/>
      <c r="AD434" s="327"/>
      <c r="AE434" s="327"/>
      <c r="AF434" s="327"/>
      <c r="AG434" s="327"/>
      <c r="AH434" s="327"/>
      <c r="AI434" s="327"/>
      <c r="AJ434" s="327"/>
      <c r="AK434" s="327"/>
      <c r="AL434" s="327"/>
      <c r="AM434" s="327"/>
    </row>
    <row r="435" spans="1:39">
      <c r="A435" s="69"/>
      <c r="B435" s="69"/>
      <c r="C435" s="327"/>
      <c r="D435" s="327"/>
      <c r="E435" s="327"/>
      <c r="F435" s="327"/>
      <c r="G435" s="327"/>
      <c r="H435" s="327"/>
      <c r="I435" s="327"/>
      <c r="J435" s="327"/>
      <c r="K435" s="327"/>
      <c r="L435" s="327"/>
      <c r="M435" s="327"/>
      <c r="N435" s="327"/>
      <c r="O435" s="327"/>
      <c r="P435" s="327"/>
      <c r="Q435" s="327"/>
      <c r="R435" s="327"/>
      <c r="S435" s="327"/>
      <c r="T435" s="327"/>
      <c r="U435" s="327"/>
      <c r="V435" s="327"/>
      <c r="W435" s="327"/>
      <c r="X435" s="327"/>
      <c r="Y435" s="327"/>
      <c r="Z435" s="327"/>
      <c r="AA435" s="327"/>
      <c r="AB435" s="327"/>
      <c r="AC435" s="327"/>
      <c r="AD435" s="327"/>
      <c r="AE435" s="327"/>
      <c r="AF435" s="327"/>
      <c r="AG435" s="327"/>
      <c r="AH435" s="327"/>
      <c r="AI435" s="327"/>
      <c r="AJ435" s="327"/>
      <c r="AK435" s="327"/>
      <c r="AL435" s="327"/>
      <c r="AM435" s="327"/>
    </row>
    <row r="436" spans="1:39">
      <c r="A436" s="69"/>
      <c r="B436" s="69"/>
      <c r="C436" s="327"/>
      <c r="D436" s="327"/>
      <c r="E436" s="327"/>
      <c r="F436" s="327"/>
      <c r="G436" s="327"/>
      <c r="H436" s="327"/>
      <c r="I436" s="327"/>
      <c r="J436" s="327"/>
      <c r="K436" s="327"/>
      <c r="L436" s="327"/>
      <c r="M436" s="327"/>
      <c r="N436" s="327"/>
      <c r="O436" s="327"/>
      <c r="P436" s="327"/>
      <c r="Q436" s="327"/>
      <c r="R436" s="327"/>
      <c r="S436" s="327"/>
      <c r="T436" s="327"/>
      <c r="U436" s="327"/>
      <c r="V436" s="327"/>
      <c r="W436" s="327"/>
      <c r="X436" s="327"/>
      <c r="Y436" s="327"/>
      <c r="Z436" s="327"/>
      <c r="AA436" s="327"/>
      <c r="AB436" s="327"/>
      <c r="AC436" s="327"/>
      <c r="AD436" s="327"/>
      <c r="AE436" s="327"/>
      <c r="AF436" s="327"/>
      <c r="AG436" s="327"/>
      <c r="AH436" s="327"/>
      <c r="AI436" s="327"/>
      <c r="AJ436" s="327"/>
      <c r="AK436" s="327"/>
      <c r="AL436" s="327"/>
      <c r="AM436" s="327"/>
    </row>
    <row r="437" spans="1:39">
      <c r="A437" s="69"/>
      <c r="B437" s="69"/>
      <c r="C437" s="327"/>
      <c r="D437" s="327"/>
      <c r="E437" s="327"/>
      <c r="F437" s="327"/>
      <c r="G437" s="327"/>
      <c r="H437" s="327"/>
      <c r="I437" s="327"/>
      <c r="J437" s="327"/>
      <c r="K437" s="327"/>
      <c r="L437" s="327"/>
      <c r="M437" s="327"/>
      <c r="N437" s="327"/>
      <c r="O437" s="327"/>
      <c r="P437" s="327"/>
      <c r="Q437" s="327"/>
      <c r="R437" s="327"/>
      <c r="S437" s="327"/>
      <c r="T437" s="327"/>
      <c r="U437" s="327"/>
      <c r="V437" s="327"/>
      <c r="W437" s="327"/>
      <c r="X437" s="327"/>
      <c r="Y437" s="327"/>
      <c r="Z437" s="327"/>
      <c r="AA437" s="327"/>
      <c r="AB437" s="327"/>
      <c r="AC437" s="327"/>
      <c r="AD437" s="327"/>
      <c r="AE437" s="327"/>
      <c r="AF437" s="327"/>
      <c r="AG437" s="327"/>
      <c r="AH437" s="327"/>
      <c r="AI437" s="327"/>
      <c r="AJ437" s="327"/>
      <c r="AK437" s="327"/>
      <c r="AL437" s="327"/>
      <c r="AM437" s="327"/>
    </row>
    <row r="438" spans="1:39">
      <c r="A438" s="69"/>
      <c r="B438" s="69"/>
      <c r="C438" s="327"/>
      <c r="D438" s="327"/>
      <c r="E438" s="327"/>
      <c r="F438" s="327"/>
      <c r="G438" s="327"/>
      <c r="H438" s="327"/>
      <c r="I438" s="327"/>
      <c r="J438" s="327"/>
      <c r="K438" s="327"/>
      <c r="L438" s="327"/>
      <c r="M438" s="327"/>
      <c r="N438" s="327"/>
      <c r="O438" s="327"/>
      <c r="P438" s="327"/>
      <c r="Q438" s="327"/>
      <c r="R438" s="327"/>
      <c r="S438" s="327"/>
      <c r="T438" s="327"/>
      <c r="U438" s="327"/>
      <c r="V438" s="327"/>
      <c r="W438" s="327"/>
      <c r="X438" s="327"/>
      <c r="Y438" s="327"/>
      <c r="Z438" s="327"/>
      <c r="AA438" s="327"/>
      <c r="AB438" s="327"/>
      <c r="AC438" s="327"/>
      <c r="AD438" s="327"/>
      <c r="AE438" s="327"/>
      <c r="AF438" s="327"/>
      <c r="AG438" s="327"/>
      <c r="AH438" s="327"/>
      <c r="AI438" s="327"/>
      <c r="AJ438" s="327"/>
      <c r="AK438" s="327"/>
      <c r="AL438" s="327"/>
      <c r="AM438" s="327"/>
    </row>
    <row r="439" spans="1:39">
      <c r="A439" s="69"/>
      <c r="B439" s="69"/>
      <c r="C439" s="327"/>
      <c r="D439" s="327"/>
      <c r="E439" s="327"/>
      <c r="F439" s="327"/>
      <c r="G439" s="327"/>
      <c r="H439" s="327"/>
      <c r="I439" s="327"/>
      <c r="J439" s="327"/>
      <c r="K439" s="327"/>
      <c r="L439" s="327"/>
      <c r="M439" s="327"/>
      <c r="N439" s="327"/>
      <c r="O439" s="327"/>
      <c r="P439" s="327"/>
      <c r="Q439" s="327"/>
      <c r="R439" s="327"/>
      <c r="S439" s="327"/>
      <c r="T439" s="327"/>
      <c r="U439" s="327"/>
      <c r="V439" s="327"/>
      <c r="W439" s="327"/>
      <c r="X439" s="327"/>
      <c r="Y439" s="327"/>
      <c r="Z439" s="327"/>
      <c r="AA439" s="327"/>
      <c r="AB439" s="327"/>
      <c r="AC439" s="327"/>
      <c r="AD439" s="327"/>
      <c r="AE439" s="327"/>
      <c r="AF439" s="327"/>
      <c r="AG439" s="327"/>
      <c r="AH439" s="327"/>
      <c r="AI439" s="327"/>
      <c r="AJ439" s="327"/>
      <c r="AK439" s="327"/>
      <c r="AL439" s="327"/>
      <c r="AM439" s="327"/>
    </row>
    <row r="440" spans="1:39">
      <c r="A440" s="69"/>
      <c r="B440" s="69"/>
      <c r="C440" s="327"/>
      <c r="D440" s="327"/>
      <c r="E440" s="327"/>
      <c r="F440" s="327"/>
      <c r="G440" s="327"/>
      <c r="H440" s="327"/>
      <c r="I440" s="327"/>
      <c r="J440" s="327"/>
      <c r="K440" s="327"/>
      <c r="L440" s="327"/>
      <c r="M440" s="327"/>
      <c r="N440" s="327"/>
      <c r="O440" s="327"/>
      <c r="P440" s="327"/>
      <c r="Q440" s="327"/>
      <c r="R440" s="327"/>
      <c r="S440" s="327"/>
      <c r="T440" s="327"/>
      <c r="U440" s="327"/>
      <c r="V440" s="327"/>
      <c r="W440" s="327"/>
      <c r="X440" s="327"/>
      <c r="Y440" s="327"/>
      <c r="Z440" s="327"/>
      <c r="AA440" s="327"/>
      <c r="AB440" s="327"/>
      <c r="AC440" s="327"/>
      <c r="AD440" s="327"/>
      <c r="AE440" s="327"/>
      <c r="AF440" s="327"/>
      <c r="AG440" s="327"/>
      <c r="AH440" s="327"/>
      <c r="AI440" s="327"/>
      <c r="AJ440" s="327"/>
      <c r="AK440" s="327"/>
      <c r="AL440" s="327"/>
      <c r="AM440" s="327"/>
    </row>
    <row r="441" spans="1:39">
      <c r="A441" s="69"/>
      <c r="B441" s="69"/>
      <c r="C441" s="327"/>
      <c r="D441" s="327"/>
      <c r="E441" s="327"/>
      <c r="F441" s="327"/>
      <c r="G441" s="327"/>
      <c r="H441" s="327"/>
      <c r="I441" s="327"/>
      <c r="J441" s="327"/>
      <c r="K441" s="327"/>
      <c r="L441" s="327"/>
      <c r="M441" s="327"/>
      <c r="N441" s="327"/>
      <c r="O441" s="327"/>
      <c r="P441" s="327"/>
      <c r="Q441" s="327"/>
      <c r="R441" s="327"/>
      <c r="S441" s="327"/>
      <c r="T441" s="327"/>
      <c r="U441" s="327"/>
      <c r="V441" s="327"/>
      <c r="W441" s="327"/>
      <c r="X441" s="327"/>
      <c r="Y441" s="327"/>
      <c r="Z441" s="327"/>
      <c r="AA441" s="327"/>
      <c r="AB441" s="327"/>
      <c r="AC441" s="327"/>
      <c r="AD441" s="327"/>
      <c r="AE441" s="327"/>
      <c r="AF441" s="327"/>
      <c r="AG441" s="327"/>
      <c r="AH441" s="327"/>
      <c r="AI441" s="327"/>
      <c r="AJ441" s="327"/>
      <c r="AK441" s="327"/>
      <c r="AL441" s="327"/>
      <c r="AM441" s="327"/>
    </row>
    <row r="442" spans="1:39">
      <c r="A442" s="69"/>
      <c r="B442" s="69"/>
      <c r="C442" s="327"/>
      <c r="D442" s="327"/>
      <c r="E442" s="327"/>
      <c r="F442" s="327"/>
      <c r="G442" s="327"/>
      <c r="H442" s="327"/>
      <c r="I442" s="327"/>
      <c r="J442" s="327"/>
      <c r="K442" s="327"/>
      <c r="L442" s="327"/>
      <c r="M442" s="327"/>
      <c r="N442" s="327"/>
      <c r="O442" s="327"/>
      <c r="P442" s="327"/>
      <c r="Q442" s="327"/>
      <c r="R442" s="327"/>
      <c r="S442" s="327"/>
      <c r="T442" s="327"/>
      <c r="U442" s="327"/>
      <c r="V442" s="327"/>
      <c r="W442" s="327"/>
      <c r="X442" s="327"/>
      <c r="Y442" s="327"/>
      <c r="Z442" s="327"/>
      <c r="AA442" s="327"/>
      <c r="AB442" s="327"/>
      <c r="AC442" s="327"/>
      <c r="AD442" s="327"/>
      <c r="AE442" s="327"/>
      <c r="AF442" s="327"/>
      <c r="AG442" s="327"/>
      <c r="AH442" s="327"/>
      <c r="AI442" s="327"/>
      <c r="AJ442" s="327"/>
      <c r="AK442" s="327"/>
      <c r="AL442" s="327"/>
      <c r="AM442" s="327"/>
    </row>
    <row r="443" spans="1:39">
      <c r="A443" s="69"/>
      <c r="B443" s="69"/>
      <c r="C443" s="327"/>
      <c r="D443" s="327"/>
      <c r="E443" s="327"/>
      <c r="F443" s="327"/>
      <c r="G443" s="327"/>
      <c r="H443" s="327"/>
      <c r="I443" s="327"/>
      <c r="J443" s="327"/>
      <c r="K443" s="327"/>
      <c r="L443" s="327"/>
      <c r="M443" s="327"/>
      <c r="N443" s="327"/>
      <c r="O443" s="327"/>
      <c r="P443" s="327"/>
      <c r="Q443" s="327"/>
      <c r="R443" s="327"/>
      <c r="S443" s="327"/>
      <c r="T443" s="327"/>
      <c r="U443" s="327"/>
      <c r="V443" s="327"/>
      <c r="W443" s="327"/>
      <c r="X443" s="327"/>
      <c r="Y443" s="327"/>
      <c r="Z443" s="327"/>
      <c r="AA443" s="327"/>
      <c r="AB443" s="327"/>
      <c r="AC443" s="327"/>
      <c r="AD443" s="327"/>
      <c r="AE443" s="327"/>
      <c r="AF443" s="327"/>
      <c r="AG443" s="327"/>
      <c r="AH443" s="327"/>
      <c r="AI443" s="327"/>
      <c r="AJ443" s="327"/>
      <c r="AK443" s="327"/>
      <c r="AL443" s="327"/>
      <c r="AM443" s="327"/>
    </row>
    <row r="444" spans="1:39">
      <c r="A444" s="69"/>
      <c r="B444" s="69"/>
      <c r="C444" s="327"/>
      <c r="D444" s="327"/>
      <c r="E444" s="327"/>
      <c r="F444" s="327"/>
      <c r="G444" s="327"/>
      <c r="H444" s="327"/>
      <c r="I444" s="327"/>
      <c r="J444" s="327"/>
      <c r="K444" s="327"/>
      <c r="L444" s="327"/>
      <c r="M444" s="327"/>
      <c r="N444" s="327"/>
      <c r="O444" s="327"/>
      <c r="P444" s="327"/>
      <c r="Q444" s="327"/>
      <c r="R444" s="327"/>
      <c r="S444" s="327"/>
      <c r="T444" s="327"/>
      <c r="U444" s="327"/>
      <c r="V444" s="327"/>
      <c r="W444" s="327"/>
      <c r="X444" s="327"/>
      <c r="Y444" s="327"/>
      <c r="Z444" s="327"/>
      <c r="AA444" s="327"/>
      <c r="AB444" s="327"/>
      <c r="AC444" s="327"/>
      <c r="AD444" s="327"/>
      <c r="AE444" s="327"/>
      <c r="AF444" s="327"/>
      <c r="AG444" s="327"/>
      <c r="AH444" s="327"/>
      <c r="AI444" s="327"/>
      <c r="AJ444" s="327"/>
      <c r="AK444" s="327"/>
      <c r="AL444" s="327"/>
      <c r="AM444" s="327"/>
    </row>
    <row r="445" spans="1:39">
      <c r="A445" s="69"/>
      <c r="B445" s="69"/>
      <c r="C445" s="327"/>
      <c r="D445" s="327"/>
      <c r="E445" s="327"/>
      <c r="F445" s="327"/>
      <c r="G445" s="327"/>
      <c r="H445" s="327"/>
      <c r="I445" s="327"/>
      <c r="J445" s="327"/>
      <c r="K445" s="327"/>
      <c r="L445" s="327"/>
      <c r="M445" s="327"/>
      <c r="N445" s="327"/>
      <c r="O445" s="327"/>
      <c r="P445" s="327"/>
      <c r="Q445" s="327"/>
      <c r="R445" s="327"/>
      <c r="S445" s="327"/>
      <c r="T445" s="327"/>
      <c r="U445" s="327"/>
      <c r="V445" s="327"/>
      <c r="W445" s="327"/>
      <c r="X445" s="327"/>
      <c r="Y445" s="327"/>
      <c r="Z445" s="327"/>
      <c r="AA445" s="327"/>
      <c r="AB445" s="327"/>
      <c r="AC445" s="327"/>
      <c r="AD445" s="327"/>
      <c r="AE445" s="327"/>
      <c r="AF445" s="327"/>
      <c r="AG445" s="327"/>
      <c r="AH445" s="327"/>
      <c r="AI445" s="327"/>
      <c r="AJ445" s="327"/>
      <c r="AK445" s="327"/>
      <c r="AL445" s="327"/>
      <c r="AM445" s="327"/>
    </row>
    <row r="446" spans="1:39">
      <c r="A446" s="69"/>
      <c r="B446" s="69"/>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327"/>
      <c r="AE446" s="327"/>
      <c r="AF446" s="327"/>
      <c r="AG446" s="327"/>
      <c r="AH446" s="327"/>
      <c r="AI446" s="327"/>
      <c r="AJ446" s="327"/>
      <c r="AK446" s="327"/>
      <c r="AL446" s="327"/>
      <c r="AM446" s="327"/>
    </row>
    <row r="447" spans="1:39">
      <c r="A447" s="69"/>
      <c r="B447" s="69"/>
      <c r="C447" s="327"/>
      <c r="D447" s="327"/>
      <c r="E447" s="327"/>
      <c r="F447" s="327"/>
      <c r="G447" s="327"/>
      <c r="H447" s="327"/>
      <c r="I447" s="327"/>
      <c r="J447" s="327"/>
      <c r="K447" s="327"/>
      <c r="L447" s="327"/>
      <c r="M447" s="327"/>
      <c r="N447" s="327"/>
      <c r="O447" s="327"/>
      <c r="P447" s="327"/>
      <c r="Q447" s="327"/>
      <c r="R447" s="327"/>
      <c r="S447" s="327"/>
      <c r="T447" s="327"/>
      <c r="U447" s="327"/>
      <c r="V447" s="327"/>
      <c r="W447" s="327"/>
      <c r="X447" s="327"/>
      <c r="Y447" s="327"/>
      <c r="Z447" s="327"/>
      <c r="AA447" s="327"/>
      <c r="AB447" s="327"/>
      <c r="AC447" s="327"/>
      <c r="AD447" s="327"/>
      <c r="AE447" s="327"/>
      <c r="AF447" s="327"/>
      <c r="AG447" s="327"/>
      <c r="AH447" s="327"/>
      <c r="AI447" s="327"/>
      <c r="AJ447" s="327"/>
      <c r="AK447" s="327"/>
      <c r="AL447" s="327"/>
      <c r="AM447" s="327"/>
    </row>
    <row r="448" spans="1:39">
      <c r="A448" s="69"/>
      <c r="B448" s="69"/>
      <c r="C448" s="327"/>
      <c r="D448" s="327"/>
      <c r="E448" s="327"/>
      <c r="F448" s="327"/>
      <c r="G448" s="327"/>
      <c r="H448" s="327"/>
      <c r="I448" s="327"/>
      <c r="J448" s="327"/>
      <c r="K448" s="327"/>
      <c r="L448" s="327"/>
      <c r="M448" s="327"/>
      <c r="N448" s="327"/>
      <c r="O448" s="327"/>
      <c r="P448" s="327"/>
      <c r="Q448" s="327"/>
      <c r="R448" s="327"/>
      <c r="S448" s="327"/>
      <c r="T448" s="327"/>
      <c r="U448" s="327"/>
      <c r="V448" s="327"/>
      <c r="W448" s="327"/>
      <c r="X448" s="327"/>
      <c r="Y448" s="327"/>
      <c r="Z448" s="327"/>
      <c r="AA448" s="327"/>
      <c r="AB448" s="327"/>
      <c r="AC448" s="327"/>
      <c r="AD448" s="327"/>
      <c r="AE448" s="327"/>
      <c r="AF448" s="327"/>
      <c r="AG448" s="327"/>
      <c r="AH448" s="327"/>
      <c r="AI448" s="327"/>
      <c r="AJ448" s="327"/>
      <c r="AK448" s="327"/>
      <c r="AL448" s="327"/>
      <c r="AM448" s="327"/>
    </row>
    <row r="449" spans="1:39">
      <c r="A449" s="69"/>
      <c r="B449" s="69"/>
      <c r="C449" s="327"/>
      <c r="D449" s="327"/>
      <c r="E449" s="327"/>
      <c r="F449" s="327"/>
      <c r="G449" s="327"/>
      <c r="H449" s="327"/>
      <c r="I449" s="327"/>
      <c r="J449" s="327"/>
      <c r="K449" s="327"/>
      <c r="L449" s="327"/>
      <c r="M449" s="327"/>
      <c r="N449" s="327"/>
      <c r="O449" s="327"/>
      <c r="P449" s="327"/>
      <c r="Q449" s="327"/>
      <c r="R449" s="327"/>
      <c r="S449" s="327"/>
      <c r="T449" s="327"/>
      <c r="U449" s="327"/>
      <c r="V449" s="327"/>
      <c r="W449" s="327"/>
      <c r="X449" s="327"/>
      <c r="Y449" s="327"/>
      <c r="Z449" s="327"/>
      <c r="AA449" s="327"/>
      <c r="AB449" s="327"/>
      <c r="AC449" s="327"/>
      <c r="AD449" s="327"/>
      <c r="AE449" s="327"/>
      <c r="AF449" s="327"/>
      <c r="AG449" s="327"/>
      <c r="AH449" s="327"/>
      <c r="AI449" s="327"/>
      <c r="AJ449" s="327"/>
      <c r="AK449" s="327"/>
      <c r="AL449" s="327"/>
      <c r="AM449" s="327"/>
    </row>
    <row r="450" spans="1:39">
      <c r="A450" s="69"/>
      <c r="B450" s="69"/>
      <c r="C450" s="327"/>
      <c r="D450" s="327"/>
      <c r="E450" s="327"/>
      <c r="F450" s="327"/>
      <c r="G450" s="327"/>
      <c r="H450" s="327"/>
      <c r="I450" s="327"/>
      <c r="J450" s="327"/>
      <c r="K450" s="327"/>
      <c r="L450" s="327"/>
      <c r="M450" s="327"/>
      <c r="N450" s="327"/>
      <c r="O450" s="327"/>
      <c r="P450" s="327"/>
      <c r="Q450" s="327"/>
      <c r="R450" s="327"/>
      <c r="S450" s="327"/>
      <c r="T450" s="327"/>
      <c r="U450" s="327"/>
      <c r="V450" s="327"/>
      <c r="W450" s="327"/>
      <c r="X450" s="327"/>
      <c r="Y450" s="327"/>
      <c r="Z450" s="327"/>
      <c r="AA450" s="327"/>
      <c r="AB450" s="327"/>
      <c r="AC450" s="327"/>
      <c r="AD450" s="327"/>
      <c r="AE450" s="327"/>
      <c r="AF450" s="327"/>
      <c r="AG450" s="327"/>
      <c r="AH450" s="327"/>
      <c r="AI450" s="327"/>
      <c r="AJ450" s="327"/>
      <c r="AK450" s="327"/>
      <c r="AL450" s="327"/>
      <c r="AM450" s="327"/>
    </row>
    <row r="451" spans="1:39">
      <c r="A451" s="69"/>
      <c r="B451" s="69"/>
      <c r="C451" s="327"/>
      <c r="D451" s="327"/>
      <c r="E451" s="327"/>
      <c r="F451" s="327"/>
      <c r="G451" s="327"/>
      <c r="H451" s="327"/>
      <c r="I451" s="327"/>
      <c r="J451" s="327"/>
      <c r="K451" s="327"/>
      <c r="L451" s="327"/>
      <c r="M451" s="327"/>
      <c r="N451" s="327"/>
      <c r="O451" s="327"/>
      <c r="P451" s="327"/>
      <c r="Q451" s="327"/>
      <c r="R451" s="327"/>
      <c r="S451" s="327"/>
      <c r="T451" s="327"/>
      <c r="U451" s="327"/>
      <c r="V451" s="327"/>
      <c r="W451" s="327"/>
      <c r="X451" s="327"/>
      <c r="Y451" s="327"/>
      <c r="Z451" s="327"/>
      <c r="AA451" s="327"/>
      <c r="AB451" s="327"/>
      <c r="AC451" s="327"/>
      <c r="AD451" s="327"/>
      <c r="AE451" s="327"/>
      <c r="AF451" s="327"/>
      <c r="AG451" s="327"/>
      <c r="AH451" s="327"/>
      <c r="AI451" s="327"/>
      <c r="AJ451" s="327"/>
      <c r="AK451" s="327"/>
      <c r="AL451" s="327"/>
      <c r="AM451" s="327"/>
    </row>
    <row r="452" spans="1:39">
      <c r="A452" s="69"/>
      <c r="B452" s="69"/>
      <c r="C452" s="327"/>
      <c r="D452" s="327"/>
      <c r="E452" s="327"/>
      <c r="F452" s="327"/>
      <c r="G452" s="327"/>
      <c r="H452" s="327"/>
      <c r="I452" s="327"/>
      <c r="J452" s="327"/>
      <c r="K452" s="327"/>
      <c r="L452" s="327"/>
      <c r="M452" s="327"/>
      <c r="N452" s="327"/>
      <c r="O452" s="327"/>
      <c r="P452" s="327"/>
      <c r="Q452" s="327"/>
      <c r="R452" s="327"/>
      <c r="S452" s="327"/>
      <c r="T452" s="327"/>
      <c r="U452" s="327"/>
      <c r="V452" s="327"/>
      <c r="W452" s="327"/>
      <c r="X452" s="327"/>
      <c r="Y452" s="327"/>
      <c r="Z452" s="327"/>
      <c r="AA452" s="327"/>
      <c r="AB452" s="327"/>
      <c r="AC452" s="327"/>
      <c r="AD452" s="327"/>
      <c r="AE452" s="327"/>
      <c r="AF452" s="327"/>
      <c r="AG452" s="327"/>
      <c r="AH452" s="327"/>
      <c r="AI452" s="327"/>
      <c r="AJ452" s="327"/>
      <c r="AK452" s="327"/>
      <c r="AL452" s="327"/>
      <c r="AM452" s="327"/>
    </row>
    <row r="453" spans="1:39">
      <c r="A453" s="69"/>
      <c r="B453" s="69"/>
      <c r="C453" s="327"/>
      <c r="D453" s="327"/>
      <c r="E453" s="327"/>
      <c r="F453" s="327"/>
      <c r="G453" s="327"/>
      <c r="H453" s="327"/>
      <c r="I453" s="327"/>
      <c r="J453" s="327"/>
      <c r="K453" s="327"/>
      <c r="L453" s="327"/>
      <c r="M453" s="327"/>
      <c r="N453" s="327"/>
      <c r="O453" s="327"/>
      <c r="P453" s="327"/>
      <c r="Q453" s="327"/>
      <c r="R453" s="327"/>
      <c r="S453" s="327"/>
      <c r="T453" s="327"/>
      <c r="U453" s="327"/>
      <c r="V453" s="327"/>
      <c r="W453" s="327"/>
      <c r="X453" s="327"/>
      <c r="Y453" s="327"/>
      <c r="Z453" s="327"/>
      <c r="AA453" s="327"/>
      <c r="AB453" s="327"/>
      <c r="AC453" s="327"/>
      <c r="AD453" s="327"/>
      <c r="AE453" s="327"/>
      <c r="AF453" s="327"/>
      <c r="AG453" s="327"/>
      <c r="AH453" s="327"/>
      <c r="AI453" s="327"/>
      <c r="AJ453" s="327"/>
      <c r="AK453" s="327"/>
      <c r="AL453" s="327"/>
      <c r="AM453" s="327"/>
    </row>
    <row r="454" spans="1:39">
      <c r="A454" s="69"/>
      <c r="B454" s="69"/>
      <c r="C454" s="327"/>
      <c r="D454" s="327"/>
      <c r="E454" s="327"/>
      <c r="F454" s="327"/>
      <c r="G454" s="327"/>
      <c r="H454" s="327"/>
      <c r="I454" s="327"/>
      <c r="J454" s="327"/>
      <c r="K454" s="327"/>
      <c r="L454" s="327"/>
      <c r="M454" s="327"/>
      <c r="N454" s="327"/>
      <c r="O454" s="327"/>
      <c r="P454" s="327"/>
      <c r="Q454" s="327"/>
      <c r="R454" s="327"/>
      <c r="S454" s="327"/>
      <c r="T454" s="327"/>
      <c r="U454" s="327"/>
      <c r="V454" s="327"/>
      <c r="W454" s="327"/>
      <c r="X454" s="327"/>
      <c r="Y454" s="327"/>
      <c r="Z454" s="327"/>
      <c r="AA454" s="327"/>
      <c r="AB454" s="327"/>
      <c r="AC454" s="327"/>
      <c r="AD454" s="327"/>
      <c r="AE454" s="327"/>
      <c r="AF454" s="327"/>
      <c r="AG454" s="327"/>
      <c r="AH454" s="327"/>
      <c r="AI454" s="327"/>
      <c r="AJ454" s="327"/>
      <c r="AK454" s="327"/>
      <c r="AL454" s="327"/>
      <c r="AM454" s="327"/>
    </row>
    <row r="455" spans="1:39">
      <c r="A455" s="69"/>
      <c r="B455" s="69"/>
      <c r="C455" s="327"/>
      <c r="D455" s="327"/>
      <c r="E455" s="327"/>
      <c r="F455" s="327"/>
      <c r="G455" s="327"/>
      <c r="H455" s="327"/>
      <c r="I455" s="327"/>
      <c r="J455" s="327"/>
      <c r="K455" s="327"/>
      <c r="L455" s="327"/>
      <c r="M455" s="327"/>
      <c r="N455" s="327"/>
      <c r="O455" s="327"/>
      <c r="P455" s="327"/>
      <c r="Q455" s="327"/>
      <c r="R455" s="327"/>
      <c r="S455" s="327"/>
      <c r="T455" s="327"/>
      <c r="U455" s="327"/>
      <c r="V455" s="327"/>
      <c r="W455" s="327"/>
      <c r="X455" s="327"/>
      <c r="Y455" s="327"/>
      <c r="Z455" s="327"/>
      <c r="AA455" s="327"/>
      <c r="AB455" s="327"/>
      <c r="AC455" s="327"/>
      <c r="AD455" s="327"/>
      <c r="AE455" s="327"/>
      <c r="AF455" s="327"/>
      <c r="AG455" s="327"/>
      <c r="AH455" s="327"/>
      <c r="AI455" s="327"/>
      <c r="AJ455" s="327"/>
      <c r="AK455" s="327"/>
      <c r="AL455" s="327"/>
      <c r="AM455" s="327"/>
    </row>
    <row r="456" spans="1:39">
      <c r="A456" s="69"/>
      <c r="B456" s="69"/>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327"/>
      <c r="AE456" s="327"/>
      <c r="AF456" s="327"/>
      <c r="AG456" s="327"/>
      <c r="AH456" s="327"/>
      <c r="AI456" s="327"/>
      <c r="AJ456" s="327"/>
      <c r="AK456" s="327"/>
      <c r="AL456" s="327"/>
      <c r="AM456" s="327"/>
    </row>
    <row r="457" spans="1:39">
      <c r="A457" s="69"/>
      <c r="B457" s="69"/>
      <c r="C457" s="327"/>
      <c r="D457" s="327"/>
      <c r="E457" s="327"/>
      <c r="F457" s="327"/>
      <c r="G457" s="327"/>
      <c r="H457" s="327"/>
      <c r="I457" s="327"/>
      <c r="J457" s="327"/>
      <c r="K457" s="327"/>
      <c r="L457" s="327"/>
      <c r="M457" s="327"/>
      <c r="N457" s="327"/>
      <c r="O457" s="327"/>
      <c r="P457" s="327"/>
      <c r="Q457" s="327"/>
      <c r="R457" s="327"/>
      <c r="S457" s="327"/>
      <c r="T457" s="327"/>
      <c r="U457" s="327"/>
      <c r="V457" s="327"/>
      <c r="W457" s="327"/>
      <c r="X457" s="327"/>
      <c r="Y457" s="327"/>
      <c r="Z457" s="327"/>
      <c r="AA457" s="327"/>
      <c r="AB457" s="327"/>
      <c r="AC457" s="327"/>
      <c r="AD457" s="327"/>
      <c r="AE457" s="327"/>
      <c r="AF457" s="327"/>
      <c r="AG457" s="327"/>
      <c r="AH457" s="327"/>
      <c r="AI457" s="327"/>
      <c r="AJ457" s="327"/>
      <c r="AK457" s="327"/>
      <c r="AL457" s="327"/>
      <c r="AM457" s="327"/>
    </row>
    <row r="458" spans="1:39">
      <c r="A458" s="69"/>
      <c r="B458" s="69"/>
      <c r="C458" s="327"/>
      <c r="D458" s="327"/>
      <c r="E458" s="327"/>
      <c r="F458" s="327"/>
      <c r="G458" s="327"/>
      <c r="H458" s="327"/>
      <c r="I458" s="327"/>
      <c r="J458" s="327"/>
      <c r="K458" s="327"/>
      <c r="L458" s="327"/>
      <c r="M458" s="327"/>
      <c r="N458" s="327"/>
      <c r="O458" s="327"/>
      <c r="P458" s="327"/>
      <c r="Q458" s="327"/>
      <c r="R458" s="327"/>
      <c r="S458" s="327"/>
      <c r="T458" s="327"/>
      <c r="U458" s="327"/>
      <c r="V458" s="327"/>
      <c r="W458" s="327"/>
      <c r="X458" s="327"/>
      <c r="Y458" s="327"/>
      <c r="Z458" s="327"/>
      <c r="AA458" s="327"/>
      <c r="AB458" s="327"/>
      <c r="AC458" s="327"/>
      <c r="AD458" s="327"/>
      <c r="AE458" s="327"/>
      <c r="AF458" s="327"/>
      <c r="AG458" s="327"/>
      <c r="AH458" s="327"/>
      <c r="AI458" s="327"/>
      <c r="AJ458" s="327"/>
      <c r="AK458" s="327"/>
      <c r="AL458" s="327"/>
      <c r="AM458" s="327"/>
    </row>
    <row r="459" spans="1:39">
      <c r="A459" s="69"/>
      <c r="B459" s="69"/>
      <c r="C459" s="327"/>
      <c r="D459" s="327"/>
      <c r="E459" s="327"/>
      <c r="F459" s="327"/>
      <c r="G459" s="327"/>
      <c r="H459" s="327"/>
      <c r="I459" s="327"/>
      <c r="J459" s="327"/>
      <c r="K459" s="327"/>
      <c r="L459" s="327"/>
      <c r="M459" s="327"/>
      <c r="N459" s="327"/>
      <c r="O459" s="327"/>
      <c r="P459" s="327"/>
      <c r="Q459" s="327"/>
      <c r="R459" s="327"/>
      <c r="S459" s="327"/>
      <c r="T459" s="327"/>
      <c r="U459" s="327"/>
      <c r="V459" s="327"/>
      <c r="W459" s="327"/>
      <c r="X459" s="327"/>
      <c r="Y459" s="327"/>
      <c r="Z459" s="327"/>
      <c r="AA459" s="327"/>
      <c r="AB459" s="327"/>
      <c r="AC459" s="327"/>
      <c r="AD459" s="327"/>
      <c r="AE459" s="327"/>
      <c r="AF459" s="327"/>
      <c r="AG459" s="327"/>
      <c r="AH459" s="327"/>
      <c r="AI459" s="327"/>
      <c r="AJ459" s="327"/>
      <c r="AK459" s="327"/>
      <c r="AL459" s="327"/>
      <c r="AM459" s="327"/>
    </row>
    <row r="460" spans="1:39">
      <c r="A460" s="69"/>
      <c r="B460" s="69"/>
      <c r="C460" s="327"/>
      <c r="D460" s="327"/>
      <c r="E460" s="327"/>
      <c r="F460" s="327"/>
      <c r="G460" s="327"/>
      <c r="H460" s="327"/>
      <c r="I460" s="327"/>
      <c r="J460" s="327"/>
      <c r="K460" s="327"/>
      <c r="L460" s="327"/>
      <c r="M460" s="327"/>
      <c r="N460" s="327"/>
      <c r="O460" s="327"/>
      <c r="P460" s="327"/>
      <c r="Q460" s="327"/>
      <c r="R460" s="327"/>
      <c r="S460" s="327"/>
      <c r="T460" s="327"/>
      <c r="U460" s="327"/>
      <c r="V460" s="327"/>
      <c r="W460" s="327"/>
      <c r="X460" s="327"/>
      <c r="Y460" s="327"/>
      <c r="Z460" s="327"/>
      <c r="AA460" s="327"/>
      <c r="AB460" s="327"/>
      <c r="AC460" s="327"/>
      <c r="AD460" s="327"/>
      <c r="AE460" s="327"/>
      <c r="AF460" s="327"/>
      <c r="AG460" s="327"/>
      <c r="AH460" s="327"/>
      <c r="AI460" s="327"/>
      <c r="AJ460" s="327"/>
      <c r="AK460" s="327"/>
      <c r="AL460" s="327"/>
      <c r="AM460" s="327"/>
    </row>
    <row r="461" spans="1:39">
      <c r="A461" s="69"/>
      <c r="B461" s="69"/>
      <c r="C461" s="327"/>
      <c r="D461" s="327"/>
      <c r="E461" s="327"/>
      <c r="F461" s="327"/>
      <c r="G461" s="327"/>
      <c r="H461" s="327"/>
      <c r="I461" s="327"/>
      <c r="J461" s="327"/>
      <c r="K461" s="327"/>
      <c r="L461" s="327"/>
      <c r="M461" s="327"/>
      <c r="N461" s="327"/>
      <c r="O461" s="327"/>
      <c r="P461" s="327"/>
      <c r="Q461" s="327"/>
      <c r="R461" s="327"/>
      <c r="S461" s="327"/>
      <c r="T461" s="327"/>
      <c r="U461" s="327"/>
      <c r="V461" s="327"/>
      <c r="W461" s="327"/>
      <c r="X461" s="327"/>
      <c r="Y461" s="327"/>
      <c r="Z461" s="327"/>
      <c r="AA461" s="327"/>
      <c r="AB461" s="327"/>
      <c r="AC461" s="327"/>
      <c r="AD461" s="327"/>
      <c r="AE461" s="327"/>
      <c r="AF461" s="327"/>
      <c r="AG461" s="327"/>
      <c r="AH461" s="327"/>
      <c r="AI461" s="327"/>
      <c r="AJ461" s="327"/>
      <c r="AK461" s="327"/>
      <c r="AL461" s="327"/>
      <c r="AM461" s="327"/>
    </row>
    <row r="462" spans="1:39">
      <c r="A462" s="69"/>
      <c r="B462" s="69"/>
      <c r="C462" s="327"/>
      <c r="D462" s="327"/>
      <c r="E462" s="327"/>
      <c r="F462" s="327"/>
      <c r="G462" s="327"/>
      <c r="H462" s="327"/>
      <c r="I462" s="327"/>
      <c r="J462" s="327"/>
      <c r="K462" s="327"/>
      <c r="L462" s="327"/>
      <c r="M462" s="327"/>
      <c r="N462" s="327"/>
      <c r="O462" s="327"/>
      <c r="P462" s="327"/>
      <c r="Q462" s="327"/>
      <c r="R462" s="327"/>
      <c r="S462" s="327"/>
      <c r="T462" s="327"/>
      <c r="U462" s="327"/>
      <c r="V462" s="327"/>
      <c r="W462" s="327"/>
      <c r="X462" s="327"/>
      <c r="Y462" s="327"/>
      <c r="Z462" s="327"/>
      <c r="AA462" s="327"/>
      <c r="AB462" s="327"/>
      <c r="AC462" s="327"/>
      <c r="AD462" s="327"/>
      <c r="AE462" s="327"/>
      <c r="AF462" s="327"/>
      <c r="AG462" s="327"/>
      <c r="AH462" s="327"/>
      <c r="AI462" s="327"/>
      <c r="AJ462" s="327"/>
      <c r="AK462" s="327"/>
      <c r="AL462" s="327"/>
      <c r="AM462" s="327"/>
    </row>
    <row r="463" spans="1:39">
      <c r="A463" s="69"/>
      <c r="B463" s="69"/>
      <c r="C463" s="327"/>
      <c r="D463" s="327"/>
      <c r="E463" s="327"/>
      <c r="F463" s="327"/>
      <c r="G463" s="327"/>
      <c r="H463" s="327"/>
      <c r="I463" s="327"/>
      <c r="J463" s="327"/>
      <c r="K463" s="327"/>
      <c r="L463" s="327"/>
      <c r="M463" s="327"/>
      <c r="N463" s="327"/>
      <c r="O463" s="327"/>
      <c r="P463" s="327"/>
      <c r="Q463" s="327"/>
      <c r="R463" s="327"/>
      <c r="S463" s="327"/>
      <c r="T463" s="327"/>
      <c r="U463" s="327"/>
      <c r="V463" s="327"/>
      <c r="W463" s="327"/>
      <c r="X463" s="327"/>
      <c r="Y463" s="327"/>
      <c r="Z463" s="327"/>
      <c r="AA463" s="327"/>
      <c r="AB463" s="327"/>
      <c r="AC463" s="327"/>
      <c r="AD463" s="327"/>
      <c r="AE463" s="327"/>
      <c r="AF463" s="327"/>
      <c r="AG463" s="327"/>
      <c r="AH463" s="327"/>
      <c r="AI463" s="327"/>
      <c r="AJ463" s="327"/>
      <c r="AK463" s="327"/>
      <c r="AL463" s="327"/>
      <c r="AM463" s="327"/>
    </row>
    <row r="464" spans="1:39">
      <c r="A464" s="69"/>
      <c r="B464" s="69"/>
      <c r="C464" s="327"/>
      <c r="D464" s="327"/>
      <c r="E464" s="327"/>
      <c r="F464" s="327"/>
      <c r="G464" s="327"/>
      <c r="H464" s="327"/>
      <c r="I464" s="327"/>
      <c r="J464" s="327"/>
      <c r="K464" s="327"/>
      <c r="L464" s="327"/>
      <c r="M464" s="327"/>
      <c r="N464" s="327"/>
      <c r="O464" s="327"/>
      <c r="P464" s="327"/>
      <c r="Q464" s="327"/>
      <c r="R464" s="327"/>
      <c r="S464" s="327"/>
      <c r="T464" s="327"/>
      <c r="U464" s="327"/>
      <c r="V464" s="327"/>
      <c r="W464" s="327"/>
      <c r="X464" s="327"/>
      <c r="Y464" s="327"/>
      <c r="Z464" s="327"/>
      <c r="AA464" s="327"/>
      <c r="AB464" s="327"/>
      <c r="AC464" s="327"/>
      <c r="AD464" s="327"/>
      <c r="AE464" s="327"/>
      <c r="AF464" s="327"/>
      <c r="AG464" s="327"/>
      <c r="AH464" s="327"/>
      <c r="AI464" s="327"/>
      <c r="AJ464" s="327"/>
      <c r="AK464" s="327"/>
      <c r="AL464" s="327"/>
      <c r="AM464" s="327"/>
    </row>
    <row r="465" spans="1:39">
      <c r="A465" s="69"/>
      <c r="B465" s="69"/>
      <c r="C465" s="327"/>
      <c r="D465" s="327"/>
      <c r="E465" s="327"/>
      <c r="F465" s="327"/>
      <c r="G465" s="327"/>
      <c r="H465" s="327"/>
      <c r="I465" s="327"/>
      <c r="J465" s="327"/>
      <c r="K465" s="327"/>
      <c r="L465" s="327"/>
      <c r="M465" s="327"/>
      <c r="N465" s="327"/>
      <c r="O465" s="327"/>
      <c r="P465" s="327"/>
      <c r="Q465" s="327"/>
      <c r="R465" s="327"/>
      <c r="S465" s="327"/>
      <c r="T465" s="327"/>
      <c r="U465" s="327"/>
      <c r="V465" s="327"/>
      <c r="W465" s="327"/>
      <c r="X465" s="327"/>
      <c r="Y465" s="327"/>
      <c r="Z465" s="327"/>
      <c r="AA465" s="327"/>
      <c r="AB465" s="327"/>
      <c r="AC465" s="327"/>
      <c r="AD465" s="327"/>
      <c r="AE465" s="327"/>
      <c r="AF465" s="327"/>
      <c r="AG465" s="327"/>
      <c r="AH465" s="327"/>
      <c r="AI465" s="327"/>
      <c r="AJ465" s="327"/>
      <c r="AK465" s="327"/>
      <c r="AL465" s="327"/>
      <c r="AM465" s="327"/>
    </row>
    <row r="466" spans="1:39">
      <c r="A466" s="69"/>
      <c r="B466" s="69"/>
      <c r="C466" s="327"/>
      <c r="D466" s="327"/>
      <c r="E466" s="327"/>
      <c r="F466" s="327"/>
      <c r="G466" s="327"/>
      <c r="H466" s="327"/>
      <c r="I466" s="327"/>
      <c r="J466" s="327"/>
      <c r="K466" s="327"/>
      <c r="L466" s="327"/>
      <c r="M466" s="327"/>
      <c r="N466" s="327"/>
      <c r="O466" s="327"/>
      <c r="P466" s="327"/>
      <c r="Q466" s="327"/>
      <c r="R466" s="327"/>
      <c r="S466" s="327"/>
      <c r="T466" s="327"/>
      <c r="U466" s="327"/>
      <c r="V466" s="327"/>
      <c r="W466" s="327"/>
      <c r="X466" s="327"/>
      <c r="Y466" s="327"/>
      <c r="Z466" s="327"/>
      <c r="AA466" s="327"/>
      <c r="AB466" s="327"/>
      <c r="AC466" s="327"/>
      <c r="AD466" s="327"/>
      <c r="AE466" s="327"/>
      <c r="AF466" s="327"/>
      <c r="AG466" s="327"/>
      <c r="AH466" s="327"/>
      <c r="AI466" s="327"/>
      <c r="AJ466" s="327"/>
      <c r="AK466" s="327"/>
      <c r="AL466" s="327"/>
      <c r="AM466" s="327"/>
    </row>
    <row r="467" spans="1:39">
      <c r="A467" s="69"/>
      <c r="B467" s="69"/>
      <c r="C467" s="327"/>
      <c r="D467" s="327"/>
      <c r="E467" s="327"/>
      <c r="F467" s="327"/>
      <c r="G467" s="327"/>
      <c r="H467" s="327"/>
      <c r="I467" s="327"/>
      <c r="J467" s="327"/>
      <c r="K467" s="327"/>
      <c r="L467" s="327"/>
      <c r="M467" s="327"/>
      <c r="N467" s="327"/>
      <c r="O467" s="327"/>
      <c r="P467" s="327"/>
      <c r="Q467" s="327"/>
      <c r="R467" s="327"/>
      <c r="S467" s="327"/>
      <c r="T467" s="327"/>
      <c r="U467" s="327"/>
      <c r="V467" s="327"/>
      <c r="W467" s="327"/>
      <c r="X467" s="327"/>
      <c r="Y467" s="327"/>
      <c r="Z467" s="327"/>
      <c r="AA467" s="327"/>
      <c r="AB467" s="327"/>
      <c r="AC467" s="327"/>
      <c r="AD467" s="327"/>
      <c r="AE467" s="327"/>
      <c r="AF467" s="327"/>
      <c r="AG467" s="327"/>
      <c r="AH467" s="327"/>
      <c r="AI467" s="327"/>
      <c r="AJ467" s="327"/>
      <c r="AK467" s="327"/>
      <c r="AL467" s="327"/>
      <c r="AM467" s="327"/>
    </row>
    <row r="468" spans="1:39">
      <c r="A468" s="69"/>
      <c r="B468" s="69"/>
      <c r="C468" s="327"/>
      <c r="D468" s="327"/>
      <c r="E468" s="327"/>
      <c r="F468" s="327"/>
      <c r="G468" s="327"/>
      <c r="H468" s="327"/>
      <c r="I468" s="327"/>
      <c r="J468" s="327"/>
      <c r="K468" s="327"/>
      <c r="L468" s="327"/>
      <c r="M468" s="327"/>
      <c r="N468" s="327"/>
      <c r="O468" s="327"/>
      <c r="P468" s="327"/>
      <c r="Q468" s="327"/>
      <c r="R468" s="327"/>
      <c r="S468" s="327"/>
      <c r="T468" s="327"/>
      <c r="U468" s="327"/>
      <c r="V468" s="327"/>
      <c r="W468" s="327"/>
      <c r="X468" s="327"/>
      <c r="Y468" s="327"/>
      <c r="Z468" s="327"/>
      <c r="AA468" s="327"/>
      <c r="AB468" s="327"/>
      <c r="AC468" s="327"/>
      <c r="AD468" s="327"/>
      <c r="AE468" s="327"/>
      <c r="AF468" s="327"/>
      <c r="AG468" s="327"/>
      <c r="AH468" s="327"/>
      <c r="AI468" s="327"/>
      <c r="AJ468" s="327"/>
      <c r="AK468" s="327"/>
      <c r="AL468" s="327"/>
      <c r="AM468" s="327"/>
    </row>
    <row r="469" spans="1:39">
      <c r="A469" s="69"/>
      <c r="B469" s="69"/>
      <c r="C469" s="327"/>
      <c r="D469" s="327"/>
      <c r="E469" s="327"/>
      <c r="F469" s="327"/>
      <c r="G469" s="327"/>
      <c r="H469" s="327"/>
      <c r="I469" s="327"/>
      <c r="J469" s="327"/>
      <c r="K469" s="327"/>
      <c r="L469" s="327"/>
      <c r="M469" s="327"/>
      <c r="N469" s="327"/>
      <c r="O469" s="327"/>
      <c r="P469" s="327"/>
      <c r="Q469" s="327"/>
      <c r="R469" s="327"/>
      <c r="S469" s="327"/>
      <c r="T469" s="327"/>
      <c r="U469" s="327"/>
      <c r="V469" s="327"/>
      <c r="W469" s="327"/>
      <c r="X469" s="327"/>
      <c r="Y469" s="327"/>
      <c r="Z469" s="327"/>
      <c r="AA469" s="327"/>
      <c r="AB469" s="327"/>
      <c r="AC469" s="327"/>
      <c r="AD469" s="327"/>
      <c r="AE469" s="327"/>
      <c r="AF469" s="327"/>
      <c r="AG469" s="327"/>
      <c r="AH469" s="327"/>
      <c r="AI469" s="327"/>
      <c r="AJ469" s="327"/>
      <c r="AK469" s="327"/>
      <c r="AL469" s="327"/>
      <c r="AM469" s="327"/>
    </row>
    <row r="470" spans="1:39">
      <c r="A470" s="69"/>
      <c r="B470" s="69"/>
      <c r="C470" s="327"/>
      <c r="D470" s="327"/>
      <c r="E470" s="327"/>
      <c r="F470" s="327"/>
      <c r="G470" s="327"/>
      <c r="H470" s="327"/>
      <c r="I470" s="327"/>
      <c r="J470" s="327"/>
      <c r="K470" s="327"/>
      <c r="L470" s="327"/>
      <c r="M470" s="327"/>
      <c r="N470" s="327"/>
      <c r="O470" s="327"/>
      <c r="P470" s="327"/>
      <c r="Q470" s="327"/>
      <c r="R470" s="327"/>
      <c r="S470" s="327"/>
      <c r="T470" s="327"/>
      <c r="U470" s="327"/>
      <c r="V470" s="327"/>
      <c r="W470" s="327"/>
      <c r="X470" s="327"/>
      <c r="Y470" s="327"/>
      <c r="Z470" s="327"/>
      <c r="AA470" s="327"/>
      <c r="AB470" s="327"/>
      <c r="AC470" s="327"/>
      <c r="AD470" s="327"/>
      <c r="AE470" s="327"/>
      <c r="AF470" s="327"/>
      <c r="AG470" s="327"/>
      <c r="AH470" s="327"/>
      <c r="AI470" s="327"/>
      <c r="AJ470" s="327"/>
      <c r="AK470" s="327"/>
      <c r="AL470" s="327"/>
      <c r="AM470" s="327"/>
    </row>
    <row r="471" spans="1:39">
      <c r="A471" s="69"/>
      <c r="B471" s="69"/>
      <c r="C471" s="327"/>
      <c r="D471" s="327"/>
      <c r="E471" s="327"/>
      <c r="F471" s="327"/>
      <c r="G471" s="327"/>
      <c r="H471" s="327"/>
      <c r="I471" s="327"/>
      <c r="J471" s="327"/>
      <c r="K471" s="327"/>
      <c r="L471" s="327"/>
      <c r="M471" s="327"/>
      <c r="N471" s="327"/>
      <c r="O471" s="327"/>
      <c r="P471" s="327"/>
      <c r="Q471" s="327"/>
      <c r="R471" s="327"/>
      <c r="S471" s="327"/>
      <c r="T471" s="327"/>
      <c r="U471" s="327"/>
      <c r="V471" s="327"/>
      <c r="W471" s="327"/>
      <c r="X471" s="327"/>
      <c r="Y471" s="327"/>
      <c r="Z471" s="327"/>
      <c r="AA471" s="327"/>
      <c r="AB471" s="327"/>
      <c r="AC471" s="327"/>
      <c r="AD471" s="327"/>
      <c r="AE471" s="327"/>
      <c r="AF471" s="327"/>
      <c r="AG471" s="327"/>
      <c r="AH471" s="327"/>
      <c r="AI471" s="327"/>
      <c r="AJ471" s="327"/>
      <c r="AK471" s="327"/>
      <c r="AL471" s="327"/>
      <c r="AM471" s="327"/>
    </row>
    <row r="472" spans="1:39">
      <c r="A472" s="69"/>
      <c r="B472" s="69"/>
      <c r="C472" s="327"/>
      <c r="D472" s="327"/>
      <c r="E472" s="327"/>
      <c r="F472" s="327"/>
      <c r="G472" s="327"/>
      <c r="H472" s="327"/>
      <c r="I472" s="327"/>
      <c r="J472" s="327"/>
      <c r="K472" s="327"/>
      <c r="L472" s="327"/>
      <c r="M472" s="327"/>
      <c r="N472" s="327"/>
      <c r="O472" s="327"/>
      <c r="P472" s="327"/>
      <c r="Q472" s="327"/>
      <c r="R472" s="327"/>
      <c r="S472" s="327"/>
      <c r="T472" s="327"/>
      <c r="U472" s="327"/>
      <c r="V472" s="327"/>
      <c r="W472" s="327"/>
      <c r="X472" s="327"/>
      <c r="Y472" s="327"/>
      <c r="Z472" s="327"/>
      <c r="AA472" s="327"/>
      <c r="AB472" s="327"/>
      <c r="AC472" s="327"/>
      <c r="AD472" s="327"/>
      <c r="AE472" s="327"/>
      <c r="AF472" s="327"/>
      <c r="AG472" s="327"/>
      <c r="AH472" s="327"/>
      <c r="AI472" s="327"/>
      <c r="AJ472" s="327"/>
      <c r="AK472" s="327"/>
      <c r="AL472" s="327"/>
      <c r="AM472" s="327"/>
    </row>
    <row r="473" spans="1:39">
      <c r="A473" s="69"/>
      <c r="B473" s="69"/>
      <c r="C473" s="327"/>
      <c r="D473" s="327"/>
      <c r="E473" s="327"/>
      <c r="F473" s="327"/>
      <c r="G473" s="327"/>
      <c r="H473" s="327"/>
      <c r="I473" s="327"/>
      <c r="J473" s="327"/>
      <c r="K473" s="327"/>
      <c r="L473" s="327"/>
      <c r="M473" s="327"/>
      <c r="N473" s="327"/>
      <c r="O473" s="327"/>
      <c r="P473" s="327"/>
      <c r="Q473" s="327"/>
      <c r="R473" s="327"/>
      <c r="S473" s="327"/>
      <c r="T473" s="327"/>
      <c r="U473" s="327"/>
      <c r="V473" s="327"/>
      <c r="W473" s="327"/>
      <c r="X473" s="327"/>
      <c r="Y473" s="327"/>
      <c r="Z473" s="327"/>
      <c r="AA473" s="327"/>
      <c r="AB473" s="327"/>
      <c r="AC473" s="327"/>
      <c r="AD473" s="327"/>
      <c r="AE473" s="327"/>
      <c r="AF473" s="327"/>
      <c r="AG473" s="327"/>
      <c r="AH473" s="327"/>
      <c r="AI473" s="327"/>
      <c r="AJ473" s="327"/>
      <c r="AK473" s="327"/>
      <c r="AL473" s="327"/>
      <c r="AM473" s="327"/>
    </row>
    <row r="474" spans="1:39">
      <c r="A474" s="69"/>
      <c r="B474" s="69"/>
      <c r="C474" s="327"/>
      <c r="D474" s="327"/>
      <c r="E474" s="327"/>
      <c r="F474" s="327"/>
      <c r="G474" s="327"/>
      <c r="H474" s="327"/>
      <c r="I474" s="327"/>
      <c r="J474" s="327"/>
      <c r="K474" s="327"/>
      <c r="L474" s="327"/>
      <c r="M474" s="327"/>
      <c r="N474" s="327"/>
      <c r="O474" s="327"/>
      <c r="P474" s="327"/>
      <c r="Q474" s="327"/>
      <c r="R474" s="327"/>
      <c r="S474" s="327"/>
      <c r="T474" s="327"/>
      <c r="U474" s="327"/>
      <c r="V474" s="327"/>
      <c r="W474" s="327"/>
      <c r="X474" s="327"/>
      <c r="Y474" s="327"/>
      <c r="Z474" s="327"/>
      <c r="AA474" s="327"/>
      <c r="AB474" s="327"/>
      <c r="AC474" s="327"/>
      <c r="AD474" s="327"/>
      <c r="AE474" s="327"/>
      <c r="AF474" s="327"/>
      <c r="AG474" s="327"/>
      <c r="AH474" s="327"/>
      <c r="AI474" s="327"/>
      <c r="AJ474" s="327"/>
      <c r="AK474" s="327"/>
      <c r="AL474" s="327"/>
      <c r="AM474" s="327"/>
    </row>
    <row r="475" spans="1:39">
      <c r="A475" s="69"/>
      <c r="B475" s="69"/>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327"/>
      <c r="AE475" s="327"/>
      <c r="AF475" s="327"/>
      <c r="AG475" s="327"/>
      <c r="AH475" s="327"/>
      <c r="AI475" s="327"/>
      <c r="AJ475" s="327"/>
      <c r="AK475" s="327"/>
      <c r="AL475" s="327"/>
      <c r="AM475" s="327"/>
    </row>
    <row r="476" spans="1:39">
      <c r="A476" s="69"/>
      <c r="B476" s="69"/>
      <c r="C476" s="327"/>
      <c r="D476" s="327"/>
      <c r="E476" s="327"/>
      <c r="F476" s="327"/>
      <c r="G476" s="327"/>
      <c r="H476" s="327"/>
      <c r="I476" s="327"/>
      <c r="J476" s="327"/>
      <c r="K476" s="327"/>
      <c r="L476" s="327"/>
      <c r="M476" s="327"/>
      <c r="N476" s="327"/>
      <c r="O476" s="327"/>
      <c r="P476" s="327"/>
      <c r="Q476" s="327"/>
      <c r="R476" s="327"/>
      <c r="S476" s="327"/>
      <c r="T476" s="327"/>
      <c r="U476" s="327"/>
      <c r="V476" s="327"/>
      <c r="W476" s="327"/>
      <c r="X476" s="327"/>
      <c r="Y476" s="327"/>
      <c r="Z476" s="327"/>
      <c r="AA476" s="327"/>
      <c r="AB476" s="327"/>
      <c r="AC476" s="327"/>
      <c r="AD476" s="327"/>
      <c r="AE476" s="327"/>
      <c r="AF476" s="327"/>
      <c r="AG476" s="327"/>
      <c r="AH476" s="327"/>
      <c r="AI476" s="327"/>
      <c r="AJ476" s="327"/>
      <c r="AK476" s="327"/>
      <c r="AL476" s="327"/>
      <c r="AM476" s="327"/>
    </row>
    <row r="477" spans="1:39">
      <c r="A477" s="69"/>
      <c r="B477" s="69"/>
      <c r="C477" s="327"/>
      <c r="D477" s="327"/>
      <c r="E477" s="327"/>
      <c r="F477" s="327"/>
      <c r="G477" s="327"/>
      <c r="H477" s="327"/>
      <c r="I477" s="327"/>
      <c r="J477" s="327"/>
      <c r="K477" s="327"/>
      <c r="L477" s="327"/>
      <c r="M477" s="327"/>
      <c r="N477" s="327"/>
      <c r="O477" s="327"/>
      <c r="P477" s="327"/>
      <c r="Q477" s="327"/>
      <c r="R477" s="327"/>
      <c r="S477" s="327"/>
      <c r="T477" s="327"/>
      <c r="U477" s="327"/>
      <c r="V477" s="327"/>
      <c r="W477" s="327"/>
      <c r="X477" s="327"/>
      <c r="Y477" s="327"/>
      <c r="Z477" s="327"/>
      <c r="AA477" s="327"/>
      <c r="AB477" s="327"/>
      <c r="AC477" s="327"/>
      <c r="AD477" s="327"/>
      <c r="AE477" s="327"/>
      <c r="AF477" s="327"/>
      <c r="AG477" s="327"/>
      <c r="AH477" s="327"/>
      <c r="AI477" s="327"/>
      <c r="AJ477" s="327"/>
      <c r="AK477" s="327"/>
      <c r="AL477" s="327"/>
      <c r="AM477" s="327"/>
    </row>
    <row r="478" spans="1:39">
      <c r="A478" s="69"/>
      <c r="B478" s="69"/>
      <c r="C478" s="327"/>
      <c r="D478" s="327"/>
      <c r="E478" s="327"/>
      <c r="F478" s="327"/>
      <c r="G478" s="327"/>
      <c r="H478" s="327"/>
      <c r="I478" s="327"/>
      <c r="J478" s="327"/>
      <c r="K478" s="327"/>
      <c r="L478" s="327"/>
      <c r="M478" s="327"/>
      <c r="N478" s="327"/>
      <c r="O478" s="327"/>
      <c r="P478" s="327"/>
      <c r="Q478" s="327"/>
      <c r="R478" s="327"/>
      <c r="S478" s="327"/>
      <c r="T478" s="327"/>
      <c r="U478" s="327"/>
      <c r="V478" s="327"/>
      <c r="W478" s="327"/>
      <c r="X478" s="327"/>
      <c r="Y478" s="327"/>
      <c r="Z478" s="327"/>
      <c r="AA478" s="327"/>
      <c r="AB478" s="327"/>
      <c r="AC478" s="327"/>
      <c r="AD478" s="327"/>
      <c r="AE478" s="327"/>
      <c r="AF478" s="327"/>
      <c r="AG478" s="327"/>
      <c r="AH478" s="327"/>
      <c r="AI478" s="327"/>
      <c r="AJ478" s="327"/>
      <c r="AK478" s="327"/>
      <c r="AL478" s="327"/>
      <c r="AM478" s="327"/>
    </row>
    <row r="479" spans="1:39">
      <c r="A479" s="69"/>
      <c r="B479" s="69"/>
      <c r="C479" s="327"/>
      <c r="D479" s="327"/>
      <c r="E479" s="327"/>
      <c r="F479" s="327"/>
      <c r="G479" s="327"/>
      <c r="H479" s="327"/>
      <c r="I479" s="327"/>
      <c r="J479" s="327"/>
      <c r="K479" s="327"/>
      <c r="L479" s="327"/>
      <c r="M479" s="327"/>
      <c r="N479" s="327"/>
      <c r="O479" s="327"/>
      <c r="P479" s="327"/>
      <c r="Q479" s="327"/>
      <c r="R479" s="327"/>
      <c r="S479" s="327"/>
      <c r="T479" s="327"/>
      <c r="U479" s="327"/>
      <c r="V479" s="327"/>
      <c r="W479" s="327"/>
      <c r="X479" s="327"/>
      <c r="Y479" s="327"/>
      <c r="Z479" s="327"/>
      <c r="AA479" s="327"/>
      <c r="AB479" s="327"/>
      <c r="AC479" s="327"/>
      <c r="AD479" s="327"/>
      <c r="AE479" s="327"/>
      <c r="AF479" s="327"/>
      <c r="AG479" s="327"/>
      <c r="AH479" s="327"/>
      <c r="AI479" s="327"/>
      <c r="AJ479" s="327"/>
      <c r="AK479" s="327"/>
      <c r="AL479" s="327"/>
      <c r="AM479" s="327"/>
    </row>
    <row r="480" spans="1:39">
      <c r="A480" s="69"/>
      <c r="B480" s="69"/>
      <c r="C480" s="327"/>
      <c r="D480" s="327"/>
      <c r="E480" s="327"/>
      <c r="F480" s="327"/>
      <c r="G480" s="327"/>
      <c r="H480" s="327"/>
      <c r="I480" s="327"/>
      <c r="J480" s="327"/>
      <c r="K480" s="327"/>
      <c r="L480" s="327"/>
      <c r="M480" s="327"/>
      <c r="N480" s="327"/>
      <c r="O480" s="327"/>
      <c r="P480" s="327"/>
      <c r="Q480" s="327"/>
      <c r="R480" s="327"/>
      <c r="S480" s="327"/>
      <c r="T480" s="327"/>
      <c r="U480" s="327"/>
      <c r="V480" s="327"/>
      <c r="W480" s="327"/>
      <c r="X480" s="327"/>
      <c r="Y480" s="327"/>
      <c r="Z480" s="327"/>
      <c r="AA480" s="327"/>
      <c r="AB480" s="327"/>
      <c r="AC480" s="327"/>
      <c r="AD480" s="327"/>
      <c r="AE480" s="327"/>
      <c r="AF480" s="327"/>
      <c r="AG480" s="327"/>
      <c r="AH480" s="327"/>
      <c r="AI480" s="327"/>
      <c r="AJ480" s="327"/>
      <c r="AK480" s="327"/>
      <c r="AL480" s="327"/>
      <c r="AM480" s="327"/>
    </row>
    <row r="481" spans="1:39">
      <c r="A481" s="69"/>
      <c r="B481" s="69"/>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327"/>
      <c r="AE481" s="327"/>
      <c r="AF481" s="327"/>
      <c r="AG481" s="327"/>
      <c r="AH481" s="327"/>
      <c r="AI481" s="327"/>
      <c r="AJ481" s="327"/>
      <c r="AK481" s="327"/>
      <c r="AL481" s="327"/>
      <c r="AM481" s="327"/>
    </row>
    <row r="482" spans="1:39">
      <c r="A482" s="69"/>
      <c r="B482" s="69"/>
      <c r="C482" s="327"/>
      <c r="D482" s="327"/>
      <c r="E482" s="327"/>
      <c r="F482" s="327"/>
      <c r="G482" s="327"/>
      <c r="H482" s="327"/>
      <c r="I482" s="327"/>
      <c r="J482" s="327"/>
      <c r="K482" s="327"/>
      <c r="L482" s="327"/>
      <c r="M482" s="327"/>
      <c r="N482" s="327"/>
      <c r="O482" s="327"/>
      <c r="P482" s="327"/>
      <c r="Q482" s="327"/>
      <c r="R482" s="327"/>
      <c r="S482" s="327"/>
      <c r="T482" s="327"/>
      <c r="U482" s="327"/>
      <c r="V482" s="327"/>
      <c r="W482" s="327"/>
      <c r="X482" s="327"/>
      <c r="Y482" s="327"/>
      <c r="Z482" s="327"/>
      <c r="AA482" s="327"/>
      <c r="AB482" s="327"/>
      <c r="AC482" s="327"/>
      <c r="AD482" s="327"/>
      <c r="AE482" s="327"/>
      <c r="AF482" s="327"/>
      <c r="AG482" s="327"/>
      <c r="AH482" s="327"/>
      <c r="AI482" s="327"/>
      <c r="AJ482" s="327"/>
      <c r="AK482" s="327"/>
      <c r="AL482" s="327"/>
      <c r="AM482" s="327"/>
    </row>
    <row r="483" spans="1:39">
      <c r="A483" s="69"/>
      <c r="B483" s="69"/>
      <c r="C483" s="327"/>
      <c r="D483" s="327"/>
      <c r="E483" s="327"/>
      <c r="F483" s="327"/>
      <c r="G483" s="327"/>
      <c r="H483" s="327"/>
      <c r="I483" s="327"/>
      <c r="J483" s="327"/>
      <c r="K483" s="327"/>
      <c r="L483" s="327"/>
      <c r="M483" s="327"/>
      <c r="N483" s="327"/>
      <c r="O483" s="327"/>
      <c r="P483" s="327"/>
      <c r="Q483" s="327"/>
      <c r="R483" s="327"/>
      <c r="S483" s="327"/>
      <c r="T483" s="327"/>
      <c r="U483" s="327"/>
      <c r="V483" s="327"/>
      <c r="W483" s="327"/>
      <c r="X483" s="327"/>
      <c r="Y483" s="327"/>
      <c r="Z483" s="327"/>
      <c r="AA483" s="327"/>
      <c r="AB483" s="327"/>
      <c r="AC483" s="327"/>
      <c r="AD483" s="327"/>
      <c r="AE483" s="327"/>
      <c r="AF483" s="327"/>
      <c r="AG483" s="327"/>
      <c r="AH483" s="327"/>
      <c r="AI483" s="327"/>
      <c r="AJ483" s="327"/>
      <c r="AK483" s="327"/>
      <c r="AL483" s="327"/>
      <c r="AM483" s="327"/>
    </row>
    <row r="484" spans="1:39">
      <c r="A484" s="69"/>
      <c r="B484" s="69"/>
      <c r="C484" s="327"/>
      <c r="D484" s="327"/>
      <c r="E484" s="327"/>
      <c r="F484" s="327"/>
      <c r="G484" s="327"/>
      <c r="H484" s="327"/>
      <c r="I484" s="327"/>
      <c r="J484" s="327"/>
      <c r="K484" s="327"/>
      <c r="L484" s="327"/>
      <c r="M484" s="327"/>
      <c r="N484" s="327"/>
      <c r="O484" s="327"/>
      <c r="P484" s="327"/>
      <c r="Q484" s="327"/>
      <c r="R484" s="327"/>
      <c r="S484" s="327"/>
      <c r="T484" s="327"/>
      <c r="U484" s="327"/>
      <c r="V484" s="327"/>
      <c r="W484" s="327"/>
      <c r="X484" s="327"/>
      <c r="Y484" s="327"/>
      <c r="Z484" s="327"/>
      <c r="AA484" s="327"/>
      <c r="AB484" s="327"/>
      <c r="AC484" s="327"/>
      <c r="AD484" s="327"/>
      <c r="AE484" s="327"/>
      <c r="AF484" s="327"/>
      <c r="AG484" s="327"/>
      <c r="AH484" s="327"/>
      <c r="AI484" s="327"/>
      <c r="AJ484" s="327"/>
      <c r="AK484" s="327"/>
      <c r="AL484" s="327"/>
      <c r="AM484" s="327"/>
    </row>
    <row r="485" spans="1:39">
      <c r="A485" s="69"/>
      <c r="B485" s="69"/>
      <c r="C485" s="327"/>
      <c r="D485" s="327"/>
      <c r="E485" s="327"/>
      <c r="F485" s="327"/>
      <c r="G485" s="327"/>
      <c r="H485" s="327"/>
      <c r="I485" s="327"/>
      <c r="J485" s="327"/>
      <c r="K485" s="327"/>
      <c r="L485" s="327"/>
      <c r="M485" s="327"/>
      <c r="N485" s="327"/>
      <c r="O485" s="327"/>
      <c r="P485" s="327"/>
      <c r="Q485" s="327"/>
      <c r="R485" s="327"/>
      <c r="S485" s="327"/>
      <c r="T485" s="327"/>
      <c r="U485" s="327"/>
      <c r="V485" s="327"/>
      <c r="W485" s="327"/>
      <c r="X485" s="327"/>
      <c r="Y485" s="327"/>
      <c r="Z485" s="327"/>
      <c r="AA485" s="327"/>
      <c r="AB485" s="327"/>
      <c r="AC485" s="327"/>
      <c r="AD485" s="327"/>
      <c r="AE485" s="327"/>
      <c r="AF485" s="327"/>
      <c r="AG485" s="327"/>
      <c r="AH485" s="327"/>
      <c r="AI485" s="327"/>
      <c r="AJ485" s="327"/>
      <c r="AK485" s="327"/>
      <c r="AL485" s="327"/>
      <c r="AM485" s="327"/>
    </row>
    <row r="486" spans="1:39">
      <c r="A486" s="69"/>
      <c r="B486" s="69"/>
      <c r="C486" s="327"/>
      <c r="D486" s="327"/>
      <c r="E486" s="327"/>
      <c r="F486" s="327"/>
      <c r="G486" s="327"/>
      <c r="H486" s="327"/>
      <c r="I486" s="327"/>
      <c r="J486" s="327"/>
      <c r="K486" s="327"/>
      <c r="L486" s="327"/>
      <c r="M486" s="327"/>
      <c r="N486" s="327"/>
      <c r="O486" s="327"/>
      <c r="P486" s="327"/>
      <c r="Q486" s="327"/>
      <c r="R486" s="327"/>
      <c r="S486" s="327"/>
      <c r="T486" s="327"/>
      <c r="U486" s="327"/>
      <c r="V486" s="327"/>
      <c r="W486" s="327"/>
      <c r="X486" s="327"/>
      <c r="Y486" s="327"/>
      <c r="Z486" s="327"/>
      <c r="AA486" s="327"/>
      <c r="AB486" s="327"/>
      <c r="AC486" s="327"/>
      <c r="AD486" s="327"/>
      <c r="AE486" s="327"/>
      <c r="AF486" s="327"/>
      <c r="AG486" s="327"/>
      <c r="AH486" s="327"/>
      <c r="AI486" s="327"/>
      <c r="AJ486" s="327"/>
      <c r="AK486" s="327"/>
      <c r="AL486" s="327"/>
      <c r="AM486" s="327"/>
    </row>
    <row r="487" spans="1:39">
      <c r="A487" s="69"/>
      <c r="B487" s="69"/>
      <c r="C487" s="327"/>
      <c r="D487" s="327"/>
      <c r="E487" s="327"/>
      <c r="F487" s="327"/>
      <c r="G487" s="327"/>
      <c r="H487" s="327"/>
      <c r="I487" s="327"/>
      <c r="J487" s="327"/>
      <c r="K487" s="327"/>
      <c r="L487" s="327"/>
      <c r="M487" s="327"/>
      <c r="N487" s="327"/>
      <c r="O487" s="327"/>
      <c r="P487" s="327"/>
      <c r="Q487" s="327"/>
      <c r="R487" s="327"/>
      <c r="S487" s="327"/>
      <c r="T487" s="327"/>
      <c r="U487" s="327"/>
      <c r="V487" s="327"/>
      <c r="W487" s="327"/>
      <c r="X487" s="327"/>
      <c r="Y487" s="327"/>
      <c r="Z487" s="327"/>
      <c r="AA487" s="327"/>
      <c r="AB487" s="327"/>
      <c r="AC487" s="327"/>
      <c r="AD487" s="327"/>
      <c r="AE487" s="327"/>
      <c r="AF487" s="327"/>
      <c r="AG487" s="327"/>
      <c r="AH487" s="327"/>
      <c r="AI487" s="327"/>
      <c r="AJ487" s="327"/>
      <c r="AK487" s="327"/>
      <c r="AL487" s="327"/>
      <c r="AM487" s="327"/>
    </row>
    <row r="488" spans="1:39">
      <c r="A488" s="69"/>
      <c r="B488" s="69"/>
      <c r="C488" s="327"/>
      <c r="D488" s="327"/>
      <c r="E488" s="327"/>
      <c r="F488" s="327"/>
      <c r="G488" s="327"/>
      <c r="H488" s="327"/>
      <c r="I488" s="327"/>
      <c r="J488" s="327"/>
      <c r="K488" s="327"/>
      <c r="L488" s="327"/>
      <c r="M488" s="327"/>
      <c r="N488" s="327"/>
      <c r="O488" s="327"/>
      <c r="P488" s="327"/>
      <c r="Q488" s="327"/>
      <c r="R488" s="327"/>
      <c r="S488" s="327"/>
      <c r="T488" s="327"/>
      <c r="U488" s="327"/>
      <c r="V488" s="327"/>
      <c r="W488" s="327"/>
      <c r="X488" s="327"/>
      <c r="Y488" s="327"/>
      <c r="Z488" s="327"/>
      <c r="AA488" s="327"/>
      <c r="AB488" s="327"/>
      <c r="AC488" s="327"/>
      <c r="AD488" s="327"/>
      <c r="AE488" s="327"/>
      <c r="AF488" s="327"/>
      <c r="AG488" s="327"/>
      <c r="AH488" s="327"/>
      <c r="AI488" s="327"/>
      <c r="AJ488" s="327"/>
      <c r="AK488" s="327"/>
      <c r="AL488" s="327"/>
      <c r="AM488" s="327"/>
    </row>
    <row r="489" spans="1:39">
      <c r="A489" s="69"/>
      <c r="B489" s="69"/>
      <c r="C489" s="327"/>
      <c r="D489" s="327"/>
      <c r="E489" s="327"/>
      <c r="F489" s="327"/>
      <c r="G489" s="327"/>
      <c r="H489" s="327"/>
      <c r="I489" s="327"/>
      <c r="J489" s="327"/>
      <c r="K489" s="327"/>
      <c r="L489" s="327"/>
      <c r="M489" s="327"/>
      <c r="N489" s="327"/>
      <c r="O489" s="327"/>
      <c r="P489" s="327"/>
      <c r="Q489" s="327"/>
      <c r="R489" s="327"/>
      <c r="S489" s="327"/>
      <c r="T489" s="327"/>
      <c r="U489" s="327"/>
      <c r="V489" s="327"/>
      <c r="W489" s="327"/>
      <c r="X489" s="327"/>
      <c r="Y489" s="327"/>
      <c r="Z489" s="327"/>
      <c r="AA489" s="327"/>
      <c r="AB489" s="327"/>
      <c r="AC489" s="327"/>
      <c r="AD489" s="327"/>
      <c r="AE489" s="327"/>
      <c r="AF489" s="327"/>
      <c r="AG489" s="327"/>
      <c r="AH489" s="327"/>
      <c r="AI489" s="327"/>
      <c r="AJ489" s="327"/>
      <c r="AK489" s="327"/>
      <c r="AL489" s="327"/>
      <c r="AM489" s="327"/>
    </row>
    <row r="490" spans="1:39">
      <c r="A490" s="69"/>
      <c r="B490" s="69"/>
      <c r="C490" s="327"/>
      <c r="D490" s="327"/>
      <c r="E490" s="327"/>
      <c r="F490" s="327"/>
      <c r="G490" s="327"/>
      <c r="H490" s="327"/>
      <c r="I490" s="327"/>
      <c r="J490" s="327"/>
      <c r="K490" s="327"/>
      <c r="L490" s="327"/>
      <c r="M490" s="327"/>
      <c r="N490" s="327"/>
      <c r="O490" s="327"/>
      <c r="P490" s="327"/>
      <c r="Q490" s="327"/>
      <c r="R490" s="327"/>
      <c r="S490" s="327"/>
      <c r="T490" s="327"/>
      <c r="U490" s="327"/>
      <c r="V490" s="327"/>
      <c r="W490" s="327"/>
      <c r="X490" s="327"/>
      <c r="Y490" s="327"/>
      <c r="Z490" s="327"/>
      <c r="AA490" s="327"/>
      <c r="AB490" s="327"/>
      <c r="AC490" s="327"/>
      <c r="AD490" s="327"/>
      <c r="AE490" s="327"/>
      <c r="AF490" s="327"/>
      <c r="AG490" s="327"/>
      <c r="AH490" s="327"/>
      <c r="AI490" s="327"/>
      <c r="AJ490" s="327"/>
      <c r="AK490" s="327"/>
      <c r="AL490" s="327"/>
      <c r="AM490" s="327"/>
    </row>
    <row r="491" spans="1:39">
      <c r="A491" s="69"/>
      <c r="B491" s="69"/>
      <c r="C491" s="327"/>
      <c r="D491" s="327"/>
      <c r="E491" s="327"/>
      <c r="F491" s="327"/>
      <c r="G491" s="327"/>
      <c r="H491" s="327"/>
      <c r="I491" s="327"/>
      <c r="J491" s="327"/>
      <c r="K491" s="327"/>
      <c r="L491" s="327"/>
      <c r="M491" s="327"/>
      <c r="N491" s="327"/>
      <c r="O491" s="327"/>
      <c r="P491" s="327"/>
      <c r="Q491" s="327"/>
      <c r="R491" s="327"/>
      <c r="S491" s="327"/>
      <c r="T491" s="327"/>
      <c r="U491" s="327"/>
      <c r="V491" s="327"/>
      <c r="W491" s="327"/>
      <c r="X491" s="327"/>
      <c r="Y491" s="327"/>
      <c r="Z491" s="327"/>
      <c r="AA491" s="327"/>
      <c r="AB491" s="327"/>
      <c r="AC491" s="327"/>
      <c r="AD491" s="327"/>
      <c r="AE491" s="327"/>
      <c r="AF491" s="327"/>
      <c r="AG491" s="327"/>
      <c r="AH491" s="327"/>
      <c r="AI491" s="327"/>
      <c r="AJ491" s="327"/>
      <c r="AK491" s="327"/>
      <c r="AL491" s="327"/>
      <c r="AM491" s="327"/>
    </row>
    <row r="492" spans="1:39">
      <c r="A492" s="69"/>
      <c r="B492" s="69"/>
      <c r="C492" s="327"/>
      <c r="D492" s="327"/>
      <c r="E492" s="327"/>
      <c r="F492" s="327"/>
      <c r="G492" s="327"/>
      <c r="H492" s="327"/>
      <c r="I492" s="327"/>
      <c r="J492" s="327"/>
      <c r="K492" s="327"/>
      <c r="L492" s="327"/>
      <c r="M492" s="327"/>
      <c r="N492" s="327"/>
      <c r="O492" s="327"/>
      <c r="P492" s="327"/>
      <c r="Q492" s="327"/>
      <c r="R492" s="327"/>
      <c r="S492" s="327"/>
      <c r="T492" s="327"/>
      <c r="U492" s="327"/>
      <c r="V492" s="327"/>
      <c r="W492" s="327"/>
      <c r="X492" s="327"/>
      <c r="Y492" s="327"/>
      <c r="Z492" s="327"/>
      <c r="AA492" s="327"/>
      <c r="AB492" s="327"/>
      <c r="AC492" s="327"/>
      <c r="AD492" s="327"/>
      <c r="AE492" s="327"/>
      <c r="AF492" s="327"/>
      <c r="AG492" s="327"/>
      <c r="AH492" s="327"/>
      <c r="AI492" s="327"/>
      <c r="AJ492" s="327"/>
      <c r="AK492" s="327"/>
      <c r="AL492" s="327"/>
      <c r="AM492" s="327"/>
    </row>
    <row r="493" spans="1:39">
      <c r="A493" s="69"/>
      <c r="B493" s="69"/>
      <c r="C493" s="327"/>
      <c r="D493" s="327"/>
      <c r="E493" s="327"/>
      <c r="F493" s="327"/>
      <c r="G493" s="327"/>
      <c r="H493" s="327"/>
      <c r="I493" s="327"/>
      <c r="J493" s="327"/>
      <c r="K493" s="327"/>
      <c r="L493" s="327"/>
      <c r="M493" s="327"/>
      <c r="N493" s="327"/>
      <c r="O493" s="327"/>
      <c r="P493" s="327"/>
      <c r="Q493" s="327"/>
      <c r="R493" s="327"/>
      <c r="S493" s="327"/>
      <c r="T493" s="327"/>
      <c r="U493" s="327"/>
      <c r="V493" s="327"/>
      <c r="W493" s="327"/>
      <c r="X493" s="327"/>
      <c r="Y493" s="327"/>
      <c r="Z493" s="327"/>
      <c r="AA493" s="327"/>
      <c r="AB493" s="327"/>
      <c r="AC493" s="327"/>
      <c r="AD493" s="327"/>
      <c r="AE493" s="327"/>
      <c r="AF493" s="327"/>
      <c r="AG493" s="327"/>
      <c r="AH493" s="327"/>
      <c r="AI493" s="327"/>
      <c r="AJ493" s="327"/>
      <c r="AK493" s="327"/>
      <c r="AL493" s="327"/>
      <c r="AM493" s="327"/>
    </row>
    <row r="494" spans="1:39">
      <c r="A494" s="69"/>
      <c r="B494" s="69"/>
      <c r="C494" s="327"/>
      <c r="D494" s="327"/>
      <c r="E494" s="327"/>
      <c r="F494" s="327"/>
      <c r="G494" s="327"/>
      <c r="H494" s="327"/>
      <c r="I494" s="327"/>
      <c r="J494" s="327"/>
      <c r="K494" s="327"/>
      <c r="L494" s="327"/>
      <c r="M494" s="327"/>
      <c r="N494" s="327"/>
      <c r="O494" s="327"/>
      <c r="P494" s="327"/>
      <c r="Q494" s="327"/>
      <c r="R494" s="327"/>
      <c r="S494" s="327"/>
      <c r="T494" s="327"/>
      <c r="U494" s="327"/>
      <c r="V494" s="327"/>
      <c r="W494" s="327"/>
      <c r="X494" s="327"/>
      <c r="Y494" s="327"/>
      <c r="Z494" s="327"/>
      <c r="AA494" s="327"/>
      <c r="AB494" s="327"/>
      <c r="AC494" s="327"/>
      <c r="AD494" s="327"/>
      <c r="AE494" s="327"/>
      <c r="AF494" s="327"/>
      <c r="AG494" s="327"/>
      <c r="AH494" s="327"/>
      <c r="AI494" s="327"/>
      <c r="AJ494" s="327"/>
      <c r="AK494" s="327"/>
      <c r="AL494" s="327"/>
      <c r="AM494" s="327"/>
    </row>
    <row r="495" spans="1:39">
      <c r="A495" s="69"/>
      <c r="B495" s="69"/>
      <c r="C495" s="327"/>
      <c r="D495" s="327"/>
      <c r="E495" s="327"/>
      <c r="F495" s="327"/>
      <c r="G495" s="327"/>
      <c r="H495" s="327"/>
      <c r="I495" s="327"/>
      <c r="J495" s="327"/>
      <c r="K495" s="327"/>
      <c r="L495" s="327"/>
      <c r="M495" s="327"/>
      <c r="N495" s="327"/>
      <c r="O495" s="327"/>
      <c r="P495" s="327"/>
      <c r="Q495" s="327"/>
      <c r="R495" s="327"/>
      <c r="S495" s="327"/>
      <c r="T495" s="327"/>
      <c r="U495" s="327"/>
      <c r="V495" s="327"/>
      <c r="W495" s="327"/>
      <c r="X495" s="327"/>
      <c r="Y495" s="327"/>
      <c r="Z495" s="327"/>
      <c r="AA495" s="327"/>
      <c r="AB495" s="327"/>
      <c r="AC495" s="327"/>
      <c r="AD495" s="327"/>
      <c r="AE495" s="327"/>
      <c r="AF495" s="327"/>
      <c r="AG495" s="327"/>
      <c r="AH495" s="327"/>
      <c r="AI495" s="327"/>
      <c r="AJ495" s="327"/>
      <c r="AK495" s="327"/>
      <c r="AL495" s="327"/>
      <c r="AM495" s="327"/>
    </row>
    <row r="496" spans="1:39">
      <c r="A496" s="69"/>
      <c r="B496" s="69"/>
      <c r="C496" s="327"/>
      <c r="D496" s="327"/>
      <c r="E496" s="327"/>
      <c r="F496" s="327"/>
      <c r="G496" s="327"/>
      <c r="H496" s="327"/>
      <c r="I496" s="327"/>
      <c r="J496" s="327"/>
      <c r="K496" s="327"/>
      <c r="L496" s="327"/>
      <c r="M496" s="327"/>
      <c r="N496" s="327"/>
      <c r="O496" s="327"/>
      <c r="P496" s="327"/>
      <c r="Q496" s="327"/>
      <c r="R496" s="327"/>
      <c r="S496" s="327"/>
      <c r="T496" s="327"/>
      <c r="U496" s="327"/>
      <c r="V496" s="327"/>
      <c r="W496" s="327"/>
      <c r="X496" s="327"/>
      <c r="Y496" s="327"/>
      <c r="Z496" s="327"/>
      <c r="AA496" s="327"/>
      <c r="AB496" s="327"/>
      <c r="AC496" s="327"/>
      <c r="AD496" s="327"/>
      <c r="AE496" s="327"/>
      <c r="AF496" s="327"/>
      <c r="AG496" s="327"/>
      <c r="AH496" s="327"/>
      <c r="AI496" s="327"/>
      <c r="AJ496" s="327"/>
      <c r="AK496" s="327"/>
      <c r="AL496" s="327"/>
      <c r="AM496" s="327"/>
    </row>
    <row r="497" spans="1:39">
      <c r="A497" s="69"/>
      <c r="B497" s="69"/>
      <c r="C497" s="327"/>
      <c r="D497" s="327"/>
      <c r="E497" s="327"/>
      <c r="F497" s="327"/>
      <c r="G497" s="327"/>
      <c r="H497" s="327"/>
      <c r="I497" s="327"/>
      <c r="J497" s="327"/>
      <c r="K497" s="327"/>
      <c r="L497" s="327"/>
      <c r="M497" s="327"/>
      <c r="N497" s="327"/>
      <c r="O497" s="327"/>
      <c r="P497" s="327"/>
      <c r="Q497" s="327"/>
      <c r="R497" s="327"/>
      <c r="S497" s="327"/>
      <c r="T497" s="327"/>
      <c r="U497" s="327"/>
      <c r="V497" s="327"/>
      <c r="W497" s="327"/>
      <c r="X497" s="327"/>
      <c r="Y497" s="327"/>
      <c r="Z497" s="327"/>
      <c r="AA497" s="327"/>
      <c r="AB497" s="327"/>
      <c r="AC497" s="327"/>
      <c r="AD497" s="327"/>
      <c r="AE497" s="327"/>
      <c r="AF497" s="327"/>
      <c r="AG497" s="327"/>
      <c r="AH497" s="327"/>
      <c r="AI497" s="327"/>
      <c r="AJ497" s="327"/>
      <c r="AK497" s="327"/>
      <c r="AL497" s="327"/>
      <c r="AM497" s="327"/>
    </row>
    <row r="498" spans="1:39">
      <c r="A498" s="69"/>
      <c r="B498" s="69"/>
      <c r="C498" s="327"/>
      <c r="D498" s="327"/>
      <c r="E498" s="327"/>
      <c r="F498" s="327"/>
      <c r="G498" s="327"/>
      <c r="H498" s="327"/>
      <c r="I498" s="327"/>
      <c r="J498" s="327"/>
      <c r="K498" s="327"/>
      <c r="L498" s="327"/>
      <c r="M498" s="327"/>
      <c r="N498" s="327"/>
      <c r="O498" s="327"/>
      <c r="P498" s="327"/>
      <c r="Q498" s="327"/>
      <c r="R498" s="327"/>
      <c r="S498" s="327"/>
      <c r="T498" s="327"/>
      <c r="U498" s="327"/>
      <c r="V498" s="327"/>
      <c r="W498" s="327"/>
      <c r="X498" s="327"/>
      <c r="Y498" s="327"/>
      <c r="Z498" s="327"/>
      <c r="AA498" s="327"/>
      <c r="AB498" s="327"/>
      <c r="AC498" s="327"/>
      <c r="AD498" s="327"/>
      <c r="AE498" s="327"/>
      <c r="AF498" s="327"/>
      <c r="AG498" s="327"/>
      <c r="AH498" s="327"/>
      <c r="AI498" s="327"/>
      <c r="AJ498" s="327"/>
      <c r="AK498" s="327"/>
      <c r="AL498" s="327"/>
      <c r="AM498" s="327"/>
    </row>
    <row r="499" spans="1:39">
      <c r="A499" s="69"/>
      <c r="B499" s="69"/>
      <c r="C499" s="327"/>
      <c r="D499" s="327"/>
      <c r="E499" s="327"/>
      <c r="F499" s="327"/>
      <c r="G499" s="327"/>
      <c r="H499" s="327"/>
      <c r="I499" s="327"/>
      <c r="J499" s="327"/>
      <c r="K499" s="327"/>
      <c r="L499" s="327"/>
      <c r="M499" s="327"/>
      <c r="N499" s="327"/>
      <c r="O499" s="327"/>
      <c r="P499" s="327"/>
      <c r="Q499" s="327"/>
      <c r="R499" s="327"/>
      <c r="S499" s="327"/>
      <c r="T499" s="327"/>
      <c r="U499" s="327"/>
      <c r="V499" s="327"/>
      <c r="W499" s="327"/>
      <c r="X499" s="327"/>
      <c r="Y499" s="327"/>
      <c r="Z499" s="327"/>
      <c r="AA499" s="327"/>
      <c r="AB499" s="327"/>
      <c r="AC499" s="327"/>
      <c r="AD499" s="327"/>
      <c r="AE499" s="327"/>
      <c r="AF499" s="327"/>
      <c r="AG499" s="327"/>
      <c r="AH499" s="327"/>
      <c r="AI499" s="327"/>
      <c r="AJ499" s="327"/>
      <c r="AK499" s="327"/>
      <c r="AL499" s="327"/>
      <c r="AM499" s="327"/>
    </row>
    <row r="500" spans="1:39">
      <c r="A500" s="69"/>
      <c r="B500" s="69"/>
      <c r="C500" s="327"/>
      <c r="D500" s="327"/>
      <c r="E500" s="327"/>
      <c r="F500" s="327"/>
      <c r="G500" s="327"/>
      <c r="H500" s="327"/>
      <c r="I500" s="327"/>
      <c r="J500" s="327"/>
      <c r="K500" s="327"/>
      <c r="L500" s="327"/>
      <c r="M500" s="327"/>
      <c r="N500" s="327"/>
      <c r="O500" s="327"/>
      <c r="P500" s="327"/>
      <c r="Q500" s="327"/>
      <c r="R500" s="327"/>
      <c r="S500" s="327"/>
      <c r="T500" s="327"/>
      <c r="U500" s="327"/>
      <c r="V500" s="327"/>
      <c r="W500" s="327"/>
      <c r="X500" s="327"/>
      <c r="Y500" s="327"/>
      <c r="Z500" s="327"/>
      <c r="AA500" s="327"/>
      <c r="AB500" s="327"/>
      <c r="AC500" s="327"/>
      <c r="AD500" s="327"/>
      <c r="AE500" s="327"/>
      <c r="AF500" s="327"/>
      <c r="AG500" s="327"/>
      <c r="AH500" s="327"/>
      <c r="AI500" s="327"/>
      <c r="AJ500" s="327"/>
      <c r="AK500" s="327"/>
      <c r="AL500" s="327"/>
      <c r="AM500" s="327"/>
    </row>
    <row r="501" spans="1:39">
      <c r="A501" s="69"/>
      <c r="B501" s="69"/>
      <c r="C501" s="327"/>
      <c r="D501" s="327"/>
      <c r="E501" s="327"/>
      <c r="F501" s="327"/>
      <c r="G501" s="327"/>
      <c r="H501" s="327"/>
      <c r="I501" s="327"/>
      <c r="J501" s="327"/>
      <c r="K501" s="327"/>
      <c r="L501" s="327"/>
      <c r="M501" s="327"/>
      <c r="N501" s="327"/>
      <c r="O501" s="327"/>
      <c r="P501" s="327"/>
      <c r="Q501" s="327"/>
      <c r="R501" s="327"/>
      <c r="S501" s="327"/>
      <c r="T501" s="327"/>
      <c r="U501" s="327"/>
      <c r="V501" s="327"/>
      <c r="W501" s="327"/>
      <c r="X501" s="327"/>
      <c r="Y501" s="327"/>
      <c r="Z501" s="327"/>
      <c r="AA501" s="327"/>
      <c r="AB501" s="327"/>
      <c r="AC501" s="327"/>
      <c r="AD501" s="327"/>
      <c r="AE501" s="327"/>
      <c r="AF501" s="327"/>
      <c r="AG501" s="327"/>
      <c r="AH501" s="327"/>
      <c r="AI501" s="327"/>
      <c r="AJ501" s="327"/>
      <c r="AK501" s="327"/>
      <c r="AL501" s="327"/>
      <c r="AM501" s="327"/>
    </row>
    <row r="502" spans="1:39">
      <c r="A502" s="69"/>
      <c r="B502" s="69"/>
      <c r="C502" s="327"/>
      <c r="D502" s="327"/>
      <c r="E502" s="327"/>
      <c r="F502" s="327"/>
      <c r="G502" s="327"/>
      <c r="H502" s="327"/>
      <c r="I502" s="327"/>
      <c r="J502" s="327"/>
      <c r="K502" s="327"/>
      <c r="L502" s="327"/>
      <c r="M502" s="327"/>
      <c r="N502" s="327"/>
      <c r="O502" s="327"/>
      <c r="P502" s="327"/>
      <c r="Q502" s="327"/>
      <c r="R502" s="327"/>
      <c r="S502" s="327"/>
      <c r="T502" s="327"/>
      <c r="U502" s="327"/>
      <c r="V502" s="327"/>
      <c r="W502" s="327"/>
      <c r="X502" s="327"/>
      <c r="Y502" s="327"/>
      <c r="Z502" s="327"/>
      <c r="AA502" s="327"/>
      <c r="AB502" s="327"/>
      <c r="AC502" s="327"/>
      <c r="AD502" s="327"/>
      <c r="AE502" s="327"/>
      <c r="AF502" s="327"/>
      <c r="AG502" s="327"/>
      <c r="AH502" s="327"/>
      <c r="AI502" s="327"/>
      <c r="AJ502" s="327"/>
      <c r="AK502" s="327"/>
      <c r="AL502" s="327"/>
      <c r="AM502" s="327"/>
    </row>
    <row r="503" spans="1:39">
      <c r="A503" s="69"/>
      <c r="B503" s="69"/>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327"/>
      <c r="AE503" s="327"/>
      <c r="AF503" s="327"/>
      <c r="AG503" s="327"/>
      <c r="AH503" s="327"/>
      <c r="AI503" s="327"/>
      <c r="AJ503" s="327"/>
      <c r="AK503" s="327"/>
      <c r="AL503" s="327"/>
      <c r="AM503" s="327"/>
    </row>
    <row r="504" spans="1:39">
      <c r="A504" s="69"/>
      <c r="B504" s="69"/>
      <c r="C504" s="327"/>
      <c r="D504" s="327"/>
      <c r="E504" s="327"/>
      <c r="F504" s="327"/>
      <c r="G504" s="327"/>
      <c r="H504" s="327"/>
      <c r="I504" s="327"/>
      <c r="J504" s="327"/>
      <c r="K504" s="327"/>
      <c r="L504" s="327"/>
      <c r="M504" s="327"/>
      <c r="N504" s="327"/>
      <c r="O504" s="327"/>
      <c r="P504" s="327"/>
      <c r="Q504" s="327"/>
      <c r="R504" s="327"/>
      <c r="S504" s="327"/>
      <c r="T504" s="327"/>
      <c r="U504" s="327"/>
      <c r="V504" s="327"/>
      <c r="W504" s="327"/>
      <c r="X504" s="327"/>
      <c r="Y504" s="327"/>
      <c r="Z504" s="327"/>
      <c r="AA504" s="327"/>
      <c r="AB504" s="327"/>
      <c r="AC504" s="327"/>
      <c r="AD504" s="327"/>
      <c r="AE504" s="327"/>
      <c r="AF504" s="327"/>
      <c r="AG504" s="327"/>
      <c r="AH504" s="327"/>
      <c r="AI504" s="327"/>
      <c r="AJ504" s="327"/>
      <c r="AK504" s="327"/>
      <c r="AL504" s="327"/>
      <c r="AM504" s="327"/>
    </row>
    <row r="505" spans="1:39">
      <c r="A505" s="69"/>
      <c r="B505" s="69"/>
      <c r="C505" s="327"/>
      <c r="D505" s="327"/>
      <c r="E505" s="327"/>
      <c r="F505" s="327"/>
      <c r="G505" s="327"/>
      <c r="H505" s="327"/>
      <c r="I505" s="327"/>
      <c r="J505" s="327"/>
      <c r="K505" s="327"/>
      <c r="L505" s="327"/>
      <c r="M505" s="327"/>
      <c r="N505" s="327"/>
      <c r="O505" s="327"/>
      <c r="P505" s="327"/>
      <c r="Q505" s="327"/>
      <c r="R505" s="327"/>
      <c r="S505" s="327"/>
      <c r="T505" s="327"/>
      <c r="U505" s="327"/>
      <c r="V505" s="327"/>
      <c r="W505" s="327"/>
      <c r="X505" s="327"/>
      <c r="Y505" s="327"/>
      <c r="Z505" s="327"/>
      <c r="AA505" s="327"/>
      <c r="AB505" s="327"/>
      <c r="AC505" s="327"/>
      <c r="AD505" s="327"/>
      <c r="AE505" s="327"/>
      <c r="AF505" s="327"/>
      <c r="AG505" s="327"/>
      <c r="AH505" s="327"/>
      <c r="AI505" s="327"/>
      <c r="AJ505" s="327"/>
      <c r="AK505" s="327"/>
      <c r="AL505" s="327"/>
      <c r="AM505" s="327"/>
    </row>
    <row r="506" spans="1:39">
      <c r="A506" s="69"/>
      <c r="B506" s="69"/>
      <c r="C506" s="327"/>
      <c r="D506" s="327"/>
      <c r="E506" s="327"/>
      <c r="F506" s="327"/>
      <c r="G506" s="327"/>
      <c r="H506" s="327"/>
      <c r="I506" s="327"/>
      <c r="J506" s="327"/>
      <c r="K506" s="327"/>
      <c r="L506" s="327"/>
      <c r="M506" s="327"/>
      <c r="N506" s="327"/>
      <c r="O506" s="327"/>
      <c r="P506" s="327"/>
      <c r="Q506" s="327"/>
      <c r="R506" s="327"/>
      <c r="S506" s="327"/>
      <c r="T506" s="327"/>
      <c r="U506" s="327"/>
      <c r="V506" s="327"/>
      <c r="W506" s="327"/>
      <c r="X506" s="327"/>
      <c r="Y506" s="327"/>
      <c r="Z506" s="327"/>
      <c r="AA506" s="327"/>
      <c r="AB506" s="327"/>
      <c r="AC506" s="327"/>
      <c r="AD506" s="327"/>
      <c r="AE506" s="327"/>
      <c r="AF506" s="327"/>
      <c r="AG506" s="327"/>
      <c r="AH506" s="327"/>
      <c r="AI506" s="327"/>
      <c r="AJ506" s="327"/>
      <c r="AK506" s="327"/>
      <c r="AL506" s="327"/>
      <c r="AM506" s="327"/>
    </row>
    <row r="507" spans="1:39">
      <c r="A507" s="69"/>
      <c r="B507" s="69"/>
      <c r="C507" s="327"/>
      <c r="D507" s="327"/>
      <c r="E507" s="327"/>
      <c r="F507" s="327"/>
      <c r="G507" s="327"/>
      <c r="H507" s="327"/>
      <c r="I507" s="327"/>
      <c r="J507" s="327"/>
      <c r="K507" s="327"/>
      <c r="L507" s="327"/>
      <c r="M507" s="327"/>
      <c r="N507" s="327"/>
      <c r="O507" s="327"/>
      <c r="P507" s="327"/>
      <c r="Q507" s="327"/>
      <c r="R507" s="327"/>
      <c r="S507" s="327"/>
      <c r="T507" s="327"/>
      <c r="U507" s="327"/>
      <c r="V507" s="327"/>
      <c r="W507" s="327"/>
      <c r="X507" s="327"/>
      <c r="Y507" s="327"/>
      <c r="Z507" s="327"/>
      <c r="AA507" s="327"/>
      <c r="AB507" s="327"/>
      <c r="AC507" s="327"/>
      <c r="AD507" s="327"/>
      <c r="AE507" s="327"/>
      <c r="AF507" s="327"/>
      <c r="AG507" s="327"/>
      <c r="AH507" s="327"/>
      <c r="AI507" s="327"/>
      <c r="AJ507" s="327"/>
      <c r="AK507" s="327"/>
      <c r="AL507" s="327"/>
      <c r="AM507" s="327"/>
    </row>
    <row r="508" spans="1:39">
      <c r="A508" s="69"/>
      <c r="B508" s="69"/>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327"/>
      <c r="AE508" s="327"/>
      <c r="AF508" s="327"/>
      <c r="AG508" s="327"/>
      <c r="AH508" s="327"/>
      <c r="AI508" s="327"/>
      <c r="AJ508" s="327"/>
      <c r="AK508" s="327"/>
      <c r="AL508" s="327"/>
      <c r="AM508" s="327"/>
    </row>
    <row r="509" spans="1:39">
      <c r="A509" s="69"/>
      <c r="B509" s="69"/>
      <c r="C509" s="327"/>
      <c r="D509" s="327"/>
      <c r="E509" s="327"/>
      <c r="F509" s="327"/>
      <c r="G509" s="327"/>
      <c r="H509" s="327"/>
      <c r="I509" s="327"/>
      <c r="J509" s="327"/>
      <c r="K509" s="327"/>
      <c r="L509" s="327"/>
      <c r="M509" s="327"/>
      <c r="N509" s="327"/>
      <c r="O509" s="327"/>
      <c r="P509" s="327"/>
      <c r="Q509" s="327"/>
      <c r="R509" s="327"/>
      <c r="S509" s="327"/>
      <c r="T509" s="327"/>
      <c r="U509" s="327"/>
      <c r="V509" s="327"/>
      <c r="W509" s="327"/>
      <c r="X509" s="327"/>
      <c r="Y509" s="327"/>
      <c r="Z509" s="327"/>
      <c r="AA509" s="327"/>
      <c r="AB509" s="327"/>
      <c r="AC509" s="327"/>
      <c r="AD509" s="327"/>
      <c r="AE509" s="327"/>
      <c r="AF509" s="327"/>
      <c r="AG509" s="327"/>
      <c r="AH509" s="327"/>
      <c r="AI509" s="327"/>
      <c r="AJ509" s="327"/>
      <c r="AK509" s="327"/>
      <c r="AL509" s="327"/>
      <c r="AM509" s="327"/>
    </row>
    <row r="510" spans="1:39">
      <c r="A510" s="69"/>
      <c r="B510" s="69"/>
      <c r="C510" s="327"/>
      <c r="D510" s="327"/>
      <c r="E510" s="327"/>
      <c r="F510" s="327"/>
      <c r="G510" s="327"/>
      <c r="H510" s="327"/>
      <c r="I510" s="327"/>
      <c r="J510" s="327"/>
      <c r="K510" s="327"/>
      <c r="L510" s="327"/>
      <c r="M510" s="327"/>
      <c r="N510" s="327"/>
      <c r="O510" s="327"/>
      <c r="P510" s="327"/>
      <c r="Q510" s="327"/>
      <c r="R510" s="327"/>
      <c r="S510" s="327"/>
      <c r="T510" s="327"/>
      <c r="U510" s="327"/>
      <c r="V510" s="327"/>
      <c r="W510" s="327"/>
      <c r="X510" s="327"/>
      <c r="Y510" s="327"/>
      <c r="Z510" s="327"/>
      <c r="AA510" s="327"/>
      <c r="AB510" s="327"/>
      <c r="AC510" s="327"/>
      <c r="AD510" s="327"/>
      <c r="AE510" s="327"/>
      <c r="AF510" s="327"/>
      <c r="AG510" s="327"/>
      <c r="AH510" s="327"/>
      <c r="AI510" s="327"/>
      <c r="AJ510" s="327"/>
      <c r="AK510" s="327"/>
      <c r="AL510" s="327"/>
      <c r="AM510" s="327"/>
    </row>
    <row r="511" spans="1:39">
      <c r="A511" s="69"/>
      <c r="B511" s="69"/>
      <c r="C511" s="327"/>
      <c r="D511" s="327"/>
      <c r="E511" s="327"/>
      <c r="F511" s="327"/>
      <c r="G511" s="327"/>
      <c r="H511" s="327"/>
      <c r="I511" s="327"/>
      <c r="J511" s="327"/>
      <c r="K511" s="327"/>
      <c r="L511" s="327"/>
      <c r="M511" s="327"/>
      <c r="N511" s="327"/>
      <c r="O511" s="327"/>
      <c r="P511" s="327"/>
      <c r="Q511" s="327"/>
      <c r="R511" s="327"/>
      <c r="S511" s="327"/>
      <c r="T511" s="327"/>
      <c r="U511" s="327"/>
      <c r="V511" s="327"/>
      <c r="W511" s="327"/>
      <c r="X511" s="327"/>
      <c r="Y511" s="327"/>
      <c r="Z511" s="327"/>
      <c r="AA511" s="327"/>
      <c r="AB511" s="327"/>
      <c r="AC511" s="327"/>
      <c r="AD511" s="327"/>
      <c r="AE511" s="327"/>
      <c r="AF511" s="327"/>
      <c r="AG511" s="327"/>
      <c r="AH511" s="327"/>
      <c r="AI511" s="327"/>
      <c r="AJ511" s="327"/>
      <c r="AK511" s="327"/>
      <c r="AL511" s="327"/>
      <c r="AM511" s="327"/>
    </row>
    <row r="512" spans="1:39">
      <c r="A512" s="69"/>
      <c r="B512" s="69"/>
      <c r="C512" s="327"/>
      <c r="D512" s="327"/>
      <c r="E512" s="327"/>
      <c r="F512" s="327"/>
      <c r="G512" s="327"/>
      <c r="H512" s="327"/>
      <c r="I512" s="327"/>
      <c r="J512" s="327"/>
      <c r="K512" s="327"/>
      <c r="L512" s="327"/>
      <c r="M512" s="327"/>
      <c r="N512" s="327"/>
      <c r="O512" s="327"/>
      <c r="P512" s="327"/>
      <c r="Q512" s="327"/>
      <c r="R512" s="327"/>
      <c r="S512" s="327"/>
      <c r="T512" s="327"/>
      <c r="U512" s="327"/>
      <c r="V512" s="327"/>
      <c r="W512" s="327"/>
      <c r="X512" s="327"/>
      <c r="Y512" s="327"/>
      <c r="Z512" s="327"/>
      <c r="AA512" s="327"/>
      <c r="AB512" s="327"/>
      <c r="AC512" s="327"/>
      <c r="AD512" s="327"/>
      <c r="AE512" s="327"/>
      <c r="AF512" s="327"/>
      <c r="AG512" s="327"/>
      <c r="AH512" s="327"/>
      <c r="AI512" s="327"/>
      <c r="AJ512" s="327"/>
      <c r="AK512" s="327"/>
      <c r="AL512" s="327"/>
      <c r="AM512" s="327"/>
    </row>
    <row r="513" spans="1:39">
      <c r="A513" s="69"/>
      <c r="B513" s="69"/>
      <c r="C513" s="327"/>
      <c r="D513" s="327"/>
      <c r="E513" s="327"/>
      <c r="F513" s="327"/>
      <c r="G513" s="327"/>
      <c r="H513" s="327"/>
      <c r="I513" s="327"/>
      <c r="J513" s="327"/>
      <c r="K513" s="327"/>
      <c r="L513" s="327"/>
      <c r="M513" s="327"/>
      <c r="N513" s="327"/>
      <c r="O513" s="327"/>
      <c r="P513" s="327"/>
      <c r="Q513" s="327"/>
      <c r="R513" s="327"/>
      <c r="S513" s="327"/>
      <c r="T513" s="327"/>
      <c r="U513" s="327"/>
      <c r="V513" s="327"/>
      <c r="W513" s="327"/>
      <c r="X513" s="327"/>
      <c r="Y513" s="327"/>
      <c r="Z513" s="327"/>
      <c r="AA513" s="327"/>
      <c r="AB513" s="327"/>
      <c r="AC513" s="327"/>
      <c r="AD513" s="327"/>
      <c r="AE513" s="327"/>
      <c r="AF513" s="327"/>
      <c r="AG513" s="327"/>
      <c r="AH513" s="327"/>
      <c r="AI513" s="327"/>
      <c r="AJ513" s="327"/>
      <c r="AK513" s="327"/>
      <c r="AL513" s="327"/>
      <c r="AM513" s="327"/>
    </row>
    <row r="514" spans="1:39">
      <c r="A514" s="69"/>
      <c r="B514" s="69"/>
      <c r="C514" s="327"/>
      <c r="D514" s="327"/>
      <c r="E514" s="327"/>
      <c r="F514" s="327"/>
      <c r="G514" s="327"/>
      <c r="H514" s="327"/>
      <c r="I514" s="327"/>
      <c r="J514" s="327"/>
      <c r="K514" s="327"/>
      <c r="L514" s="327"/>
      <c r="M514" s="327"/>
      <c r="N514" s="327"/>
      <c r="O514" s="327"/>
      <c r="P514" s="327"/>
      <c r="Q514" s="327"/>
      <c r="R514" s="327"/>
      <c r="S514" s="327"/>
      <c r="T514" s="327"/>
      <c r="U514" s="327"/>
      <c r="V514" s="327"/>
      <c r="W514" s="327"/>
      <c r="X514" s="327"/>
      <c r="Y514" s="327"/>
      <c r="Z514" s="327"/>
      <c r="AA514" s="327"/>
      <c r="AB514" s="327"/>
      <c r="AC514" s="327"/>
      <c r="AD514" s="327"/>
      <c r="AE514" s="327"/>
      <c r="AF514" s="327"/>
      <c r="AG514" s="327"/>
      <c r="AH514" s="327"/>
      <c r="AI514" s="327"/>
      <c r="AJ514" s="327"/>
      <c r="AK514" s="327"/>
      <c r="AL514" s="327"/>
      <c r="AM514" s="327"/>
    </row>
    <row r="515" spans="1:39">
      <c r="A515" s="69"/>
      <c r="B515" s="69"/>
      <c r="C515" s="327"/>
      <c r="D515" s="327"/>
      <c r="E515" s="327"/>
      <c r="F515" s="327"/>
      <c r="G515" s="327"/>
      <c r="H515" s="327"/>
      <c r="I515" s="327"/>
      <c r="J515" s="327"/>
      <c r="K515" s="327"/>
      <c r="L515" s="327"/>
      <c r="M515" s="327"/>
      <c r="N515" s="327"/>
      <c r="O515" s="327"/>
      <c r="P515" s="327"/>
      <c r="Q515" s="327"/>
      <c r="R515" s="327"/>
      <c r="S515" s="327"/>
      <c r="T515" s="327"/>
      <c r="U515" s="327"/>
      <c r="V515" s="327"/>
      <c r="W515" s="327"/>
      <c r="X515" s="327"/>
      <c r="Y515" s="327"/>
      <c r="Z515" s="327"/>
      <c r="AA515" s="327"/>
      <c r="AB515" s="327"/>
      <c r="AC515" s="327"/>
      <c r="AD515" s="327"/>
      <c r="AE515" s="327"/>
      <c r="AF515" s="327"/>
      <c r="AG515" s="327"/>
      <c r="AH515" s="327"/>
      <c r="AI515" s="327"/>
      <c r="AJ515" s="327"/>
      <c r="AK515" s="327"/>
      <c r="AL515" s="327"/>
      <c r="AM515" s="327"/>
    </row>
    <row r="516" spans="1:39">
      <c r="A516" s="69"/>
      <c r="B516" s="69"/>
      <c r="C516" s="327"/>
      <c r="D516" s="327"/>
      <c r="E516" s="327"/>
      <c r="F516" s="327"/>
      <c r="G516" s="327"/>
      <c r="H516" s="327"/>
      <c r="I516" s="327"/>
      <c r="J516" s="327"/>
      <c r="K516" s="327"/>
      <c r="L516" s="327"/>
      <c r="M516" s="327"/>
      <c r="N516" s="327"/>
      <c r="O516" s="327"/>
      <c r="P516" s="327"/>
      <c r="Q516" s="327"/>
      <c r="R516" s="327"/>
      <c r="S516" s="327"/>
      <c r="T516" s="327"/>
      <c r="U516" s="327"/>
      <c r="V516" s="327"/>
      <c r="W516" s="327"/>
      <c r="X516" s="327"/>
      <c r="Y516" s="327"/>
      <c r="Z516" s="327"/>
      <c r="AA516" s="327"/>
      <c r="AB516" s="327"/>
      <c r="AC516" s="327"/>
      <c r="AD516" s="327"/>
      <c r="AE516" s="327"/>
      <c r="AF516" s="327"/>
      <c r="AG516" s="327"/>
      <c r="AH516" s="327"/>
      <c r="AI516" s="327"/>
      <c r="AJ516" s="327"/>
      <c r="AK516" s="327"/>
      <c r="AL516" s="327"/>
      <c r="AM516" s="327"/>
    </row>
    <row r="517" spans="1:39">
      <c r="A517" s="69"/>
      <c r="B517" s="69"/>
      <c r="C517" s="327"/>
      <c r="D517" s="327"/>
      <c r="E517" s="327"/>
      <c r="F517" s="327"/>
      <c r="G517" s="327"/>
      <c r="H517" s="327"/>
      <c r="I517" s="327"/>
      <c r="J517" s="327"/>
      <c r="K517" s="327"/>
      <c r="L517" s="327"/>
      <c r="M517" s="327"/>
      <c r="N517" s="327"/>
      <c r="O517" s="327"/>
      <c r="P517" s="327"/>
      <c r="Q517" s="327"/>
      <c r="R517" s="327"/>
      <c r="S517" s="327"/>
      <c r="T517" s="327"/>
      <c r="U517" s="327"/>
      <c r="V517" s="327"/>
      <c r="W517" s="327"/>
      <c r="X517" s="327"/>
      <c r="Y517" s="327"/>
      <c r="Z517" s="327"/>
      <c r="AA517" s="327"/>
      <c r="AB517" s="327"/>
      <c r="AC517" s="327"/>
      <c r="AD517" s="327"/>
      <c r="AE517" s="327"/>
      <c r="AF517" s="327"/>
      <c r="AG517" s="327"/>
      <c r="AH517" s="327"/>
      <c r="AI517" s="327"/>
      <c r="AJ517" s="327"/>
      <c r="AK517" s="327"/>
      <c r="AL517" s="327"/>
      <c r="AM517" s="327"/>
    </row>
    <row r="518" spans="1:39">
      <c r="A518" s="69"/>
      <c r="B518" s="69"/>
      <c r="C518" s="327"/>
      <c r="D518" s="327"/>
      <c r="E518" s="327"/>
      <c r="F518" s="327"/>
      <c r="G518" s="327"/>
      <c r="H518" s="327"/>
      <c r="I518" s="327"/>
      <c r="J518" s="327"/>
      <c r="K518" s="327"/>
      <c r="L518" s="327"/>
      <c r="M518" s="327"/>
      <c r="N518" s="327"/>
      <c r="O518" s="327"/>
      <c r="P518" s="327"/>
      <c r="Q518" s="327"/>
      <c r="R518" s="327"/>
      <c r="S518" s="327"/>
      <c r="T518" s="327"/>
      <c r="U518" s="327"/>
      <c r="V518" s="327"/>
      <c r="W518" s="327"/>
      <c r="X518" s="327"/>
      <c r="Y518" s="327"/>
      <c r="Z518" s="327"/>
      <c r="AA518" s="327"/>
      <c r="AB518" s="327"/>
      <c r="AC518" s="327"/>
      <c r="AD518" s="327"/>
      <c r="AE518" s="327"/>
      <c r="AF518" s="327"/>
      <c r="AG518" s="327"/>
      <c r="AH518" s="327"/>
      <c r="AI518" s="327"/>
      <c r="AJ518" s="327"/>
      <c r="AK518" s="327"/>
      <c r="AL518" s="327"/>
      <c r="AM518" s="327"/>
    </row>
    <row r="519" spans="1:39">
      <c r="A519" s="69"/>
      <c r="B519" s="69"/>
      <c r="C519" s="327"/>
      <c r="D519" s="327"/>
      <c r="E519" s="327"/>
      <c r="F519" s="327"/>
      <c r="G519" s="327"/>
      <c r="H519" s="327"/>
      <c r="I519" s="327"/>
      <c r="J519" s="327"/>
      <c r="K519" s="327"/>
      <c r="L519" s="327"/>
      <c r="M519" s="327"/>
      <c r="N519" s="327"/>
      <c r="O519" s="327"/>
      <c r="P519" s="327"/>
      <c r="Q519" s="327"/>
      <c r="R519" s="327"/>
      <c r="S519" s="327"/>
      <c r="T519" s="327"/>
      <c r="U519" s="327"/>
      <c r="V519" s="327"/>
      <c r="W519" s="327"/>
      <c r="X519" s="327"/>
      <c r="Y519" s="327"/>
      <c r="Z519" s="327"/>
      <c r="AA519" s="327"/>
      <c r="AB519" s="327"/>
      <c r="AC519" s="327"/>
      <c r="AD519" s="327"/>
      <c r="AE519" s="327"/>
      <c r="AF519" s="327"/>
      <c r="AG519" s="327"/>
      <c r="AH519" s="327"/>
      <c r="AI519" s="327"/>
      <c r="AJ519" s="327"/>
      <c r="AK519" s="327"/>
      <c r="AL519" s="327"/>
      <c r="AM519" s="327"/>
    </row>
    <row r="520" spans="1:39">
      <c r="A520" s="69"/>
      <c r="B520" s="69"/>
      <c r="C520" s="327"/>
      <c r="D520" s="327"/>
      <c r="E520" s="327"/>
      <c r="F520" s="327"/>
      <c r="G520" s="327"/>
      <c r="H520" s="327"/>
      <c r="I520" s="327"/>
      <c r="J520" s="327"/>
      <c r="K520" s="327"/>
      <c r="L520" s="327"/>
      <c r="M520" s="327"/>
      <c r="N520" s="327"/>
      <c r="O520" s="327"/>
      <c r="P520" s="327"/>
      <c r="Q520" s="327"/>
      <c r="R520" s="327"/>
      <c r="S520" s="327"/>
      <c r="T520" s="327"/>
      <c r="U520" s="327"/>
      <c r="V520" s="327"/>
      <c r="W520" s="327"/>
      <c r="X520" s="327"/>
      <c r="Y520" s="327"/>
      <c r="Z520" s="327"/>
      <c r="AA520" s="327"/>
      <c r="AB520" s="327"/>
      <c r="AC520" s="327"/>
      <c r="AD520" s="327"/>
      <c r="AE520" s="327"/>
      <c r="AF520" s="327"/>
      <c r="AG520" s="327"/>
      <c r="AH520" s="327"/>
      <c r="AI520" s="327"/>
      <c r="AJ520" s="327"/>
      <c r="AK520" s="327"/>
      <c r="AL520" s="327"/>
      <c r="AM520" s="327"/>
    </row>
    <row r="521" spans="1:39">
      <c r="A521" s="69"/>
      <c r="B521" s="69"/>
      <c r="C521" s="327"/>
      <c r="D521" s="327"/>
      <c r="E521" s="327"/>
      <c r="F521" s="327"/>
      <c r="G521" s="327"/>
      <c r="H521" s="327"/>
      <c r="I521" s="327"/>
      <c r="J521" s="327"/>
      <c r="K521" s="327"/>
      <c r="L521" s="327"/>
      <c r="M521" s="327"/>
      <c r="N521" s="327"/>
      <c r="O521" s="327"/>
      <c r="P521" s="327"/>
      <c r="Q521" s="327"/>
      <c r="R521" s="327"/>
      <c r="S521" s="327"/>
      <c r="T521" s="327"/>
      <c r="U521" s="327"/>
      <c r="V521" s="327"/>
      <c r="W521" s="327"/>
      <c r="X521" s="327"/>
      <c r="Y521" s="327"/>
      <c r="Z521" s="327"/>
      <c r="AA521" s="327"/>
      <c r="AB521" s="327"/>
      <c r="AC521" s="327"/>
      <c r="AD521" s="327"/>
      <c r="AE521" s="327"/>
      <c r="AF521" s="327"/>
      <c r="AG521" s="327"/>
      <c r="AH521" s="327"/>
      <c r="AI521" s="327"/>
      <c r="AJ521" s="327"/>
      <c r="AK521" s="327"/>
      <c r="AL521" s="327"/>
      <c r="AM521" s="327"/>
    </row>
    <row r="522" spans="1:39">
      <c r="A522" s="69"/>
      <c r="B522" s="69"/>
      <c r="C522" s="327"/>
      <c r="D522" s="327"/>
      <c r="E522" s="327"/>
      <c r="F522" s="327"/>
      <c r="G522" s="327"/>
      <c r="H522" s="327"/>
      <c r="I522" s="327"/>
      <c r="J522" s="327"/>
      <c r="K522" s="327"/>
      <c r="L522" s="327"/>
      <c r="M522" s="327"/>
      <c r="N522" s="327"/>
      <c r="O522" s="327"/>
      <c r="P522" s="327"/>
      <c r="Q522" s="327"/>
      <c r="R522" s="327"/>
      <c r="S522" s="327"/>
      <c r="T522" s="327"/>
      <c r="U522" s="327"/>
      <c r="V522" s="327"/>
      <c r="W522" s="327"/>
      <c r="X522" s="327"/>
      <c r="Y522" s="327"/>
      <c r="Z522" s="327"/>
      <c r="AA522" s="327"/>
      <c r="AB522" s="327"/>
      <c r="AC522" s="327"/>
      <c r="AD522" s="327"/>
      <c r="AE522" s="327"/>
      <c r="AF522" s="327"/>
      <c r="AG522" s="327"/>
      <c r="AH522" s="327"/>
      <c r="AI522" s="327"/>
      <c r="AJ522" s="327"/>
      <c r="AK522" s="327"/>
      <c r="AL522" s="327"/>
      <c r="AM522" s="327"/>
    </row>
    <row r="523" spans="1:39">
      <c r="A523" s="69"/>
      <c r="B523" s="69"/>
      <c r="C523" s="327"/>
      <c r="D523" s="327"/>
      <c r="E523" s="327"/>
      <c r="F523" s="327"/>
      <c r="G523" s="327"/>
      <c r="H523" s="327"/>
      <c r="I523" s="327"/>
      <c r="J523" s="327"/>
      <c r="K523" s="327"/>
      <c r="L523" s="327"/>
      <c r="M523" s="327"/>
      <c r="N523" s="327"/>
      <c r="O523" s="327"/>
      <c r="P523" s="327"/>
      <c r="Q523" s="327"/>
      <c r="R523" s="327"/>
      <c r="S523" s="327"/>
      <c r="T523" s="327"/>
      <c r="U523" s="327"/>
      <c r="V523" s="327"/>
      <c r="W523" s="327"/>
      <c r="X523" s="327"/>
      <c r="Y523" s="327"/>
      <c r="Z523" s="327"/>
      <c r="AA523" s="327"/>
      <c r="AB523" s="327"/>
      <c r="AC523" s="327"/>
      <c r="AD523" s="327"/>
      <c r="AE523" s="327"/>
      <c r="AF523" s="327"/>
      <c r="AG523" s="327"/>
      <c r="AH523" s="327"/>
      <c r="AI523" s="327"/>
      <c r="AJ523" s="327"/>
      <c r="AK523" s="327"/>
      <c r="AL523" s="327"/>
      <c r="AM523" s="327"/>
    </row>
    <row r="524" spans="1:39">
      <c r="A524" s="69"/>
      <c r="B524" s="69"/>
      <c r="C524" s="327"/>
      <c r="D524" s="327"/>
      <c r="E524" s="327"/>
      <c r="F524" s="327"/>
      <c r="G524" s="327"/>
      <c r="H524" s="327"/>
      <c r="I524" s="327"/>
      <c r="J524" s="327"/>
      <c r="K524" s="327"/>
      <c r="L524" s="327"/>
      <c r="M524" s="327"/>
      <c r="N524" s="327"/>
      <c r="O524" s="327"/>
      <c r="P524" s="327"/>
      <c r="Q524" s="327"/>
      <c r="R524" s="327"/>
      <c r="S524" s="327"/>
      <c r="T524" s="327"/>
      <c r="U524" s="327"/>
      <c r="V524" s="327"/>
      <c r="W524" s="327"/>
      <c r="X524" s="327"/>
      <c r="Y524" s="327"/>
      <c r="Z524" s="327"/>
      <c r="AA524" s="327"/>
      <c r="AB524" s="327"/>
      <c r="AC524" s="327"/>
      <c r="AD524" s="327"/>
      <c r="AE524" s="327"/>
      <c r="AF524" s="327"/>
      <c r="AG524" s="327"/>
      <c r="AH524" s="327"/>
      <c r="AI524" s="327"/>
      <c r="AJ524" s="327"/>
      <c r="AK524" s="327"/>
      <c r="AL524" s="327"/>
      <c r="AM524" s="327"/>
    </row>
    <row r="525" spans="1:39">
      <c r="A525" s="69"/>
      <c r="B525" s="69"/>
      <c r="C525" s="327"/>
      <c r="D525" s="327"/>
      <c r="E525" s="327"/>
      <c r="F525" s="327"/>
      <c r="G525" s="327"/>
      <c r="H525" s="327"/>
      <c r="I525" s="327"/>
      <c r="J525" s="327"/>
      <c r="K525" s="327"/>
      <c r="L525" s="327"/>
      <c r="M525" s="327"/>
      <c r="N525" s="327"/>
      <c r="O525" s="327"/>
      <c r="P525" s="327"/>
      <c r="Q525" s="327"/>
      <c r="R525" s="327"/>
      <c r="S525" s="327"/>
      <c r="T525" s="327"/>
      <c r="U525" s="327"/>
      <c r="V525" s="327"/>
      <c r="W525" s="327"/>
      <c r="X525" s="327"/>
      <c r="Y525" s="327"/>
      <c r="Z525" s="327"/>
      <c r="AA525" s="327"/>
      <c r="AB525" s="327"/>
      <c r="AC525" s="327"/>
      <c r="AD525" s="327"/>
      <c r="AE525" s="327"/>
      <c r="AF525" s="327"/>
      <c r="AG525" s="327"/>
      <c r="AH525" s="327"/>
      <c r="AI525" s="327"/>
      <c r="AJ525" s="327"/>
      <c r="AK525" s="327"/>
      <c r="AL525" s="327"/>
      <c r="AM525" s="327"/>
    </row>
    <row r="526" spans="1:39">
      <c r="A526" s="69"/>
      <c r="B526" s="69"/>
      <c r="C526" s="327"/>
      <c r="D526" s="327"/>
      <c r="E526" s="327"/>
      <c r="F526" s="327"/>
      <c r="G526" s="327"/>
      <c r="H526" s="327"/>
      <c r="I526" s="327"/>
      <c r="J526" s="327"/>
      <c r="K526" s="327"/>
      <c r="L526" s="327"/>
      <c r="M526" s="327"/>
      <c r="N526" s="327"/>
      <c r="O526" s="327"/>
      <c r="P526" s="327"/>
      <c r="Q526" s="327"/>
      <c r="R526" s="327"/>
      <c r="S526" s="327"/>
      <c r="T526" s="327"/>
      <c r="U526" s="327"/>
      <c r="V526" s="327"/>
      <c r="W526" s="327"/>
      <c r="X526" s="327"/>
      <c r="Y526" s="327"/>
      <c r="Z526" s="327"/>
      <c r="AA526" s="327"/>
      <c r="AB526" s="327"/>
      <c r="AC526" s="327"/>
      <c r="AD526" s="327"/>
      <c r="AE526" s="327"/>
      <c r="AF526" s="327"/>
      <c r="AG526" s="327"/>
      <c r="AH526" s="327"/>
      <c r="AI526" s="327"/>
      <c r="AJ526" s="327"/>
      <c r="AK526" s="327"/>
      <c r="AL526" s="327"/>
      <c r="AM526" s="327"/>
    </row>
    <row r="527" spans="1:39">
      <c r="A527" s="69"/>
      <c r="B527" s="69"/>
      <c r="C527" s="327"/>
      <c r="D527" s="327"/>
      <c r="E527" s="327"/>
      <c r="F527" s="327"/>
      <c r="G527" s="327"/>
      <c r="H527" s="327"/>
      <c r="I527" s="327"/>
      <c r="J527" s="327"/>
      <c r="K527" s="327"/>
      <c r="L527" s="327"/>
      <c r="M527" s="327"/>
      <c r="N527" s="327"/>
      <c r="O527" s="327"/>
      <c r="P527" s="327"/>
      <c r="Q527" s="327"/>
      <c r="R527" s="327"/>
      <c r="S527" s="327"/>
      <c r="T527" s="327"/>
      <c r="U527" s="327"/>
      <c r="V527" s="327"/>
      <c r="W527" s="327"/>
      <c r="X527" s="327"/>
      <c r="Y527" s="327"/>
      <c r="Z527" s="327"/>
      <c r="AA527" s="327"/>
      <c r="AB527" s="327"/>
      <c r="AC527" s="327"/>
      <c r="AD527" s="327"/>
      <c r="AE527" s="327"/>
      <c r="AF527" s="327"/>
      <c r="AG527" s="327"/>
      <c r="AH527" s="327"/>
      <c r="AI527" s="327"/>
      <c r="AJ527" s="327"/>
      <c r="AK527" s="327"/>
      <c r="AL527" s="327"/>
      <c r="AM527" s="327"/>
    </row>
    <row r="528" spans="1:39">
      <c r="A528" s="69"/>
      <c r="B528" s="69"/>
      <c r="C528" s="327"/>
      <c r="D528" s="327"/>
      <c r="E528" s="327"/>
      <c r="F528" s="327"/>
      <c r="G528" s="327"/>
      <c r="H528" s="327"/>
      <c r="I528" s="327"/>
      <c r="J528" s="327"/>
      <c r="K528" s="327"/>
      <c r="L528" s="327"/>
      <c r="M528" s="327"/>
      <c r="N528" s="327"/>
      <c r="O528" s="327"/>
      <c r="P528" s="327"/>
      <c r="Q528" s="327"/>
      <c r="R528" s="327"/>
      <c r="S528" s="327"/>
      <c r="T528" s="327"/>
      <c r="U528" s="327"/>
      <c r="V528" s="327"/>
      <c r="W528" s="327"/>
      <c r="X528" s="327"/>
      <c r="Y528" s="327"/>
      <c r="Z528" s="327"/>
      <c r="AA528" s="327"/>
      <c r="AB528" s="327"/>
      <c r="AC528" s="327"/>
      <c r="AD528" s="327"/>
      <c r="AE528" s="327"/>
      <c r="AF528" s="327"/>
      <c r="AG528" s="327"/>
      <c r="AH528" s="327"/>
      <c r="AI528" s="327"/>
      <c r="AJ528" s="327"/>
      <c r="AK528" s="327"/>
      <c r="AL528" s="327"/>
      <c r="AM528" s="327"/>
    </row>
    <row r="529" spans="1:39">
      <c r="A529" s="69"/>
      <c r="B529" s="69"/>
      <c r="C529" s="327"/>
      <c r="D529" s="327"/>
      <c r="E529" s="327"/>
      <c r="F529" s="327"/>
      <c r="G529" s="327"/>
      <c r="H529" s="327"/>
      <c r="I529" s="327"/>
      <c r="J529" s="327"/>
      <c r="K529" s="327"/>
      <c r="L529" s="327"/>
      <c r="M529" s="327"/>
      <c r="N529" s="327"/>
      <c r="O529" s="327"/>
      <c r="P529" s="327"/>
      <c r="Q529" s="327"/>
      <c r="R529" s="327"/>
      <c r="S529" s="327"/>
      <c r="T529" s="327"/>
      <c r="U529" s="327"/>
      <c r="V529" s="327"/>
      <c r="W529" s="327"/>
      <c r="X529" s="327"/>
      <c r="Y529" s="327"/>
      <c r="Z529" s="327"/>
      <c r="AA529" s="327"/>
      <c r="AB529" s="327"/>
      <c r="AC529" s="327"/>
      <c r="AD529" s="327"/>
      <c r="AE529" s="327"/>
      <c r="AF529" s="327"/>
      <c r="AG529" s="327"/>
      <c r="AH529" s="327"/>
      <c r="AI529" s="327"/>
      <c r="AJ529" s="327"/>
      <c r="AK529" s="327"/>
      <c r="AL529" s="327"/>
      <c r="AM529" s="327"/>
    </row>
    <row r="530" spans="1:39">
      <c r="A530" s="69"/>
      <c r="B530" s="69"/>
      <c r="C530" s="327"/>
      <c r="D530" s="327"/>
      <c r="E530" s="327"/>
      <c r="F530" s="327"/>
      <c r="G530" s="327"/>
      <c r="H530" s="327"/>
      <c r="I530" s="327"/>
      <c r="J530" s="327"/>
      <c r="K530" s="327"/>
      <c r="L530" s="327"/>
      <c r="M530" s="327"/>
      <c r="N530" s="327"/>
      <c r="O530" s="327"/>
      <c r="P530" s="327"/>
      <c r="Q530" s="327"/>
      <c r="R530" s="327"/>
      <c r="S530" s="327"/>
      <c r="T530" s="327"/>
      <c r="U530" s="327"/>
      <c r="V530" s="327"/>
      <c r="W530" s="327"/>
      <c r="X530" s="327"/>
      <c r="Y530" s="327"/>
      <c r="Z530" s="327"/>
      <c r="AA530" s="327"/>
      <c r="AB530" s="327"/>
      <c r="AC530" s="327"/>
      <c r="AD530" s="327"/>
      <c r="AE530" s="327"/>
      <c r="AF530" s="327"/>
      <c r="AG530" s="327"/>
      <c r="AH530" s="327"/>
      <c r="AI530" s="327"/>
      <c r="AJ530" s="327"/>
      <c r="AK530" s="327"/>
      <c r="AL530" s="327"/>
      <c r="AM530" s="327"/>
    </row>
    <row r="531" spans="1:39">
      <c r="A531" s="69"/>
      <c r="B531" s="69"/>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327"/>
      <c r="AE531" s="327"/>
      <c r="AF531" s="327"/>
      <c r="AG531" s="327"/>
      <c r="AH531" s="327"/>
      <c r="AI531" s="327"/>
      <c r="AJ531" s="327"/>
      <c r="AK531" s="327"/>
      <c r="AL531" s="327"/>
      <c r="AM531" s="327"/>
    </row>
    <row r="532" spans="1:39">
      <c r="A532" s="69"/>
      <c r="B532" s="69"/>
      <c r="C532" s="327"/>
      <c r="D532" s="327"/>
      <c r="E532" s="327"/>
      <c r="F532" s="327"/>
      <c r="G532" s="327"/>
      <c r="H532" s="327"/>
      <c r="I532" s="327"/>
      <c r="J532" s="327"/>
      <c r="K532" s="327"/>
      <c r="L532" s="327"/>
      <c r="M532" s="327"/>
      <c r="N532" s="327"/>
      <c r="O532" s="327"/>
      <c r="P532" s="327"/>
      <c r="Q532" s="327"/>
      <c r="R532" s="327"/>
      <c r="S532" s="327"/>
      <c r="T532" s="327"/>
      <c r="U532" s="327"/>
      <c r="V532" s="327"/>
      <c r="W532" s="327"/>
      <c r="X532" s="327"/>
      <c r="Y532" s="327"/>
      <c r="Z532" s="327"/>
      <c r="AA532" s="327"/>
      <c r="AB532" s="327"/>
      <c r="AC532" s="327"/>
      <c r="AD532" s="327"/>
      <c r="AE532" s="327"/>
      <c r="AF532" s="327"/>
      <c r="AG532" s="327"/>
      <c r="AH532" s="327"/>
      <c r="AI532" s="327"/>
      <c r="AJ532" s="327"/>
      <c r="AK532" s="327"/>
      <c r="AL532" s="327"/>
      <c r="AM532" s="327"/>
    </row>
    <row r="533" spans="1:39">
      <c r="A533" s="69"/>
      <c r="B533" s="69"/>
      <c r="C533" s="327"/>
      <c r="D533" s="327"/>
      <c r="E533" s="327"/>
      <c r="F533" s="327"/>
      <c r="G533" s="327"/>
      <c r="H533" s="327"/>
      <c r="I533" s="327"/>
      <c r="J533" s="327"/>
      <c r="K533" s="327"/>
      <c r="L533" s="327"/>
      <c r="M533" s="327"/>
      <c r="N533" s="327"/>
      <c r="O533" s="327"/>
      <c r="P533" s="327"/>
      <c r="Q533" s="327"/>
      <c r="R533" s="327"/>
      <c r="S533" s="327"/>
      <c r="T533" s="327"/>
      <c r="U533" s="327"/>
      <c r="V533" s="327"/>
      <c r="W533" s="327"/>
      <c r="X533" s="327"/>
      <c r="Y533" s="327"/>
      <c r="Z533" s="327"/>
      <c r="AA533" s="327"/>
      <c r="AB533" s="327"/>
      <c r="AC533" s="327"/>
      <c r="AD533" s="327"/>
      <c r="AE533" s="327"/>
      <c r="AF533" s="327"/>
      <c r="AG533" s="327"/>
      <c r="AH533" s="327"/>
      <c r="AI533" s="327"/>
      <c r="AJ533" s="327"/>
      <c r="AK533" s="327"/>
      <c r="AL533" s="327"/>
      <c r="AM533" s="327"/>
    </row>
    <row r="534" spans="1:39">
      <c r="A534" s="69"/>
      <c r="B534" s="69"/>
      <c r="C534" s="327"/>
      <c r="D534" s="327"/>
      <c r="E534" s="327"/>
      <c r="F534" s="327"/>
      <c r="G534" s="327"/>
      <c r="H534" s="327"/>
      <c r="I534" s="327"/>
      <c r="J534" s="327"/>
      <c r="K534" s="327"/>
      <c r="L534" s="327"/>
      <c r="M534" s="327"/>
      <c r="N534" s="327"/>
      <c r="O534" s="327"/>
      <c r="P534" s="327"/>
      <c r="Q534" s="327"/>
      <c r="R534" s="327"/>
      <c r="S534" s="327"/>
      <c r="T534" s="327"/>
      <c r="U534" s="327"/>
      <c r="V534" s="327"/>
      <c r="W534" s="327"/>
      <c r="X534" s="327"/>
      <c r="Y534" s="327"/>
      <c r="Z534" s="327"/>
      <c r="AA534" s="327"/>
      <c r="AB534" s="327"/>
      <c r="AC534" s="327"/>
      <c r="AD534" s="327"/>
      <c r="AE534" s="327"/>
      <c r="AF534" s="327"/>
      <c r="AG534" s="327"/>
      <c r="AH534" s="327"/>
      <c r="AI534" s="327"/>
      <c r="AJ534" s="327"/>
      <c r="AK534" s="327"/>
      <c r="AL534" s="327"/>
      <c r="AM534" s="327"/>
    </row>
    <row r="535" spans="1:39">
      <c r="A535" s="69"/>
      <c r="B535" s="69"/>
      <c r="C535" s="327"/>
      <c r="D535" s="327"/>
      <c r="E535" s="327"/>
      <c r="F535" s="327"/>
      <c r="G535" s="327"/>
      <c r="H535" s="327"/>
      <c r="I535" s="327"/>
      <c r="J535" s="327"/>
      <c r="K535" s="327"/>
      <c r="L535" s="327"/>
      <c r="M535" s="327"/>
      <c r="N535" s="327"/>
      <c r="O535" s="327"/>
      <c r="P535" s="327"/>
      <c r="Q535" s="327"/>
      <c r="R535" s="327"/>
      <c r="S535" s="327"/>
      <c r="T535" s="327"/>
      <c r="U535" s="327"/>
      <c r="V535" s="327"/>
      <c r="W535" s="327"/>
      <c r="X535" s="327"/>
      <c r="Y535" s="327"/>
      <c r="Z535" s="327"/>
      <c r="AA535" s="327"/>
      <c r="AB535" s="327"/>
      <c r="AC535" s="327"/>
      <c r="AD535" s="327"/>
      <c r="AE535" s="327"/>
      <c r="AF535" s="327"/>
      <c r="AG535" s="327"/>
      <c r="AH535" s="327"/>
      <c r="AI535" s="327"/>
      <c r="AJ535" s="327"/>
      <c r="AK535" s="327"/>
      <c r="AL535" s="327"/>
      <c r="AM535" s="327"/>
    </row>
    <row r="536" spans="1:39">
      <c r="A536" s="69"/>
      <c r="B536" s="69"/>
      <c r="C536" s="327"/>
      <c r="D536" s="327"/>
      <c r="E536" s="327"/>
      <c r="F536" s="327"/>
      <c r="G536" s="327"/>
      <c r="H536" s="327"/>
      <c r="I536" s="327"/>
      <c r="J536" s="327"/>
      <c r="K536" s="327"/>
      <c r="L536" s="327"/>
      <c r="M536" s="327"/>
      <c r="N536" s="327"/>
      <c r="O536" s="327"/>
      <c r="P536" s="327"/>
      <c r="Q536" s="327"/>
      <c r="R536" s="327"/>
      <c r="S536" s="327"/>
      <c r="T536" s="327"/>
      <c r="U536" s="327"/>
      <c r="V536" s="327"/>
      <c r="W536" s="327"/>
      <c r="X536" s="327"/>
      <c r="Y536" s="327"/>
      <c r="Z536" s="327"/>
      <c r="AA536" s="327"/>
      <c r="AB536" s="327"/>
      <c r="AC536" s="327"/>
      <c r="AD536" s="327"/>
      <c r="AE536" s="327"/>
      <c r="AF536" s="327"/>
      <c r="AG536" s="327"/>
      <c r="AH536" s="327"/>
      <c r="AI536" s="327"/>
      <c r="AJ536" s="327"/>
      <c r="AK536" s="327"/>
      <c r="AL536" s="327"/>
      <c r="AM536" s="327"/>
    </row>
    <row r="537" spans="1:39">
      <c r="A537" s="69"/>
      <c r="B537" s="69"/>
      <c r="C537" s="327"/>
      <c r="D537" s="327"/>
      <c r="E537" s="327"/>
      <c r="F537" s="327"/>
      <c r="G537" s="327"/>
      <c r="H537" s="327"/>
      <c r="I537" s="327"/>
      <c r="J537" s="327"/>
      <c r="K537" s="327"/>
      <c r="L537" s="327"/>
      <c r="M537" s="327"/>
      <c r="N537" s="327"/>
      <c r="O537" s="327"/>
      <c r="P537" s="327"/>
      <c r="Q537" s="327"/>
      <c r="R537" s="327"/>
      <c r="S537" s="327"/>
      <c r="T537" s="327"/>
      <c r="U537" s="327"/>
      <c r="V537" s="327"/>
      <c r="W537" s="327"/>
      <c r="X537" s="327"/>
      <c r="Y537" s="327"/>
      <c r="Z537" s="327"/>
      <c r="AA537" s="327"/>
      <c r="AB537" s="327"/>
      <c r="AC537" s="327"/>
      <c r="AD537" s="327"/>
      <c r="AE537" s="327"/>
      <c r="AF537" s="327"/>
      <c r="AG537" s="327"/>
      <c r="AH537" s="327"/>
      <c r="AI537" s="327"/>
      <c r="AJ537" s="327"/>
      <c r="AK537" s="327"/>
      <c r="AL537" s="327"/>
      <c r="AM537" s="327"/>
    </row>
    <row r="538" spans="1:39">
      <c r="A538" s="69"/>
      <c r="B538" s="69"/>
      <c r="C538" s="327"/>
      <c r="D538" s="327"/>
      <c r="E538" s="327"/>
      <c r="F538" s="327"/>
      <c r="G538" s="327"/>
      <c r="H538" s="327"/>
      <c r="I538" s="327"/>
      <c r="J538" s="327"/>
      <c r="K538" s="327"/>
      <c r="L538" s="327"/>
      <c r="M538" s="327"/>
      <c r="N538" s="327"/>
      <c r="O538" s="327"/>
      <c r="P538" s="327"/>
      <c r="Q538" s="327"/>
      <c r="R538" s="327"/>
      <c r="S538" s="327"/>
      <c r="T538" s="327"/>
      <c r="U538" s="327"/>
      <c r="V538" s="327"/>
      <c r="W538" s="327"/>
      <c r="X538" s="327"/>
      <c r="Y538" s="327"/>
      <c r="Z538" s="327"/>
      <c r="AA538" s="327"/>
      <c r="AB538" s="327"/>
      <c r="AC538" s="327"/>
      <c r="AD538" s="327"/>
      <c r="AE538" s="327"/>
      <c r="AF538" s="327"/>
      <c r="AG538" s="327"/>
      <c r="AH538" s="327"/>
      <c r="AI538" s="327"/>
      <c r="AJ538" s="327"/>
      <c r="AK538" s="327"/>
      <c r="AL538" s="327"/>
      <c r="AM538" s="327"/>
    </row>
    <row r="539" spans="1:39">
      <c r="A539" s="69"/>
      <c r="B539" s="69"/>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327"/>
      <c r="AE539" s="327"/>
      <c r="AF539" s="327"/>
      <c r="AG539" s="327"/>
      <c r="AH539" s="327"/>
      <c r="AI539" s="327"/>
      <c r="AJ539" s="327"/>
      <c r="AK539" s="327"/>
      <c r="AL539" s="327"/>
      <c r="AM539" s="327"/>
    </row>
    <row r="540" spans="1:39">
      <c r="A540" s="69"/>
      <c r="B540" s="69"/>
      <c r="C540" s="327"/>
      <c r="D540" s="327"/>
      <c r="E540" s="327"/>
      <c r="F540" s="327"/>
      <c r="G540" s="327"/>
      <c r="H540" s="327"/>
      <c r="I540" s="327"/>
      <c r="J540" s="327"/>
      <c r="K540" s="327"/>
      <c r="L540" s="327"/>
      <c r="M540" s="327"/>
      <c r="N540" s="327"/>
      <c r="O540" s="327"/>
      <c r="P540" s="327"/>
      <c r="Q540" s="327"/>
      <c r="R540" s="327"/>
      <c r="S540" s="327"/>
      <c r="T540" s="327"/>
      <c r="U540" s="327"/>
      <c r="V540" s="327"/>
      <c r="W540" s="327"/>
      <c r="X540" s="327"/>
      <c r="Y540" s="327"/>
      <c r="Z540" s="327"/>
      <c r="AA540" s="327"/>
      <c r="AB540" s="327"/>
      <c r="AC540" s="327"/>
      <c r="AD540" s="327"/>
      <c r="AE540" s="327"/>
      <c r="AF540" s="327"/>
      <c r="AG540" s="327"/>
      <c r="AH540" s="327"/>
      <c r="AI540" s="327"/>
      <c r="AJ540" s="327"/>
      <c r="AK540" s="327"/>
      <c r="AL540" s="327"/>
      <c r="AM540" s="327"/>
    </row>
    <row r="541" spans="1:39">
      <c r="A541" s="69"/>
      <c r="B541" s="69"/>
      <c r="C541" s="327"/>
      <c r="D541" s="327"/>
      <c r="E541" s="327"/>
      <c r="F541" s="327"/>
      <c r="G541" s="327"/>
      <c r="H541" s="327"/>
      <c r="I541" s="327"/>
      <c r="J541" s="327"/>
      <c r="K541" s="327"/>
      <c r="L541" s="327"/>
      <c r="M541" s="327"/>
      <c r="N541" s="327"/>
      <c r="O541" s="327"/>
      <c r="P541" s="327"/>
      <c r="Q541" s="327"/>
      <c r="R541" s="327"/>
      <c r="S541" s="327"/>
      <c r="T541" s="327"/>
      <c r="U541" s="327"/>
      <c r="V541" s="327"/>
      <c r="W541" s="327"/>
      <c r="X541" s="327"/>
      <c r="Y541" s="327"/>
      <c r="Z541" s="327"/>
      <c r="AA541" s="327"/>
      <c r="AB541" s="327"/>
      <c r="AC541" s="327"/>
      <c r="AD541" s="327"/>
      <c r="AE541" s="327"/>
      <c r="AF541" s="327"/>
      <c r="AG541" s="327"/>
      <c r="AH541" s="327"/>
      <c r="AI541" s="327"/>
      <c r="AJ541" s="327"/>
      <c r="AK541" s="327"/>
      <c r="AL541" s="327"/>
      <c r="AM541" s="327"/>
    </row>
    <row r="542" spans="1:39">
      <c r="A542" s="69"/>
      <c r="B542" s="69"/>
      <c r="C542" s="327"/>
      <c r="D542" s="327"/>
      <c r="E542" s="327"/>
      <c r="F542" s="327"/>
      <c r="G542" s="327"/>
      <c r="H542" s="327"/>
      <c r="I542" s="327"/>
      <c r="J542" s="327"/>
      <c r="K542" s="327"/>
      <c r="L542" s="327"/>
      <c r="M542" s="327"/>
      <c r="N542" s="327"/>
      <c r="O542" s="327"/>
      <c r="P542" s="327"/>
      <c r="Q542" s="327"/>
      <c r="R542" s="327"/>
      <c r="S542" s="327"/>
      <c r="T542" s="327"/>
      <c r="U542" s="327"/>
      <c r="V542" s="327"/>
      <c r="W542" s="327"/>
      <c r="X542" s="327"/>
      <c r="Y542" s="327"/>
      <c r="Z542" s="327"/>
      <c r="AA542" s="327"/>
      <c r="AB542" s="327"/>
      <c r="AC542" s="327"/>
      <c r="AD542" s="327"/>
      <c r="AE542" s="327"/>
      <c r="AF542" s="327"/>
      <c r="AG542" s="327"/>
      <c r="AH542" s="327"/>
      <c r="AI542" s="327"/>
      <c r="AJ542" s="327"/>
      <c r="AK542" s="327"/>
      <c r="AL542" s="327"/>
      <c r="AM542" s="327"/>
    </row>
    <row r="543" spans="1:39">
      <c r="A543" s="69"/>
      <c r="B543" s="69"/>
      <c r="C543" s="327"/>
      <c r="D543" s="327"/>
      <c r="E543" s="327"/>
      <c r="F543" s="327"/>
      <c r="G543" s="327"/>
      <c r="H543" s="327"/>
      <c r="I543" s="327"/>
      <c r="J543" s="327"/>
      <c r="K543" s="327"/>
      <c r="L543" s="327"/>
      <c r="M543" s="327"/>
      <c r="N543" s="327"/>
      <c r="O543" s="327"/>
      <c r="P543" s="327"/>
      <c r="Q543" s="327"/>
      <c r="R543" s="327"/>
      <c r="S543" s="327"/>
      <c r="T543" s="327"/>
      <c r="U543" s="327"/>
      <c r="V543" s="327"/>
      <c r="W543" s="327"/>
      <c r="X543" s="327"/>
      <c r="Y543" s="327"/>
      <c r="Z543" s="327"/>
      <c r="AA543" s="327"/>
      <c r="AB543" s="327"/>
      <c r="AC543" s="327"/>
      <c r="AD543" s="327"/>
      <c r="AE543" s="327"/>
      <c r="AF543" s="327"/>
      <c r="AG543" s="327"/>
      <c r="AH543" s="327"/>
      <c r="AI543" s="327"/>
      <c r="AJ543" s="327"/>
      <c r="AK543" s="327"/>
      <c r="AL543" s="327"/>
      <c r="AM543" s="327"/>
    </row>
    <row r="544" spans="1:39">
      <c r="A544" s="69"/>
      <c r="B544" s="69"/>
      <c r="C544" s="327"/>
      <c r="D544" s="327"/>
      <c r="E544" s="327"/>
      <c r="F544" s="327"/>
      <c r="G544" s="327"/>
      <c r="H544" s="327"/>
      <c r="I544" s="327"/>
      <c r="J544" s="327"/>
      <c r="K544" s="327"/>
      <c r="L544" s="327"/>
      <c r="M544" s="327"/>
      <c r="N544" s="327"/>
      <c r="O544" s="327"/>
      <c r="P544" s="327"/>
      <c r="Q544" s="327"/>
      <c r="R544" s="327"/>
      <c r="S544" s="327"/>
      <c r="T544" s="327"/>
      <c r="U544" s="327"/>
      <c r="V544" s="327"/>
      <c r="W544" s="327"/>
      <c r="X544" s="327"/>
      <c r="Y544" s="327"/>
      <c r="Z544" s="327"/>
      <c r="AA544" s="327"/>
      <c r="AB544" s="327"/>
      <c r="AC544" s="327"/>
      <c r="AD544" s="327"/>
      <c r="AE544" s="327"/>
      <c r="AF544" s="327"/>
      <c r="AG544" s="327"/>
      <c r="AH544" s="327"/>
      <c r="AI544" s="327"/>
      <c r="AJ544" s="327"/>
      <c r="AK544" s="327"/>
      <c r="AL544" s="327"/>
      <c r="AM544" s="327"/>
    </row>
    <row r="545" spans="1:39">
      <c r="A545" s="69"/>
      <c r="B545" s="69"/>
      <c r="C545" s="327"/>
      <c r="D545" s="327"/>
      <c r="E545" s="327"/>
      <c r="F545" s="327"/>
      <c r="G545" s="327"/>
      <c r="H545" s="327"/>
      <c r="I545" s="327"/>
      <c r="J545" s="327"/>
      <c r="K545" s="327"/>
      <c r="L545" s="327"/>
      <c r="M545" s="327"/>
      <c r="N545" s="327"/>
      <c r="O545" s="327"/>
      <c r="P545" s="327"/>
      <c r="Q545" s="327"/>
      <c r="R545" s="327"/>
      <c r="S545" s="327"/>
      <c r="T545" s="327"/>
      <c r="U545" s="327"/>
      <c r="V545" s="327"/>
      <c r="W545" s="327"/>
      <c r="X545" s="327"/>
      <c r="Y545" s="327"/>
      <c r="Z545" s="327"/>
      <c r="AA545" s="327"/>
      <c r="AB545" s="327"/>
      <c r="AC545" s="327"/>
      <c r="AD545" s="327"/>
      <c r="AE545" s="327"/>
      <c r="AF545" s="327"/>
      <c r="AG545" s="327"/>
      <c r="AH545" s="327"/>
      <c r="AI545" s="327"/>
      <c r="AJ545" s="327"/>
      <c r="AK545" s="327"/>
      <c r="AL545" s="327"/>
      <c r="AM545" s="327"/>
    </row>
    <row r="546" spans="1:39">
      <c r="A546" s="69"/>
      <c r="B546" s="69"/>
      <c r="C546" s="327"/>
      <c r="D546" s="327"/>
      <c r="E546" s="327"/>
      <c r="F546" s="327"/>
      <c r="G546" s="327"/>
      <c r="H546" s="327"/>
      <c r="I546" s="327"/>
      <c r="J546" s="327"/>
      <c r="K546" s="327"/>
      <c r="L546" s="327"/>
      <c r="M546" s="327"/>
      <c r="N546" s="327"/>
      <c r="O546" s="327"/>
      <c r="P546" s="327"/>
      <c r="Q546" s="327"/>
      <c r="R546" s="327"/>
      <c r="S546" s="327"/>
      <c r="T546" s="327"/>
      <c r="U546" s="327"/>
      <c r="V546" s="327"/>
      <c r="W546" s="327"/>
      <c r="X546" s="327"/>
      <c r="Y546" s="327"/>
      <c r="Z546" s="327"/>
      <c r="AA546" s="327"/>
      <c r="AB546" s="327"/>
      <c r="AC546" s="327"/>
      <c r="AD546" s="327"/>
      <c r="AE546" s="327"/>
      <c r="AF546" s="327"/>
      <c r="AG546" s="327"/>
      <c r="AH546" s="327"/>
      <c r="AI546" s="327"/>
      <c r="AJ546" s="327"/>
      <c r="AK546" s="327"/>
      <c r="AL546" s="327"/>
      <c r="AM546" s="327"/>
    </row>
    <row r="547" spans="1:39">
      <c r="A547" s="69"/>
      <c r="B547" s="69"/>
      <c r="C547" s="327"/>
      <c r="D547" s="327"/>
      <c r="E547" s="327"/>
      <c r="F547" s="327"/>
      <c r="G547" s="327"/>
      <c r="H547" s="327"/>
      <c r="I547" s="327"/>
      <c r="J547" s="327"/>
      <c r="K547" s="327"/>
      <c r="L547" s="327"/>
      <c r="M547" s="327"/>
      <c r="N547" s="327"/>
      <c r="O547" s="327"/>
      <c r="P547" s="327"/>
      <c r="Q547" s="327"/>
      <c r="R547" s="327"/>
      <c r="S547" s="327"/>
      <c r="T547" s="327"/>
      <c r="U547" s="327"/>
      <c r="V547" s="327"/>
      <c r="W547" s="327"/>
      <c r="X547" s="327"/>
      <c r="Y547" s="327"/>
      <c r="Z547" s="327"/>
      <c r="AA547" s="327"/>
      <c r="AB547" s="327"/>
      <c r="AC547" s="327"/>
      <c r="AD547" s="327"/>
      <c r="AE547" s="327"/>
      <c r="AF547" s="327"/>
      <c r="AG547" s="327"/>
      <c r="AH547" s="327"/>
      <c r="AI547" s="327"/>
      <c r="AJ547" s="327"/>
      <c r="AK547" s="327"/>
      <c r="AL547" s="327"/>
      <c r="AM547" s="327"/>
    </row>
    <row r="548" spans="1:39">
      <c r="A548" s="69"/>
      <c r="B548" s="69"/>
      <c r="C548" s="327"/>
      <c r="D548" s="327"/>
      <c r="E548" s="327"/>
      <c r="F548" s="327"/>
      <c r="G548" s="327"/>
      <c r="H548" s="327"/>
      <c r="I548" s="327"/>
      <c r="J548" s="327"/>
      <c r="K548" s="327"/>
      <c r="L548" s="327"/>
      <c r="M548" s="327"/>
      <c r="N548" s="327"/>
      <c r="O548" s="327"/>
      <c r="P548" s="327"/>
      <c r="Q548" s="327"/>
      <c r="R548" s="327"/>
      <c r="S548" s="327"/>
      <c r="T548" s="327"/>
      <c r="U548" s="327"/>
      <c r="V548" s="327"/>
      <c r="W548" s="327"/>
      <c r="X548" s="327"/>
      <c r="Y548" s="327"/>
      <c r="Z548" s="327"/>
      <c r="AA548" s="327"/>
      <c r="AB548" s="327"/>
      <c r="AC548" s="327"/>
      <c r="AD548" s="327"/>
      <c r="AE548" s="327"/>
      <c r="AF548" s="327"/>
      <c r="AG548" s="327"/>
      <c r="AH548" s="327"/>
      <c r="AI548" s="327"/>
      <c r="AJ548" s="327"/>
      <c r="AK548" s="327"/>
      <c r="AL548" s="327"/>
      <c r="AM548" s="327"/>
    </row>
    <row r="549" spans="1:39">
      <c r="A549" s="69"/>
      <c r="B549" s="69"/>
      <c r="C549" s="327"/>
      <c r="D549" s="327"/>
      <c r="E549" s="327"/>
      <c r="F549" s="327"/>
      <c r="G549" s="327"/>
      <c r="H549" s="327"/>
      <c r="I549" s="327"/>
      <c r="J549" s="327"/>
      <c r="K549" s="327"/>
      <c r="L549" s="327"/>
      <c r="M549" s="327"/>
      <c r="N549" s="327"/>
      <c r="O549" s="327"/>
      <c r="P549" s="327"/>
      <c r="Q549" s="327"/>
      <c r="R549" s="327"/>
      <c r="S549" s="327"/>
      <c r="T549" s="327"/>
      <c r="U549" s="327"/>
      <c r="V549" s="327"/>
      <c r="W549" s="327"/>
      <c r="X549" s="327"/>
      <c r="Y549" s="327"/>
      <c r="Z549" s="327"/>
      <c r="AA549" s="327"/>
      <c r="AB549" s="327"/>
      <c r="AC549" s="327"/>
      <c r="AD549" s="327"/>
      <c r="AE549" s="327"/>
      <c r="AF549" s="327"/>
      <c r="AG549" s="327"/>
      <c r="AH549" s="327"/>
      <c r="AI549" s="327"/>
      <c r="AJ549" s="327"/>
      <c r="AK549" s="327"/>
      <c r="AL549" s="327"/>
      <c r="AM549" s="327"/>
    </row>
    <row r="550" spans="1:39">
      <c r="A550" s="69"/>
      <c r="B550" s="69"/>
      <c r="C550" s="327"/>
      <c r="D550" s="327"/>
      <c r="E550" s="327"/>
      <c r="F550" s="327"/>
      <c r="G550" s="327"/>
      <c r="H550" s="327"/>
      <c r="I550" s="327"/>
      <c r="J550" s="327"/>
      <c r="K550" s="327"/>
      <c r="L550" s="327"/>
      <c r="M550" s="327"/>
      <c r="N550" s="327"/>
      <c r="O550" s="327"/>
      <c r="P550" s="327"/>
      <c r="Q550" s="327"/>
      <c r="R550" s="327"/>
      <c r="S550" s="327"/>
      <c r="T550" s="327"/>
      <c r="U550" s="327"/>
      <c r="V550" s="327"/>
      <c r="W550" s="327"/>
      <c r="X550" s="327"/>
      <c r="Y550" s="327"/>
      <c r="Z550" s="327"/>
      <c r="AA550" s="327"/>
      <c r="AB550" s="327"/>
      <c r="AC550" s="327"/>
      <c r="AD550" s="327"/>
      <c r="AE550" s="327"/>
      <c r="AF550" s="327"/>
      <c r="AG550" s="327"/>
      <c r="AH550" s="327"/>
      <c r="AI550" s="327"/>
      <c r="AJ550" s="327"/>
      <c r="AK550" s="327"/>
      <c r="AL550" s="327"/>
      <c r="AM550" s="327"/>
    </row>
    <row r="551" spans="1:39">
      <c r="A551" s="69"/>
      <c r="B551" s="69"/>
      <c r="C551" s="327"/>
      <c r="D551" s="327"/>
      <c r="E551" s="327"/>
      <c r="F551" s="327"/>
      <c r="G551" s="327"/>
      <c r="H551" s="327"/>
      <c r="I551" s="327"/>
      <c r="J551" s="327"/>
      <c r="K551" s="327"/>
      <c r="L551" s="327"/>
      <c r="M551" s="327"/>
      <c r="N551" s="327"/>
      <c r="O551" s="327"/>
      <c r="P551" s="327"/>
      <c r="Q551" s="327"/>
      <c r="R551" s="327"/>
      <c r="S551" s="327"/>
      <c r="T551" s="327"/>
      <c r="U551" s="327"/>
      <c r="V551" s="327"/>
      <c r="W551" s="327"/>
      <c r="X551" s="327"/>
      <c r="Y551" s="327"/>
      <c r="Z551" s="327"/>
      <c r="AA551" s="327"/>
      <c r="AB551" s="327"/>
      <c r="AC551" s="327"/>
      <c r="AD551" s="327"/>
      <c r="AE551" s="327"/>
      <c r="AF551" s="327"/>
      <c r="AG551" s="327"/>
      <c r="AH551" s="327"/>
      <c r="AI551" s="327"/>
      <c r="AJ551" s="327"/>
      <c r="AK551" s="327"/>
      <c r="AL551" s="327"/>
      <c r="AM551" s="327"/>
    </row>
    <row r="552" spans="1:39">
      <c r="A552" s="69"/>
      <c r="B552" s="69"/>
      <c r="C552" s="327"/>
      <c r="D552" s="327"/>
      <c r="E552" s="327"/>
      <c r="F552" s="327"/>
      <c r="G552" s="327"/>
      <c r="H552" s="327"/>
      <c r="I552" s="327"/>
      <c r="J552" s="327"/>
      <c r="K552" s="327"/>
      <c r="L552" s="327"/>
      <c r="M552" s="327"/>
      <c r="N552" s="327"/>
      <c r="O552" s="327"/>
      <c r="P552" s="327"/>
      <c r="Q552" s="327"/>
      <c r="R552" s="327"/>
      <c r="S552" s="327"/>
      <c r="T552" s="327"/>
      <c r="U552" s="327"/>
      <c r="V552" s="327"/>
      <c r="W552" s="327"/>
      <c r="X552" s="327"/>
      <c r="Y552" s="327"/>
      <c r="Z552" s="327"/>
      <c r="AA552" s="327"/>
      <c r="AB552" s="327"/>
      <c r="AC552" s="327"/>
      <c r="AD552" s="327"/>
      <c r="AE552" s="327"/>
      <c r="AF552" s="327"/>
      <c r="AG552" s="327"/>
      <c r="AH552" s="327"/>
      <c r="AI552" s="327"/>
      <c r="AJ552" s="327"/>
      <c r="AK552" s="327"/>
      <c r="AL552" s="327"/>
      <c r="AM552" s="327"/>
    </row>
    <row r="553" spans="1:39">
      <c r="A553" s="69"/>
      <c r="B553" s="69"/>
      <c r="C553" s="327"/>
      <c r="D553" s="327"/>
      <c r="E553" s="327"/>
      <c r="F553" s="327"/>
      <c r="G553" s="327"/>
      <c r="H553" s="327"/>
      <c r="I553" s="327"/>
      <c r="J553" s="327"/>
      <c r="K553" s="327"/>
      <c r="L553" s="327"/>
      <c r="M553" s="327"/>
      <c r="N553" s="327"/>
      <c r="O553" s="327"/>
      <c r="P553" s="327"/>
      <c r="Q553" s="327"/>
      <c r="R553" s="327"/>
      <c r="S553" s="327"/>
      <c r="T553" s="327"/>
      <c r="U553" s="327"/>
      <c r="V553" s="327"/>
      <c r="W553" s="327"/>
      <c r="X553" s="327"/>
      <c r="Y553" s="327"/>
      <c r="Z553" s="327"/>
      <c r="AA553" s="327"/>
      <c r="AB553" s="327"/>
      <c r="AC553" s="327"/>
      <c r="AD553" s="327"/>
      <c r="AE553" s="327"/>
      <c r="AF553" s="327"/>
      <c r="AG553" s="327"/>
      <c r="AH553" s="327"/>
      <c r="AI553" s="327"/>
      <c r="AJ553" s="327"/>
      <c r="AK553" s="327"/>
      <c r="AL553" s="327"/>
      <c r="AM553" s="327"/>
    </row>
    <row r="554" spans="1:39">
      <c r="A554" s="69"/>
      <c r="B554" s="69"/>
      <c r="C554" s="327"/>
      <c r="D554" s="327"/>
      <c r="E554" s="327"/>
      <c r="F554" s="327"/>
      <c r="G554" s="327"/>
      <c r="H554" s="327"/>
      <c r="I554" s="327"/>
      <c r="J554" s="327"/>
      <c r="K554" s="327"/>
      <c r="L554" s="327"/>
      <c r="M554" s="327"/>
      <c r="N554" s="327"/>
      <c r="O554" s="327"/>
      <c r="P554" s="327"/>
      <c r="Q554" s="327"/>
      <c r="R554" s="327"/>
      <c r="S554" s="327"/>
      <c r="T554" s="327"/>
      <c r="U554" s="327"/>
      <c r="V554" s="327"/>
      <c r="W554" s="327"/>
      <c r="X554" s="327"/>
      <c r="Y554" s="327"/>
      <c r="Z554" s="327"/>
      <c r="AA554" s="327"/>
      <c r="AB554" s="327"/>
      <c r="AC554" s="327"/>
      <c r="AD554" s="327"/>
      <c r="AE554" s="327"/>
      <c r="AF554" s="327"/>
      <c r="AG554" s="327"/>
      <c r="AH554" s="327"/>
      <c r="AI554" s="327"/>
      <c r="AJ554" s="327"/>
      <c r="AK554" s="327"/>
      <c r="AL554" s="327"/>
      <c r="AM554" s="327"/>
    </row>
    <row r="555" spans="1:39">
      <c r="A555" s="69"/>
      <c r="B555" s="69"/>
      <c r="C555" s="327"/>
      <c r="D555" s="327"/>
      <c r="E555" s="327"/>
      <c r="F555" s="327"/>
      <c r="G555" s="327"/>
      <c r="H555" s="327"/>
      <c r="I555" s="327"/>
      <c r="J555" s="327"/>
      <c r="K555" s="327"/>
      <c r="L555" s="327"/>
      <c r="M555" s="327"/>
      <c r="N555" s="327"/>
      <c r="O555" s="327"/>
      <c r="P555" s="327"/>
      <c r="Q555" s="327"/>
      <c r="R555" s="327"/>
      <c r="S555" s="327"/>
      <c r="T555" s="327"/>
      <c r="U555" s="327"/>
      <c r="V555" s="327"/>
      <c r="W555" s="327"/>
      <c r="X555" s="327"/>
      <c r="Y555" s="327"/>
      <c r="Z555" s="327"/>
      <c r="AA555" s="327"/>
      <c r="AB555" s="327"/>
      <c r="AC555" s="327"/>
      <c r="AD555" s="327"/>
      <c r="AE555" s="327"/>
      <c r="AF555" s="327"/>
      <c r="AG555" s="327"/>
      <c r="AH555" s="327"/>
      <c r="AI555" s="327"/>
      <c r="AJ555" s="327"/>
      <c r="AK555" s="327"/>
      <c r="AL555" s="327"/>
      <c r="AM555" s="327"/>
    </row>
    <row r="556" spans="1:39">
      <c r="A556" s="69"/>
      <c r="B556" s="69"/>
      <c r="C556" s="327"/>
      <c r="D556" s="327"/>
      <c r="E556" s="327"/>
      <c r="F556" s="327"/>
      <c r="G556" s="327"/>
      <c r="H556" s="327"/>
      <c r="I556" s="327"/>
      <c r="J556" s="327"/>
      <c r="K556" s="327"/>
      <c r="L556" s="327"/>
      <c r="M556" s="327"/>
      <c r="N556" s="327"/>
      <c r="O556" s="327"/>
      <c r="P556" s="327"/>
      <c r="Q556" s="327"/>
      <c r="R556" s="327"/>
      <c r="S556" s="327"/>
      <c r="T556" s="327"/>
      <c r="U556" s="327"/>
      <c r="V556" s="327"/>
      <c r="W556" s="327"/>
      <c r="X556" s="327"/>
      <c r="Y556" s="327"/>
      <c r="Z556" s="327"/>
      <c r="AA556" s="327"/>
      <c r="AB556" s="327"/>
      <c r="AC556" s="327"/>
      <c r="AD556" s="327"/>
      <c r="AE556" s="327"/>
      <c r="AF556" s="327"/>
      <c r="AG556" s="327"/>
      <c r="AH556" s="327"/>
      <c r="AI556" s="327"/>
      <c r="AJ556" s="327"/>
      <c r="AK556" s="327"/>
      <c r="AL556" s="327"/>
      <c r="AM556" s="327"/>
    </row>
    <row r="557" spans="1:39">
      <c r="A557" s="69"/>
      <c r="B557" s="69"/>
      <c r="C557" s="327"/>
      <c r="D557" s="327"/>
      <c r="E557" s="327"/>
      <c r="F557" s="327"/>
      <c r="G557" s="327"/>
      <c r="H557" s="327"/>
      <c r="I557" s="327"/>
      <c r="J557" s="327"/>
      <c r="K557" s="327"/>
      <c r="L557" s="327"/>
      <c r="M557" s="327"/>
      <c r="N557" s="327"/>
      <c r="O557" s="327"/>
      <c r="P557" s="327"/>
      <c r="Q557" s="327"/>
      <c r="R557" s="327"/>
      <c r="S557" s="327"/>
      <c r="T557" s="327"/>
      <c r="U557" s="327"/>
      <c r="V557" s="327"/>
      <c r="W557" s="327"/>
      <c r="X557" s="327"/>
      <c r="Y557" s="327"/>
      <c r="Z557" s="327"/>
      <c r="AA557" s="327"/>
      <c r="AB557" s="327"/>
      <c r="AC557" s="327"/>
      <c r="AD557" s="327"/>
      <c r="AE557" s="327"/>
      <c r="AF557" s="327"/>
      <c r="AG557" s="327"/>
      <c r="AH557" s="327"/>
      <c r="AI557" s="327"/>
      <c r="AJ557" s="327"/>
      <c r="AK557" s="327"/>
      <c r="AL557" s="327"/>
      <c r="AM557" s="327"/>
    </row>
    <row r="558" spans="1:39">
      <c r="A558" s="69"/>
      <c r="B558" s="69"/>
      <c r="C558" s="327"/>
      <c r="D558" s="327"/>
      <c r="E558" s="327"/>
      <c r="F558" s="327"/>
      <c r="G558" s="327"/>
      <c r="H558" s="327"/>
      <c r="I558" s="327"/>
      <c r="J558" s="327"/>
      <c r="K558" s="327"/>
      <c r="L558" s="327"/>
      <c r="M558" s="327"/>
      <c r="N558" s="327"/>
      <c r="O558" s="327"/>
      <c r="P558" s="327"/>
      <c r="Q558" s="327"/>
      <c r="R558" s="327"/>
      <c r="S558" s="327"/>
      <c r="T558" s="327"/>
      <c r="U558" s="327"/>
      <c r="V558" s="327"/>
      <c r="W558" s="327"/>
      <c r="X558" s="327"/>
      <c r="Y558" s="327"/>
      <c r="Z558" s="327"/>
      <c r="AA558" s="327"/>
      <c r="AB558" s="327"/>
      <c r="AC558" s="327"/>
      <c r="AD558" s="327"/>
      <c r="AE558" s="327"/>
      <c r="AF558" s="327"/>
      <c r="AG558" s="327"/>
      <c r="AH558" s="327"/>
      <c r="AI558" s="327"/>
      <c r="AJ558" s="327"/>
      <c r="AK558" s="327"/>
      <c r="AL558" s="327"/>
      <c r="AM558" s="327"/>
    </row>
    <row r="559" spans="1:39">
      <c r="A559" s="69"/>
      <c r="B559" s="69"/>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327"/>
      <c r="AE559" s="327"/>
      <c r="AF559" s="327"/>
      <c r="AG559" s="327"/>
      <c r="AH559" s="327"/>
      <c r="AI559" s="327"/>
      <c r="AJ559" s="327"/>
      <c r="AK559" s="327"/>
      <c r="AL559" s="327"/>
      <c r="AM559" s="327"/>
    </row>
    <row r="560" spans="1:39">
      <c r="A560" s="69"/>
      <c r="B560" s="69"/>
      <c r="C560" s="327"/>
      <c r="D560" s="327"/>
      <c r="E560" s="327"/>
      <c r="F560" s="327"/>
      <c r="G560" s="327"/>
      <c r="H560" s="327"/>
      <c r="I560" s="327"/>
      <c r="J560" s="327"/>
      <c r="K560" s="327"/>
      <c r="L560" s="327"/>
      <c r="M560" s="327"/>
      <c r="N560" s="327"/>
      <c r="O560" s="327"/>
      <c r="P560" s="327"/>
      <c r="Q560" s="327"/>
      <c r="R560" s="327"/>
      <c r="S560" s="327"/>
      <c r="T560" s="327"/>
      <c r="U560" s="327"/>
      <c r="V560" s="327"/>
      <c r="W560" s="327"/>
      <c r="X560" s="327"/>
      <c r="Y560" s="327"/>
      <c r="Z560" s="327"/>
      <c r="AA560" s="327"/>
      <c r="AB560" s="327"/>
      <c r="AC560" s="327"/>
      <c r="AD560" s="327"/>
      <c r="AE560" s="327"/>
      <c r="AF560" s="327"/>
      <c r="AG560" s="327"/>
      <c r="AH560" s="327"/>
      <c r="AI560" s="327"/>
      <c r="AJ560" s="327"/>
      <c r="AK560" s="327"/>
      <c r="AL560" s="327"/>
      <c r="AM560" s="327"/>
    </row>
    <row r="561" spans="1:39">
      <c r="A561" s="69"/>
      <c r="B561" s="69"/>
      <c r="C561" s="327"/>
      <c r="D561" s="327"/>
      <c r="E561" s="327"/>
      <c r="F561" s="327"/>
      <c r="G561" s="327"/>
      <c r="H561" s="327"/>
      <c r="I561" s="327"/>
      <c r="J561" s="327"/>
      <c r="K561" s="327"/>
      <c r="L561" s="327"/>
      <c r="M561" s="327"/>
      <c r="N561" s="327"/>
      <c r="O561" s="327"/>
      <c r="P561" s="327"/>
      <c r="Q561" s="327"/>
      <c r="R561" s="327"/>
      <c r="S561" s="327"/>
      <c r="T561" s="327"/>
      <c r="U561" s="327"/>
      <c r="V561" s="327"/>
      <c r="W561" s="327"/>
      <c r="X561" s="327"/>
      <c r="Y561" s="327"/>
      <c r="Z561" s="327"/>
      <c r="AA561" s="327"/>
      <c r="AB561" s="327"/>
      <c r="AC561" s="327"/>
      <c r="AD561" s="327"/>
      <c r="AE561" s="327"/>
      <c r="AF561" s="327"/>
      <c r="AG561" s="327"/>
      <c r="AH561" s="327"/>
      <c r="AI561" s="327"/>
      <c r="AJ561" s="327"/>
      <c r="AK561" s="327"/>
      <c r="AL561" s="327"/>
      <c r="AM561" s="327"/>
    </row>
    <row r="562" spans="1:39">
      <c r="A562" s="69"/>
      <c r="B562" s="69"/>
      <c r="C562" s="327"/>
      <c r="D562" s="327"/>
      <c r="E562" s="327"/>
      <c r="F562" s="327"/>
      <c r="G562" s="327"/>
      <c r="H562" s="327"/>
      <c r="I562" s="327"/>
      <c r="J562" s="327"/>
      <c r="K562" s="327"/>
      <c r="L562" s="327"/>
      <c r="M562" s="327"/>
      <c r="N562" s="327"/>
      <c r="O562" s="327"/>
      <c r="P562" s="327"/>
      <c r="Q562" s="327"/>
      <c r="R562" s="327"/>
      <c r="S562" s="327"/>
      <c r="T562" s="327"/>
      <c r="U562" s="327"/>
      <c r="V562" s="327"/>
      <c r="W562" s="327"/>
      <c r="X562" s="327"/>
      <c r="Y562" s="327"/>
      <c r="Z562" s="327"/>
      <c r="AA562" s="327"/>
      <c r="AB562" s="327"/>
      <c r="AC562" s="327"/>
      <c r="AD562" s="327"/>
      <c r="AE562" s="327"/>
      <c r="AF562" s="327"/>
      <c r="AG562" s="327"/>
      <c r="AH562" s="327"/>
      <c r="AI562" s="327"/>
      <c r="AJ562" s="327"/>
      <c r="AK562" s="327"/>
      <c r="AL562" s="327"/>
      <c r="AM562" s="327"/>
    </row>
    <row r="563" spans="1:39">
      <c r="A563" s="69"/>
      <c r="B563" s="69"/>
      <c r="C563" s="327"/>
      <c r="D563" s="327"/>
      <c r="E563" s="327"/>
      <c r="F563" s="327"/>
      <c r="G563" s="327"/>
      <c r="H563" s="327"/>
      <c r="I563" s="327"/>
      <c r="J563" s="327"/>
      <c r="K563" s="327"/>
      <c r="L563" s="327"/>
      <c r="M563" s="327"/>
      <c r="N563" s="327"/>
      <c r="O563" s="327"/>
      <c r="P563" s="327"/>
      <c r="Q563" s="327"/>
      <c r="R563" s="327"/>
      <c r="S563" s="327"/>
      <c r="T563" s="327"/>
      <c r="U563" s="327"/>
      <c r="V563" s="327"/>
      <c r="W563" s="327"/>
      <c r="X563" s="327"/>
      <c r="Y563" s="327"/>
      <c r="Z563" s="327"/>
      <c r="AA563" s="327"/>
      <c r="AB563" s="327"/>
      <c r="AC563" s="327"/>
      <c r="AD563" s="327"/>
      <c r="AE563" s="327"/>
      <c r="AF563" s="327"/>
      <c r="AG563" s="327"/>
      <c r="AH563" s="327"/>
      <c r="AI563" s="327"/>
      <c r="AJ563" s="327"/>
      <c r="AK563" s="327"/>
      <c r="AL563" s="327"/>
      <c r="AM563" s="327"/>
    </row>
    <row r="564" spans="1:39">
      <c r="A564" s="69"/>
      <c r="B564" s="69"/>
      <c r="C564" s="327"/>
      <c r="D564" s="327"/>
      <c r="E564" s="327"/>
      <c r="F564" s="327"/>
      <c r="G564" s="327"/>
      <c r="H564" s="327"/>
      <c r="I564" s="327"/>
      <c r="J564" s="327"/>
      <c r="K564" s="327"/>
      <c r="L564" s="327"/>
      <c r="M564" s="327"/>
      <c r="N564" s="327"/>
      <c r="O564" s="327"/>
      <c r="P564" s="327"/>
      <c r="Q564" s="327"/>
      <c r="R564" s="327"/>
      <c r="S564" s="327"/>
      <c r="T564" s="327"/>
      <c r="U564" s="327"/>
      <c r="V564" s="327"/>
      <c r="W564" s="327"/>
      <c r="X564" s="327"/>
      <c r="Y564" s="327"/>
      <c r="Z564" s="327"/>
      <c r="AA564" s="327"/>
      <c r="AB564" s="327"/>
      <c r="AC564" s="327"/>
      <c r="AD564" s="327"/>
      <c r="AE564" s="327"/>
      <c r="AF564" s="327"/>
      <c r="AG564" s="327"/>
      <c r="AH564" s="327"/>
      <c r="AI564" s="327"/>
      <c r="AJ564" s="327"/>
      <c r="AK564" s="327"/>
      <c r="AL564" s="327"/>
      <c r="AM564" s="327"/>
    </row>
    <row r="565" spans="1:39">
      <c r="A565" s="69"/>
      <c r="B565" s="69"/>
      <c r="C565" s="327"/>
      <c r="D565" s="327"/>
      <c r="E565" s="327"/>
      <c r="F565" s="327"/>
      <c r="G565" s="327"/>
      <c r="H565" s="327"/>
      <c r="I565" s="327"/>
      <c r="J565" s="327"/>
      <c r="K565" s="327"/>
      <c r="L565" s="327"/>
      <c r="M565" s="327"/>
      <c r="N565" s="327"/>
      <c r="O565" s="327"/>
      <c r="P565" s="327"/>
      <c r="Q565" s="327"/>
      <c r="R565" s="327"/>
      <c r="S565" s="327"/>
      <c r="T565" s="327"/>
      <c r="U565" s="327"/>
      <c r="V565" s="327"/>
      <c r="W565" s="327"/>
      <c r="X565" s="327"/>
      <c r="Y565" s="327"/>
      <c r="Z565" s="327"/>
      <c r="AA565" s="327"/>
      <c r="AB565" s="327"/>
      <c r="AC565" s="327"/>
      <c r="AD565" s="327"/>
      <c r="AE565" s="327"/>
      <c r="AF565" s="327"/>
      <c r="AG565" s="327"/>
      <c r="AH565" s="327"/>
      <c r="AI565" s="327"/>
      <c r="AJ565" s="327"/>
      <c r="AK565" s="327"/>
      <c r="AL565" s="327"/>
      <c r="AM565" s="327"/>
    </row>
    <row r="566" spans="1:39">
      <c r="A566" s="69"/>
      <c r="B566" s="69"/>
      <c r="C566" s="327"/>
      <c r="D566" s="327"/>
      <c r="E566" s="327"/>
      <c r="F566" s="327"/>
      <c r="G566" s="327"/>
      <c r="H566" s="327"/>
      <c r="I566" s="327"/>
      <c r="J566" s="327"/>
      <c r="K566" s="327"/>
      <c r="L566" s="327"/>
      <c r="M566" s="327"/>
      <c r="N566" s="327"/>
      <c r="O566" s="327"/>
      <c r="P566" s="327"/>
      <c r="Q566" s="327"/>
      <c r="R566" s="327"/>
      <c r="S566" s="327"/>
      <c r="T566" s="327"/>
      <c r="U566" s="327"/>
      <c r="V566" s="327"/>
      <c r="W566" s="327"/>
      <c r="X566" s="327"/>
      <c r="Y566" s="327"/>
      <c r="Z566" s="327"/>
      <c r="AA566" s="327"/>
      <c r="AB566" s="327"/>
      <c r="AC566" s="327"/>
      <c r="AD566" s="327"/>
      <c r="AE566" s="327"/>
      <c r="AF566" s="327"/>
      <c r="AG566" s="327"/>
      <c r="AH566" s="327"/>
      <c r="AI566" s="327"/>
      <c r="AJ566" s="327"/>
      <c r="AK566" s="327"/>
      <c r="AL566" s="327"/>
      <c r="AM566" s="327"/>
    </row>
    <row r="567" spans="1:39">
      <c r="A567" s="69"/>
      <c r="B567" s="69"/>
      <c r="C567" s="327"/>
      <c r="D567" s="327"/>
      <c r="E567" s="327"/>
      <c r="F567" s="327"/>
      <c r="G567" s="327"/>
      <c r="H567" s="327"/>
      <c r="I567" s="327"/>
      <c r="J567" s="327"/>
      <c r="K567" s="327"/>
      <c r="L567" s="327"/>
      <c r="M567" s="327"/>
      <c r="N567" s="327"/>
      <c r="O567" s="327"/>
      <c r="P567" s="327"/>
      <c r="Q567" s="327"/>
      <c r="R567" s="327"/>
      <c r="S567" s="327"/>
      <c r="T567" s="327"/>
      <c r="U567" s="327"/>
      <c r="V567" s="327"/>
      <c r="W567" s="327"/>
      <c r="X567" s="327"/>
      <c r="Y567" s="327"/>
      <c r="Z567" s="327"/>
      <c r="AA567" s="327"/>
      <c r="AB567" s="327"/>
      <c r="AC567" s="327"/>
      <c r="AD567" s="327"/>
      <c r="AE567" s="327"/>
      <c r="AF567" s="327"/>
      <c r="AG567" s="327"/>
      <c r="AH567" s="327"/>
      <c r="AI567" s="327"/>
      <c r="AJ567" s="327"/>
      <c r="AK567" s="327"/>
      <c r="AL567" s="327"/>
      <c r="AM567" s="327"/>
    </row>
    <row r="568" spans="1:39">
      <c r="A568" s="69"/>
      <c r="B568" s="69"/>
      <c r="C568" s="327"/>
      <c r="D568" s="327"/>
      <c r="E568" s="327"/>
      <c r="F568" s="327"/>
      <c r="G568" s="327"/>
      <c r="H568" s="327"/>
      <c r="I568" s="327"/>
      <c r="J568" s="327"/>
      <c r="K568" s="327"/>
      <c r="L568" s="327"/>
      <c r="M568" s="327"/>
      <c r="N568" s="327"/>
      <c r="O568" s="327"/>
      <c r="P568" s="327"/>
      <c r="Q568" s="327"/>
      <c r="R568" s="327"/>
      <c r="S568" s="327"/>
      <c r="T568" s="327"/>
      <c r="U568" s="327"/>
      <c r="V568" s="327"/>
      <c r="W568" s="327"/>
      <c r="X568" s="327"/>
      <c r="Y568" s="327"/>
      <c r="Z568" s="327"/>
      <c r="AA568" s="327"/>
      <c r="AB568" s="327"/>
      <c r="AC568" s="327"/>
      <c r="AD568" s="327"/>
      <c r="AE568" s="327"/>
      <c r="AF568" s="327"/>
      <c r="AG568" s="327"/>
      <c r="AH568" s="327"/>
      <c r="AI568" s="327"/>
      <c r="AJ568" s="327"/>
      <c r="AK568" s="327"/>
      <c r="AL568" s="327"/>
      <c r="AM568" s="327"/>
    </row>
    <row r="569" spans="1:39">
      <c r="A569" s="69"/>
      <c r="B569" s="69"/>
      <c r="C569" s="327"/>
      <c r="D569" s="327"/>
      <c r="E569" s="327"/>
      <c r="F569" s="327"/>
      <c r="G569" s="327"/>
      <c r="H569" s="327"/>
      <c r="I569" s="327"/>
      <c r="J569" s="327"/>
      <c r="K569" s="327"/>
      <c r="L569" s="327"/>
      <c r="M569" s="327"/>
      <c r="N569" s="327"/>
      <c r="O569" s="327"/>
      <c r="P569" s="327"/>
      <c r="Q569" s="327"/>
      <c r="R569" s="327"/>
      <c r="S569" s="327"/>
      <c r="T569" s="327"/>
      <c r="U569" s="327"/>
      <c r="V569" s="327"/>
      <c r="W569" s="327"/>
      <c r="X569" s="327"/>
      <c r="Y569" s="327"/>
      <c r="Z569" s="327"/>
      <c r="AA569" s="327"/>
      <c r="AB569" s="327"/>
      <c r="AC569" s="327"/>
      <c r="AD569" s="327"/>
      <c r="AE569" s="327"/>
      <c r="AF569" s="327"/>
      <c r="AG569" s="327"/>
      <c r="AH569" s="327"/>
      <c r="AI569" s="327"/>
      <c r="AJ569" s="327"/>
      <c r="AK569" s="327"/>
      <c r="AL569" s="327"/>
      <c r="AM569" s="327"/>
    </row>
    <row r="570" spans="1:39">
      <c r="A570" s="69"/>
      <c r="B570" s="69"/>
      <c r="C570" s="327"/>
      <c r="D570" s="327"/>
      <c r="E570" s="327"/>
      <c r="F570" s="327"/>
      <c r="G570" s="327"/>
      <c r="H570" s="327"/>
      <c r="I570" s="327"/>
      <c r="J570" s="327"/>
      <c r="K570" s="327"/>
      <c r="L570" s="327"/>
      <c r="M570" s="327"/>
      <c r="N570" s="327"/>
      <c r="O570" s="327"/>
      <c r="P570" s="327"/>
      <c r="Q570" s="327"/>
      <c r="R570" s="327"/>
      <c r="S570" s="327"/>
      <c r="T570" s="327"/>
      <c r="U570" s="327"/>
      <c r="V570" s="327"/>
      <c r="W570" s="327"/>
      <c r="X570" s="327"/>
      <c r="Y570" s="327"/>
      <c r="Z570" s="327"/>
      <c r="AA570" s="327"/>
      <c r="AB570" s="327"/>
      <c r="AC570" s="327"/>
      <c r="AD570" s="327"/>
      <c r="AE570" s="327"/>
      <c r="AF570" s="327"/>
      <c r="AG570" s="327"/>
      <c r="AH570" s="327"/>
      <c r="AI570" s="327"/>
      <c r="AJ570" s="327"/>
      <c r="AK570" s="327"/>
      <c r="AL570" s="327"/>
      <c r="AM570" s="327"/>
    </row>
    <row r="571" spans="1:39">
      <c r="A571" s="69"/>
      <c r="B571" s="69"/>
      <c r="C571" s="327"/>
      <c r="D571" s="327"/>
      <c r="E571" s="327"/>
      <c r="F571" s="327"/>
      <c r="G571" s="327"/>
      <c r="H571" s="327"/>
      <c r="I571" s="327"/>
      <c r="J571" s="327"/>
      <c r="K571" s="327"/>
      <c r="L571" s="327"/>
      <c r="M571" s="327"/>
      <c r="N571" s="327"/>
      <c r="O571" s="327"/>
      <c r="P571" s="327"/>
      <c r="Q571" s="327"/>
      <c r="R571" s="327"/>
      <c r="S571" s="327"/>
      <c r="T571" s="327"/>
      <c r="U571" s="327"/>
      <c r="V571" s="327"/>
      <c r="W571" s="327"/>
      <c r="X571" s="327"/>
      <c r="Y571" s="327"/>
      <c r="Z571" s="327"/>
      <c r="AA571" s="327"/>
      <c r="AB571" s="327"/>
      <c r="AC571" s="327"/>
      <c r="AD571" s="327"/>
      <c r="AE571" s="327"/>
      <c r="AF571" s="327"/>
      <c r="AG571" s="327"/>
      <c r="AH571" s="327"/>
      <c r="AI571" s="327"/>
      <c r="AJ571" s="327"/>
      <c r="AK571" s="327"/>
      <c r="AL571" s="327"/>
      <c r="AM571" s="327"/>
    </row>
    <row r="572" spans="1:39">
      <c r="A572" s="69"/>
      <c r="B572" s="69"/>
      <c r="C572" s="327"/>
      <c r="D572" s="327"/>
      <c r="E572" s="327"/>
      <c r="F572" s="327"/>
      <c r="G572" s="327"/>
      <c r="H572" s="327"/>
      <c r="I572" s="327"/>
      <c r="J572" s="327"/>
      <c r="K572" s="327"/>
      <c r="L572" s="327"/>
      <c r="M572" s="327"/>
      <c r="N572" s="327"/>
      <c r="O572" s="327"/>
      <c r="P572" s="327"/>
      <c r="Q572" s="327"/>
      <c r="R572" s="327"/>
      <c r="S572" s="327"/>
      <c r="T572" s="327"/>
      <c r="U572" s="327"/>
      <c r="V572" s="327"/>
      <c r="W572" s="327"/>
      <c r="X572" s="327"/>
      <c r="Y572" s="327"/>
      <c r="Z572" s="327"/>
      <c r="AA572" s="327"/>
      <c r="AB572" s="327"/>
      <c r="AC572" s="327"/>
      <c r="AD572" s="327"/>
      <c r="AE572" s="327"/>
      <c r="AF572" s="327"/>
      <c r="AG572" s="327"/>
      <c r="AH572" s="327"/>
      <c r="AI572" s="327"/>
      <c r="AJ572" s="327"/>
      <c r="AK572" s="327"/>
      <c r="AL572" s="327"/>
      <c r="AM572" s="327"/>
    </row>
    <row r="573" spans="1:39">
      <c r="A573" s="69"/>
      <c r="B573" s="69"/>
      <c r="C573" s="327"/>
      <c r="D573" s="327"/>
      <c r="E573" s="327"/>
      <c r="F573" s="327"/>
      <c r="G573" s="327"/>
      <c r="H573" s="327"/>
      <c r="I573" s="327"/>
      <c r="J573" s="327"/>
      <c r="K573" s="327"/>
      <c r="L573" s="327"/>
      <c r="M573" s="327"/>
      <c r="N573" s="327"/>
      <c r="O573" s="327"/>
      <c r="P573" s="327"/>
      <c r="Q573" s="327"/>
      <c r="R573" s="327"/>
      <c r="S573" s="327"/>
      <c r="T573" s="327"/>
      <c r="U573" s="327"/>
      <c r="V573" s="327"/>
      <c r="W573" s="327"/>
      <c r="X573" s="327"/>
      <c r="Y573" s="327"/>
      <c r="Z573" s="327"/>
      <c r="AA573" s="327"/>
      <c r="AB573" s="327"/>
      <c r="AC573" s="327"/>
      <c r="AD573" s="327"/>
      <c r="AE573" s="327"/>
      <c r="AF573" s="327"/>
      <c r="AG573" s="327"/>
      <c r="AH573" s="327"/>
      <c r="AI573" s="327"/>
      <c r="AJ573" s="327"/>
      <c r="AK573" s="327"/>
      <c r="AL573" s="327"/>
      <c r="AM573" s="327"/>
    </row>
    <row r="574" spans="1:39">
      <c r="A574" s="69"/>
      <c r="B574" s="69"/>
      <c r="C574" s="327"/>
      <c r="D574" s="327"/>
      <c r="E574" s="327"/>
      <c r="F574" s="327"/>
      <c r="G574" s="327"/>
      <c r="H574" s="327"/>
      <c r="I574" s="327"/>
      <c r="J574" s="327"/>
      <c r="K574" s="327"/>
      <c r="L574" s="327"/>
      <c r="M574" s="327"/>
      <c r="N574" s="327"/>
      <c r="O574" s="327"/>
      <c r="P574" s="327"/>
      <c r="Q574" s="327"/>
      <c r="R574" s="327"/>
      <c r="S574" s="327"/>
      <c r="T574" s="327"/>
      <c r="U574" s="327"/>
      <c r="V574" s="327"/>
      <c r="W574" s="327"/>
      <c r="X574" s="327"/>
      <c r="Y574" s="327"/>
      <c r="Z574" s="327"/>
      <c r="AA574" s="327"/>
      <c r="AB574" s="327"/>
      <c r="AC574" s="327"/>
      <c r="AD574" s="327"/>
      <c r="AE574" s="327"/>
      <c r="AF574" s="327"/>
      <c r="AG574" s="327"/>
      <c r="AH574" s="327"/>
      <c r="AI574" s="327"/>
      <c r="AJ574" s="327"/>
      <c r="AK574" s="327"/>
      <c r="AL574" s="327"/>
      <c r="AM574" s="327"/>
    </row>
    <row r="575" spans="1:39">
      <c r="A575" s="69"/>
      <c r="B575" s="69"/>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327"/>
      <c r="AE575" s="327"/>
      <c r="AF575" s="327"/>
      <c r="AG575" s="327"/>
      <c r="AH575" s="327"/>
      <c r="AI575" s="327"/>
      <c r="AJ575" s="327"/>
      <c r="AK575" s="327"/>
      <c r="AL575" s="327"/>
      <c r="AM575" s="327"/>
    </row>
    <row r="576" spans="1:39">
      <c r="A576" s="69"/>
      <c r="B576" s="69"/>
      <c r="C576" s="327"/>
      <c r="D576" s="327"/>
      <c r="E576" s="327"/>
      <c r="F576" s="327"/>
      <c r="G576" s="327"/>
      <c r="H576" s="327"/>
      <c r="I576" s="327"/>
      <c r="J576" s="327"/>
      <c r="K576" s="327"/>
      <c r="L576" s="327"/>
      <c r="M576" s="327"/>
      <c r="N576" s="327"/>
      <c r="O576" s="327"/>
      <c r="P576" s="327"/>
      <c r="Q576" s="327"/>
      <c r="R576" s="327"/>
      <c r="S576" s="327"/>
      <c r="T576" s="327"/>
      <c r="U576" s="327"/>
      <c r="V576" s="327"/>
      <c r="W576" s="327"/>
      <c r="X576" s="327"/>
      <c r="Y576" s="327"/>
      <c r="Z576" s="327"/>
      <c r="AA576" s="327"/>
      <c r="AB576" s="327"/>
      <c r="AC576" s="327"/>
      <c r="AD576" s="327"/>
      <c r="AE576" s="327"/>
      <c r="AF576" s="327"/>
      <c r="AG576" s="327"/>
      <c r="AH576" s="327"/>
      <c r="AI576" s="327"/>
      <c r="AJ576" s="327"/>
      <c r="AK576" s="327"/>
      <c r="AL576" s="327"/>
      <c r="AM576" s="327"/>
    </row>
    <row r="577" spans="1:39">
      <c r="A577" s="69"/>
      <c r="B577" s="69"/>
      <c r="C577" s="327"/>
      <c r="D577" s="327"/>
      <c r="E577" s="327"/>
      <c r="F577" s="327"/>
      <c r="G577" s="327"/>
      <c r="H577" s="327"/>
      <c r="I577" s="327"/>
      <c r="J577" s="327"/>
      <c r="K577" s="327"/>
      <c r="L577" s="327"/>
      <c r="M577" s="327"/>
      <c r="N577" s="327"/>
      <c r="O577" s="327"/>
      <c r="P577" s="327"/>
      <c r="Q577" s="327"/>
      <c r="R577" s="327"/>
      <c r="S577" s="327"/>
      <c r="T577" s="327"/>
      <c r="U577" s="327"/>
      <c r="V577" s="327"/>
      <c r="W577" s="327"/>
      <c r="X577" s="327"/>
      <c r="Y577" s="327"/>
      <c r="Z577" s="327"/>
      <c r="AA577" s="327"/>
      <c r="AB577" s="327"/>
      <c r="AC577" s="327"/>
      <c r="AD577" s="327"/>
      <c r="AE577" s="327"/>
      <c r="AF577" s="327"/>
      <c r="AG577" s="327"/>
      <c r="AH577" s="327"/>
      <c r="AI577" s="327"/>
      <c r="AJ577" s="327"/>
      <c r="AK577" s="327"/>
      <c r="AL577" s="327"/>
      <c r="AM577" s="327"/>
    </row>
    <row r="578" spans="1:39">
      <c r="A578" s="69"/>
      <c r="B578" s="69"/>
      <c r="C578" s="327"/>
      <c r="D578" s="327"/>
      <c r="E578" s="327"/>
      <c r="F578" s="327"/>
      <c r="G578" s="327"/>
      <c r="H578" s="327"/>
      <c r="I578" s="327"/>
      <c r="J578" s="327"/>
      <c r="K578" s="327"/>
      <c r="L578" s="327"/>
      <c r="M578" s="327"/>
      <c r="N578" s="327"/>
      <c r="O578" s="327"/>
      <c r="P578" s="327"/>
      <c r="Q578" s="327"/>
      <c r="R578" s="327"/>
      <c r="S578" s="327"/>
      <c r="T578" s="327"/>
      <c r="U578" s="327"/>
      <c r="V578" s="327"/>
      <c r="W578" s="327"/>
      <c r="X578" s="327"/>
      <c r="Y578" s="327"/>
      <c r="Z578" s="327"/>
      <c r="AA578" s="327"/>
      <c r="AB578" s="327"/>
      <c r="AC578" s="327"/>
      <c r="AD578" s="327"/>
      <c r="AE578" s="327"/>
      <c r="AF578" s="327"/>
      <c r="AG578" s="327"/>
      <c r="AH578" s="327"/>
      <c r="AI578" s="327"/>
      <c r="AJ578" s="327"/>
      <c r="AK578" s="327"/>
      <c r="AL578" s="327"/>
      <c r="AM578" s="327"/>
    </row>
    <row r="579" spans="1:39">
      <c r="A579" s="69"/>
      <c r="B579" s="69"/>
      <c r="C579" s="327"/>
      <c r="D579" s="327"/>
      <c r="E579" s="327"/>
      <c r="F579" s="327"/>
      <c r="G579" s="327"/>
      <c r="H579" s="327"/>
      <c r="I579" s="327"/>
      <c r="J579" s="327"/>
      <c r="K579" s="327"/>
      <c r="L579" s="327"/>
      <c r="M579" s="327"/>
      <c r="N579" s="327"/>
      <c r="O579" s="327"/>
      <c r="P579" s="327"/>
      <c r="Q579" s="327"/>
      <c r="R579" s="327"/>
      <c r="S579" s="327"/>
      <c r="T579" s="327"/>
      <c r="U579" s="327"/>
      <c r="V579" s="327"/>
      <c r="W579" s="327"/>
      <c r="X579" s="327"/>
      <c r="Y579" s="327"/>
      <c r="Z579" s="327"/>
      <c r="AA579" s="327"/>
      <c r="AB579" s="327"/>
      <c r="AC579" s="327"/>
      <c r="AD579" s="327"/>
      <c r="AE579" s="327"/>
      <c r="AF579" s="327"/>
      <c r="AG579" s="327"/>
      <c r="AH579" s="327"/>
      <c r="AI579" s="327"/>
      <c r="AJ579" s="327"/>
      <c r="AK579" s="327"/>
      <c r="AL579" s="327"/>
      <c r="AM579" s="327"/>
    </row>
    <row r="580" spans="1:39">
      <c r="A580" s="69"/>
      <c r="B580" s="69"/>
      <c r="C580" s="327"/>
      <c r="D580" s="327"/>
      <c r="E580" s="327"/>
      <c r="F580" s="327"/>
      <c r="G580" s="327"/>
      <c r="H580" s="327"/>
      <c r="I580" s="327"/>
      <c r="J580" s="327"/>
      <c r="K580" s="327"/>
      <c r="L580" s="327"/>
      <c r="M580" s="327"/>
      <c r="N580" s="327"/>
      <c r="O580" s="327"/>
      <c r="P580" s="327"/>
      <c r="Q580" s="327"/>
      <c r="R580" s="327"/>
      <c r="S580" s="327"/>
      <c r="T580" s="327"/>
      <c r="U580" s="327"/>
      <c r="V580" s="327"/>
      <c r="W580" s="327"/>
      <c r="X580" s="327"/>
      <c r="Y580" s="327"/>
      <c r="Z580" s="327"/>
      <c r="AA580" s="327"/>
      <c r="AB580" s="327"/>
      <c r="AC580" s="327"/>
      <c r="AD580" s="327"/>
      <c r="AE580" s="327"/>
      <c r="AF580" s="327"/>
      <c r="AG580" s="327"/>
      <c r="AH580" s="327"/>
      <c r="AI580" s="327"/>
      <c r="AJ580" s="327"/>
      <c r="AK580" s="327"/>
      <c r="AL580" s="327"/>
      <c r="AM580" s="327"/>
    </row>
    <row r="581" spans="1:39">
      <c r="A581" s="69"/>
      <c r="B581" s="69"/>
      <c r="C581" s="327"/>
      <c r="D581" s="327"/>
      <c r="E581" s="327"/>
      <c r="F581" s="327"/>
      <c r="G581" s="327"/>
      <c r="H581" s="327"/>
      <c r="I581" s="327"/>
      <c r="J581" s="327"/>
      <c r="K581" s="327"/>
      <c r="L581" s="327"/>
      <c r="M581" s="327"/>
      <c r="N581" s="327"/>
      <c r="O581" s="327"/>
      <c r="P581" s="327"/>
      <c r="Q581" s="327"/>
      <c r="R581" s="327"/>
      <c r="S581" s="327"/>
      <c r="T581" s="327"/>
      <c r="U581" s="327"/>
      <c r="V581" s="327"/>
      <c r="W581" s="327"/>
      <c r="X581" s="327"/>
      <c r="Y581" s="327"/>
      <c r="Z581" s="327"/>
      <c r="AA581" s="327"/>
      <c r="AB581" s="327"/>
      <c r="AC581" s="327"/>
      <c r="AD581" s="327"/>
      <c r="AE581" s="327"/>
      <c r="AF581" s="327"/>
      <c r="AG581" s="327"/>
      <c r="AH581" s="327"/>
      <c r="AI581" s="327"/>
      <c r="AJ581" s="327"/>
      <c r="AK581" s="327"/>
      <c r="AL581" s="327"/>
      <c r="AM581" s="327"/>
    </row>
    <row r="582" spans="1:39">
      <c r="A582" s="69"/>
      <c r="B582" s="69"/>
      <c r="C582" s="327"/>
      <c r="D582" s="327"/>
      <c r="E582" s="327"/>
      <c r="F582" s="327"/>
      <c r="G582" s="327"/>
      <c r="H582" s="327"/>
      <c r="I582" s="327"/>
      <c r="J582" s="327"/>
      <c r="K582" s="327"/>
      <c r="L582" s="327"/>
      <c r="M582" s="327"/>
      <c r="N582" s="327"/>
      <c r="O582" s="327"/>
      <c r="P582" s="327"/>
      <c r="Q582" s="327"/>
      <c r="R582" s="327"/>
      <c r="S582" s="327"/>
      <c r="T582" s="327"/>
      <c r="U582" s="327"/>
      <c r="V582" s="327"/>
      <c r="W582" s="327"/>
      <c r="X582" s="327"/>
      <c r="Y582" s="327"/>
      <c r="Z582" s="327"/>
      <c r="AA582" s="327"/>
      <c r="AB582" s="327"/>
      <c r="AC582" s="327"/>
      <c r="AD582" s="327"/>
      <c r="AE582" s="327"/>
      <c r="AF582" s="327"/>
      <c r="AG582" s="327"/>
      <c r="AH582" s="327"/>
      <c r="AI582" s="327"/>
      <c r="AJ582" s="327"/>
      <c r="AK582" s="327"/>
      <c r="AL582" s="327"/>
      <c r="AM582" s="327"/>
    </row>
    <row r="583" spans="1:39">
      <c r="A583" s="69"/>
      <c r="B583" s="69"/>
      <c r="C583" s="327"/>
      <c r="D583" s="327"/>
      <c r="E583" s="327"/>
      <c r="F583" s="327"/>
      <c r="G583" s="327"/>
      <c r="H583" s="327"/>
      <c r="I583" s="327"/>
      <c r="J583" s="327"/>
      <c r="K583" s="327"/>
      <c r="L583" s="327"/>
      <c r="M583" s="327"/>
      <c r="N583" s="327"/>
      <c r="O583" s="327"/>
      <c r="P583" s="327"/>
      <c r="Q583" s="327"/>
      <c r="R583" s="327"/>
      <c r="S583" s="327"/>
      <c r="T583" s="327"/>
      <c r="U583" s="327"/>
      <c r="V583" s="327"/>
      <c r="W583" s="327"/>
      <c r="X583" s="327"/>
      <c r="Y583" s="327"/>
      <c r="Z583" s="327"/>
      <c r="AA583" s="327"/>
      <c r="AB583" s="327"/>
      <c r="AC583" s="327"/>
      <c r="AD583" s="327"/>
      <c r="AE583" s="327"/>
      <c r="AF583" s="327"/>
      <c r="AG583" s="327"/>
      <c r="AH583" s="327"/>
      <c r="AI583" s="327"/>
      <c r="AJ583" s="327"/>
      <c r="AK583" s="327"/>
      <c r="AL583" s="327"/>
      <c r="AM583" s="327"/>
    </row>
    <row r="584" spans="1:39">
      <c r="A584" s="69"/>
      <c r="B584" s="69"/>
      <c r="C584" s="327"/>
      <c r="D584" s="327"/>
      <c r="E584" s="327"/>
      <c r="F584" s="327"/>
      <c r="G584" s="327"/>
      <c r="H584" s="327"/>
      <c r="I584" s="327"/>
      <c r="J584" s="327"/>
      <c r="K584" s="327"/>
      <c r="L584" s="327"/>
      <c r="M584" s="327"/>
      <c r="N584" s="327"/>
      <c r="O584" s="327"/>
      <c r="P584" s="327"/>
      <c r="Q584" s="327"/>
      <c r="R584" s="327"/>
      <c r="S584" s="327"/>
      <c r="T584" s="327"/>
      <c r="U584" s="327"/>
      <c r="V584" s="327"/>
      <c r="W584" s="327"/>
      <c r="X584" s="327"/>
      <c r="Y584" s="327"/>
      <c r="Z584" s="327"/>
      <c r="AA584" s="327"/>
      <c r="AB584" s="327"/>
      <c r="AC584" s="327"/>
      <c r="AD584" s="327"/>
      <c r="AE584" s="327"/>
      <c r="AF584" s="327"/>
      <c r="AG584" s="327"/>
      <c r="AH584" s="327"/>
      <c r="AI584" s="327"/>
      <c r="AJ584" s="327"/>
      <c r="AK584" s="327"/>
      <c r="AL584" s="327"/>
      <c r="AM584" s="327"/>
    </row>
    <row r="585" spans="1:39">
      <c r="A585" s="69"/>
      <c r="B585" s="69"/>
      <c r="C585" s="327"/>
      <c r="D585" s="327"/>
      <c r="E585" s="327"/>
      <c r="F585" s="327"/>
      <c r="G585" s="327"/>
      <c r="H585" s="327"/>
      <c r="I585" s="327"/>
      <c r="J585" s="327"/>
      <c r="K585" s="327"/>
      <c r="L585" s="327"/>
      <c r="M585" s="327"/>
      <c r="N585" s="327"/>
      <c r="O585" s="327"/>
      <c r="P585" s="327"/>
      <c r="Q585" s="327"/>
      <c r="R585" s="327"/>
      <c r="S585" s="327"/>
      <c r="T585" s="327"/>
      <c r="U585" s="327"/>
      <c r="V585" s="327"/>
      <c r="W585" s="327"/>
      <c r="X585" s="327"/>
      <c r="Y585" s="327"/>
      <c r="Z585" s="327"/>
      <c r="AA585" s="327"/>
      <c r="AB585" s="327"/>
      <c r="AC585" s="327"/>
      <c r="AD585" s="327"/>
      <c r="AE585" s="327"/>
      <c r="AF585" s="327"/>
      <c r="AG585" s="327"/>
      <c r="AH585" s="327"/>
      <c r="AI585" s="327"/>
      <c r="AJ585" s="327"/>
      <c r="AK585" s="327"/>
      <c r="AL585" s="327"/>
      <c r="AM585" s="327"/>
    </row>
    <row r="586" spans="1:39">
      <c r="A586" s="69"/>
      <c r="B586" s="69"/>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327"/>
      <c r="AE586" s="327"/>
      <c r="AF586" s="327"/>
      <c r="AG586" s="327"/>
      <c r="AH586" s="327"/>
      <c r="AI586" s="327"/>
      <c r="AJ586" s="327"/>
      <c r="AK586" s="327"/>
      <c r="AL586" s="327"/>
      <c r="AM586" s="327"/>
    </row>
    <row r="587" spans="1:39">
      <c r="A587" s="69"/>
      <c r="B587" s="69"/>
      <c r="C587" s="327"/>
      <c r="D587" s="327"/>
      <c r="E587" s="327"/>
      <c r="F587" s="327"/>
      <c r="G587" s="327"/>
      <c r="H587" s="327"/>
      <c r="I587" s="327"/>
      <c r="J587" s="327"/>
      <c r="K587" s="327"/>
      <c r="L587" s="327"/>
      <c r="M587" s="327"/>
      <c r="N587" s="327"/>
      <c r="O587" s="327"/>
      <c r="P587" s="327"/>
      <c r="Q587" s="327"/>
      <c r="R587" s="327"/>
      <c r="S587" s="327"/>
      <c r="T587" s="327"/>
      <c r="U587" s="327"/>
      <c r="V587" s="327"/>
      <c r="W587" s="327"/>
      <c r="X587" s="327"/>
      <c r="Y587" s="327"/>
      <c r="Z587" s="327"/>
      <c r="AA587" s="327"/>
      <c r="AB587" s="327"/>
      <c r="AC587" s="327"/>
      <c r="AD587" s="327"/>
      <c r="AE587" s="327"/>
      <c r="AF587" s="327"/>
      <c r="AG587" s="327"/>
      <c r="AH587" s="327"/>
      <c r="AI587" s="327"/>
      <c r="AJ587" s="327"/>
      <c r="AK587" s="327"/>
      <c r="AL587" s="327"/>
      <c r="AM587" s="327"/>
    </row>
    <row r="588" spans="1:39">
      <c r="A588" s="69"/>
      <c r="B588" s="69"/>
      <c r="C588" s="327"/>
      <c r="D588" s="327"/>
      <c r="E588" s="327"/>
      <c r="F588" s="327"/>
      <c r="G588" s="327"/>
      <c r="H588" s="327"/>
      <c r="I588" s="327"/>
      <c r="J588" s="327"/>
      <c r="K588" s="327"/>
      <c r="L588" s="327"/>
      <c r="M588" s="327"/>
      <c r="N588" s="327"/>
      <c r="O588" s="327"/>
      <c r="P588" s="327"/>
      <c r="Q588" s="327"/>
      <c r="R588" s="327"/>
      <c r="S588" s="327"/>
      <c r="T588" s="327"/>
      <c r="U588" s="327"/>
      <c r="V588" s="327"/>
      <c r="W588" s="327"/>
      <c r="X588" s="327"/>
      <c r="Y588" s="327"/>
      <c r="Z588" s="327"/>
      <c r="AA588" s="327"/>
      <c r="AB588" s="327"/>
      <c r="AC588" s="327"/>
      <c r="AD588" s="327"/>
      <c r="AE588" s="327"/>
      <c r="AF588" s="327"/>
      <c r="AG588" s="327"/>
      <c r="AH588" s="327"/>
      <c r="AI588" s="327"/>
      <c r="AJ588" s="327"/>
      <c r="AK588" s="327"/>
      <c r="AL588" s="327"/>
      <c r="AM588" s="327"/>
    </row>
    <row r="589" spans="1:39">
      <c r="A589" s="69"/>
      <c r="B589" s="69"/>
      <c r="C589" s="327"/>
      <c r="D589" s="327"/>
      <c r="E589" s="327"/>
      <c r="F589" s="327"/>
      <c r="G589" s="327"/>
      <c r="H589" s="327"/>
      <c r="I589" s="327"/>
      <c r="J589" s="327"/>
      <c r="K589" s="327"/>
      <c r="L589" s="327"/>
      <c r="M589" s="327"/>
      <c r="N589" s="327"/>
      <c r="O589" s="327"/>
      <c r="P589" s="327"/>
      <c r="Q589" s="327"/>
      <c r="R589" s="327"/>
      <c r="S589" s="327"/>
      <c r="T589" s="327"/>
      <c r="U589" s="327"/>
      <c r="V589" s="327"/>
      <c r="W589" s="327"/>
      <c r="X589" s="327"/>
      <c r="Y589" s="327"/>
      <c r="Z589" s="327"/>
      <c r="AA589" s="327"/>
      <c r="AB589" s="327"/>
      <c r="AC589" s="327"/>
      <c r="AD589" s="327"/>
      <c r="AE589" s="327"/>
      <c r="AF589" s="327"/>
      <c r="AG589" s="327"/>
      <c r="AH589" s="327"/>
      <c r="AI589" s="327"/>
      <c r="AJ589" s="327"/>
      <c r="AK589" s="327"/>
      <c r="AL589" s="327"/>
      <c r="AM589" s="327"/>
    </row>
    <row r="590" spans="1:39">
      <c r="A590" s="69"/>
      <c r="B590" s="69"/>
      <c r="C590" s="327"/>
      <c r="D590" s="327"/>
      <c r="E590" s="327"/>
      <c r="F590" s="327"/>
      <c r="G590" s="327"/>
      <c r="H590" s="327"/>
      <c r="I590" s="327"/>
      <c r="J590" s="327"/>
      <c r="K590" s="327"/>
      <c r="L590" s="327"/>
      <c r="M590" s="327"/>
      <c r="N590" s="327"/>
      <c r="O590" s="327"/>
      <c r="P590" s="327"/>
      <c r="Q590" s="327"/>
      <c r="R590" s="327"/>
      <c r="S590" s="327"/>
      <c r="T590" s="327"/>
      <c r="U590" s="327"/>
      <c r="V590" s="327"/>
      <c r="W590" s="327"/>
      <c r="X590" s="327"/>
      <c r="Y590" s="327"/>
      <c r="Z590" s="327"/>
      <c r="AA590" s="327"/>
      <c r="AB590" s="327"/>
      <c r="AC590" s="327"/>
      <c r="AD590" s="327"/>
      <c r="AE590" s="327"/>
      <c r="AF590" s="327"/>
      <c r="AG590" s="327"/>
      <c r="AH590" s="327"/>
      <c r="AI590" s="327"/>
      <c r="AJ590" s="327"/>
      <c r="AK590" s="327"/>
      <c r="AL590" s="327"/>
      <c r="AM590" s="327"/>
    </row>
    <row r="591" spans="1:39">
      <c r="A591" s="69"/>
      <c r="B591" s="69"/>
      <c r="C591" s="327"/>
      <c r="D591" s="327"/>
      <c r="E591" s="327"/>
      <c r="F591" s="327"/>
      <c r="G591" s="327"/>
      <c r="H591" s="327"/>
      <c r="I591" s="327"/>
      <c r="J591" s="327"/>
      <c r="K591" s="327"/>
      <c r="L591" s="327"/>
      <c r="M591" s="327"/>
      <c r="N591" s="327"/>
      <c r="O591" s="327"/>
      <c r="P591" s="327"/>
      <c r="Q591" s="327"/>
      <c r="R591" s="327"/>
      <c r="S591" s="327"/>
      <c r="T591" s="327"/>
      <c r="U591" s="327"/>
      <c r="V591" s="327"/>
      <c r="W591" s="327"/>
      <c r="X591" s="327"/>
      <c r="Y591" s="327"/>
      <c r="Z591" s="327"/>
      <c r="AA591" s="327"/>
      <c r="AB591" s="327"/>
      <c r="AC591" s="327"/>
      <c r="AD591" s="327"/>
      <c r="AE591" s="327"/>
      <c r="AF591" s="327"/>
      <c r="AG591" s="327"/>
      <c r="AH591" s="327"/>
      <c r="AI591" s="327"/>
      <c r="AJ591" s="327"/>
      <c r="AK591" s="327"/>
      <c r="AL591" s="327"/>
      <c r="AM591" s="327"/>
    </row>
    <row r="592" spans="1:39">
      <c r="A592" s="69"/>
      <c r="B592" s="69"/>
      <c r="C592" s="327"/>
      <c r="D592" s="327"/>
      <c r="E592" s="327"/>
      <c r="F592" s="327"/>
      <c r="G592" s="327"/>
      <c r="H592" s="327"/>
      <c r="I592" s="327"/>
      <c r="J592" s="327"/>
      <c r="K592" s="327"/>
      <c r="L592" s="327"/>
      <c r="M592" s="327"/>
      <c r="N592" s="327"/>
      <c r="O592" s="327"/>
      <c r="P592" s="327"/>
      <c r="Q592" s="327"/>
      <c r="R592" s="327"/>
      <c r="S592" s="327"/>
      <c r="T592" s="327"/>
      <c r="U592" s="327"/>
      <c r="V592" s="327"/>
      <c r="W592" s="327"/>
      <c r="X592" s="327"/>
      <c r="Y592" s="327"/>
      <c r="Z592" s="327"/>
      <c r="AA592" s="327"/>
      <c r="AB592" s="327"/>
      <c r="AC592" s="327"/>
      <c r="AD592" s="327"/>
      <c r="AE592" s="327"/>
      <c r="AF592" s="327"/>
      <c r="AG592" s="327"/>
      <c r="AH592" s="327"/>
      <c r="AI592" s="327"/>
      <c r="AJ592" s="327"/>
      <c r="AK592" s="327"/>
      <c r="AL592" s="327"/>
      <c r="AM592" s="327"/>
    </row>
    <row r="593" spans="1:39">
      <c r="A593" s="69"/>
      <c r="B593" s="69"/>
      <c r="C593" s="327"/>
      <c r="D593" s="327"/>
      <c r="E593" s="327"/>
      <c r="F593" s="327"/>
      <c r="G593" s="327"/>
      <c r="H593" s="327"/>
      <c r="I593" s="327"/>
      <c r="J593" s="327"/>
      <c r="K593" s="327"/>
      <c r="L593" s="327"/>
      <c r="M593" s="327"/>
      <c r="N593" s="327"/>
      <c r="O593" s="327"/>
      <c r="P593" s="327"/>
      <c r="Q593" s="327"/>
      <c r="R593" s="327"/>
      <c r="S593" s="327"/>
      <c r="T593" s="327"/>
      <c r="U593" s="327"/>
      <c r="V593" s="327"/>
      <c r="W593" s="327"/>
      <c r="X593" s="327"/>
      <c r="Y593" s="327"/>
      <c r="Z593" s="327"/>
      <c r="AA593" s="327"/>
      <c r="AB593" s="327"/>
      <c r="AC593" s="327"/>
      <c r="AD593" s="327"/>
      <c r="AE593" s="327"/>
      <c r="AF593" s="327"/>
      <c r="AG593" s="327"/>
      <c r="AH593" s="327"/>
      <c r="AI593" s="327"/>
      <c r="AJ593" s="327"/>
      <c r="AK593" s="327"/>
      <c r="AL593" s="327"/>
      <c r="AM593" s="327"/>
    </row>
    <row r="594" spans="1:39">
      <c r="A594" s="69"/>
      <c r="B594" s="69"/>
      <c r="C594" s="327"/>
      <c r="D594" s="327"/>
      <c r="E594" s="327"/>
      <c r="F594" s="327"/>
      <c r="G594" s="327"/>
      <c r="H594" s="327"/>
      <c r="I594" s="327"/>
      <c r="J594" s="327"/>
      <c r="K594" s="327"/>
      <c r="L594" s="327"/>
      <c r="M594" s="327"/>
      <c r="N594" s="327"/>
      <c r="O594" s="327"/>
      <c r="P594" s="327"/>
      <c r="Q594" s="327"/>
      <c r="R594" s="327"/>
      <c r="S594" s="327"/>
      <c r="T594" s="327"/>
      <c r="U594" s="327"/>
      <c r="V594" s="327"/>
      <c r="W594" s="327"/>
      <c r="X594" s="327"/>
      <c r="Y594" s="327"/>
      <c r="Z594" s="327"/>
      <c r="AA594" s="327"/>
      <c r="AB594" s="327"/>
      <c r="AC594" s="327"/>
      <c r="AD594" s="327"/>
      <c r="AE594" s="327"/>
      <c r="AF594" s="327"/>
      <c r="AG594" s="327"/>
      <c r="AH594" s="327"/>
      <c r="AI594" s="327"/>
      <c r="AJ594" s="327"/>
      <c r="AK594" s="327"/>
      <c r="AL594" s="327"/>
      <c r="AM594" s="327"/>
    </row>
    <row r="595" spans="1:39">
      <c r="A595" s="69"/>
      <c r="B595" s="69"/>
      <c r="C595" s="327"/>
      <c r="D595" s="327"/>
      <c r="E595" s="327"/>
      <c r="F595" s="327"/>
      <c r="G595" s="327"/>
      <c r="H595" s="327"/>
      <c r="I595" s="327"/>
      <c r="J595" s="327"/>
      <c r="K595" s="327"/>
      <c r="L595" s="327"/>
      <c r="M595" s="327"/>
      <c r="N595" s="327"/>
      <c r="O595" s="327"/>
      <c r="P595" s="327"/>
      <c r="Q595" s="327"/>
      <c r="R595" s="327"/>
      <c r="S595" s="327"/>
      <c r="T595" s="327"/>
      <c r="U595" s="327"/>
      <c r="V595" s="327"/>
      <c r="W595" s="327"/>
      <c r="X595" s="327"/>
      <c r="Y595" s="327"/>
      <c r="Z595" s="327"/>
      <c r="AA595" s="327"/>
      <c r="AB595" s="327"/>
      <c r="AC595" s="327"/>
      <c r="AD595" s="327"/>
      <c r="AE595" s="327"/>
      <c r="AF595" s="327"/>
      <c r="AG595" s="327"/>
      <c r="AH595" s="327"/>
      <c r="AI595" s="327"/>
      <c r="AJ595" s="327"/>
      <c r="AK595" s="327"/>
      <c r="AL595" s="327"/>
      <c r="AM595" s="327"/>
    </row>
    <row r="596" spans="1:39">
      <c r="A596" s="69"/>
      <c r="B596" s="69"/>
      <c r="C596" s="327"/>
      <c r="D596" s="327"/>
      <c r="E596" s="327"/>
      <c r="F596" s="327"/>
      <c r="G596" s="327"/>
      <c r="H596" s="327"/>
      <c r="I596" s="327"/>
      <c r="J596" s="327"/>
      <c r="K596" s="327"/>
      <c r="L596" s="327"/>
      <c r="M596" s="327"/>
      <c r="N596" s="327"/>
      <c r="O596" s="327"/>
      <c r="P596" s="327"/>
      <c r="Q596" s="327"/>
      <c r="R596" s="327"/>
      <c r="S596" s="327"/>
      <c r="T596" s="327"/>
      <c r="U596" s="327"/>
      <c r="V596" s="327"/>
      <c r="W596" s="327"/>
      <c r="X596" s="327"/>
      <c r="Y596" s="327"/>
      <c r="Z596" s="327"/>
      <c r="AA596" s="327"/>
      <c r="AB596" s="327"/>
      <c r="AC596" s="327"/>
      <c r="AD596" s="327"/>
      <c r="AE596" s="327"/>
      <c r="AF596" s="327"/>
      <c r="AG596" s="327"/>
      <c r="AH596" s="327"/>
      <c r="AI596" s="327"/>
      <c r="AJ596" s="327"/>
      <c r="AK596" s="327"/>
      <c r="AL596" s="327"/>
      <c r="AM596" s="327"/>
    </row>
    <row r="597" spans="1:39">
      <c r="A597" s="69"/>
      <c r="B597" s="69"/>
      <c r="C597" s="327"/>
      <c r="D597" s="327"/>
      <c r="E597" s="327"/>
      <c r="F597" s="327"/>
      <c r="G597" s="327"/>
      <c r="H597" s="327"/>
      <c r="I597" s="327"/>
      <c r="J597" s="327"/>
      <c r="K597" s="327"/>
      <c r="L597" s="327"/>
      <c r="M597" s="327"/>
      <c r="N597" s="327"/>
      <c r="O597" s="327"/>
      <c r="P597" s="327"/>
      <c r="Q597" s="327"/>
      <c r="R597" s="327"/>
      <c r="S597" s="327"/>
      <c r="T597" s="327"/>
      <c r="U597" s="327"/>
      <c r="V597" s="327"/>
      <c r="W597" s="327"/>
      <c r="X597" s="327"/>
      <c r="Y597" s="327"/>
      <c r="Z597" s="327"/>
      <c r="AA597" s="327"/>
      <c r="AB597" s="327"/>
      <c r="AC597" s="327"/>
      <c r="AD597" s="327"/>
      <c r="AE597" s="327"/>
      <c r="AF597" s="327"/>
      <c r="AG597" s="327"/>
      <c r="AH597" s="327"/>
      <c r="AI597" s="327"/>
      <c r="AJ597" s="327"/>
      <c r="AK597" s="327"/>
      <c r="AL597" s="327"/>
      <c r="AM597" s="327"/>
    </row>
    <row r="598" spans="1:39">
      <c r="A598" s="69"/>
      <c r="B598" s="69"/>
      <c r="C598" s="327"/>
      <c r="D598" s="327"/>
      <c r="E598" s="327"/>
      <c r="F598" s="327"/>
      <c r="G598" s="327"/>
      <c r="H598" s="327"/>
      <c r="I598" s="327"/>
      <c r="J598" s="327"/>
      <c r="K598" s="327"/>
      <c r="L598" s="327"/>
      <c r="M598" s="327"/>
      <c r="N598" s="327"/>
      <c r="O598" s="327"/>
      <c r="P598" s="327"/>
      <c r="Q598" s="327"/>
      <c r="R598" s="327"/>
      <c r="S598" s="327"/>
      <c r="T598" s="327"/>
      <c r="U598" s="327"/>
      <c r="V598" s="327"/>
      <c r="W598" s="327"/>
      <c r="X598" s="327"/>
      <c r="Y598" s="327"/>
      <c r="Z598" s="327"/>
      <c r="AA598" s="327"/>
      <c r="AB598" s="327"/>
      <c r="AC598" s="327"/>
      <c r="AD598" s="327"/>
      <c r="AE598" s="327"/>
      <c r="AF598" s="327"/>
      <c r="AG598" s="327"/>
      <c r="AH598" s="327"/>
      <c r="AI598" s="327"/>
      <c r="AJ598" s="327"/>
      <c r="AK598" s="327"/>
      <c r="AL598" s="327"/>
      <c r="AM598" s="327"/>
    </row>
    <row r="599" spans="1:39">
      <c r="A599" s="69"/>
      <c r="B599" s="69"/>
      <c r="C599" s="327"/>
      <c r="D599" s="327"/>
      <c r="E599" s="327"/>
      <c r="F599" s="327"/>
      <c r="G599" s="327"/>
      <c r="H599" s="327"/>
      <c r="I599" s="327"/>
      <c r="J599" s="327"/>
      <c r="K599" s="327"/>
      <c r="L599" s="327"/>
      <c r="M599" s="327"/>
      <c r="N599" s="327"/>
      <c r="O599" s="327"/>
      <c r="P599" s="327"/>
      <c r="Q599" s="327"/>
      <c r="R599" s="327"/>
      <c r="S599" s="327"/>
      <c r="T599" s="327"/>
      <c r="U599" s="327"/>
      <c r="V599" s="327"/>
      <c r="W599" s="327"/>
      <c r="X599" s="327"/>
      <c r="Y599" s="327"/>
      <c r="Z599" s="327"/>
      <c r="AA599" s="327"/>
      <c r="AB599" s="327"/>
      <c r="AC599" s="327"/>
      <c r="AD599" s="327"/>
      <c r="AE599" s="327"/>
      <c r="AF599" s="327"/>
      <c r="AG599" s="327"/>
      <c r="AH599" s="327"/>
      <c r="AI599" s="327"/>
      <c r="AJ599" s="327"/>
      <c r="AK599" s="327"/>
      <c r="AL599" s="327"/>
      <c r="AM599" s="327"/>
    </row>
    <row r="600" spans="1:39">
      <c r="A600" s="69"/>
      <c r="B600" s="69"/>
      <c r="C600" s="327"/>
      <c r="D600" s="327"/>
      <c r="E600" s="327"/>
      <c r="F600" s="327"/>
      <c r="G600" s="327"/>
      <c r="H600" s="327"/>
      <c r="I600" s="327"/>
      <c r="J600" s="327"/>
      <c r="K600" s="327"/>
      <c r="L600" s="327"/>
      <c r="M600" s="327"/>
      <c r="N600" s="327"/>
      <c r="O600" s="327"/>
      <c r="P600" s="327"/>
      <c r="Q600" s="327"/>
      <c r="R600" s="327"/>
      <c r="S600" s="327"/>
      <c r="T600" s="327"/>
      <c r="U600" s="327"/>
      <c r="V600" s="327"/>
      <c r="W600" s="327"/>
      <c r="X600" s="327"/>
      <c r="Y600" s="327"/>
      <c r="Z600" s="327"/>
      <c r="AA600" s="327"/>
      <c r="AB600" s="327"/>
      <c r="AC600" s="327"/>
      <c r="AD600" s="327"/>
      <c r="AE600" s="327"/>
      <c r="AF600" s="327"/>
      <c r="AG600" s="327"/>
      <c r="AH600" s="327"/>
      <c r="AI600" s="327"/>
      <c r="AJ600" s="327"/>
      <c r="AK600" s="327"/>
      <c r="AL600" s="327"/>
      <c r="AM600" s="327"/>
    </row>
    <row r="601" spans="1:39">
      <c r="A601" s="69"/>
      <c r="B601" s="69"/>
      <c r="C601" s="327"/>
      <c r="D601" s="327"/>
      <c r="E601" s="327"/>
      <c r="F601" s="327"/>
      <c r="G601" s="327"/>
      <c r="H601" s="327"/>
      <c r="I601" s="327"/>
      <c r="J601" s="327"/>
      <c r="K601" s="327"/>
      <c r="L601" s="327"/>
      <c r="M601" s="327"/>
      <c r="N601" s="327"/>
      <c r="O601" s="327"/>
      <c r="P601" s="327"/>
      <c r="Q601" s="327"/>
      <c r="R601" s="327"/>
      <c r="S601" s="327"/>
      <c r="T601" s="327"/>
      <c r="U601" s="327"/>
      <c r="V601" s="327"/>
      <c r="W601" s="327"/>
      <c r="X601" s="327"/>
      <c r="Y601" s="327"/>
      <c r="Z601" s="327"/>
      <c r="AA601" s="327"/>
      <c r="AB601" s="327"/>
      <c r="AC601" s="327"/>
      <c r="AD601" s="327"/>
      <c r="AE601" s="327"/>
      <c r="AF601" s="327"/>
      <c r="AG601" s="327"/>
      <c r="AH601" s="327"/>
      <c r="AI601" s="327"/>
      <c r="AJ601" s="327"/>
      <c r="AK601" s="327"/>
      <c r="AL601" s="327"/>
      <c r="AM601" s="327"/>
    </row>
    <row r="602" spans="1:39">
      <c r="A602" s="69"/>
      <c r="B602" s="69"/>
      <c r="C602" s="327"/>
      <c r="D602" s="327"/>
      <c r="E602" s="327"/>
      <c r="F602" s="327"/>
      <c r="G602" s="327"/>
      <c r="H602" s="327"/>
      <c r="I602" s="327"/>
      <c r="J602" s="327"/>
      <c r="K602" s="327"/>
      <c r="L602" s="327"/>
      <c r="M602" s="327"/>
      <c r="N602" s="327"/>
      <c r="O602" s="327"/>
      <c r="P602" s="327"/>
      <c r="Q602" s="327"/>
      <c r="R602" s="327"/>
      <c r="S602" s="327"/>
      <c r="T602" s="327"/>
      <c r="U602" s="327"/>
      <c r="V602" s="327"/>
      <c r="W602" s="327"/>
      <c r="X602" s="327"/>
      <c r="Y602" s="327"/>
      <c r="Z602" s="327"/>
      <c r="AA602" s="327"/>
      <c r="AB602" s="327"/>
      <c r="AC602" s="327"/>
      <c r="AD602" s="327"/>
      <c r="AE602" s="327"/>
      <c r="AF602" s="327"/>
      <c r="AG602" s="327"/>
      <c r="AH602" s="327"/>
      <c r="AI602" s="327"/>
      <c r="AJ602" s="327"/>
      <c r="AK602" s="327"/>
      <c r="AL602" s="327"/>
      <c r="AM602" s="327"/>
    </row>
    <row r="603" spans="1:39">
      <c r="A603" s="69"/>
      <c r="B603" s="69"/>
      <c r="C603" s="327"/>
      <c r="D603" s="327"/>
      <c r="E603" s="327"/>
      <c r="F603" s="327"/>
      <c r="G603" s="327"/>
      <c r="H603" s="327"/>
      <c r="I603" s="327"/>
      <c r="J603" s="327"/>
      <c r="K603" s="327"/>
      <c r="L603" s="327"/>
      <c r="M603" s="327"/>
      <c r="N603" s="327"/>
      <c r="O603" s="327"/>
      <c r="P603" s="327"/>
      <c r="Q603" s="327"/>
      <c r="R603" s="327"/>
      <c r="S603" s="327"/>
      <c r="T603" s="327"/>
      <c r="U603" s="327"/>
      <c r="V603" s="327"/>
      <c r="W603" s="327"/>
      <c r="X603" s="327"/>
      <c r="Y603" s="327"/>
      <c r="Z603" s="327"/>
      <c r="AA603" s="327"/>
      <c r="AB603" s="327"/>
      <c r="AC603" s="327"/>
      <c r="AD603" s="327"/>
      <c r="AE603" s="327"/>
      <c r="AF603" s="327"/>
      <c r="AG603" s="327"/>
      <c r="AH603" s="327"/>
      <c r="AI603" s="327"/>
      <c r="AJ603" s="327"/>
      <c r="AK603" s="327"/>
      <c r="AL603" s="327"/>
      <c r="AM603" s="327"/>
    </row>
    <row r="604" spans="1:39">
      <c r="A604" s="69"/>
      <c r="B604" s="69"/>
      <c r="C604" s="327"/>
      <c r="D604" s="327"/>
      <c r="E604" s="327"/>
      <c r="F604" s="327"/>
      <c r="G604" s="327"/>
      <c r="H604" s="327"/>
      <c r="I604" s="327"/>
      <c r="J604" s="327"/>
      <c r="K604" s="327"/>
      <c r="L604" s="327"/>
      <c r="M604" s="327"/>
      <c r="N604" s="327"/>
      <c r="O604" s="327"/>
      <c r="P604" s="327"/>
      <c r="Q604" s="327"/>
      <c r="R604" s="327"/>
      <c r="S604" s="327"/>
      <c r="T604" s="327"/>
      <c r="U604" s="327"/>
      <c r="V604" s="327"/>
      <c r="W604" s="327"/>
      <c r="X604" s="327"/>
      <c r="Y604" s="327"/>
      <c r="Z604" s="327"/>
      <c r="AA604" s="327"/>
      <c r="AB604" s="327"/>
      <c r="AC604" s="327"/>
      <c r="AD604" s="327"/>
      <c r="AE604" s="327"/>
      <c r="AF604" s="327"/>
      <c r="AG604" s="327"/>
      <c r="AH604" s="327"/>
      <c r="AI604" s="327"/>
      <c r="AJ604" s="327"/>
      <c r="AK604" s="327"/>
      <c r="AL604" s="327"/>
      <c r="AM604" s="327"/>
    </row>
    <row r="605" spans="1:39">
      <c r="A605" s="69"/>
      <c r="B605" s="69"/>
      <c r="C605" s="327"/>
      <c r="D605" s="327"/>
      <c r="E605" s="327"/>
      <c r="F605" s="327"/>
      <c r="G605" s="327"/>
      <c r="H605" s="327"/>
      <c r="I605" s="327"/>
      <c r="J605" s="327"/>
      <c r="K605" s="327"/>
      <c r="L605" s="327"/>
      <c r="M605" s="327"/>
      <c r="N605" s="327"/>
      <c r="O605" s="327"/>
      <c r="P605" s="327"/>
      <c r="Q605" s="327"/>
      <c r="R605" s="327"/>
      <c r="S605" s="327"/>
      <c r="T605" s="327"/>
      <c r="U605" s="327"/>
      <c r="V605" s="327"/>
      <c r="W605" s="327"/>
      <c r="X605" s="327"/>
      <c r="Y605" s="327"/>
      <c r="Z605" s="327"/>
      <c r="AA605" s="327"/>
      <c r="AB605" s="327"/>
      <c r="AC605" s="327"/>
      <c r="AD605" s="327"/>
      <c r="AE605" s="327"/>
      <c r="AF605" s="327"/>
      <c r="AG605" s="327"/>
      <c r="AH605" s="327"/>
      <c r="AI605" s="327"/>
      <c r="AJ605" s="327"/>
      <c r="AK605" s="327"/>
      <c r="AL605" s="327"/>
      <c r="AM605" s="327"/>
    </row>
    <row r="606" spans="1:39">
      <c r="A606" s="69"/>
      <c r="B606" s="69"/>
      <c r="C606" s="327"/>
      <c r="D606" s="327"/>
      <c r="E606" s="327"/>
      <c r="F606" s="327"/>
      <c r="G606" s="327"/>
      <c r="H606" s="327"/>
      <c r="I606" s="327"/>
      <c r="J606" s="327"/>
      <c r="K606" s="327"/>
      <c r="L606" s="327"/>
      <c r="M606" s="327"/>
      <c r="N606" s="327"/>
      <c r="O606" s="327"/>
      <c r="P606" s="327"/>
      <c r="Q606" s="327"/>
      <c r="R606" s="327"/>
      <c r="S606" s="327"/>
      <c r="T606" s="327"/>
      <c r="U606" s="327"/>
      <c r="V606" s="327"/>
      <c r="W606" s="327"/>
      <c r="X606" s="327"/>
      <c r="Y606" s="327"/>
      <c r="Z606" s="327"/>
      <c r="AA606" s="327"/>
      <c r="AB606" s="327"/>
      <c r="AC606" s="327"/>
      <c r="AD606" s="327"/>
      <c r="AE606" s="327"/>
      <c r="AF606" s="327"/>
      <c r="AG606" s="327"/>
      <c r="AH606" s="327"/>
      <c r="AI606" s="327"/>
      <c r="AJ606" s="327"/>
      <c r="AK606" s="327"/>
      <c r="AL606" s="327"/>
      <c r="AM606" s="327"/>
    </row>
    <row r="607" spans="1:39">
      <c r="A607" s="69"/>
      <c r="B607" s="69"/>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327"/>
      <c r="AE607" s="327"/>
      <c r="AF607" s="327"/>
      <c r="AG607" s="327"/>
      <c r="AH607" s="327"/>
      <c r="AI607" s="327"/>
      <c r="AJ607" s="327"/>
      <c r="AK607" s="327"/>
      <c r="AL607" s="327"/>
      <c r="AM607" s="327"/>
    </row>
    <row r="608" spans="1:39">
      <c r="A608" s="69"/>
      <c r="B608" s="69"/>
      <c r="C608" s="327"/>
      <c r="D608" s="327"/>
      <c r="E608" s="327"/>
      <c r="F608" s="327"/>
      <c r="G608" s="327"/>
      <c r="H608" s="327"/>
      <c r="I608" s="327"/>
      <c r="J608" s="327"/>
      <c r="K608" s="327"/>
      <c r="L608" s="327"/>
      <c r="M608" s="327"/>
      <c r="N608" s="327"/>
      <c r="O608" s="327"/>
      <c r="P608" s="327"/>
      <c r="Q608" s="327"/>
      <c r="R608" s="327"/>
      <c r="S608" s="327"/>
      <c r="T608" s="327"/>
      <c r="U608" s="327"/>
      <c r="V608" s="327"/>
      <c r="W608" s="327"/>
      <c r="X608" s="327"/>
      <c r="Y608" s="327"/>
      <c r="Z608" s="327"/>
      <c r="AA608" s="327"/>
      <c r="AB608" s="327"/>
      <c r="AC608" s="327"/>
      <c r="AD608" s="327"/>
      <c r="AE608" s="327"/>
      <c r="AF608" s="327"/>
      <c r="AG608" s="327"/>
      <c r="AH608" s="327"/>
      <c r="AI608" s="327"/>
      <c r="AJ608" s="327"/>
      <c r="AK608" s="327"/>
      <c r="AL608" s="327"/>
      <c r="AM608" s="327"/>
    </row>
    <row r="609" spans="1:39">
      <c r="A609" s="69"/>
      <c r="B609" s="69"/>
      <c r="C609" s="327"/>
      <c r="D609" s="327"/>
      <c r="E609" s="327"/>
      <c r="F609" s="327"/>
      <c r="G609" s="327"/>
      <c r="H609" s="327"/>
      <c r="I609" s="327"/>
      <c r="J609" s="327"/>
      <c r="K609" s="327"/>
      <c r="L609" s="327"/>
      <c r="M609" s="327"/>
      <c r="N609" s="327"/>
      <c r="O609" s="327"/>
      <c r="P609" s="327"/>
      <c r="Q609" s="327"/>
      <c r="R609" s="327"/>
      <c r="S609" s="327"/>
      <c r="T609" s="327"/>
      <c r="U609" s="327"/>
      <c r="V609" s="327"/>
      <c r="W609" s="327"/>
      <c r="X609" s="327"/>
      <c r="Y609" s="327"/>
      <c r="Z609" s="327"/>
      <c r="AA609" s="327"/>
      <c r="AB609" s="327"/>
      <c r="AC609" s="327"/>
      <c r="AD609" s="327"/>
      <c r="AE609" s="327"/>
      <c r="AF609" s="327"/>
      <c r="AG609" s="327"/>
      <c r="AH609" s="327"/>
      <c r="AI609" s="327"/>
      <c r="AJ609" s="327"/>
      <c r="AK609" s="327"/>
      <c r="AL609" s="327"/>
      <c r="AM609" s="327"/>
    </row>
    <row r="610" spans="1:39">
      <c r="A610" s="69"/>
      <c r="B610" s="69"/>
      <c r="C610" s="327"/>
      <c r="D610" s="327"/>
      <c r="E610" s="327"/>
      <c r="F610" s="327"/>
      <c r="G610" s="327"/>
      <c r="H610" s="327"/>
      <c r="I610" s="327"/>
      <c r="J610" s="327"/>
      <c r="K610" s="327"/>
      <c r="L610" s="327"/>
      <c r="M610" s="327"/>
      <c r="N610" s="327"/>
      <c r="O610" s="327"/>
      <c r="P610" s="327"/>
      <c r="Q610" s="327"/>
      <c r="R610" s="327"/>
      <c r="S610" s="327"/>
      <c r="T610" s="327"/>
      <c r="U610" s="327"/>
      <c r="V610" s="327"/>
      <c r="W610" s="327"/>
      <c r="X610" s="327"/>
      <c r="Y610" s="327"/>
      <c r="Z610" s="327"/>
      <c r="AA610" s="327"/>
      <c r="AB610" s="327"/>
      <c r="AC610" s="327"/>
      <c r="AD610" s="327"/>
      <c r="AE610" s="327"/>
      <c r="AF610" s="327"/>
      <c r="AG610" s="327"/>
      <c r="AH610" s="327"/>
      <c r="AI610" s="327"/>
      <c r="AJ610" s="327"/>
      <c r="AK610" s="327"/>
      <c r="AL610" s="327"/>
      <c r="AM610" s="327"/>
    </row>
    <row r="611" spans="1:39">
      <c r="A611" s="69"/>
      <c r="B611" s="69"/>
      <c r="C611" s="327"/>
      <c r="D611" s="327"/>
      <c r="E611" s="327"/>
      <c r="F611" s="327"/>
      <c r="G611" s="327"/>
      <c r="H611" s="327"/>
      <c r="I611" s="327"/>
      <c r="J611" s="327"/>
      <c r="K611" s="327"/>
      <c r="L611" s="327"/>
      <c r="M611" s="327"/>
      <c r="N611" s="327"/>
      <c r="O611" s="327"/>
      <c r="P611" s="327"/>
      <c r="Q611" s="327"/>
      <c r="R611" s="327"/>
      <c r="S611" s="327"/>
      <c r="T611" s="327"/>
      <c r="U611" s="327"/>
      <c r="V611" s="327"/>
      <c r="W611" s="327"/>
      <c r="X611" s="327"/>
      <c r="Y611" s="327"/>
      <c r="Z611" s="327"/>
      <c r="AA611" s="327"/>
      <c r="AB611" s="327"/>
      <c r="AC611" s="327"/>
      <c r="AD611" s="327"/>
      <c r="AE611" s="327"/>
      <c r="AF611" s="327"/>
      <c r="AG611" s="327"/>
      <c r="AH611" s="327"/>
      <c r="AI611" s="327"/>
      <c r="AJ611" s="327"/>
      <c r="AK611" s="327"/>
      <c r="AL611" s="327"/>
      <c r="AM611" s="327"/>
    </row>
    <row r="612" spans="1:39">
      <c r="A612" s="69"/>
      <c r="B612" s="69"/>
      <c r="C612" s="327"/>
      <c r="D612" s="327"/>
      <c r="E612" s="327"/>
      <c r="F612" s="327"/>
      <c r="G612" s="327"/>
      <c r="H612" s="327"/>
      <c r="I612" s="327"/>
      <c r="J612" s="327"/>
      <c r="K612" s="327"/>
      <c r="L612" s="327"/>
      <c r="M612" s="327"/>
      <c r="N612" s="327"/>
      <c r="O612" s="327"/>
      <c r="P612" s="327"/>
      <c r="Q612" s="327"/>
      <c r="R612" s="327"/>
      <c r="S612" s="327"/>
      <c r="T612" s="327"/>
      <c r="U612" s="327"/>
      <c r="V612" s="327"/>
      <c r="W612" s="327"/>
      <c r="X612" s="327"/>
      <c r="Y612" s="327"/>
      <c r="Z612" s="327"/>
      <c r="AA612" s="327"/>
      <c r="AB612" s="327"/>
      <c r="AC612" s="327"/>
      <c r="AD612" s="327"/>
      <c r="AE612" s="327"/>
      <c r="AF612" s="327"/>
      <c r="AG612" s="327"/>
      <c r="AH612" s="327"/>
      <c r="AI612" s="327"/>
      <c r="AJ612" s="327"/>
      <c r="AK612" s="327"/>
      <c r="AL612" s="327"/>
      <c r="AM612" s="327"/>
    </row>
    <row r="613" spans="1:39">
      <c r="A613" s="69"/>
      <c r="B613" s="69"/>
      <c r="C613" s="327"/>
      <c r="D613" s="327"/>
      <c r="E613" s="327"/>
      <c r="F613" s="327"/>
      <c r="G613" s="327"/>
      <c r="H613" s="327"/>
      <c r="I613" s="327"/>
      <c r="J613" s="327"/>
      <c r="K613" s="327"/>
      <c r="L613" s="327"/>
      <c r="M613" s="327"/>
      <c r="N613" s="327"/>
      <c r="O613" s="327"/>
      <c r="P613" s="327"/>
      <c r="Q613" s="327"/>
      <c r="R613" s="327"/>
      <c r="S613" s="327"/>
      <c r="T613" s="327"/>
      <c r="U613" s="327"/>
      <c r="V613" s="327"/>
      <c r="W613" s="327"/>
      <c r="X613" s="327"/>
      <c r="Y613" s="327"/>
      <c r="Z613" s="327"/>
      <c r="AA613" s="327"/>
      <c r="AB613" s="327"/>
      <c r="AC613" s="327"/>
      <c r="AD613" s="327"/>
      <c r="AE613" s="327"/>
      <c r="AF613" s="327"/>
      <c r="AG613" s="327"/>
      <c r="AH613" s="327"/>
      <c r="AI613" s="327"/>
      <c r="AJ613" s="327"/>
      <c r="AK613" s="327"/>
      <c r="AL613" s="327"/>
      <c r="AM613" s="327"/>
    </row>
    <row r="614" spans="1:39">
      <c r="A614" s="69"/>
      <c r="B614" s="69"/>
      <c r="C614" s="327"/>
      <c r="D614" s="327"/>
      <c r="E614" s="327"/>
      <c r="F614" s="327"/>
      <c r="G614" s="327"/>
      <c r="H614" s="327"/>
      <c r="I614" s="327"/>
      <c r="J614" s="327"/>
      <c r="K614" s="327"/>
      <c r="L614" s="327"/>
      <c r="M614" s="327"/>
      <c r="N614" s="327"/>
      <c r="O614" s="327"/>
      <c r="P614" s="327"/>
      <c r="Q614" s="327"/>
      <c r="R614" s="327"/>
      <c r="S614" s="327"/>
      <c r="T614" s="327"/>
      <c r="U614" s="327"/>
      <c r="V614" s="327"/>
      <c r="W614" s="327"/>
      <c r="X614" s="327"/>
      <c r="Y614" s="327"/>
      <c r="Z614" s="327"/>
      <c r="AA614" s="327"/>
      <c r="AB614" s="327"/>
      <c r="AC614" s="327"/>
      <c r="AD614" s="327"/>
      <c r="AE614" s="327"/>
      <c r="AF614" s="327"/>
      <c r="AG614" s="327"/>
      <c r="AH614" s="327"/>
      <c r="AI614" s="327"/>
      <c r="AJ614" s="327"/>
      <c r="AK614" s="327"/>
      <c r="AL614" s="327"/>
      <c r="AM614" s="327"/>
    </row>
    <row r="615" spans="1:39">
      <c r="A615" s="69"/>
      <c r="B615" s="69"/>
      <c r="C615" s="327"/>
      <c r="D615" s="327"/>
      <c r="E615" s="327"/>
      <c r="F615" s="327"/>
      <c r="G615" s="327"/>
      <c r="H615" s="327"/>
      <c r="I615" s="327"/>
      <c r="J615" s="327"/>
      <c r="K615" s="327"/>
      <c r="L615" s="327"/>
      <c r="M615" s="327"/>
      <c r="N615" s="327"/>
      <c r="O615" s="327"/>
      <c r="P615" s="327"/>
      <c r="Q615" s="327"/>
      <c r="R615" s="327"/>
      <c r="S615" s="327"/>
      <c r="T615" s="327"/>
      <c r="U615" s="327"/>
      <c r="V615" s="327"/>
      <c r="W615" s="327"/>
      <c r="X615" s="327"/>
      <c r="Y615" s="327"/>
      <c r="Z615" s="327"/>
      <c r="AA615" s="327"/>
      <c r="AB615" s="327"/>
      <c r="AC615" s="327"/>
      <c r="AD615" s="327"/>
      <c r="AE615" s="327"/>
      <c r="AF615" s="327"/>
      <c r="AG615" s="327"/>
      <c r="AH615" s="327"/>
      <c r="AI615" s="327"/>
      <c r="AJ615" s="327"/>
      <c r="AK615" s="327"/>
      <c r="AL615" s="327"/>
      <c r="AM615" s="327"/>
    </row>
    <row r="616" spans="1:39">
      <c r="A616" s="69"/>
      <c r="B616" s="69"/>
      <c r="C616" s="327"/>
      <c r="D616" s="327"/>
      <c r="E616" s="327"/>
      <c r="F616" s="327"/>
      <c r="G616" s="327"/>
      <c r="H616" s="327"/>
      <c r="I616" s="327"/>
      <c r="J616" s="327"/>
      <c r="K616" s="327"/>
      <c r="L616" s="327"/>
      <c r="M616" s="327"/>
      <c r="N616" s="327"/>
      <c r="O616" s="327"/>
      <c r="P616" s="327"/>
      <c r="Q616" s="327"/>
      <c r="R616" s="327"/>
      <c r="S616" s="327"/>
      <c r="T616" s="327"/>
      <c r="U616" s="327"/>
      <c r="V616" s="327"/>
      <c r="W616" s="327"/>
      <c r="X616" s="327"/>
      <c r="Y616" s="327"/>
      <c r="Z616" s="327"/>
      <c r="AA616" s="327"/>
      <c r="AB616" s="327"/>
      <c r="AC616" s="327"/>
      <c r="AD616" s="327"/>
      <c r="AE616" s="327"/>
      <c r="AF616" s="327"/>
      <c r="AG616" s="327"/>
      <c r="AH616" s="327"/>
      <c r="AI616" s="327"/>
      <c r="AJ616" s="327"/>
      <c r="AK616" s="327"/>
      <c r="AL616" s="327"/>
      <c r="AM616" s="327"/>
    </row>
    <row r="617" spans="1:39">
      <c r="A617" s="69"/>
      <c r="B617" s="69"/>
      <c r="C617" s="327"/>
      <c r="D617" s="327"/>
      <c r="E617" s="327"/>
      <c r="F617" s="327"/>
      <c r="G617" s="327"/>
      <c r="H617" s="327"/>
      <c r="I617" s="327"/>
      <c r="J617" s="327"/>
      <c r="K617" s="327"/>
      <c r="L617" s="327"/>
      <c r="M617" s="327"/>
      <c r="N617" s="327"/>
      <c r="O617" s="327"/>
      <c r="P617" s="327"/>
      <c r="Q617" s="327"/>
      <c r="R617" s="327"/>
      <c r="S617" s="327"/>
      <c r="T617" s="327"/>
      <c r="U617" s="327"/>
      <c r="V617" s="327"/>
      <c r="W617" s="327"/>
      <c r="X617" s="327"/>
      <c r="Y617" s="327"/>
      <c r="Z617" s="327"/>
      <c r="AA617" s="327"/>
      <c r="AB617" s="327"/>
      <c r="AC617" s="327"/>
      <c r="AD617" s="327"/>
      <c r="AE617" s="327"/>
      <c r="AF617" s="327"/>
      <c r="AG617" s="327"/>
      <c r="AH617" s="327"/>
      <c r="AI617" s="327"/>
      <c r="AJ617" s="327"/>
      <c r="AK617" s="327"/>
      <c r="AL617" s="327"/>
      <c r="AM617" s="327"/>
    </row>
    <row r="618" spans="1:39">
      <c r="A618" s="69"/>
      <c r="B618" s="69"/>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327"/>
      <c r="AE618" s="327"/>
      <c r="AF618" s="327"/>
      <c r="AG618" s="327"/>
      <c r="AH618" s="327"/>
      <c r="AI618" s="327"/>
      <c r="AJ618" s="327"/>
      <c r="AK618" s="327"/>
      <c r="AL618" s="327"/>
      <c r="AM618" s="327"/>
    </row>
    <row r="619" spans="1:39">
      <c r="A619" s="69"/>
      <c r="B619" s="69"/>
      <c r="C619" s="327"/>
      <c r="D619" s="327"/>
      <c r="E619" s="327"/>
      <c r="F619" s="327"/>
      <c r="G619" s="327"/>
      <c r="H619" s="327"/>
      <c r="I619" s="327"/>
      <c r="J619" s="327"/>
      <c r="K619" s="327"/>
      <c r="L619" s="327"/>
      <c r="M619" s="327"/>
      <c r="N619" s="327"/>
      <c r="O619" s="327"/>
      <c r="P619" s="327"/>
      <c r="Q619" s="327"/>
      <c r="R619" s="327"/>
      <c r="S619" s="327"/>
      <c r="T619" s="327"/>
      <c r="U619" s="327"/>
      <c r="V619" s="327"/>
      <c r="W619" s="327"/>
      <c r="X619" s="327"/>
      <c r="Y619" s="327"/>
      <c r="Z619" s="327"/>
      <c r="AA619" s="327"/>
      <c r="AB619" s="327"/>
      <c r="AC619" s="327"/>
      <c r="AD619" s="327"/>
      <c r="AE619" s="327"/>
      <c r="AF619" s="327"/>
      <c r="AG619" s="327"/>
      <c r="AH619" s="327"/>
      <c r="AI619" s="327"/>
      <c r="AJ619" s="327"/>
      <c r="AK619" s="327"/>
      <c r="AL619" s="327"/>
      <c r="AM619" s="327"/>
    </row>
    <row r="620" spans="1:39">
      <c r="A620" s="69"/>
      <c r="B620" s="69"/>
      <c r="C620" s="327"/>
      <c r="D620" s="327"/>
      <c r="E620" s="327"/>
      <c r="F620" s="327"/>
      <c r="G620" s="327"/>
      <c r="H620" s="327"/>
      <c r="I620" s="327"/>
      <c r="J620" s="327"/>
      <c r="K620" s="327"/>
      <c r="L620" s="327"/>
      <c r="M620" s="327"/>
      <c r="N620" s="327"/>
      <c r="O620" s="327"/>
      <c r="P620" s="327"/>
      <c r="Q620" s="327"/>
      <c r="R620" s="327"/>
      <c r="S620" s="327"/>
      <c r="T620" s="327"/>
      <c r="U620" s="327"/>
      <c r="V620" s="327"/>
      <c r="W620" s="327"/>
      <c r="X620" s="327"/>
      <c r="Y620" s="327"/>
      <c r="Z620" s="327"/>
      <c r="AA620" s="327"/>
      <c r="AB620" s="327"/>
      <c r="AC620" s="327"/>
      <c r="AD620" s="327"/>
      <c r="AE620" s="327"/>
      <c r="AF620" s="327"/>
      <c r="AG620" s="327"/>
      <c r="AH620" s="327"/>
      <c r="AI620" s="327"/>
      <c r="AJ620" s="327"/>
      <c r="AK620" s="327"/>
      <c r="AL620" s="327"/>
      <c r="AM620" s="327"/>
    </row>
    <row r="621" spans="1:39">
      <c r="A621" s="69"/>
      <c r="B621" s="69"/>
      <c r="C621" s="327"/>
      <c r="D621" s="327"/>
      <c r="E621" s="327"/>
      <c r="F621" s="327"/>
      <c r="G621" s="327"/>
      <c r="H621" s="327"/>
      <c r="I621" s="327"/>
      <c r="J621" s="327"/>
      <c r="K621" s="327"/>
      <c r="L621" s="327"/>
      <c r="M621" s="327"/>
      <c r="N621" s="327"/>
      <c r="O621" s="327"/>
      <c r="P621" s="327"/>
      <c r="Q621" s="327"/>
      <c r="R621" s="327"/>
      <c r="S621" s="327"/>
      <c r="T621" s="327"/>
      <c r="U621" s="327"/>
      <c r="V621" s="327"/>
      <c r="W621" s="327"/>
      <c r="X621" s="327"/>
      <c r="Y621" s="327"/>
      <c r="Z621" s="327"/>
      <c r="AA621" s="327"/>
      <c r="AB621" s="327"/>
      <c r="AC621" s="327"/>
      <c r="AD621" s="327"/>
      <c r="AE621" s="327"/>
      <c r="AF621" s="327"/>
      <c r="AG621" s="327"/>
      <c r="AH621" s="327"/>
      <c r="AI621" s="327"/>
      <c r="AJ621" s="327"/>
      <c r="AK621" s="327"/>
      <c r="AL621" s="327"/>
      <c r="AM621" s="327"/>
    </row>
    <row r="622" spans="1:39">
      <c r="A622" s="69"/>
      <c r="B622" s="69"/>
      <c r="C622" s="327"/>
      <c r="D622" s="327"/>
      <c r="E622" s="327"/>
      <c r="F622" s="327"/>
      <c r="G622" s="327"/>
      <c r="H622" s="327"/>
      <c r="I622" s="327"/>
      <c r="J622" s="327"/>
      <c r="K622" s="327"/>
      <c r="L622" s="327"/>
      <c r="M622" s="327"/>
      <c r="N622" s="327"/>
      <c r="O622" s="327"/>
      <c r="P622" s="327"/>
      <c r="Q622" s="327"/>
      <c r="R622" s="327"/>
      <c r="S622" s="327"/>
      <c r="T622" s="327"/>
      <c r="U622" s="327"/>
      <c r="V622" s="327"/>
      <c r="W622" s="327"/>
      <c r="X622" s="327"/>
      <c r="Y622" s="327"/>
      <c r="Z622" s="327"/>
      <c r="AA622" s="327"/>
      <c r="AB622" s="327"/>
      <c r="AC622" s="327"/>
      <c r="AD622" s="327"/>
      <c r="AE622" s="327"/>
      <c r="AF622" s="327"/>
      <c r="AG622" s="327"/>
      <c r="AH622" s="327"/>
      <c r="AI622" s="327"/>
      <c r="AJ622" s="327"/>
      <c r="AK622" s="327"/>
      <c r="AL622" s="327"/>
      <c r="AM622" s="327"/>
    </row>
    <row r="623" spans="1:39">
      <c r="A623" s="69"/>
      <c r="B623" s="69"/>
      <c r="C623" s="327"/>
      <c r="D623" s="327"/>
      <c r="E623" s="327"/>
      <c r="F623" s="327"/>
      <c r="G623" s="327"/>
      <c r="H623" s="327"/>
      <c r="I623" s="327"/>
      <c r="J623" s="327"/>
      <c r="K623" s="327"/>
      <c r="L623" s="327"/>
      <c r="M623" s="327"/>
      <c r="N623" s="327"/>
      <c r="O623" s="327"/>
      <c r="P623" s="327"/>
      <c r="Q623" s="327"/>
      <c r="R623" s="327"/>
      <c r="S623" s="327"/>
      <c r="T623" s="327"/>
      <c r="U623" s="327"/>
      <c r="V623" s="327"/>
      <c r="W623" s="327"/>
      <c r="X623" s="327"/>
      <c r="Y623" s="327"/>
      <c r="Z623" s="327"/>
      <c r="AA623" s="327"/>
      <c r="AB623" s="327"/>
      <c r="AC623" s="327"/>
      <c r="AD623" s="327"/>
      <c r="AE623" s="327"/>
      <c r="AF623" s="327"/>
      <c r="AG623" s="327"/>
      <c r="AH623" s="327"/>
      <c r="AI623" s="327"/>
      <c r="AJ623" s="327"/>
      <c r="AK623" s="327"/>
      <c r="AL623" s="327"/>
      <c r="AM623" s="327"/>
    </row>
    <row r="624" spans="1:39">
      <c r="A624" s="69"/>
      <c r="B624" s="69"/>
      <c r="C624" s="327"/>
      <c r="D624" s="327"/>
      <c r="E624" s="327"/>
      <c r="F624" s="327"/>
      <c r="G624" s="327"/>
      <c r="H624" s="327"/>
      <c r="I624" s="327"/>
      <c r="J624" s="327"/>
      <c r="K624" s="327"/>
      <c r="L624" s="327"/>
      <c r="M624" s="327"/>
      <c r="N624" s="327"/>
      <c r="O624" s="327"/>
      <c r="P624" s="327"/>
      <c r="Q624" s="327"/>
      <c r="R624" s="327"/>
      <c r="S624" s="327"/>
      <c r="T624" s="327"/>
      <c r="U624" s="327"/>
      <c r="V624" s="327"/>
      <c r="W624" s="327"/>
      <c r="X624" s="327"/>
      <c r="Y624" s="327"/>
      <c r="Z624" s="327"/>
      <c r="AA624" s="327"/>
      <c r="AB624" s="327"/>
      <c r="AC624" s="327"/>
      <c r="AD624" s="327"/>
      <c r="AE624" s="327"/>
      <c r="AF624" s="327"/>
      <c r="AG624" s="327"/>
      <c r="AH624" s="327"/>
      <c r="AI624" s="327"/>
      <c r="AJ624" s="327"/>
      <c r="AK624" s="327"/>
      <c r="AL624" s="327"/>
      <c r="AM624" s="327"/>
    </row>
    <row r="625" spans="1:39">
      <c r="A625" s="69"/>
      <c r="B625" s="69"/>
      <c r="C625" s="327"/>
      <c r="D625" s="327"/>
      <c r="E625" s="327"/>
      <c r="F625" s="327"/>
      <c r="G625" s="327"/>
      <c r="H625" s="327"/>
      <c r="I625" s="327"/>
      <c r="J625" s="327"/>
      <c r="K625" s="327"/>
      <c r="L625" s="327"/>
      <c r="M625" s="327"/>
      <c r="N625" s="327"/>
      <c r="O625" s="327"/>
      <c r="P625" s="327"/>
      <c r="Q625" s="327"/>
      <c r="R625" s="327"/>
      <c r="S625" s="327"/>
      <c r="T625" s="327"/>
      <c r="U625" s="327"/>
      <c r="V625" s="327"/>
      <c r="W625" s="327"/>
      <c r="X625" s="327"/>
      <c r="Y625" s="327"/>
      <c r="Z625" s="327"/>
      <c r="AA625" s="327"/>
      <c r="AB625" s="327"/>
      <c r="AC625" s="327"/>
      <c r="AD625" s="327"/>
      <c r="AE625" s="327"/>
      <c r="AF625" s="327"/>
      <c r="AG625" s="327"/>
      <c r="AH625" s="327"/>
      <c r="AI625" s="327"/>
      <c r="AJ625" s="327"/>
      <c r="AK625" s="327"/>
      <c r="AL625" s="327"/>
      <c r="AM625" s="327"/>
    </row>
    <row r="626" spans="1:39">
      <c r="A626" s="69"/>
      <c r="B626" s="69"/>
      <c r="C626" s="327"/>
      <c r="D626" s="327"/>
      <c r="E626" s="327"/>
      <c r="F626" s="327"/>
      <c r="G626" s="327"/>
      <c r="H626" s="327"/>
      <c r="I626" s="327"/>
      <c r="J626" s="327"/>
      <c r="K626" s="327"/>
      <c r="L626" s="327"/>
      <c r="M626" s="327"/>
      <c r="N626" s="327"/>
      <c r="O626" s="327"/>
      <c r="P626" s="327"/>
      <c r="Q626" s="327"/>
      <c r="R626" s="327"/>
      <c r="S626" s="327"/>
      <c r="T626" s="327"/>
      <c r="U626" s="327"/>
      <c r="V626" s="327"/>
      <c r="W626" s="327"/>
      <c r="X626" s="327"/>
      <c r="Y626" s="327"/>
      <c r="Z626" s="327"/>
      <c r="AA626" s="327"/>
      <c r="AB626" s="327"/>
      <c r="AC626" s="327"/>
      <c r="AD626" s="327"/>
      <c r="AE626" s="327"/>
      <c r="AF626" s="327"/>
      <c r="AG626" s="327"/>
      <c r="AH626" s="327"/>
      <c r="AI626" s="327"/>
      <c r="AJ626" s="327"/>
      <c r="AK626" s="327"/>
      <c r="AL626" s="327"/>
      <c r="AM626" s="327"/>
    </row>
    <row r="627" spans="1:39">
      <c r="A627" s="69"/>
      <c r="B627" s="69"/>
      <c r="C627" s="327"/>
      <c r="D627" s="327"/>
      <c r="E627" s="327"/>
      <c r="F627" s="327"/>
      <c r="G627" s="327"/>
      <c r="H627" s="327"/>
      <c r="I627" s="327"/>
      <c r="J627" s="327"/>
      <c r="K627" s="327"/>
      <c r="L627" s="327"/>
      <c r="M627" s="327"/>
      <c r="N627" s="327"/>
      <c r="O627" s="327"/>
      <c r="P627" s="327"/>
      <c r="Q627" s="327"/>
      <c r="R627" s="327"/>
      <c r="S627" s="327"/>
      <c r="T627" s="327"/>
      <c r="U627" s="327"/>
      <c r="V627" s="327"/>
      <c r="W627" s="327"/>
      <c r="X627" s="327"/>
      <c r="Y627" s="327"/>
      <c r="Z627" s="327"/>
      <c r="AA627" s="327"/>
      <c r="AB627" s="327"/>
      <c r="AC627" s="327"/>
      <c r="AD627" s="327"/>
      <c r="AE627" s="327"/>
      <c r="AF627" s="327"/>
      <c r="AG627" s="327"/>
      <c r="AH627" s="327"/>
      <c r="AI627" s="327"/>
      <c r="AJ627" s="327"/>
      <c r="AK627" s="327"/>
      <c r="AL627" s="327"/>
      <c r="AM627" s="327"/>
    </row>
    <row r="628" spans="1:39">
      <c r="A628" s="69"/>
      <c r="B628" s="69"/>
      <c r="C628" s="327"/>
      <c r="D628" s="327"/>
      <c r="E628" s="327"/>
      <c r="F628" s="327"/>
      <c r="G628" s="327"/>
      <c r="H628" s="327"/>
      <c r="I628" s="327"/>
      <c r="J628" s="327"/>
      <c r="K628" s="327"/>
      <c r="L628" s="327"/>
      <c r="M628" s="327"/>
      <c r="N628" s="327"/>
      <c r="O628" s="327"/>
      <c r="P628" s="327"/>
      <c r="Q628" s="327"/>
      <c r="R628" s="327"/>
      <c r="S628" s="327"/>
      <c r="T628" s="327"/>
      <c r="U628" s="327"/>
      <c r="V628" s="327"/>
      <c r="W628" s="327"/>
      <c r="X628" s="327"/>
      <c r="Y628" s="327"/>
      <c r="Z628" s="327"/>
      <c r="AA628" s="327"/>
      <c r="AB628" s="327"/>
      <c r="AC628" s="327"/>
      <c r="AD628" s="327"/>
      <c r="AE628" s="327"/>
      <c r="AF628" s="327"/>
      <c r="AG628" s="327"/>
      <c r="AH628" s="327"/>
      <c r="AI628" s="327"/>
      <c r="AJ628" s="327"/>
      <c r="AK628" s="327"/>
      <c r="AL628" s="327"/>
      <c r="AM628" s="327"/>
    </row>
    <row r="629" spans="1:39">
      <c r="A629" s="69"/>
      <c r="B629" s="69"/>
      <c r="C629" s="327"/>
      <c r="D629" s="327"/>
      <c r="E629" s="327"/>
      <c r="F629" s="327"/>
      <c r="G629" s="327"/>
      <c r="H629" s="327"/>
      <c r="I629" s="327"/>
      <c r="J629" s="327"/>
      <c r="K629" s="327"/>
      <c r="L629" s="327"/>
      <c r="M629" s="327"/>
      <c r="N629" s="327"/>
      <c r="O629" s="327"/>
      <c r="P629" s="327"/>
      <c r="Q629" s="327"/>
      <c r="R629" s="327"/>
      <c r="S629" s="327"/>
      <c r="T629" s="327"/>
      <c r="U629" s="327"/>
      <c r="V629" s="327"/>
      <c r="W629" s="327"/>
      <c r="X629" s="327"/>
      <c r="Y629" s="327"/>
      <c r="Z629" s="327"/>
      <c r="AA629" s="327"/>
      <c r="AB629" s="327"/>
      <c r="AC629" s="327"/>
      <c r="AD629" s="327"/>
      <c r="AE629" s="327"/>
      <c r="AF629" s="327"/>
      <c r="AG629" s="327"/>
      <c r="AH629" s="327"/>
      <c r="AI629" s="327"/>
      <c r="AJ629" s="327"/>
      <c r="AK629" s="327"/>
      <c r="AL629" s="327"/>
      <c r="AM629" s="327"/>
    </row>
    <row r="630" spans="1:39">
      <c r="A630" s="69"/>
      <c r="B630" s="69"/>
      <c r="C630" s="327"/>
      <c r="D630" s="327"/>
      <c r="E630" s="327"/>
      <c r="F630" s="327"/>
      <c r="G630" s="327"/>
      <c r="H630" s="327"/>
      <c r="I630" s="327"/>
      <c r="J630" s="327"/>
      <c r="K630" s="327"/>
      <c r="L630" s="327"/>
      <c r="M630" s="327"/>
      <c r="N630" s="327"/>
      <c r="O630" s="327"/>
      <c r="P630" s="327"/>
      <c r="Q630" s="327"/>
      <c r="R630" s="327"/>
      <c r="S630" s="327"/>
      <c r="T630" s="327"/>
      <c r="U630" s="327"/>
      <c r="V630" s="327"/>
      <c r="W630" s="327"/>
      <c r="X630" s="327"/>
      <c r="Y630" s="327"/>
      <c r="Z630" s="327"/>
      <c r="AA630" s="327"/>
      <c r="AB630" s="327"/>
      <c r="AC630" s="327"/>
      <c r="AD630" s="327"/>
      <c r="AE630" s="327"/>
      <c r="AF630" s="327"/>
      <c r="AG630" s="327"/>
      <c r="AH630" s="327"/>
      <c r="AI630" s="327"/>
      <c r="AJ630" s="327"/>
      <c r="AK630" s="327"/>
      <c r="AL630" s="327"/>
      <c r="AM630" s="327"/>
    </row>
    <row r="631" spans="1:39">
      <c r="A631" s="69"/>
      <c r="B631" s="69"/>
      <c r="C631" s="327"/>
      <c r="D631" s="327"/>
      <c r="E631" s="327"/>
      <c r="F631" s="327"/>
      <c r="G631" s="327"/>
      <c r="H631" s="327"/>
      <c r="I631" s="327"/>
      <c r="J631" s="327"/>
      <c r="K631" s="327"/>
      <c r="L631" s="327"/>
      <c r="M631" s="327"/>
      <c r="N631" s="327"/>
      <c r="O631" s="327"/>
      <c r="P631" s="327"/>
      <c r="Q631" s="327"/>
      <c r="R631" s="327"/>
      <c r="S631" s="327"/>
      <c r="T631" s="327"/>
      <c r="U631" s="327"/>
      <c r="V631" s="327"/>
      <c r="W631" s="327"/>
      <c r="X631" s="327"/>
      <c r="Y631" s="327"/>
      <c r="Z631" s="327"/>
      <c r="AA631" s="327"/>
      <c r="AB631" s="327"/>
      <c r="AC631" s="327"/>
      <c r="AD631" s="327"/>
      <c r="AE631" s="327"/>
      <c r="AF631" s="327"/>
      <c r="AG631" s="327"/>
      <c r="AH631" s="327"/>
      <c r="AI631" s="327"/>
      <c r="AJ631" s="327"/>
      <c r="AK631" s="327"/>
      <c r="AL631" s="327"/>
      <c r="AM631" s="327"/>
    </row>
    <row r="632" spans="1:39">
      <c r="A632" s="69"/>
      <c r="B632" s="69"/>
      <c r="C632" s="327"/>
      <c r="D632" s="327"/>
      <c r="E632" s="327"/>
      <c r="F632" s="327"/>
      <c r="G632" s="327"/>
      <c r="H632" s="327"/>
      <c r="I632" s="327"/>
      <c r="J632" s="327"/>
      <c r="K632" s="327"/>
      <c r="L632" s="327"/>
      <c r="M632" s="327"/>
      <c r="N632" s="327"/>
      <c r="O632" s="327"/>
      <c r="P632" s="327"/>
      <c r="Q632" s="327"/>
      <c r="R632" s="327"/>
      <c r="S632" s="327"/>
      <c r="T632" s="327"/>
      <c r="U632" s="327"/>
      <c r="V632" s="327"/>
      <c r="W632" s="327"/>
      <c r="X632" s="327"/>
      <c r="Y632" s="327"/>
      <c r="Z632" s="327"/>
      <c r="AA632" s="327"/>
      <c r="AB632" s="327"/>
      <c r="AC632" s="327"/>
      <c r="AD632" s="327"/>
      <c r="AE632" s="327"/>
      <c r="AF632" s="327"/>
      <c r="AG632" s="327"/>
      <c r="AH632" s="327"/>
      <c r="AI632" s="327"/>
      <c r="AJ632" s="327"/>
      <c r="AK632" s="327"/>
      <c r="AL632" s="327"/>
      <c r="AM632" s="327"/>
    </row>
    <row r="633" spans="1:39">
      <c r="A633" s="69"/>
      <c r="B633" s="69"/>
      <c r="C633" s="327"/>
      <c r="D633" s="327"/>
      <c r="E633" s="327"/>
      <c r="F633" s="327"/>
      <c r="G633" s="327"/>
      <c r="H633" s="327"/>
      <c r="I633" s="327"/>
      <c r="J633" s="327"/>
      <c r="K633" s="327"/>
      <c r="L633" s="327"/>
      <c r="M633" s="327"/>
      <c r="N633" s="327"/>
      <c r="O633" s="327"/>
      <c r="P633" s="327"/>
      <c r="Q633" s="327"/>
      <c r="R633" s="327"/>
      <c r="S633" s="327"/>
      <c r="T633" s="327"/>
      <c r="U633" s="327"/>
      <c r="V633" s="327"/>
      <c r="W633" s="327"/>
      <c r="X633" s="327"/>
      <c r="Y633" s="327"/>
      <c r="Z633" s="327"/>
      <c r="AA633" s="327"/>
      <c r="AB633" s="327"/>
      <c r="AC633" s="327"/>
      <c r="AD633" s="327"/>
      <c r="AE633" s="327"/>
      <c r="AF633" s="327"/>
      <c r="AG633" s="327"/>
      <c r="AH633" s="327"/>
      <c r="AI633" s="327"/>
      <c r="AJ633" s="327"/>
      <c r="AK633" s="327"/>
      <c r="AL633" s="327"/>
      <c r="AM633" s="327"/>
    </row>
    <row r="634" spans="1:39">
      <c r="A634" s="69"/>
      <c r="B634" s="69"/>
      <c r="C634" s="327"/>
      <c r="D634" s="327"/>
      <c r="E634" s="327"/>
      <c r="F634" s="327"/>
      <c r="G634" s="327"/>
      <c r="H634" s="327"/>
      <c r="I634" s="327"/>
      <c r="J634" s="327"/>
      <c r="K634" s="327"/>
      <c r="L634" s="327"/>
      <c r="M634" s="327"/>
      <c r="N634" s="327"/>
      <c r="O634" s="327"/>
      <c r="P634" s="327"/>
      <c r="Q634" s="327"/>
      <c r="R634" s="327"/>
      <c r="S634" s="327"/>
      <c r="T634" s="327"/>
      <c r="U634" s="327"/>
      <c r="V634" s="327"/>
      <c r="W634" s="327"/>
      <c r="X634" s="327"/>
      <c r="Y634" s="327"/>
      <c r="Z634" s="327"/>
      <c r="AA634" s="327"/>
      <c r="AB634" s="327"/>
      <c r="AC634" s="327"/>
      <c r="AD634" s="327"/>
      <c r="AE634" s="327"/>
      <c r="AF634" s="327"/>
      <c r="AG634" s="327"/>
      <c r="AH634" s="327"/>
      <c r="AI634" s="327"/>
      <c r="AJ634" s="327"/>
      <c r="AK634" s="327"/>
      <c r="AL634" s="327"/>
      <c r="AM634" s="327"/>
    </row>
    <row r="635" spans="1:39">
      <c r="A635" s="69"/>
      <c r="B635" s="69"/>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327"/>
      <c r="AE635" s="327"/>
      <c r="AF635" s="327"/>
      <c r="AG635" s="327"/>
      <c r="AH635" s="327"/>
      <c r="AI635" s="327"/>
      <c r="AJ635" s="327"/>
      <c r="AK635" s="327"/>
      <c r="AL635" s="327"/>
      <c r="AM635" s="327"/>
    </row>
    <row r="636" spans="1:39">
      <c r="A636" s="69"/>
      <c r="B636" s="69"/>
      <c r="C636" s="327"/>
      <c r="D636" s="327"/>
      <c r="E636" s="327"/>
      <c r="F636" s="327"/>
      <c r="G636" s="327"/>
      <c r="H636" s="327"/>
      <c r="I636" s="327"/>
      <c r="J636" s="327"/>
      <c r="K636" s="327"/>
      <c r="L636" s="327"/>
      <c r="M636" s="327"/>
      <c r="N636" s="327"/>
      <c r="O636" s="327"/>
      <c r="P636" s="327"/>
      <c r="Q636" s="327"/>
      <c r="R636" s="327"/>
      <c r="S636" s="327"/>
      <c r="T636" s="327"/>
      <c r="U636" s="327"/>
      <c r="V636" s="327"/>
      <c r="W636" s="327"/>
      <c r="X636" s="327"/>
      <c r="Y636" s="327"/>
      <c r="Z636" s="327"/>
      <c r="AA636" s="327"/>
      <c r="AB636" s="327"/>
      <c r="AC636" s="327"/>
      <c r="AD636" s="327"/>
      <c r="AE636" s="327"/>
      <c r="AF636" s="327"/>
      <c r="AG636" s="327"/>
      <c r="AH636" s="327"/>
      <c r="AI636" s="327"/>
      <c r="AJ636" s="327"/>
      <c r="AK636" s="327"/>
      <c r="AL636" s="327"/>
      <c r="AM636" s="327"/>
    </row>
    <row r="637" spans="1:39">
      <c r="A637" s="69"/>
      <c r="B637" s="69"/>
      <c r="C637" s="327"/>
      <c r="D637" s="327"/>
      <c r="E637" s="327"/>
      <c r="F637" s="327"/>
      <c r="G637" s="327"/>
      <c r="H637" s="327"/>
      <c r="I637" s="327"/>
      <c r="J637" s="327"/>
      <c r="K637" s="327"/>
      <c r="L637" s="327"/>
      <c r="M637" s="327"/>
      <c r="N637" s="327"/>
      <c r="O637" s="327"/>
      <c r="P637" s="327"/>
      <c r="Q637" s="327"/>
      <c r="R637" s="327"/>
      <c r="S637" s="327"/>
      <c r="T637" s="327"/>
      <c r="U637" s="327"/>
      <c r="V637" s="327"/>
      <c r="W637" s="327"/>
      <c r="X637" s="327"/>
      <c r="Y637" s="327"/>
      <c r="Z637" s="327"/>
      <c r="AA637" s="327"/>
      <c r="AB637" s="327"/>
      <c r="AC637" s="327"/>
      <c r="AD637" s="327"/>
      <c r="AE637" s="327"/>
      <c r="AF637" s="327"/>
      <c r="AG637" s="327"/>
      <c r="AH637" s="327"/>
      <c r="AI637" s="327"/>
      <c r="AJ637" s="327"/>
      <c r="AK637" s="327"/>
      <c r="AL637" s="327"/>
      <c r="AM637" s="327"/>
    </row>
    <row r="638" spans="1:39">
      <c r="A638" s="69"/>
      <c r="B638" s="69"/>
      <c r="C638" s="327"/>
      <c r="D638" s="327"/>
      <c r="E638" s="327"/>
      <c r="F638" s="327"/>
      <c r="G638" s="327"/>
      <c r="H638" s="327"/>
      <c r="I638" s="327"/>
      <c r="J638" s="327"/>
      <c r="K638" s="327"/>
      <c r="L638" s="327"/>
      <c r="M638" s="327"/>
      <c r="N638" s="327"/>
      <c r="O638" s="327"/>
      <c r="P638" s="327"/>
      <c r="Q638" s="327"/>
      <c r="R638" s="327"/>
      <c r="S638" s="327"/>
      <c r="T638" s="327"/>
      <c r="U638" s="327"/>
      <c r="V638" s="327"/>
      <c r="W638" s="327"/>
      <c r="X638" s="327"/>
      <c r="Y638" s="327"/>
      <c r="Z638" s="327"/>
      <c r="AA638" s="327"/>
      <c r="AB638" s="327"/>
      <c r="AC638" s="327"/>
      <c r="AD638" s="327"/>
      <c r="AE638" s="327"/>
      <c r="AF638" s="327"/>
      <c r="AG638" s="327"/>
      <c r="AH638" s="327"/>
      <c r="AI638" s="327"/>
      <c r="AJ638" s="327"/>
      <c r="AK638" s="327"/>
      <c r="AL638" s="327"/>
      <c r="AM638" s="327"/>
    </row>
    <row r="639" spans="1:39">
      <c r="A639" s="69"/>
      <c r="B639" s="69"/>
      <c r="C639" s="327"/>
      <c r="D639" s="327"/>
      <c r="E639" s="327"/>
      <c r="F639" s="327"/>
      <c r="G639" s="327"/>
      <c r="H639" s="327"/>
      <c r="I639" s="327"/>
      <c r="J639" s="327"/>
      <c r="K639" s="327"/>
      <c r="L639" s="327"/>
      <c r="M639" s="327"/>
      <c r="N639" s="327"/>
      <c r="O639" s="327"/>
      <c r="P639" s="327"/>
      <c r="Q639" s="327"/>
      <c r="R639" s="327"/>
      <c r="S639" s="327"/>
      <c r="T639" s="327"/>
      <c r="U639" s="327"/>
      <c r="V639" s="327"/>
      <c r="W639" s="327"/>
      <c r="X639" s="327"/>
      <c r="Y639" s="327"/>
      <c r="Z639" s="327"/>
      <c r="AA639" s="327"/>
      <c r="AB639" s="327"/>
      <c r="AC639" s="327"/>
      <c r="AD639" s="327"/>
      <c r="AE639" s="327"/>
      <c r="AF639" s="327"/>
      <c r="AG639" s="327"/>
      <c r="AH639" s="327"/>
      <c r="AI639" s="327"/>
      <c r="AJ639" s="327"/>
      <c r="AK639" s="327"/>
      <c r="AL639" s="327"/>
      <c r="AM639" s="327"/>
    </row>
    <row r="640" spans="1:39">
      <c r="A640" s="69"/>
      <c r="B640" s="69"/>
      <c r="C640" s="327"/>
      <c r="D640" s="327"/>
      <c r="E640" s="327"/>
      <c r="F640" s="327"/>
      <c r="G640" s="327"/>
      <c r="H640" s="327"/>
      <c r="I640" s="327"/>
      <c r="J640" s="327"/>
      <c r="K640" s="327"/>
      <c r="L640" s="327"/>
      <c r="M640" s="327"/>
      <c r="N640" s="327"/>
      <c r="O640" s="327"/>
      <c r="P640" s="327"/>
      <c r="Q640" s="327"/>
      <c r="R640" s="327"/>
      <c r="S640" s="327"/>
      <c r="T640" s="327"/>
      <c r="U640" s="327"/>
      <c r="V640" s="327"/>
      <c r="W640" s="327"/>
      <c r="X640" s="327"/>
      <c r="Y640" s="327"/>
      <c r="Z640" s="327"/>
      <c r="AA640" s="327"/>
      <c r="AB640" s="327"/>
      <c r="AC640" s="327"/>
      <c r="AD640" s="327"/>
      <c r="AE640" s="327"/>
      <c r="AF640" s="327"/>
      <c r="AG640" s="327"/>
      <c r="AH640" s="327"/>
      <c r="AI640" s="327"/>
      <c r="AJ640" s="327"/>
      <c r="AK640" s="327"/>
      <c r="AL640" s="327"/>
      <c r="AM640" s="327"/>
    </row>
    <row r="641" spans="1:39">
      <c r="A641" s="69"/>
      <c r="B641" s="69"/>
      <c r="C641" s="327"/>
      <c r="D641" s="327"/>
      <c r="E641" s="327"/>
      <c r="F641" s="327"/>
      <c r="G641" s="327"/>
      <c r="H641" s="327"/>
      <c r="I641" s="327"/>
      <c r="J641" s="327"/>
      <c r="K641" s="327"/>
      <c r="L641" s="327"/>
      <c r="M641" s="327"/>
      <c r="N641" s="327"/>
      <c r="O641" s="327"/>
      <c r="P641" s="327"/>
      <c r="Q641" s="327"/>
      <c r="R641" s="327"/>
      <c r="S641" s="327"/>
      <c r="T641" s="327"/>
      <c r="U641" s="327"/>
      <c r="V641" s="327"/>
      <c r="W641" s="327"/>
      <c r="X641" s="327"/>
      <c r="Y641" s="327"/>
      <c r="Z641" s="327"/>
      <c r="AA641" s="327"/>
      <c r="AB641" s="327"/>
      <c r="AC641" s="327"/>
      <c r="AD641" s="327"/>
      <c r="AE641" s="327"/>
      <c r="AF641" s="327"/>
      <c r="AG641" s="327"/>
      <c r="AH641" s="327"/>
      <c r="AI641" s="327"/>
      <c r="AJ641" s="327"/>
      <c r="AK641" s="327"/>
      <c r="AL641" s="327"/>
      <c r="AM641" s="327"/>
    </row>
    <row r="642" spans="1:39">
      <c r="A642" s="69"/>
      <c r="B642" s="69"/>
      <c r="C642" s="327"/>
      <c r="D642" s="327"/>
      <c r="E642" s="327"/>
      <c r="F642" s="327"/>
      <c r="G642" s="327"/>
      <c r="H642" s="327"/>
      <c r="I642" s="327"/>
      <c r="J642" s="327"/>
      <c r="K642" s="327"/>
      <c r="L642" s="327"/>
      <c r="M642" s="327"/>
      <c r="N642" s="327"/>
      <c r="O642" s="327"/>
      <c r="P642" s="327"/>
      <c r="Q642" s="327"/>
      <c r="R642" s="327"/>
      <c r="S642" s="327"/>
      <c r="T642" s="327"/>
      <c r="U642" s="327"/>
      <c r="V642" s="327"/>
      <c r="W642" s="327"/>
      <c r="X642" s="327"/>
      <c r="Y642" s="327"/>
      <c r="Z642" s="327"/>
      <c r="AA642" s="327"/>
      <c r="AB642" s="327"/>
      <c r="AC642" s="327"/>
      <c r="AD642" s="327"/>
      <c r="AE642" s="327"/>
      <c r="AF642" s="327"/>
      <c r="AG642" s="327"/>
      <c r="AH642" s="327"/>
      <c r="AI642" s="327"/>
      <c r="AJ642" s="327"/>
      <c r="AK642" s="327"/>
      <c r="AL642" s="327"/>
      <c r="AM642" s="327"/>
    </row>
    <row r="643" spans="1:39">
      <c r="A643" s="69"/>
      <c r="B643" s="69"/>
      <c r="C643" s="327"/>
      <c r="D643" s="327"/>
      <c r="E643" s="327"/>
      <c r="F643" s="327"/>
      <c r="G643" s="327"/>
      <c r="H643" s="327"/>
      <c r="I643" s="327"/>
      <c r="J643" s="327"/>
      <c r="K643" s="327"/>
      <c r="L643" s="327"/>
      <c r="M643" s="327"/>
      <c r="N643" s="327"/>
      <c r="O643" s="327"/>
      <c r="P643" s="327"/>
      <c r="Q643" s="327"/>
      <c r="R643" s="327"/>
      <c r="S643" s="327"/>
      <c r="T643" s="327"/>
      <c r="U643" s="327"/>
      <c r="V643" s="327"/>
      <c r="W643" s="327"/>
      <c r="X643" s="327"/>
      <c r="Y643" s="327"/>
      <c r="Z643" s="327"/>
      <c r="AA643" s="327"/>
      <c r="AB643" s="327"/>
      <c r="AC643" s="327"/>
      <c r="AD643" s="327"/>
      <c r="AE643" s="327"/>
      <c r="AF643" s="327"/>
      <c r="AG643" s="327"/>
      <c r="AH643" s="327"/>
      <c r="AI643" s="327"/>
      <c r="AJ643" s="327"/>
      <c r="AK643" s="327"/>
      <c r="AL643" s="327"/>
      <c r="AM643" s="327"/>
    </row>
    <row r="644" spans="1:39">
      <c r="A644" s="69"/>
      <c r="B644" s="69"/>
      <c r="C644" s="327"/>
      <c r="D644" s="327"/>
      <c r="E644" s="327"/>
      <c r="F644" s="327"/>
      <c r="G644" s="327"/>
      <c r="H644" s="327"/>
      <c r="I644" s="327"/>
      <c r="J644" s="327"/>
      <c r="K644" s="327"/>
      <c r="L644" s="327"/>
      <c r="M644" s="327"/>
      <c r="N644" s="327"/>
      <c r="O644" s="327"/>
      <c r="P644" s="327"/>
      <c r="Q644" s="327"/>
      <c r="R644" s="327"/>
      <c r="S644" s="327"/>
      <c r="T644" s="327"/>
      <c r="U644" s="327"/>
      <c r="V644" s="327"/>
      <c r="W644" s="327"/>
      <c r="X644" s="327"/>
      <c r="Y644" s="327"/>
      <c r="Z644" s="327"/>
      <c r="AA644" s="327"/>
      <c r="AB644" s="327"/>
      <c r="AC644" s="327"/>
      <c r="AD644" s="327"/>
      <c r="AE644" s="327"/>
      <c r="AF644" s="327"/>
      <c r="AG644" s="327"/>
      <c r="AH644" s="327"/>
      <c r="AI644" s="327"/>
      <c r="AJ644" s="327"/>
      <c r="AK644" s="327"/>
      <c r="AL644" s="327"/>
      <c r="AM644" s="327"/>
    </row>
    <row r="645" spans="1:39">
      <c r="A645" s="69"/>
      <c r="B645" s="69"/>
      <c r="C645" s="327"/>
      <c r="D645" s="327"/>
      <c r="E645" s="327"/>
      <c r="F645" s="327"/>
      <c r="G645" s="327"/>
      <c r="H645" s="327"/>
      <c r="I645" s="327"/>
      <c r="J645" s="327"/>
      <c r="K645" s="327"/>
      <c r="L645" s="327"/>
      <c r="M645" s="327"/>
      <c r="N645" s="327"/>
      <c r="O645" s="327"/>
      <c r="P645" s="327"/>
      <c r="Q645" s="327"/>
      <c r="R645" s="327"/>
      <c r="S645" s="327"/>
      <c r="T645" s="327"/>
      <c r="U645" s="327"/>
      <c r="V645" s="327"/>
      <c r="W645" s="327"/>
      <c r="X645" s="327"/>
      <c r="Y645" s="327"/>
      <c r="Z645" s="327"/>
      <c r="AA645" s="327"/>
      <c r="AB645" s="327"/>
      <c r="AC645" s="327"/>
      <c r="AD645" s="327"/>
      <c r="AE645" s="327"/>
      <c r="AF645" s="327"/>
      <c r="AG645" s="327"/>
      <c r="AH645" s="327"/>
      <c r="AI645" s="327"/>
      <c r="AJ645" s="327"/>
      <c r="AK645" s="327"/>
      <c r="AL645" s="327"/>
      <c r="AM645" s="327"/>
    </row>
    <row r="646" spans="1:39">
      <c r="A646" s="69"/>
      <c r="B646" s="69"/>
      <c r="C646" s="327"/>
      <c r="D646" s="327"/>
      <c r="E646" s="327"/>
      <c r="F646" s="327"/>
      <c r="G646" s="327"/>
      <c r="H646" s="327"/>
      <c r="I646" s="327"/>
      <c r="J646" s="327"/>
      <c r="K646" s="327"/>
      <c r="L646" s="327"/>
      <c r="M646" s="327"/>
      <c r="N646" s="327"/>
      <c r="O646" s="327"/>
      <c r="P646" s="327"/>
      <c r="Q646" s="327"/>
      <c r="R646" s="327"/>
      <c r="S646" s="327"/>
      <c r="T646" s="327"/>
      <c r="U646" s="327"/>
      <c r="V646" s="327"/>
      <c r="W646" s="327"/>
      <c r="X646" s="327"/>
      <c r="Y646" s="327"/>
      <c r="Z646" s="327"/>
      <c r="AA646" s="327"/>
      <c r="AB646" s="327"/>
      <c r="AC646" s="327"/>
      <c r="AD646" s="327"/>
      <c r="AE646" s="327"/>
      <c r="AF646" s="327"/>
      <c r="AG646" s="327"/>
      <c r="AH646" s="327"/>
      <c r="AI646" s="327"/>
      <c r="AJ646" s="327"/>
      <c r="AK646" s="327"/>
      <c r="AL646" s="327"/>
      <c r="AM646" s="327"/>
    </row>
    <row r="647" spans="1:39">
      <c r="A647" s="69"/>
      <c r="B647" s="69"/>
      <c r="C647" s="327"/>
      <c r="D647" s="327"/>
      <c r="E647" s="327"/>
      <c r="F647" s="327"/>
      <c r="G647" s="327"/>
      <c r="H647" s="327"/>
      <c r="I647" s="327"/>
      <c r="J647" s="327"/>
      <c r="K647" s="327"/>
      <c r="L647" s="327"/>
      <c r="M647" s="327"/>
      <c r="N647" s="327"/>
      <c r="O647" s="327"/>
      <c r="P647" s="327"/>
      <c r="Q647" s="327"/>
      <c r="R647" s="327"/>
      <c r="S647" s="327"/>
      <c r="T647" s="327"/>
      <c r="U647" s="327"/>
      <c r="V647" s="327"/>
      <c r="W647" s="327"/>
      <c r="X647" s="327"/>
      <c r="Y647" s="327"/>
      <c r="Z647" s="327"/>
      <c r="AA647" s="327"/>
      <c r="AB647" s="327"/>
      <c r="AC647" s="327"/>
      <c r="AD647" s="327"/>
      <c r="AE647" s="327"/>
      <c r="AF647" s="327"/>
      <c r="AG647" s="327"/>
      <c r="AH647" s="327"/>
      <c r="AI647" s="327"/>
      <c r="AJ647" s="327"/>
      <c r="AK647" s="327"/>
      <c r="AL647" s="327"/>
      <c r="AM647" s="327"/>
    </row>
    <row r="648" spans="1:39">
      <c r="A648" s="69"/>
      <c r="B648" s="69"/>
      <c r="C648" s="327"/>
      <c r="D648" s="327"/>
      <c r="E648" s="327"/>
      <c r="F648" s="327"/>
      <c r="G648" s="327"/>
      <c r="H648" s="327"/>
      <c r="I648" s="327"/>
      <c r="J648" s="327"/>
      <c r="K648" s="327"/>
      <c r="L648" s="327"/>
      <c r="M648" s="327"/>
      <c r="N648" s="327"/>
      <c r="O648" s="327"/>
      <c r="P648" s="327"/>
      <c r="Q648" s="327"/>
      <c r="R648" s="327"/>
      <c r="S648" s="327"/>
      <c r="T648" s="327"/>
      <c r="U648" s="327"/>
      <c r="V648" s="327"/>
      <c r="W648" s="327"/>
      <c r="X648" s="327"/>
      <c r="Y648" s="327"/>
      <c r="Z648" s="327"/>
      <c r="AA648" s="327"/>
      <c r="AB648" s="327"/>
      <c r="AC648" s="327"/>
      <c r="AD648" s="327"/>
      <c r="AE648" s="327"/>
      <c r="AF648" s="327"/>
      <c r="AG648" s="327"/>
      <c r="AH648" s="327"/>
      <c r="AI648" s="327"/>
      <c r="AJ648" s="327"/>
      <c r="AK648" s="327"/>
      <c r="AL648" s="327"/>
      <c r="AM648" s="327"/>
    </row>
    <row r="649" spans="1:39">
      <c r="A649" s="69"/>
      <c r="B649" s="69"/>
      <c r="C649" s="327"/>
      <c r="D649" s="327"/>
      <c r="E649" s="327"/>
      <c r="F649" s="327"/>
      <c r="G649" s="327"/>
      <c r="H649" s="327"/>
      <c r="I649" s="327"/>
      <c r="J649" s="327"/>
      <c r="K649" s="327"/>
      <c r="L649" s="327"/>
      <c r="M649" s="327"/>
      <c r="N649" s="327"/>
      <c r="O649" s="327"/>
      <c r="P649" s="327"/>
      <c r="Q649" s="327"/>
      <c r="R649" s="327"/>
      <c r="S649" s="327"/>
      <c r="T649" s="327"/>
      <c r="U649" s="327"/>
      <c r="V649" s="327"/>
      <c r="W649" s="327"/>
      <c r="X649" s="327"/>
      <c r="Y649" s="327"/>
      <c r="Z649" s="327"/>
      <c r="AA649" s="327"/>
      <c r="AB649" s="327"/>
      <c r="AC649" s="327"/>
      <c r="AD649" s="327"/>
      <c r="AE649" s="327"/>
      <c r="AF649" s="327"/>
      <c r="AG649" s="327"/>
      <c r="AH649" s="327"/>
      <c r="AI649" s="327"/>
      <c r="AJ649" s="327"/>
      <c r="AK649" s="327"/>
      <c r="AL649" s="327"/>
      <c r="AM649" s="327"/>
    </row>
    <row r="650" spans="1:39">
      <c r="A650" s="69"/>
      <c r="B650" s="69"/>
      <c r="C650" s="327"/>
      <c r="D650" s="327"/>
      <c r="E650" s="327"/>
      <c r="F650" s="327"/>
      <c r="G650" s="327"/>
      <c r="H650" s="327"/>
      <c r="I650" s="327"/>
      <c r="J650" s="327"/>
      <c r="K650" s="327"/>
      <c r="L650" s="327"/>
      <c r="M650" s="327"/>
      <c r="N650" s="327"/>
      <c r="O650" s="327"/>
      <c r="P650" s="327"/>
      <c r="Q650" s="327"/>
      <c r="R650" s="327"/>
      <c r="S650" s="327"/>
      <c r="T650" s="327"/>
      <c r="U650" s="327"/>
      <c r="V650" s="327"/>
      <c r="W650" s="327"/>
      <c r="X650" s="327"/>
      <c r="Y650" s="327"/>
      <c r="Z650" s="327"/>
      <c r="AA650" s="327"/>
      <c r="AB650" s="327"/>
      <c r="AC650" s="327"/>
      <c r="AD650" s="327"/>
      <c r="AE650" s="327"/>
      <c r="AF650" s="327"/>
      <c r="AG650" s="327"/>
      <c r="AH650" s="327"/>
      <c r="AI650" s="327"/>
      <c r="AJ650" s="327"/>
      <c r="AK650" s="327"/>
      <c r="AL650" s="327"/>
      <c r="AM650" s="327"/>
    </row>
    <row r="651" spans="1:39">
      <c r="A651" s="69"/>
      <c r="B651" s="69"/>
      <c r="C651" s="327"/>
      <c r="D651" s="327"/>
      <c r="E651" s="327"/>
      <c r="F651" s="327"/>
      <c r="G651" s="327"/>
      <c r="H651" s="327"/>
      <c r="I651" s="327"/>
      <c r="J651" s="327"/>
      <c r="K651" s="327"/>
      <c r="L651" s="327"/>
      <c r="M651" s="327"/>
      <c r="N651" s="327"/>
      <c r="O651" s="327"/>
      <c r="P651" s="327"/>
      <c r="Q651" s="327"/>
      <c r="R651" s="327"/>
      <c r="S651" s="327"/>
      <c r="T651" s="327"/>
      <c r="U651" s="327"/>
      <c r="V651" s="327"/>
      <c r="W651" s="327"/>
      <c r="X651" s="327"/>
      <c r="Y651" s="327"/>
      <c r="Z651" s="327"/>
      <c r="AA651" s="327"/>
      <c r="AB651" s="327"/>
      <c r="AC651" s="327"/>
      <c r="AD651" s="327"/>
      <c r="AE651" s="327"/>
      <c r="AF651" s="327"/>
      <c r="AG651" s="327"/>
      <c r="AH651" s="327"/>
      <c r="AI651" s="327"/>
      <c r="AJ651" s="327"/>
      <c r="AK651" s="327"/>
      <c r="AL651" s="327"/>
      <c r="AM651" s="327"/>
    </row>
    <row r="652" spans="1:39">
      <c r="A652" s="69"/>
      <c r="B652" s="69"/>
      <c r="C652" s="327"/>
      <c r="D652" s="327"/>
      <c r="E652" s="327"/>
      <c r="F652" s="327"/>
      <c r="G652" s="327"/>
      <c r="H652" s="327"/>
      <c r="I652" s="327"/>
      <c r="J652" s="327"/>
      <c r="K652" s="327"/>
      <c r="L652" s="327"/>
      <c r="M652" s="327"/>
      <c r="N652" s="327"/>
      <c r="O652" s="327"/>
      <c r="P652" s="327"/>
      <c r="Q652" s="327"/>
      <c r="R652" s="327"/>
      <c r="S652" s="327"/>
      <c r="T652" s="327"/>
      <c r="U652" s="327"/>
      <c r="V652" s="327"/>
      <c r="W652" s="327"/>
      <c r="X652" s="327"/>
      <c r="Y652" s="327"/>
      <c r="Z652" s="327"/>
      <c r="AA652" s="327"/>
      <c r="AB652" s="327"/>
      <c r="AC652" s="327"/>
      <c r="AD652" s="327"/>
      <c r="AE652" s="327"/>
      <c r="AF652" s="327"/>
      <c r="AG652" s="327"/>
      <c r="AH652" s="327"/>
      <c r="AI652" s="327"/>
      <c r="AJ652" s="327"/>
      <c r="AK652" s="327"/>
      <c r="AL652" s="327"/>
      <c r="AM652" s="327"/>
    </row>
    <row r="653" spans="1:39">
      <c r="A653" s="69"/>
      <c r="B653" s="69"/>
      <c r="C653" s="327"/>
      <c r="D653" s="327"/>
      <c r="E653" s="327"/>
      <c r="F653" s="327"/>
      <c r="G653" s="327"/>
      <c r="H653" s="327"/>
      <c r="I653" s="327"/>
      <c r="J653" s="327"/>
      <c r="K653" s="327"/>
      <c r="L653" s="327"/>
      <c r="M653" s="327"/>
      <c r="N653" s="327"/>
      <c r="O653" s="327"/>
      <c r="P653" s="327"/>
      <c r="Q653" s="327"/>
      <c r="R653" s="327"/>
      <c r="S653" s="327"/>
      <c r="T653" s="327"/>
      <c r="U653" s="327"/>
      <c r="V653" s="327"/>
      <c r="W653" s="327"/>
      <c r="X653" s="327"/>
      <c r="Y653" s="327"/>
      <c r="Z653" s="327"/>
      <c r="AA653" s="327"/>
      <c r="AB653" s="327"/>
      <c r="AC653" s="327"/>
      <c r="AD653" s="327"/>
      <c r="AE653" s="327"/>
      <c r="AF653" s="327"/>
      <c r="AG653" s="327"/>
      <c r="AH653" s="327"/>
      <c r="AI653" s="327"/>
      <c r="AJ653" s="327"/>
      <c r="AK653" s="327"/>
      <c r="AL653" s="327"/>
      <c r="AM653" s="327"/>
    </row>
    <row r="654" spans="1:39">
      <c r="A654" s="69"/>
      <c r="B654" s="69"/>
      <c r="C654" s="327"/>
      <c r="D654" s="327"/>
      <c r="E654" s="327"/>
      <c r="F654" s="327"/>
      <c r="G654" s="327"/>
      <c r="H654" s="327"/>
      <c r="I654" s="327"/>
      <c r="J654" s="327"/>
      <c r="K654" s="327"/>
      <c r="L654" s="327"/>
      <c r="M654" s="327"/>
      <c r="N654" s="327"/>
      <c r="O654" s="327"/>
      <c r="P654" s="327"/>
      <c r="Q654" s="327"/>
      <c r="R654" s="327"/>
      <c r="S654" s="327"/>
      <c r="T654" s="327"/>
      <c r="U654" s="327"/>
      <c r="V654" s="327"/>
      <c r="W654" s="327"/>
      <c r="X654" s="327"/>
      <c r="Y654" s="327"/>
      <c r="Z654" s="327"/>
      <c r="AA654" s="327"/>
      <c r="AB654" s="327"/>
      <c r="AC654" s="327"/>
      <c r="AD654" s="327"/>
      <c r="AE654" s="327"/>
      <c r="AF654" s="327"/>
      <c r="AG654" s="327"/>
      <c r="AH654" s="327"/>
      <c r="AI654" s="327"/>
      <c r="AJ654" s="327"/>
      <c r="AK654" s="327"/>
      <c r="AL654" s="327"/>
      <c r="AM654" s="327"/>
    </row>
    <row r="655" spans="1:39">
      <c r="A655" s="69"/>
      <c r="B655" s="69"/>
      <c r="C655" s="327"/>
      <c r="D655" s="327"/>
      <c r="E655" s="327"/>
      <c r="F655" s="327"/>
      <c r="G655" s="327"/>
      <c r="H655" s="327"/>
      <c r="I655" s="327"/>
      <c r="J655" s="327"/>
      <c r="K655" s="327"/>
      <c r="L655" s="327"/>
      <c r="M655" s="327"/>
      <c r="N655" s="327"/>
      <c r="O655" s="327"/>
      <c r="P655" s="327"/>
      <c r="Q655" s="327"/>
      <c r="R655" s="327"/>
      <c r="S655" s="327"/>
      <c r="T655" s="327"/>
      <c r="U655" s="327"/>
      <c r="V655" s="327"/>
      <c r="W655" s="327"/>
      <c r="X655" s="327"/>
      <c r="Y655" s="327"/>
      <c r="Z655" s="327"/>
      <c r="AA655" s="327"/>
      <c r="AB655" s="327"/>
      <c r="AC655" s="327"/>
      <c r="AD655" s="327"/>
      <c r="AE655" s="327"/>
      <c r="AF655" s="327"/>
      <c r="AG655" s="327"/>
      <c r="AH655" s="327"/>
      <c r="AI655" s="327"/>
      <c r="AJ655" s="327"/>
      <c r="AK655" s="327"/>
      <c r="AL655" s="327"/>
      <c r="AM655" s="327"/>
    </row>
    <row r="656" spans="1:39">
      <c r="A656" s="69"/>
      <c r="B656" s="69"/>
      <c r="C656" s="327"/>
      <c r="D656" s="327"/>
      <c r="E656" s="327"/>
      <c r="F656" s="327"/>
      <c r="G656" s="327"/>
      <c r="H656" s="327"/>
      <c r="I656" s="327"/>
      <c r="J656" s="327"/>
      <c r="K656" s="327"/>
      <c r="L656" s="327"/>
      <c r="M656" s="327"/>
      <c r="N656" s="327"/>
      <c r="O656" s="327"/>
      <c r="P656" s="327"/>
      <c r="Q656" s="327"/>
      <c r="R656" s="327"/>
      <c r="S656" s="327"/>
      <c r="T656" s="327"/>
      <c r="U656" s="327"/>
      <c r="V656" s="327"/>
      <c r="W656" s="327"/>
      <c r="X656" s="327"/>
      <c r="Y656" s="327"/>
      <c r="Z656" s="327"/>
      <c r="AA656" s="327"/>
      <c r="AB656" s="327"/>
      <c r="AC656" s="327"/>
      <c r="AD656" s="327"/>
      <c r="AE656" s="327"/>
      <c r="AF656" s="327"/>
      <c r="AG656" s="327"/>
      <c r="AH656" s="327"/>
      <c r="AI656" s="327"/>
      <c r="AJ656" s="327"/>
      <c r="AK656" s="327"/>
      <c r="AL656" s="327"/>
      <c r="AM656" s="327"/>
    </row>
    <row r="657" spans="1:39">
      <c r="A657" s="69"/>
      <c r="B657" s="69"/>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327"/>
      <c r="AE657" s="327"/>
      <c r="AF657" s="327"/>
      <c r="AG657" s="327"/>
      <c r="AH657" s="327"/>
      <c r="AI657" s="327"/>
      <c r="AJ657" s="327"/>
      <c r="AK657" s="327"/>
      <c r="AL657" s="327"/>
      <c r="AM657" s="327"/>
    </row>
    <row r="658" spans="1:39">
      <c r="A658" s="69"/>
      <c r="B658" s="69"/>
      <c r="C658" s="327"/>
      <c r="D658" s="327"/>
      <c r="E658" s="327"/>
      <c r="F658" s="327"/>
      <c r="G658" s="327"/>
      <c r="H658" s="327"/>
      <c r="I658" s="327"/>
      <c r="J658" s="327"/>
      <c r="K658" s="327"/>
      <c r="L658" s="327"/>
      <c r="M658" s="327"/>
      <c r="N658" s="327"/>
      <c r="O658" s="327"/>
      <c r="P658" s="327"/>
      <c r="Q658" s="327"/>
      <c r="R658" s="327"/>
      <c r="S658" s="327"/>
      <c r="T658" s="327"/>
      <c r="U658" s="327"/>
      <c r="V658" s="327"/>
      <c r="W658" s="327"/>
      <c r="X658" s="327"/>
      <c r="Y658" s="327"/>
      <c r="Z658" s="327"/>
      <c r="AA658" s="327"/>
      <c r="AB658" s="327"/>
      <c r="AC658" s="327"/>
      <c r="AD658" s="327"/>
      <c r="AE658" s="327"/>
      <c r="AF658" s="327"/>
      <c r="AG658" s="327"/>
      <c r="AH658" s="327"/>
      <c r="AI658" s="327"/>
      <c r="AJ658" s="327"/>
      <c r="AK658" s="327"/>
      <c r="AL658" s="327"/>
      <c r="AM658" s="327"/>
    </row>
    <row r="659" spans="1:39">
      <c r="A659" s="69"/>
      <c r="B659" s="69"/>
      <c r="C659" s="327"/>
      <c r="D659" s="327"/>
      <c r="E659" s="327"/>
      <c r="F659" s="327"/>
      <c r="G659" s="327"/>
      <c r="H659" s="327"/>
      <c r="I659" s="327"/>
      <c r="J659" s="327"/>
      <c r="K659" s="327"/>
      <c r="L659" s="327"/>
      <c r="M659" s="327"/>
      <c r="N659" s="327"/>
      <c r="O659" s="327"/>
      <c r="P659" s="327"/>
      <c r="Q659" s="327"/>
      <c r="R659" s="327"/>
      <c r="S659" s="327"/>
      <c r="T659" s="327"/>
      <c r="U659" s="327"/>
      <c r="V659" s="327"/>
      <c r="W659" s="327"/>
      <c r="X659" s="327"/>
      <c r="Y659" s="327"/>
      <c r="Z659" s="327"/>
      <c r="AA659" s="327"/>
      <c r="AB659" s="327"/>
      <c r="AC659" s="327"/>
      <c r="AD659" s="327"/>
      <c r="AE659" s="327"/>
      <c r="AF659" s="327"/>
      <c r="AG659" s="327"/>
      <c r="AH659" s="327"/>
      <c r="AI659" s="327"/>
      <c r="AJ659" s="327"/>
      <c r="AK659" s="327"/>
      <c r="AL659" s="327"/>
      <c r="AM659" s="327"/>
    </row>
    <row r="660" spans="1:39">
      <c r="A660" s="69"/>
      <c r="B660" s="69"/>
      <c r="C660" s="327"/>
      <c r="D660" s="327"/>
      <c r="E660" s="327"/>
      <c r="F660" s="327"/>
      <c r="G660" s="327"/>
      <c r="H660" s="327"/>
      <c r="I660" s="327"/>
      <c r="J660" s="327"/>
      <c r="K660" s="327"/>
      <c r="L660" s="327"/>
      <c r="M660" s="327"/>
      <c r="N660" s="327"/>
      <c r="O660" s="327"/>
      <c r="P660" s="327"/>
      <c r="Q660" s="327"/>
      <c r="R660" s="327"/>
      <c r="S660" s="327"/>
      <c r="T660" s="327"/>
      <c r="U660" s="327"/>
      <c r="V660" s="327"/>
      <c r="W660" s="327"/>
      <c r="X660" s="327"/>
      <c r="Y660" s="327"/>
      <c r="Z660" s="327"/>
      <c r="AA660" s="327"/>
      <c r="AB660" s="327"/>
      <c r="AC660" s="327"/>
      <c r="AD660" s="327"/>
      <c r="AE660" s="327"/>
      <c r="AF660" s="327"/>
      <c r="AG660" s="327"/>
      <c r="AH660" s="327"/>
      <c r="AI660" s="327"/>
      <c r="AJ660" s="327"/>
      <c r="AK660" s="327"/>
      <c r="AL660" s="327"/>
      <c r="AM660" s="327"/>
    </row>
    <row r="661" spans="1:39">
      <c r="A661" s="69"/>
      <c r="B661" s="69"/>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327"/>
      <c r="AE661" s="327"/>
      <c r="AF661" s="327"/>
      <c r="AG661" s="327"/>
      <c r="AH661" s="327"/>
      <c r="AI661" s="327"/>
      <c r="AJ661" s="327"/>
      <c r="AK661" s="327"/>
      <c r="AL661" s="327"/>
      <c r="AM661" s="327"/>
    </row>
    <row r="662" spans="1:39">
      <c r="A662" s="69"/>
      <c r="B662" s="69"/>
      <c r="C662" s="327"/>
      <c r="D662" s="327"/>
      <c r="E662" s="327"/>
      <c r="F662" s="327"/>
      <c r="G662" s="327"/>
      <c r="H662" s="327"/>
      <c r="I662" s="327"/>
      <c r="J662" s="327"/>
      <c r="K662" s="327"/>
      <c r="L662" s="327"/>
      <c r="M662" s="327"/>
      <c r="N662" s="327"/>
      <c r="O662" s="327"/>
      <c r="P662" s="327"/>
      <c r="Q662" s="327"/>
      <c r="R662" s="327"/>
      <c r="S662" s="327"/>
      <c r="T662" s="327"/>
      <c r="U662" s="327"/>
      <c r="V662" s="327"/>
      <c r="W662" s="327"/>
      <c r="X662" s="327"/>
      <c r="Y662" s="327"/>
      <c r="Z662" s="327"/>
      <c r="AA662" s="327"/>
      <c r="AB662" s="327"/>
      <c r="AC662" s="327"/>
      <c r="AD662" s="327"/>
      <c r="AE662" s="327"/>
      <c r="AF662" s="327"/>
      <c r="AG662" s="327"/>
      <c r="AH662" s="327"/>
      <c r="AI662" s="327"/>
      <c r="AJ662" s="327"/>
      <c r="AK662" s="327"/>
      <c r="AL662" s="327"/>
      <c r="AM662" s="327"/>
    </row>
    <row r="663" spans="1:39">
      <c r="A663" s="69"/>
      <c r="B663" s="69"/>
      <c r="C663" s="327"/>
      <c r="D663" s="327"/>
      <c r="E663" s="327"/>
      <c r="F663" s="327"/>
      <c r="G663" s="327"/>
      <c r="H663" s="327"/>
      <c r="I663" s="327"/>
      <c r="J663" s="327"/>
      <c r="K663" s="327"/>
      <c r="L663" s="327"/>
      <c r="M663" s="327"/>
      <c r="N663" s="327"/>
      <c r="O663" s="327"/>
      <c r="P663" s="327"/>
      <c r="Q663" s="327"/>
      <c r="R663" s="327"/>
      <c r="S663" s="327"/>
      <c r="T663" s="327"/>
      <c r="U663" s="327"/>
      <c r="V663" s="327"/>
      <c r="W663" s="327"/>
      <c r="X663" s="327"/>
      <c r="Y663" s="327"/>
      <c r="Z663" s="327"/>
      <c r="AA663" s="327"/>
      <c r="AB663" s="327"/>
      <c r="AC663" s="327"/>
      <c r="AD663" s="327"/>
      <c r="AE663" s="327"/>
      <c r="AF663" s="327"/>
      <c r="AG663" s="327"/>
      <c r="AH663" s="327"/>
      <c r="AI663" s="327"/>
      <c r="AJ663" s="327"/>
      <c r="AK663" s="327"/>
      <c r="AL663" s="327"/>
      <c r="AM663" s="327"/>
    </row>
    <row r="664" spans="1:39">
      <c r="A664" s="69"/>
      <c r="B664" s="69"/>
      <c r="C664" s="327"/>
      <c r="D664" s="327"/>
      <c r="E664" s="327"/>
      <c r="F664" s="327"/>
      <c r="G664" s="327"/>
      <c r="H664" s="327"/>
      <c r="I664" s="327"/>
      <c r="J664" s="327"/>
      <c r="K664" s="327"/>
      <c r="L664" s="327"/>
      <c r="M664" s="327"/>
      <c r="N664" s="327"/>
      <c r="O664" s="327"/>
      <c r="P664" s="327"/>
      <c r="Q664" s="327"/>
      <c r="R664" s="327"/>
      <c r="S664" s="327"/>
      <c r="T664" s="327"/>
      <c r="U664" s="327"/>
      <c r="V664" s="327"/>
      <c r="W664" s="327"/>
      <c r="X664" s="327"/>
      <c r="Y664" s="327"/>
      <c r="Z664" s="327"/>
      <c r="AA664" s="327"/>
      <c r="AB664" s="327"/>
      <c r="AC664" s="327"/>
      <c r="AD664" s="327"/>
      <c r="AE664" s="327"/>
      <c r="AF664" s="327"/>
      <c r="AG664" s="327"/>
      <c r="AH664" s="327"/>
      <c r="AI664" s="327"/>
      <c r="AJ664" s="327"/>
      <c r="AK664" s="327"/>
      <c r="AL664" s="327"/>
      <c r="AM664" s="327"/>
    </row>
    <row r="665" spans="1:39">
      <c r="A665" s="69"/>
      <c r="B665" s="69"/>
      <c r="C665" s="327"/>
      <c r="D665" s="327"/>
      <c r="E665" s="327"/>
      <c r="F665" s="327"/>
      <c r="G665" s="327"/>
      <c r="H665" s="327"/>
      <c r="I665" s="327"/>
      <c r="J665" s="327"/>
      <c r="K665" s="327"/>
      <c r="L665" s="327"/>
      <c r="M665" s="327"/>
      <c r="N665" s="327"/>
      <c r="O665" s="327"/>
      <c r="P665" s="327"/>
      <c r="Q665" s="327"/>
      <c r="R665" s="327"/>
      <c r="S665" s="327"/>
      <c r="T665" s="327"/>
      <c r="U665" s="327"/>
      <c r="V665" s="327"/>
      <c r="W665" s="327"/>
      <c r="X665" s="327"/>
      <c r="Y665" s="327"/>
      <c r="Z665" s="327"/>
      <c r="AA665" s="327"/>
      <c r="AB665" s="327"/>
      <c r="AC665" s="327"/>
      <c r="AD665" s="327"/>
      <c r="AE665" s="327"/>
      <c r="AF665" s="327"/>
      <c r="AG665" s="327"/>
      <c r="AH665" s="327"/>
      <c r="AI665" s="327"/>
      <c r="AJ665" s="327"/>
      <c r="AK665" s="327"/>
      <c r="AL665" s="327"/>
      <c r="AM665" s="327"/>
    </row>
    <row r="666" spans="1:39">
      <c r="A666" s="69"/>
      <c r="B666" s="69"/>
      <c r="C666" s="327"/>
      <c r="D666" s="327"/>
      <c r="E666" s="327"/>
      <c r="F666" s="327"/>
      <c r="G666" s="327"/>
      <c r="H666" s="327"/>
      <c r="I666" s="327"/>
      <c r="J666" s="327"/>
      <c r="K666" s="327"/>
      <c r="L666" s="327"/>
      <c r="M666" s="327"/>
      <c r="N666" s="327"/>
      <c r="O666" s="327"/>
      <c r="P666" s="327"/>
      <c r="Q666" s="327"/>
      <c r="R666" s="327"/>
      <c r="S666" s="327"/>
      <c r="T666" s="327"/>
      <c r="U666" s="327"/>
      <c r="V666" s="327"/>
      <c r="W666" s="327"/>
      <c r="X666" s="327"/>
      <c r="Y666" s="327"/>
      <c r="Z666" s="327"/>
      <c r="AA666" s="327"/>
      <c r="AB666" s="327"/>
      <c r="AC666" s="327"/>
      <c r="AD666" s="327"/>
      <c r="AE666" s="327"/>
      <c r="AF666" s="327"/>
      <c r="AG666" s="327"/>
      <c r="AH666" s="327"/>
      <c r="AI666" s="327"/>
      <c r="AJ666" s="327"/>
      <c r="AK666" s="327"/>
      <c r="AL666" s="327"/>
      <c r="AM666" s="327"/>
    </row>
    <row r="667" spans="1:39">
      <c r="A667" s="69"/>
      <c r="B667" s="69"/>
      <c r="C667" s="327"/>
      <c r="D667" s="327"/>
      <c r="E667" s="327"/>
      <c r="F667" s="327"/>
      <c r="G667" s="327"/>
      <c r="H667" s="327"/>
      <c r="I667" s="327"/>
      <c r="J667" s="327"/>
      <c r="K667" s="327"/>
      <c r="L667" s="327"/>
      <c r="M667" s="327"/>
      <c r="N667" s="327"/>
      <c r="O667" s="327"/>
      <c r="P667" s="327"/>
      <c r="Q667" s="327"/>
      <c r="R667" s="327"/>
      <c r="S667" s="327"/>
      <c r="T667" s="327"/>
      <c r="U667" s="327"/>
      <c r="V667" s="327"/>
      <c r="W667" s="327"/>
      <c r="X667" s="327"/>
      <c r="Y667" s="327"/>
      <c r="Z667" s="327"/>
      <c r="AA667" s="327"/>
      <c r="AB667" s="327"/>
      <c r="AC667" s="327"/>
      <c r="AD667" s="327"/>
      <c r="AE667" s="327"/>
      <c r="AF667" s="327"/>
      <c r="AG667" s="327"/>
      <c r="AH667" s="327"/>
      <c r="AI667" s="327"/>
      <c r="AJ667" s="327"/>
      <c r="AK667" s="327"/>
      <c r="AL667" s="327"/>
      <c r="AM667" s="327"/>
    </row>
    <row r="668" spans="1:39">
      <c r="A668" s="69"/>
      <c r="B668" s="69"/>
      <c r="C668" s="327"/>
      <c r="D668" s="327"/>
      <c r="E668" s="327"/>
      <c r="F668" s="327"/>
      <c r="G668" s="327"/>
      <c r="H668" s="327"/>
      <c r="I668" s="327"/>
      <c r="J668" s="327"/>
      <c r="K668" s="327"/>
      <c r="L668" s="327"/>
      <c r="M668" s="327"/>
      <c r="N668" s="327"/>
      <c r="O668" s="327"/>
      <c r="P668" s="327"/>
      <c r="Q668" s="327"/>
      <c r="R668" s="327"/>
      <c r="S668" s="327"/>
      <c r="T668" s="327"/>
      <c r="U668" s="327"/>
      <c r="V668" s="327"/>
      <c r="W668" s="327"/>
      <c r="X668" s="327"/>
      <c r="Y668" s="327"/>
      <c r="Z668" s="327"/>
      <c r="AA668" s="327"/>
      <c r="AB668" s="327"/>
      <c r="AC668" s="327"/>
      <c r="AD668" s="327"/>
      <c r="AE668" s="327"/>
      <c r="AF668" s="327"/>
      <c r="AG668" s="327"/>
      <c r="AH668" s="327"/>
      <c r="AI668" s="327"/>
      <c r="AJ668" s="327"/>
      <c r="AK668" s="327"/>
      <c r="AL668" s="327"/>
      <c r="AM668" s="327"/>
    </row>
    <row r="669" spans="1:39">
      <c r="A669" s="69"/>
      <c r="B669" s="69"/>
      <c r="C669" s="327"/>
      <c r="D669" s="327"/>
      <c r="E669" s="327"/>
      <c r="F669" s="327"/>
      <c r="G669" s="327"/>
      <c r="H669" s="327"/>
      <c r="I669" s="327"/>
      <c r="J669" s="327"/>
      <c r="K669" s="327"/>
      <c r="L669" s="327"/>
      <c r="M669" s="327"/>
      <c r="N669" s="327"/>
      <c r="O669" s="327"/>
      <c r="P669" s="327"/>
      <c r="Q669" s="327"/>
      <c r="R669" s="327"/>
      <c r="S669" s="327"/>
      <c r="T669" s="327"/>
      <c r="U669" s="327"/>
      <c r="V669" s="327"/>
      <c r="W669" s="327"/>
      <c r="X669" s="327"/>
      <c r="Y669" s="327"/>
      <c r="Z669" s="327"/>
      <c r="AA669" s="327"/>
      <c r="AB669" s="327"/>
      <c r="AC669" s="327"/>
      <c r="AD669" s="327"/>
      <c r="AE669" s="327"/>
      <c r="AF669" s="327"/>
      <c r="AG669" s="327"/>
      <c r="AH669" s="327"/>
      <c r="AI669" s="327"/>
      <c r="AJ669" s="327"/>
      <c r="AK669" s="327"/>
      <c r="AL669" s="327"/>
      <c r="AM669" s="327"/>
    </row>
    <row r="670" spans="1:39">
      <c r="A670" s="69"/>
      <c r="B670" s="69"/>
      <c r="C670" s="327"/>
      <c r="D670" s="327"/>
      <c r="E670" s="327"/>
      <c r="F670" s="327"/>
      <c r="G670" s="327"/>
      <c r="H670" s="327"/>
      <c r="I670" s="327"/>
      <c r="J670" s="327"/>
      <c r="K670" s="327"/>
      <c r="L670" s="327"/>
      <c r="M670" s="327"/>
      <c r="N670" s="327"/>
      <c r="O670" s="327"/>
      <c r="P670" s="327"/>
      <c r="Q670" s="327"/>
      <c r="R670" s="327"/>
      <c r="S670" s="327"/>
      <c r="T670" s="327"/>
      <c r="U670" s="327"/>
      <c r="V670" s="327"/>
      <c r="W670" s="327"/>
      <c r="X670" s="327"/>
      <c r="Y670" s="327"/>
      <c r="Z670" s="327"/>
      <c r="AA670" s="327"/>
      <c r="AB670" s="327"/>
      <c r="AC670" s="327"/>
      <c r="AD670" s="327"/>
      <c r="AE670" s="327"/>
      <c r="AF670" s="327"/>
      <c r="AG670" s="327"/>
      <c r="AH670" s="327"/>
      <c r="AI670" s="327"/>
      <c r="AJ670" s="327"/>
      <c r="AK670" s="327"/>
      <c r="AL670" s="327"/>
      <c r="AM670" s="327"/>
    </row>
    <row r="671" spans="1:39">
      <c r="A671" s="69"/>
      <c r="B671" s="69"/>
      <c r="C671" s="327"/>
      <c r="D671" s="327"/>
      <c r="E671" s="327"/>
      <c r="F671" s="327"/>
      <c r="G671" s="327"/>
      <c r="H671" s="327"/>
      <c r="I671" s="327"/>
      <c r="J671" s="327"/>
      <c r="K671" s="327"/>
      <c r="L671" s="327"/>
      <c r="M671" s="327"/>
      <c r="N671" s="327"/>
      <c r="O671" s="327"/>
      <c r="P671" s="327"/>
      <c r="Q671" s="327"/>
      <c r="R671" s="327"/>
      <c r="S671" s="327"/>
      <c r="T671" s="327"/>
      <c r="U671" s="327"/>
      <c r="V671" s="327"/>
      <c r="W671" s="327"/>
      <c r="X671" s="327"/>
      <c r="Y671" s="327"/>
      <c r="Z671" s="327"/>
      <c r="AA671" s="327"/>
      <c r="AB671" s="327"/>
      <c r="AC671" s="327"/>
      <c r="AD671" s="327"/>
      <c r="AE671" s="327"/>
      <c r="AF671" s="327"/>
      <c r="AG671" s="327"/>
      <c r="AH671" s="327"/>
      <c r="AI671" s="327"/>
      <c r="AJ671" s="327"/>
      <c r="AK671" s="327"/>
      <c r="AL671" s="327"/>
      <c r="AM671" s="327"/>
    </row>
    <row r="672" spans="1:39">
      <c r="A672" s="69"/>
      <c r="B672" s="69"/>
      <c r="C672" s="327"/>
      <c r="D672" s="327"/>
      <c r="E672" s="327"/>
      <c r="F672" s="327"/>
      <c r="G672" s="327"/>
      <c r="H672" s="327"/>
      <c r="I672" s="327"/>
      <c r="J672" s="327"/>
      <c r="K672" s="327"/>
      <c r="L672" s="327"/>
      <c r="M672" s="327"/>
      <c r="N672" s="327"/>
      <c r="O672" s="327"/>
      <c r="P672" s="327"/>
      <c r="Q672" s="327"/>
      <c r="R672" s="327"/>
      <c r="S672" s="327"/>
      <c r="T672" s="327"/>
      <c r="U672" s="327"/>
      <c r="V672" s="327"/>
      <c r="W672" s="327"/>
      <c r="X672" s="327"/>
      <c r="Y672" s="327"/>
      <c r="Z672" s="327"/>
      <c r="AA672" s="327"/>
      <c r="AB672" s="327"/>
      <c r="AC672" s="327"/>
      <c r="AD672" s="327"/>
      <c r="AE672" s="327"/>
      <c r="AF672" s="327"/>
      <c r="AG672" s="327"/>
      <c r="AH672" s="327"/>
      <c r="AI672" s="327"/>
      <c r="AJ672" s="327"/>
      <c r="AK672" s="327"/>
      <c r="AL672" s="327"/>
      <c r="AM672" s="327"/>
    </row>
    <row r="673" spans="1:39">
      <c r="A673" s="69"/>
      <c r="B673" s="69"/>
      <c r="C673" s="327"/>
      <c r="D673" s="327"/>
      <c r="E673" s="327"/>
      <c r="F673" s="327"/>
      <c r="G673" s="327"/>
      <c r="H673" s="327"/>
      <c r="I673" s="327"/>
      <c r="J673" s="327"/>
      <c r="K673" s="327"/>
      <c r="L673" s="327"/>
      <c r="M673" s="327"/>
      <c r="N673" s="327"/>
      <c r="O673" s="327"/>
      <c r="P673" s="327"/>
      <c r="Q673" s="327"/>
      <c r="R673" s="327"/>
      <c r="S673" s="327"/>
      <c r="T673" s="327"/>
      <c r="U673" s="327"/>
      <c r="V673" s="327"/>
      <c r="W673" s="327"/>
      <c r="X673" s="327"/>
      <c r="Y673" s="327"/>
      <c r="Z673" s="327"/>
      <c r="AA673" s="327"/>
      <c r="AB673" s="327"/>
      <c r="AC673" s="327"/>
      <c r="AD673" s="327"/>
      <c r="AE673" s="327"/>
      <c r="AF673" s="327"/>
      <c r="AG673" s="327"/>
      <c r="AH673" s="327"/>
      <c r="AI673" s="327"/>
      <c r="AJ673" s="327"/>
      <c r="AK673" s="327"/>
      <c r="AL673" s="327"/>
      <c r="AM673" s="327"/>
    </row>
    <row r="674" spans="1:39">
      <c r="A674" s="69"/>
      <c r="B674" s="69"/>
      <c r="C674" s="327"/>
      <c r="D674" s="327"/>
      <c r="E674" s="327"/>
      <c r="F674" s="327"/>
      <c r="G674" s="327"/>
      <c r="H674" s="327"/>
      <c r="I674" s="327"/>
      <c r="J674" s="327"/>
      <c r="K674" s="327"/>
      <c r="L674" s="327"/>
      <c r="M674" s="327"/>
      <c r="N674" s="327"/>
      <c r="O674" s="327"/>
      <c r="P674" s="327"/>
      <c r="Q674" s="327"/>
      <c r="R674" s="327"/>
      <c r="S674" s="327"/>
      <c r="T674" s="327"/>
      <c r="U674" s="327"/>
      <c r="V674" s="327"/>
      <c r="W674" s="327"/>
      <c r="X674" s="327"/>
      <c r="Y674" s="327"/>
      <c r="Z674" s="327"/>
      <c r="AA674" s="327"/>
      <c r="AB674" s="327"/>
      <c r="AC674" s="327"/>
      <c r="AD674" s="327"/>
      <c r="AE674" s="327"/>
      <c r="AF674" s="327"/>
      <c r="AG674" s="327"/>
      <c r="AH674" s="327"/>
      <c r="AI674" s="327"/>
      <c r="AJ674" s="327"/>
      <c r="AK674" s="327"/>
      <c r="AL674" s="327"/>
      <c r="AM674" s="327"/>
    </row>
    <row r="675" spans="1:39">
      <c r="A675" s="69"/>
      <c r="B675" s="69"/>
      <c r="C675" s="327"/>
      <c r="D675" s="327"/>
      <c r="E675" s="327"/>
      <c r="F675" s="327"/>
      <c r="G675" s="327"/>
      <c r="H675" s="327"/>
      <c r="I675" s="327"/>
      <c r="J675" s="327"/>
      <c r="K675" s="327"/>
      <c r="L675" s="327"/>
      <c r="M675" s="327"/>
      <c r="N675" s="327"/>
      <c r="O675" s="327"/>
      <c r="P675" s="327"/>
      <c r="Q675" s="327"/>
      <c r="R675" s="327"/>
      <c r="S675" s="327"/>
      <c r="T675" s="327"/>
      <c r="U675" s="327"/>
      <c r="V675" s="327"/>
      <c r="W675" s="327"/>
      <c r="X675" s="327"/>
      <c r="Y675" s="327"/>
      <c r="Z675" s="327"/>
      <c r="AA675" s="327"/>
      <c r="AB675" s="327"/>
      <c r="AC675" s="327"/>
      <c r="AD675" s="327"/>
      <c r="AE675" s="327"/>
      <c r="AF675" s="327"/>
      <c r="AG675" s="327"/>
      <c r="AH675" s="327"/>
      <c r="AI675" s="327"/>
      <c r="AJ675" s="327"/>
      <c r="AK675" s="327"/>
      <c r="AL675" s="327"/>
      <c r="AM675" s="327"/>
    </row>
    <row r="676" spans="1:39">
      <c r="A676" s="69"/>
      <c r="B676" s="69"/>
      <c r="C676" s="327"/>
      <c r="D676" s="327"/>
      <c r="E676" s="327"/>
      <c r="F676" s="327"/>
      <c r="G676" s="327"/>
      <c r="H676" s="327"/>
      <c r="I676" s="327"/>
      <c r="J676" s="327"/>
      <c r="K676" s="327"/>
      <c r="L676" s="327"/>
      <c r="M676" s="327"/>
      <c r="N676" s="327"/>
      <c r="O676" s="327"/>
      <c r="P676" s="327"/>
      <c r="Q676" s="327"/>
      <c r="R676" s="327"/>
      <c r="S676" s="327"/>
      <c r="T676" s="327"/>
      <c r="U676" s="327"/>
      <c r="V676" s="327"/>
      <c r="W676" s="327"/>
      <c r="X676" s="327"/>
      <c r="Y676" s="327"/>
      <c r="Z676" s="327"/>
      <c r="AA676" s="327"/>
      <c r="AB676" s="327"/>
      <c r="AC676" s="327"/>
      <c r="AD676" s="327"/>
      <c r="AE676" s="327"/>
      <c r="AF676" s="327"/>
      <c r="AG676" s="327"/>
      <c r="AH676" s="327"/>
      <c r="AI676" s="327"/>
      <c r="AJ676" s="327"/>
      <c r="AK676" s="327"/>
      <c r="AL676" s="327"/>
      <c r="AM676" s="327"/>
    </row>
    <row r="677" spans="1:39">
      <c r="A677" s="69"/>
      <c r="B677" s="69"/>
      <c r="C677" s="327"/>
      <c r="D677" s="327"/>
      <c r="E677" s="327"/>
      <c r="F677" s="327"/>
      <c r="G677" s="327"/>
      <c r="H677" s="327"/>
      <c r="I677" s="327"/>
      <c r="J677" s="327"/>
      <c r="K677" s="327"/>
      <c r="L677" s="327"/>
      <c r="M677" s="327"/>
      <c r="N677" s="327"/>
      <c r="O677" s="327"/>
      <c r="P677" s="327"/>
      <c r="Q677" s="327"/>
      <c r="R677" s="327"/>
      <c r="S677" s="327"/>
      <c r="T677" s="327"/>
      <c r="U677" s="327"/>
      <c r="V677" s="327"/>
      <c r="W677" s="327"/>
      <c r="X677" s="327"/>
      <c r="Y677" s="327"/>
      <c r="Z677" s="327"/>
      <c r="AA677" s="327"/>
      <c r="AB677" s="327"/>
      <c r="AC677" s="327"/>
      <c r="AD677" s="327"/>
      <c r="AE677" s="327"/>
      <c r="AF677" s="327"/>
      <c r="AG677" s="327"/>
      <c r="AH677" s="327"/>
      <c r="AI677" s="327"/>
      <c r="AJ677" s="327"/>
      <c r="AK677" s="327"/>
      <c r="AL677" s="327"/>
      <c r="AM677" s="327"/>
    </row>
    <row r="678" spans="1:39">
      <c r="A678" s="69"/>
      <c r="B678" s="69"/>
      <c r="C678" s="327"/>
      <c r="D678" s="327"/>
      <c r="E678" s="327"/>
      <c r="F678" s="327"/>
      <c r="G678" s="327"/>
      <c r="H678" s="327"/>
      <c r="I678" s="327"/>
      <c r="J678" s="327"/>
      <c r="K678" s="327"/>
      <c r="L678" s="327"/>
      <c r="M678" s="327"/>
      <c r="N678" s="327"/>
      <c r="O678" s="327"/>
      <c r="P678" s="327"/>
      <c r="Q678" s="327"/>
      <c r="R678" s="327"/>
      <c r="S678" s="327"/>
      <c r="T678" s="327"/>
      <c r="U678" s="327"/>
      <c r="V678" s="327"/>
      <c r="W678" s="327"/>
      <c r="X678" s="327"/>
      <c r="Y678" s="327"/>
      <c r="Z678" s="327"/>
      <c r="AA678" s="327"/>
      <c r="AB678" s="327"/>
      <c r="AC678" s="327"/>
      <c r="AD678" s="327"/>
      <c r="AE678" s="327"/>
      <c r="AF678" s="327"/>
      <c r="AG678" s="327"/>
      <c r="AH678" s="327"/>
      <c r="AI678" s="327"/>
      <c r="AJ678" s="327"/>
      <c r="AK678" s="327"/>
      <c r="AL678" s="327"/>
      <c r="AM678" s="327"/>
    </row>
    <row r="679" spans="1:39">
      <c r="A679" s="69"/>
      <c r="B679" s="69"/>
      <c r="C679" s="327"/>
      <c r="D679" s="327"/>
      <c r="E679" s="327"/>
      <c r="F679" s="327"/>
      <c r="G679" s="327"/>
      <c r="H679" s="327"/>
      <c r="I679" s="327"/>
      <c r="J679" s="327"/>
      <c r="K679" s="327"/>
      <c r="L679" s="327"/>
      <c r="M679" s="327"/>
      <c r="N679" s="327"/>
      <c r="O679" s="327"/>
      <c r="P679" s="327"/>
      <c r="Q679" s="327"/>
      <c r="R679" s="327"/>
      <c r="S679" s="327"/>
      <c r="T679" s="327"/>
      <c r="U679" s="327"/>
      <c r="V679" s="327"/>
      <c r="W679" s="327"/>
      <c r="X679" s="327"/>
      <c r="Y679" s="327"/>
      <c r="Z679" s="327"/>
      <c r="AA679" s="327"/>
      <c r="AB679" s="327"/>
      <c r="AC679" s="327"/>
      <c r="AD679" s="327"/>
      <c r="AE679" s="327"/>
      <c r="AF679" s="327"/>
      <c r="AG679" s="327"/>
      <c r="AH679" s="327"/>
      <c r="AI679" s="327"/>
      <c r="AJ679" s="327"/>
      <c r="AK679" s="327"/>
      <c r="AL679" s="327"/>
      <c r="AM679" s="327"/>
    </row>
    <row r="680" spans="1:39">
      <c r="A680" s="69"/>
      <c r="B680" s="69"/>
      <c r="C680" s="327"/>
      <c r="D680" s="327"/>
      <c r="E680" s="327"/>
      <c r="F680" s="327"/>
      <c r="G680" s="327"/>
      <c r="H680" s="327"/>
      <c r="I680" s="327"/>
      <c r="J680" s="327"/>
      <c r="K680" s="327"/>
      <c r="L680" s="327"/>
      <c r="M680" s="327"/>
      <c r="N680" s="327"/>
      <c r="O680" s="327"/>
      <c r="P680" s="327"/>
      <c r="Q680" s="327"/>
      <c r="R680" s="327"/>
      <c r="S680" s="327"/>
      <c r="T680" s="327"/>
      <c r="U680" s="327"/>
      <c r="V680" s="327"/>
      <c r="W680" s="327"/>
      <c r="X680" s="327"/>
      <c r="Y680" s="327"/>
      <c r="Z680" s="327"/>
      <c r="AA680" s="327"/>
      <c r="AB680" s="327"/>
      <c r="AC680" s="327"/>
      <c r="AD680" s="327"/>
      <c r="AE680" s="327"/>
      <c r="AF680" s="327"/>
      <c r="AG680" s="327"/>
      <c r="AH680" s="327"/>
      <c r="AI680" s="327"/>
      <c r="AJ680" s="327"/>
      <c r="AK680" s="327"/>
      <c r="AL680" s="327"/>
      <c r="AM680" s="327"/>
    </row>
    <row r="681" spans="1:39">
      <c r="A681" s="69"/>
      <c r="B681" s="69"/>
      <c r="C681" s="327"/>
      <c r="D681" s="327"/>
      <c r="E681" s="327"/>
      <c r="F681" s="327"/>
      <c r="G681" s="327"/>
      <c r="H681" s="327"/>
      <c r="I681" s="327"/>
      <c r="J681" s="327"/>
      <c r="K681" s="327"/>
      <c r="L681" s="327"/>
      <c r="M681" s="327"/>
      <c r="N681" s="327"/>
      <c r="O681" s="327"/>
      <c r="P681" s="327"/>
      <c r="Q681" s="327"/>
      <c r="R681" s="327"/>
      <c r="S681" s="327"/>
      <c r="T681" s="327"/>
      <c r="U681" s="327"/>
      <c r="V681" s="327"/>
      <c r="W681" s="327"/>
      <c r="X681" s="327"/>
      <c r="Y681" s="327"/>
      <c r="Z681" s="327"/>
      <c r="AA681" s="327"/>
      <c r="AB681" s="327"/>
      <c r="AC681" s="327"/>
      <c r="AD681" s="327"/>
      <c r="AE681" s="327"/>
      <c r="AF681" s="327"/>
      <c r="AG681" s="327"/>
      <c r="AH681" s="327"/>
      <c r="AI681" s="327"/>
      <c r="AJ681" s="327"/>
      <c r="AK681" s="327"/>
      <c r="AL681" s="327"/>
      <c r="AM681" s="327"/>
    </row>
    <row r="682" spans="1:39">
      <c r="A682" s="69"/>
      <c r="B682" s="69"/>
      <c r="C682" s="327"/>
      <c r="D682" s="327"/>
      <c r="E682" s="327"/>
      <c r="F682" s="327"/>
      <c r="G682" s="327"/>
      <c r="H682" s="327"/>
      <c r="I682" s="327"/>
      <c r="J682" s="327"/>
      <c r="K682" s="327"/>
      <c r="L682" s="327"/>
      <c r="M682" s="327"/>
      <c r="N682" s="327"/>
      <c r="O682" s="327"/>
      <c r="P682" s="327"/>
      <c r="Q682" s="327"/>
      <c r="R682" s="327"/>
      <c r="S682" s="327"/>
      <c r="T682" s="327"/>
      <c r="U682" s="327"/>
      <c r="V682" s="327"/>
      <c r="W682" s="327"/>
      <c r="X682" s="327"/>
      <c r="Y682" s="327"/>
      <c r="Z682" s="327"/>
      <c r="AA682" s="327"/>
      <c r="AB682" s="327"/>
      <c r="AC682" s="327"/>
      <c r="AD682" s="327"/>
      <c r="AE682" s="327"/>
      <c r="AF682" s="327"/>
      <c r="AG682" s="327"/>
      <c r="AH682" s="327"/>
      <c r="AI682" s="327"/>
      <c r="AJ682" s="327"/>
      <c r="AK682" s="327"/>
      <c r="AL682" s="327"/>
      <c r="AM682" s="327"/>
    </row>
    <row r="683" spans="1:39">
      <c r="A683" s="69"/>
      <c r="B683" s="69"/>
      <c r="C683" s="327"/>
      <c r="D683" s="327"/>
      <c r="E683" s="327"/>
      <c r="F683" s="327"/>
      <c r="G683" s="327"/>
      <c r="H683" s="327"/>
      <c r="I683" s="327"/>
      <c r="J683" s="327"/>
      <c r="K683" s="327"/>
      <c r="L683" s="327"/>
      <c r="M683" s="327"/>
      <c r="N683" s="327"/>
      <c r="O683" s="327"/>
      <c r="P683" s="327"/>
      <c r="Q683" s="327"/>
      <c r="R683" s="327"/>
      <c r="S683" s="327"/>
      <c r="T683" s="327"/>
      <c r="U683" s="327"/>
      <c r="V683" s="327"/>
      <c r="W683" s="327"/>
      <c r="X683" s="327"/>
      <c r="Y683" s="327"/>
      <c r="Z683" s="327"/>
      <c r="AA683" s="327"/>
      <c r="AB683" s="327"/>
      <c r="AC683" s="327"/>
      <c r="AD683" s="327"/>
      <c r="AE683" s="327"/>
      <c r="AF683" s="327"/>
      <c r="AG683" s="327"/>
      <c r="AH683" s="327"/>
      <c r="AI683" s="327"/>
      <c r="AJ683" s="327"/>
      <c r="AK683" s="327"/>
      <c r="AL683" s="327"/>
      <c r="AM683" s="327"/>
    </row>
    <row r="684" spans="1:39">
      <c r="A684" s="69"/>
      <c r="B684" s="69"/>
      <c r="C684" s="327"/>
      <c r="D684" s="327"/>
      <c r="E684" s="327"/>
      <c r="F684" s="327"/>
      <c r="G684" s="327"/>
      <c r="H684" s="327"/>
      <c r="I684" s="327"/>
      <c r="J684" s="327"/>
      <c r="K684" s="327"/>
      <c r="L684" s="327"/>
      <c r="M684" s="327"/>
      <c r="N684" s="327"/>
      <c r="O684" s="327"/>
      <c r="P684" s="327"/>
      <c r="Q684" s="327"/>
      <c r="R684" s="327"/>
      <c r="S684" s="327"/>
      <c r="T684" s="327"/>
      <c r="U684" s="327"/>
      <c r="V684" s="327"/>
      <c r="W684" s="327"/>
      <c r="X684" s="327"/>
      <c r="Y684" s="327"/>
      <c r="Z684" s="327"/>
      <c r="AA684" s="327"/>
      <c r="AB684" s="327"/>
      <c r="AC684" s="327"/>
      <c r="AD684" s="327"/>
      <c r="AE684" s="327"/>
      <c r="AF684" s="327"/>
      <c r="AG684" s="327"/>
      <c r="AH684" s="327"/>
      <c r="AI684" s="327"/>
      <c r="AJ684" s="327"/>
      <c r="AK684" s="327"/>
      <c r="AL684" s="327"/>
      <c r="AM684" s="327"/>
    </row>
    <row r="685" spans="1:39">
      <c r="A685" s="69"/>
      <c r="B685" s="69"/>
      <c r="C685" s="327"/>
      <c r="D685" s="327"/>
      <c r="E685" s="327"/>
      <c r="F685" s="327"/>
      <c r="G685" s="327"/>
      <c r="H685" s="327"/>
      <c r="I685" s="327"/>
      <c r="J685" s="327"/>
      <c r="K685" s="327"/>
      <c r="L685" s="327"/>
      <c r="M685" s="327"/>
      <c r="N685" s="327"/>
      <c r="O685" s="327"/>
      <c r="P685" s="327"/>
      <c r="Q685" s="327"/>
      <c r="R685" s="327"/>
      <c r="S685" s="327"/>
      <c r="T685" s="327"/>
      <c r="U685" s="327"/>
      <c r="V685" s="327"/>
      <c r="W685" s="327"/>
      <c r="X685" s="327"/>
      <c r="Y685" s="327"/>
      <c r="Z685" s="327"/>
      <c r="AA685" s="327"/>
      <c r="AB685" s="327"/>
      <c r="AC685" s="327"/>
      <c r="AD685" s="327"/>
      <c r="AE685" s="327"/>
      <c r="AF685" s="327"/>
      <c r="AG685" s="327"/>
      <c r="AH685" s="327"/>
      <c r="AI685" s="327"/>
      <c r="AJ685" s="327"/>
      <c r="AK685" s="327"/>
      <c r="AL685" s="327"/>
      <c r="AM685" s="327"/>
    </row>
    <row r="686" spans="1:39">
      <c r="A686" s="69"/>
      <c r="B686" s="69"/>
      <c r="C686" s="327"/>
      <c r="D686" s="327"/>
      <c r="E686" s="327"/>
      <c r="F686" s="327"/>
      <c r="G686" s="327"/>
      <c r="H686" s="327"/>
      <c r="I686" s="327"/>
      <c r="J686" s="327"/>
      <c r="K686" s="327"/>
      <c r="L686" s="327"/>
      <c r="M686" s="327"/>
      <c r="N686" s="327"/>
      <c r="O686" s="327"/>
      <c r="P686" s="327"/>
      <c r="Q686" s="327"/>
      <c r="R686" s="327"/>
      <c r="S686" s="327"/>
      <c r="T686" s="327"/>
      <c r="U686" s="327"/>
      <c r="V686" s="327"/>
      <c r="W686" s="327"/>
      <c r="X686" s="327"/>
      <c r="Y686" s="327"/>
      <c r="Z686" s="327"/>
      <c r="AA686" s="327"/>
      <c r="AB686" s="327"/>
      <c r="AC686" s="327"/>
      <c r="AD686" s="327"/>
      <c r="AE686" s="327"/>
      <c r="AF686" s="327"/>
      <c r="AG686" s="327"/>
      <c r="AH686" s="327"/>
      <c r="AI686" s="327"/>
      <c r="AJ686" s="327"/>
      <c r="AK686" s="327"/>
      <c r="AL686" s="327"/>
      <c r="AM686" s="327"/>
    </row>
    <row r="687" spans="1:39">
      <c r="A687" s="69"/>
      <c r="B687" s="69"/>
      <c r="C687" s="327"/>
      <c r="D687" s="327"/>
      <c r="E687" s="327"/>
      <c r="F687" s="327"/>
      <c r="G687" s="327"/>
      <c r="H687" s="327"/>
      <c r="I687" s="327"/>
      <c r="J687" s="327"/>
      <c r="K687" s="327"/>
      <c r="L687" s="327"/>
      <c r="M687" s="327"/>
      <c r="N687" s="327"/>
      <c r="O687" s="327"/>
      <c r="P687" s="327"/>
      <c r="Q687" s="327"/>
      <c r="R687" s="327"/>
      <c r="S687" s="327"/>
      <c r="T687" s="327"/>
      <c r="U687" s="327"/>
      <c r="V687" s="327"/>
      <c r="W687" s="327"/>
      <c r="X687" s="327"/>
      <c r="Y687" s="327"/>
      <c r="Z687" s="327"/>
      <c r="AA687" s="327"/>
      <c r="AB687" s="327"/>
      <c r="AC687" s="327"/>
      <c r="AD687" s="327"/>
      <c r="AE687" s="327"/>
      <c r="AF687" s="327"/>
      <c r="AG687" s="327"/>
      <c r="AH687" s="327"/>
      <c r="AI687" s="327"/>
      <c r="AJ687" s="327"/>
      <c r="AK687" s="327"/>
      <c r="AL687" s="327"/>
      <c r="AM687" s="327"/>
    </row>
    <row r="688" spans="1:39">
      <c r="A688" s="69"/>
      <c r="B688" s="69"/>
      <c r="C688" s="327"/>
      <c r="D688" s="327"/>
      <c r="E688" s="327"/>
      <c r="F688" s="327"/>
      <c r="G688" s="327"/>
      <c r="H688" s="327"/>
      <c r="I688" s="327"/>
      <c r="J688" s="327"/>
      <c r="K688" s="327"/>
      <c r="L688" s="327"/>
      <c r="M688" s="327"/>
      <c r="N688" s="327"/>
      <c r="O688" s="327"/>
      <c r="P688" s="327"/>
      <c r="Q688" s="327"/>
      <c r="R688" s="327"/>
      <c r="S688" s="327"/>
      <c r="T688" s="327"/>
      <c r="U688" s="327"/>
      <c r="V688" s="327"/>
      <c r="W688" s="327"/>
      <c r="X688" s="327"/>
      <c r="Y688" s="327"/>
      <c r="Z688" s="327"/>
      <c r="AA688" s="327"/>
      <c r="AB688" s="327"/>
      <c r="AC688" s="327"/>
      <c r="AD688" s="327"/>
      <c r="AE688" s="327"/>
      <c r="AF688" s="327"/>
      <c r="AG688" s="327"/>
      <c r="AH688" s="327"/>
      <c r="AI688" s="327"/>
      <c r="AJ688" s="327"/>
      <c r="AK688" s="327"/>
      <c r="AL688" s="327"/>
      <c r="AM688" s="327"/>
    </row>
    <row r="689" spans="1:39">
      <c r="A689" s="69"/>
      <c r="B689" s="69"/>
      <c r="C689" s="327"/>
      <c r="D689" s="327"/>
      <c r="E689" s="327"/>
      <c r="F689" s="327"/>
      <c r="G689" s="327"/>
      <c r="H689" s="327"/>
      <c r="I689" s="327"/>
      <c r="J689" s="327"/>
      <c r="K689" s="327"/>
      <c r="L689" s="327"/>
      <c r="M689" s="327"/>
      <c r="N689" s="327"/>
      <c r="O689" s="327"/>
      <c r="P689" s="327"/>
      <c r="Q689" s="327"/>
      <c r="R689" s="327"/>
      <c r="S689" s="327"/>
      <c r="T689" s="327"/>
      <c r="U689" s="327"/>
      <c r="V689" s="327"/>
      <c r="W689" s="327"/>
      <c r="X689" s="327"/>
      <c r="Y689" s="327"/>
      <c r="Z689" s="327"/>
      <c r="AA689" s="327"/>
      <c r="AB689" s="327"/>
      <c r="AC689" s="327"/>
      <c r="AD689" s="327"/>
      <c r="AE689" s="327"/>
      <c r="AF689" s="327"/>
      <c r="AG689" s="327"/>
      <c r="AH689" s="327"/>
      <c r="AI689" s="327"/>
      <c r="AJ689" s="327"/>
      <c r="AK689" s="327"/>
      <c r="AL689" s="327"/>
      <c r="AM689" s="327"/>
    </row>
    <row r="690" spans="1:39">
      <c r="A690" s="69"/>
      <c r="B690" s="69"/>
      <c r="C690" s="327"/>
      <c r="D690" s="327"/>
      <c r="E690" s="327"/>
      <c r="F690" s="327"/>
      <c r="G690" s="327"/>
      <c r="H690" s="327"/>
      <c r="I690" s="327"/>
      <c r="J690" s="327"/>
      <c r="K690" s="327"/>
      <c r="L690" s="327"/>
      <c r="M690" s="327"/>
      <c r="N690" s="327"/>
      <c r="O690" s="327"/>
      <c r="P690" s="327"/>
      <c r="Q690" s="327"/>
      <c r="R690" s="327"/>
      <c r="S690" s="327"/>
      <c r="T690" s="327"/>
      <c r="U690" s="327"/>
      <c r="V690" s="327"/>
      <c r="W690" s="327"/>
      <c r="X690" s="327"/>
      <c r="Y690" s="327"/>
      <c r="Z690" s="327"/>
      <c r="AA690" s="327"/>
      <c r="AB690" s="327"/>
      <c r="AC690" s="327"/>
      <c r="AD690" s="327"/>
      <c r="AE690" s="327"/>
      <c r="AF690" s="327"/>
      <c r="AG690" s="327"/>
      <c r="AH690" s="327"/>
      <c r="AI690" s="327"/>
      <c r="AJ690" s="327"/>
      <c r="AK690" s="327"/>
      <c r="AL690" s="327"/>
      <c r="AM690" s="327"/>
    </row>
    <row r="691" spans="1:39">
      <c r="A691" s="69"/>
      <c r="B691" s="69"/>
      <c r="C691" s="327"/>
      <c r="D691" s="327"/>
      <c r="E691" s="327"/>
      <c r="F691" s="327"/>
      <c r="G691" s="327"/>
      <c r="H691" s="327"/>
      <c r="I691" s="327"/>
      <c r="J691" s="327"/>
      <c r="K691" s="327"/>
      <c r="L691" s="327"/>
      <c r="M691" s="327"/>
      <c r="N691" s="327"/>
      <c r="O691" s="327"/>
      <c r="P691" s="327"/>
      <c r="Q691" s="327"/>
      <c r="R691" s="327"/>
      <c r="S691" s="327"/>
      <c r="T691" s="327"/>
      <c r="U691" s="327"/>
      <c r="V691" s="327"/>
      <c r="W691" s="327"/>
      <c r="X691" s="327"/>
      <c r="Y691" s="327"/>
      <c r="Z691" s="327"/>
      <c r="AA691" s="327"/>
      <c r="AB691" s="327"/>
      <c r="AC691" s="327"/>
      <c r="AD691" s="327"/>
      <c r="AE691" s="327"/>
      <c r="AF691" s="327"/>
      <c r="AG691" s="327"/>
      <c r="AH691" s="327"/>
      <c r="AI691" s="327"/>
      <c r="AJ691" s="327"/>
      <c r="AK691" s="327"/>
      <c r="AL691" s="327"/>
      <c r="AM691" s="327"/>
    </row>
    <row r="692" spans="1:39">
      <c r="A692" s="69"/>
      <c r="B692" s="69"/>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327"/>
      <c r="AE692" s="327"/>
      <c r="AF692" s="327"/>
      <c r="AG692" s="327"/>
      <c r="AH692" s="327"/>
      <c r="AI692" s="327"/>
      <c r="AJ692" s="327"/>
      <c r="AK692" s="327"/>
      <c r="AL692" s="327"/>
      <c r="AM692" s="327"/>
    </row>
    <row r="693" spans="1:39">
      <c r="A693" s="69"/>
      <c r="B693" s="69"/>
      <c r="C693" s="327"/>
      <c r="D693" s="327"/>
      <c r="E693" s="327"/>
      <c r="F693" s="327"/>
      <c r="G693" s="327"/>
      <c r="H693" s="327"/>
      <c r="I693" s="327"/>
      <c r="J693" s="327"/>
      <c r="K693" s="327"/>
      <c r="L693" s="327"/>
      <c r="M693" s="327"/>
      <c r="N693" s="327"/>
      <c r="O693" s="327"/>
      <c r="P693" s="327"/>
      <c r="Q693" s="327"/>
      <c r="R693" s="327"/>
      <c r="S693" s="327"/>
      <c r="T693" s="327"/>
      <c r="U693" s="327"/>
      <c r="V693" s="327"/>
      <c r="W693" s="327"/>
      <c r="X693" s="327"/>
      <c r="Y693" s="327"/>
      <c r="Z693" s="327"/>
      <c r="AA693" s="327"/>
      <c r="AB693" s="327"/>
      <c r="AC693" s="327"/>
      <c r="AD693" s="327"/>
      <c r="AE693" s="327"/>
      <c r="AF693" s="327"/>
      <c r="AG693" s="327"/>
      <c r="AH693" s="327"/>
      <c r="AI693" s="327"/>
      <c r="AJ693" s="327"/>
      <c r="AK693" s="327"/>
      <c r="AL693" s="327"/>
      <c r="AM693" s="327"/>
    </row>
    <row r="694" spans="1:39">
      <c r="A694" s="69"/>
      <c r="B694" s="69"/>
      <c r="C694" s="327"/>
      <c r="D694" s="327"/>
      <c r="E694" s="327"/>
      <c r="F694" s="327"/>
      <c r="G694" s="327"/>
      <c r="H694" s="327"/>
      <c r="I694" s="327"/>
      <c r="J694" s="327"/>
      <c r="K694" s="327"/>
      <c r="L694" s="327"/>
      <c r="M694" s="327"/>
      <c r="N694" s="327"/>
      <c r="O694" s="327"/>
      <c r="P694" s="327"/>
      <c r="Q694" s="327"/>
      <c r="R694" s="327"/>
      <c r="S694" s="327"/>
      <c r="T694" s="327"/>
      <c r="U694" s="327"/>
      <c r="V694" s="327"/>
      <c r="W694" s="327"/>
      <c r="X694" s="327"/>
      <c r="Y694" s="327"/>
      <c r="Z694" s="327"/>
      <c r="AA694" s="327"/>
      <c r="AB694" s="327"/>
      <c r="AC694" s="327"/>
      <c r="AD694" s="327"/>
      <c r="AE694" s="327"/>
      <c r="AF694" s="327"/>
      <c r="AG694" s="327"/>
      <c r="AH694" s="327"/>
      <c r="AI694" s="327"/>
      <c r="AJ694" s="327"/>
      <c r="AK694" s="327"/>
      <c r="AL694" s="327"/>
      <c r="AM694" s="327"/>
    </row>
    <row r="695" spans="1:39">
      <c r="A695" s="69"/>
      <c r="B695" s="69"/>
      <c r="C695" s="327"/>
      <c r="D695" s="327"/>
      <c r="E695" s="327"/>
      <c r="F695" s="327"/>
      <c r="G695" s="327"/>
      <c r="H695" s="327"/>
      <c r="I695" s="327"/>
      <c r="J695" s="327"/>
      <c r="K695" s="327"/>
      <c r="L695" s="327"/>
      <c r="M695" s="327"/>
      <c r="N695" s="327"/>
      <c r="O695" s="327"/>
      <c r="P695" s="327"/>
      <c r="Q695" s="327"/>
      <c r="R695" s="327"/>
      <c r="S695" s="327"/>
      <c r="T695" s="327"/>
      <c r="U695" s="327"/>
      <c r="V695" s="327"/>
      <c r="W695" s="327"/>
      <c r="X695" s="327"/>
      <c r="Y695" s="327"/>
      <c r="Z695" s="327"/>
      <c r="AA695" s="327"/>
      <c r="AB695" s="327"/>
      <c r="AC695" s="327"/>
      <c r="AD695" s="327"/>
      <c r="AE695" s="327"/>
      <c r="AF695" s="327"/>
      <c r="AG695" s="327"/>
      <c r="AH695" s="327"/>
      <c r="AI695" s="327"/>
      <c r="AJ695" s="327"/>
      <c r="AK695" s="327"/>
      <c r="AL695" s="327"/>
      <c r="AM695" s="327"/>
    </row>
    <row r="696" spans="1:39">
      <c r="A696" s="69"/>
      <c r="B696" s="69"/>
      <c r="C696" s="327"/>
      <c r="D696" s="327"/>
      <c r="E696" s="327"/>
      <c r="F696" s="327"/>
      <c r="G696" s="327"/>
      <c r="H696" s="327"/>
      <c r="I696" s="327"/>
      <c r="J696" s="327"/>
      <c r="K696" s="327"/>
      <c r="L696" s="327"/>
      <c r="M696" s="327"/>
      <c r="N696" s="327"/>
      <c r="O696" s="327"/>
      <c r="P696" s="327"/>
      <c r="Q696" s="327"/>
      <c r="R696" s="327"/>
      <c r="S696" s="327"/>
      <c r="T696" s="327"/>
      <c r="U696" s="327"/>
      <c r="V696" s="327"/>
      <c r="W696" s="327"/>
      <c r="X696" s="327"/>
      <c r="Y696" s="327"/>
      <c r="Z696" s="327"/>
      <c r="AA696" s="327"/>
      <c r="AB696" s="327"/>
      <c r="AC696" s="327"/>
      <c r="AD696" s="327"/>
      <c r="AE696" s="327"/>
      <c r="AF696" s="327"/>
      <c r="AG696" s="327"/>
      <c r="AH696" s="327"/>
      <c r="AI696" s="327"/>
      <c r="AJ696" s="327"/>
      <c r="AK696" s="327"/>
      <c r="AL696" s="327"/>
      <c r="AM696" s="327"/>
    </row>
    <row r="697" spans="1:39">
      <c r="A697" s="69"/>
      <c r="B697" s="69"/>
      <c r="C697" s="327"/>
      <c r="D697" s="327"/>
      <c r="E697" s="327"/>
      <c r="F697" s="327"/>
      <c r="G697" s="327"/>
      <c r="H697" s="327"/>
      <c r="I697" s="327"/>
      <c r="J697" s="327"/>
      <c r="K697" s="327"/>
      <c r="L697" s="327"/>
      <c r="M697" s="327"/>
      <c r="N697" s="327"/>
      <c r="O697" s="327"/>
      <c r="P697" s="327"/>
      <c r="Q697" s="327"/>
      <c r="R697" s="327"/>
      <c r="S697" s="327"/>
      <c r="T697" s="327"/>
      <c r="U697" s="327"/>
      <c r="V697" s="327"/>
      <c r="W697" s="327"/>
      <c r="X697" s="327"/>
      <c r="Y697" s="327"/>
      <c r="Z697" s="327"/>
      <c r="AA697" s="327"/>
      <c r="AB697" s="327"/>
      <c r="AC697" s="327"/>
      <c r="AD697" s="327"/>
      <c r="AE697" s="327"/>
      <c r="AF697" s="327"/>
      <c r="AG697" s="327"/>
      <c r="AH697" s="327"/>
      <c r="AI697" s="327"/>
      <c r="AJ697" s="327"/>
      <c r="AK697" s="327"/>
      <c r="AL697" s="327"/>
      <c r="AM697" s="327"/>
    </row>
    <row r="698" spans="1:39">
      <c r="A698" s="69"/>
      <c r="B698" s="69"/>
      <c r="C698" s="327"/>
      <c r="D698" s="327"/>
      <c r="E698" s="327"/>
      <c r="F698" s="327"/>
      <c r="G698" s="327"/>
      <c r="H698" s="327"/>
      <c r="I698" s="327"/>
      <c r="J698" s="327"/>
      <c r="K698" s="327"/>
      <c r="L698" s="327"/>
      <c r="M698" s="327"/>
      <c r="N698" s="327"/>
      <c r="O698" s="327"/>
      <c r="P698" s="327"/>
      <c r="Q698" s="327"/>
      <c r="R698" s="327"/>
      <c r="S698" s="327"/>
      <c r="T698" s="327"/>
      <c r="U698" s="327"/>
      <c r="V698" s="327"/>
      <c r="W698" s="327"/>
      <c r="X698" s="327"/>
      <c r="Y698" s="327"/>
      <c r="Z698" s="327"/>
      <c r="AA698" s="327"/>
      <c r="AB698" s="327"/>
      <c r="AC698" s="327"/>
      <c r="AD698" s="327"/>
      <c r="AE698" s="327"/>
      <c r="AF698" s="327"/>
      <c r="AG698" s="327"/>
      <c r="AH698" s="327"/>
      <c r="AI698" s="327"/>
      <c r="AJ698" s="327"/>
      <c r="AK698" s="327"/>
      <c r="AL698" s="327"/>
      <c r="AM698" s="327"/>
    </row>
    <row r="699" spans="1:39">
      <c r="A699" s="69"/>
      <c r="B699" s="69"/>
      <c r="C699" s="327"/>
      <c r="D699" s="327"/>
      <c r="E699" s="327"/>
      <c r="F699" s="327"/>
      <c r="G699" s="327"/>
      <c r="H699" s="327"/>
      <c r="I699" s="327"/>
      <c r="J699" s="327"/>
      <c r="K699" s="327"/>
      <c r="L699" s="327"/>
      <c r="M699" s="327"/>
      <c r="N699" s="327"/>
      <c r="O699" s="327"/>
      <c r="P699" s="327"/>
      <c r="Q699" s="327"/>
      <c r="R699" s="327"/>
      <c r="S699" s="327"/>
      <c r="T699" s="327"/>
      <c r="U699" s="327"/>
      <c r="V699" s="327"/>
      <c r="W699" s="327"/>
      <c r="X699" s="327"/>
      <c r="Y699" s="327"/>
      <c r="Z699" s="327"/>
      <c r="AA699" s="327"/>
      <c r="AB699" s="327"/>
      <c r="AC699" s="327"/>
      <c r="AD699" s="327"/>
      <c r="AE699" s="327"/>
      <c r="AF699" s="327"/>
      <c r="AG699" s="327"/>
      <c r="AH699" s="327"/>
      <c r="AI699" s="327"/>
      <c r="AJ699" s="327"/>
      <c r="AK699" s="327"/>
      <c r="AL699" s="327"/>
      <c r="AM699" s="327"/>
    </row>
    <row r="700" spans="1:39">
      <c r="A700" s="69"/>
      <c r="B700" s="69"/>
      <c r="C700" s="327"/>
      <c r="D700" s="327"/>
      <c r="E700" s="327"/>
      <c r="F700" s="327"/>
      <c r="G700" s="327"/>
      <c r="H700" s="327"/>
      <c r="I700" s="327"/>
      <c r="J700" s="327"/>
      <c r="K700" s="327"/>
      <c r="L700" s="327"/>
      <c r="M700" s="327"/>
      <c r="N700" s="327"/>
      <c r="O700" s="327"/>
      <c r="P700" s="327"/>
      <c r="Q700" s="327"/>
      <c r="R700" s="327"/>
      <c r="S700" s="327"/>
      <c r="T700" s="327"/>
      <c r="U700" s="327"/>
      <c r="V700" s="327"/>
      <c r="W700" s="327"/>
      <c r="X700" s="327"/>
      <c r="Y700" s="327"/>
      <c r="Z700" s="327"/>
      <c r="AA700" s="327"/>
      <c r="AB700" s="327"/>
      <c r="AC700" s="327"/>
      <c r="AD700" s="327"/>
      <c r="AE700" s="327"/>
      <c r="AF700" s="327"/>
      <c r="AG700" s="327"/>
      <c r="AH700" s="327"/>
      <c r="AI700" s="327"/>
      <c r="AJ700" s="327"/>
      <c r="AK700" s="327"/>
      <c r="AL700" s="327"/>
      <c r="AM700" s="327"/>
    </row>
    <row r="701" spans="1:39">
      <c r="A701" s="69"/>
      <c r="B701" s="69"/>
      <c r="C701" s="327"/>
      <c r="D701" s="327"/>
      <c r="E701" s="327"/>
      <c r="F701" s="327"/>
      <c r="G701" s="327"/>
      <c r="H701" s="327"/>
      <c r="I701" s="327"/>
      <c r="J701" s="327"/>
      <c r="K701" s="327"/>
      <c r="L701" s="327"/>
      <c r="M701" s="327"/>
      <c r="N701" s="327"/>
      <c r="O701" s="327"/>
      <c r="P701" s="327"/>
      <c r="Q701" s="327"/>
      <c r="R701" s="327"/>
      <c r="S701" s="327"/>
      <c r="T701" s="327"/>
      <c r="U701" s="327"/>
      <c r="V701" s="327"/>
      <c r="W701" s="327"/>
      <c r="X701" s="327"/>
      <c r="Y701" s="327"/>
      <c r="Z701" s="327"/>
      <c r="AA701" s="327"/>
      <c r="AB701" s="327"/>
      <c r="AC701" s="327"/>
      <c r="AD701" s="327"/>
      <c r="AE701" s="327"/>
      <c r="AF701" s="327"/>
      <c r="AG701" s="327"/>
      <c r="AH701" s="327"/>
      <c r="AI701" s="327"/>
      <c r="AJ701" s="327"/>
      <c r="AK701" s="327"/>
      <c r="AL701" s="327"/>
      <c r="AM701" s="327"/>
    </row>
    <row r="702" spans="1:39">
      <c r="A702" s="69"/>
      <c r="B702" s="69"/>
      <c r="C702" s="327"/>
      <c r="D702" s="327"/>
      <c r="E702" s="327"/>
      <c r="F702" s="327"/>
      <c r="G702" s="327"/>
      <c r="H702" s="327"/>
      <c r="I702" s="327"/>
      <c r="J702" s="327"/>
      <c r="K702" s="327"/>
      <c r="L702" s="327"/>
      <c r="M702" s="327"/>
      <c r="N702" s="327"/>
      <c r="O702" s="327"/>
      <c r="P702" s="327"/>
      <c r="Q702" s="327"/>
      <c r="R702" s="327"/>
      <c r="S702" s="327"/>
      <c r="T702" s="327"/>
      <c r="U702" s="327"/>
      <c r="V702" s="327"/>
      <c r="W702" s="327"/>
      <c r="X702" s="327"/>
      <c r="Y702" s="327"/>
      <c r="Z702" s="327"/>
      <c r="AA702" s="327"/>
      <c r="AB702" s="327"/>
      <c r="AC702" s="327"/>
      <c r="AD702" s="327"/>
      <c r="AE702" s="327"/>
      <c r="AF702" s="327"/>
      <c r="AG702" s="327"/>
      <c r="AH702" s="327"/>
      <c r="AI702" s="327"/>
      <c r="AJ702" s="327"/>
      <c r="AK702" s="327"/>
      <c r="AL702" s="327"/>
      <c r="AM702" s="327"/>
    </row>
    <row r="703" spans="1:39">
      <c r="A703" s="69"/>
      <c r="B703" s="69"/>
      <c r="C703" s="327"/>
      <c r="D703" s="327"/>
      <c r="E703" s="327"/>
      <c r="F703" s="327"/>
      <c r="G703" s="327"/>
      <c r="H703" s="327"/>
      <c r="I703" s="327"/>
      <c r="J703" s="327"/>
      <c r="K703" s="327"/>
      <c r="L703" s="327"/>
      <c r="M703" s="327"/>
      <c r="N703" s="327"/>
      <c r="O703" s="327"/>
      <c r="P703" s="327"/>
      <c r="Q703" s="327"/>
      <c r="R703" s="327"/>
      <c r="S703" s="327"/>
      <c r="T703" s="327"/>
      <c r="U703" s="327"/>
      <c r="V703" s="327"/>
      <c r="W703" s="327"/>
      <c r="X703" s="327"/>
      <c r="Y703" s="327"/>
      <c r="Z703" s="327"/>
      <c r="AA703" s="327"/>
      <c r="AB703" s="327"/>
      <c r="AC703" s="327"/>
      <c r="AD703" s="327"/>
      <c r="AE703" s="327"/>
      <c r="AF703" s="327"/>
      <c r="AG703" s="327"/>
      <c r="AH703" s="327"/>
      <c r="AI703" s="327"/>
      <c r="AJ703" s="327"/>
      <c r="AK703" s="327"/>
      <c r="AL703" s="327"/>
      <c r="AM703" s="327"/>
    </row>
    <row r="704" spans="1:39">
      <c r="A704" s="69"/>
      <c r="B704" s="69"/>
      <c r="C704" s="327"/>
      <c r="D704" s="327"/>
      <c r="E704" s="327"/>
      <c r="F704" s="327"/>
      <c r="G704" s="327"/>
      <c r="H704" s="327"/>
      <c r="I704" s="327"/>
      <c r="J704" s="327"/>
      <c r="K704" s="327"/>
      <c r="L704" s="327"/>
      <c r="M704" s="327"/>
      <c r="N704" s="327"/>
      <c r="O704" s="327"/>
      <c r="P704" s="327"/>
      <c r="Q704" s="327"/>
      <c r="R704" s="327"/>
      <c r="S704" s="327"/>
      <c r="T704" s="327"/>
      <c r="U704" s="327"/>
      <c r="V704" s="327"/>
      <c r="W704" s="327"/>
      <c r="X704" s="327"/>
      <c r="Y704" s="327"/>
      <c r="Z704" s="327"/>
      <c r="AA704" s="327"/>
      <c r="AB704" s="327"/>
      <c r="AC704" s="327"/>
      <c r="AD704" s="327"/>
      <c r="AE704" s="327"/>
      <c r="AF704" s="327"/>
      <c r="AG704" s="327"/>
      <c r="AH704" s="327"/>
      <c r="AI704" s="327"/>
      <c r="AJ704" s="327"/>
      <c r="AK704" s="327"/>
      <c r="AL704" s="327"/>
      <c r="AM704" s="327"/>
    </row>
    <row r="705" spans="1:39">
      <c r="A705" s="69"/>
      <c r="B705" s="69"/>
      <c r="C705" s="327"/>
      <c r="D705" s="327"/>
      <c r="E705" s="327"/>
      <c r="F705" s="327"/>
      <c r="G705" s="327"/>
      <c r="H705" s="327"/>
      <c r="I705" s="327"/>
      <c r="J705" s="327"/>
      <c r="K705" s="327"/>
      <c r="L705" s="327"/>
      <c r="M705" s="327"/>
      <c r="N705" s="327"/>
      <c r="O705" s="327"/>
      <c r="P705" s="327"/>
      <c r="Q705" s="327"/>
      <c r="R705" s="327"/>
      <c r="S705" s="327"/>
      <c r="T705" s="327"/>
      <c r="U705" s="327"/>
      <c r="V705" s="327"/>
      <c r="W705" s="327"/>
      <c r="X705" s="327"/>
      <c r="Y705" s="327"/>
      <c r="Z705" s="327"/>
      <c r="AA705" s="327"/>
      <c r="AB705" s="327"/>
      <c r="AC705" s="327"/>
      <c r="AD705" s="327"/>
      <c r="AE705" s="327"/>
      <c r="AF705" s="327"/>
      <c r="AG705" s="327"/>
      <c r="AH705" s="327"/>
      <c r="AI705" s="327"/>
      <c r="AJ705" s="327"/>
      <c r="AK705" s="327"/>
      <c r="AL705" s="327"/>
      <c r="AM705" s="327"/>
    </row>
    <row r="706" spans="1:39">
      <c r="A706" s="69"/>
      <c r="B706" s="69"/>
      <c r="C706" s="327"/>
      <c r="D706" s="327"/>
      <c r="E706" s="327"/>
      <c r="F706" s="327"/>
      <c r="G706" s="327"/>
      <c r="H706" s="327"/>
      <c r="I706" s="327"/>
      <c r="J706" s="327"/>
      <c r="K706" s="327"/>
      <c r="L706" s="327"/>
      <c r="M706" s="327"/>
      <c r="N706" s="327"/>
      <c r="O706" s="327"/>
      <c r="P706" s="327"/>
      <c r="Q706" s="327"/>
      <c r="R706" s="327"/>
      <c r="S706" s="327"/>
      <c r="T706" s="327"/>
      <c r="U706" s="327"/>
      <c r="V706" s="327"/>
      <c r="W706" s="327"/>
      <c r="X706" s="327"/>
      <c r="Y706" s="327"/>
      <c r="Z706" s="327"/>
      <c r="AA706" s="327"/>
      <c r="AB706" s="327"/>
      <c r="AC706" s="327"/>
      <c r="AD706" s="327"/>
      <c r="AE706" s="327"/>
      <c r="AF706" s="327"/>
      <c r="AG706" s="327"/>
      <c r="AH706" s="327"/>
      <c r="AI706" s="327"/>
      <c r="AJ706" s="327"/>
      <c r="AK706" s="327"/>
      <c r="AL706" s="327"/>
      <c r="AM706" s="327"/>
    </row>
    <row r="707" spans="1:39">
      <c r="A707" s="69"/>
      <c r="B707" s="69"/>
      <c r="C707" s="327"/>
      <c r="D707" s="327"/>
      <c r="E707" s="327"/>
      <c r="F707" s="327"/>
      <c r="G707" s="327"/>
      <c r="H707" s="327"/>
      <c r="I707" s="327"/>
      <c r="J707" s="327"/>
      <c r="K707" s="327"/>
      <c r="L707" s="327"/>
      <c r="M707" s="327"/>
      <c r="N707" s="327"/>
      <c r="O707" s="327"/>
      <c r="P707" s="327"/>
      <c r="Q707" s="327"/>
      <c r="R707" s="327"/>
      <c r="S707" s="327"/>
      <c r="T707" s="327"/>
      <c r="U707" s="327"/>
      <c r="V707" s="327"/>
      <c r="W707" s="327"/>
      <c r="X707" s="327"/>
      <c r="Y707" s="327"/>
      <c r="Z707" s="327"/>
      <c r="AA707" s="327"/>
      <c r="AB707" s="327"/>
      <c r="AC707" s="327"/>
      <c r="AD707" s="327"/>
      <c r="AE707" s="327"/>
      <c r="AF707" s="327"/>
      <c r="AG707" s="327"/>
      <c r="AH707" s="327"/>
      <c r="AI707" s="327"/>
      <c r="AJ707" s="327"/>
      <c r="AK707" s="327"/>
      <c r="AL707" s="327"/>
      <c r="AM707" s="327"/>
    </row>
    <row r="708" spans="1:39">
      <c r="A708" s="69"/>
      <c r="B708" s="69"/>
      <c r="C708" s="327"/>
      <c r="D708" s="327"/>
      <c r="E708" s="327"/>
      <c r="F708" s="327"/>
      <c r="G708" s="327"/>
      <c r="H708" s="327"/>
      <c r="I708" s="327"/>
      <c r="J708" s="327"/>
      <c r="K708" s="327"/>
      <c r="L708" s="327"/>
      <c r="M708" s="327"/>
      <c r="N708" s="327"/>
      <c r="O708" s="327"/>
      <c r="P708" s="327"/>
      <c r="Q708" s="327"/>
      <c r="R708" s="327"/>
      <c r="S708" s="327"/>
      <c r="T708" s="327"/>
      <c r="U708" s="327"/>
      <c r="V708" s="327"/>
      <c r="W708" s="327"/>
      <c r="X708" s="327"/>
      <c r="Y708" s="327"/>
      <c r="Z708" s="327"/>
      <c r="AA708" s="327"/>
      <c r="AB708" s="327"/>
      <c r="AC708" s="327"/>
      <c r="AD708" s="327"/>
      <c r="AE708" s="327"/>
      <c r="AF708" s="327"/>
      <c r="AG708" s="327"/>
      <c r="AH708" s="327"/>
      <c r="AI708" s="327"/>
      <c r="AJ708" s="327"/>
      <c r="AK708" s="327"/>
      <c r="AL708" s="327"/>
      <c r="AM708" s="327"/>
    </row>
    <row r="709" spans="1:39">
      <c r="A709" s="69"/>
      <c r="B709" s="69"/>
      <c r="C709" s="327"/>
      <c r="D709" s="327"/>
      <c r="E709" s="327"/>
      <c r="F709" s="327"/>
      <c r="G709" s="327"/>
      <c r="H709" s="327"/>
      <c r="I709" s="327"/>
      <c r="J709" s="327"/>
      <c r="K709" s="327"/>
      <c r="L709" s="327"/>
      <c r="M709" s="327"/>
      <c r="N709" s="327"/>
      <c r="O709" s="327"/>
      <c r="P709" s="327"/>
      <c r="Q709" s="327"/>
      <c r="R709" s="327"/>
      <c r="S709" s="327"/>
      <c r="T709" s="327"/>
      <c r="U709" s="327"/>
      <c r="V709" s="327"/>
      <c r="W709" s="327"/>
      <c r="X709" s="327"/>
      <c r="Y709" s="327"/>
      <c r="Z709" s="327"/>
      <c r="AA709" s="327"/>
      <c r="AB709" s="327"/>
      <c r="AC709" s="327"/>
      <c r="AD709" s="327"/>
      <c r="AE709" s="327"/>
      <c r="AF709" s="327"/>
      <c r="AG709" s="327"/>
      <c r="AH709" s="327"/>
      <c r="AI709" s="327"/>
      <c r="AJ709" s="327"/>
      <c r="AK709" s="327"/>
      <c r="AL709" s="327"/>
      <c r="AM709" s="327"/>
    </row>
    <row r="710" spans="1:39">
      <c r="A710" s="69"/>
      <c r="B710" s="69"/>
      <c r="C710" s="327"/>
      <c r="D710" s="327"/>
      <c r="E710" s="327"/>
      <c r="F710" s="327"/>
      <c r="G710" s="327"/>
      <c r="H710" s="327"/>
      <c r="I710" s="327"/>
      <c r="J710" s="327"/>
      <c r="K710" s="327"/>
      <c r="L710" s="327"/>
      <c r="M710" s="327"/>
      <c r="N710" s="327"/>
      <c r="O710" s="327"/>
      <c r="P710" s="327"/>
      <c r="Q710" s="327"/>
      <c r="R710" s="327"/>
      <c r="S710" s="327"/>
      <c r="T710" s="327"/>
      <c r="U710" s="327"/>
      <c r="V710" s="327"/>
      <c r="W710" s="327"/>
      <c r="X710" s="327"/>
      <c r="Y710" s="327"/>
      <c r="Z710" s="327"/>
      <c r="AA710" s="327"/>
      <c r="AB710" s="327"/>
      <c r="AC710" s="327"/>
      <c r="AD710" s="327"/>
      <c r="AE710" s="327"/>
      <c r="AF710" s="327"/>
      <c r="AG710" s="327"/>
      <c r="AH710" s="327"/>
      <c r="AI710" s="327"/>
      <c r="AJ710" s="327"/>
      <c r="AK710" s="327"/>
      <c r="AL710" s="327"/>
      <c r="AM710" s="327"/>
    </row>
    <row r="711" spans="1:39">
      <c r="A711" s="69"/>
      <c r="B711" s="69"/>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327"/>
      <c r="AE711" s="327"/>
      <c r="AF711" s="327"/>
      <c r="AG711" s="327"/>
      <c r="AH711" s="327"/>
      <c r="AI711" s="327"/>
      <c r="AJ711" s="327"/>
      <c r="AK711" s="327"/>
      <c r="AL711" s="327"/>
      <c r="AM711" s="327"/>
    </row>
    <row r="712" spans="1:39">
      <c r="A712" s="69"/>
      <c r="B712" s="69"/>
      <c r="C712" s="327"/>
      <c r="D712" s="327"/>
      <c r="E712" s="327"/>
      <c r="F712" s="327"/>
      <c r="G712" s="327"/>
      <c r="H712" s="327"/>
      <c r="I712" s="327"/>
      <c r="J712" s="327"/>
      <c r="K712" s="327"/>
      <c r="L712" s="327"/>
      <c r="M712" s="327"/>
      <c r="N712" s="327"/>
      <c r="O712" s="327"/>
      <c r="P712" s="327"/>
      <c r="Q712" s="327"/>
      <c r="R712" s="327"/>
      <c r="S712" s="327"/>
      <c r="T712" s="327"/>
      <c r="U712" s="327"/>
      <c r="V712" s="327"/>
      <c r="W712" s="327"/>
      <c r="X712" s="327"/>
      <c r="Y712" s="327"/>
      <c r="Z712" s="327"/>
      <c r="AA712" s="327"/>
      <c r="AB712" s="327"/>
      <c r="AC712" s="327"/>
      <c r="AD712" s="327"/>
      <c r="AE712" s="327"/>
      <c r="AF712" s="327"/>
      <c r="AG712" s="327"/>
      <c r="AH712" s="327"/>
      <c r="AI712" s="327"/>
      <c r="AJ712" s="327"/>
      <c r="AK712" s="327"/>
      <c r="AL712" s="327"/>
      <c r="AM712" s="327"/>
    </row>
    <row r="713" spans="1:39">
      <c r="A713" s="69"/>
      <c r="B713" s="69"/>
      <c r="C713" s="327"/>
      <c r="D713" s="327"/>
      <c r="E713" s="327"/>
      <c r="F713" s="327"/>
      <c r="G713" s="327"/>
      <c r="H713" s="327"/>
      <c r="I713" s="327"/>
      <c r="J713" s="327"/>
      <c r="K713" s="327"/>
      <c r="L713" s="327"/>
      <c r="M713" s="327"/>
      <c r="N713" s="327"/>
      <c r="O713" s="327"/>
      <c r="P713" s="327"/>
      <c r="Q713" s="327"/>
      <c r="R713" s="327"/>
      <c r="S713" s="327"/>
      <c r="T713" s="327"/>
      <c r="U713" s="327"/>
      <c r="V713" s="327"/>
      <c r="W713" s="327"/>
      <c r="X713" s="327"/>
      <c r="Y713" s="327"/>
      <c r="Z713" s="327"/>
      <c r="AA713" s="327"/>
      <c r="AB713" s="327"/>
      <c r="AC713" s="327"/>
      <c r="AD713" s="327"/>
      <c r="AE713" s="327"/>
      <c r="AF713" s="327"/>
      <c r="AG713" s="327"/>
      <c r="AH713" s="327"/>
      <c r="AI713" s="327"/>
      <c r="AJ713" s="327"/>
      <c r="AK713" s="327"/>
      <c r="AL713" s="327"/>
      <c r="AM713" s="327"/>
    </row>
    <row r="714" spans="1:39">
      <c r="A714" s="69"/>
      <c r="B714" s="69"/>
      <c r="C714" s="327"/>
      <c r="D714" s="327"/>
      <c r="E714" s="327"/>
      <c r="F714" s="327"/>
      <c r="G714" s="327"/>
      <c r="H714" s="327"/>
      <c r="I714" s="327"/>
      <c r="J714" s="327"/>
      <c r="K714" s="327"/>
      <c r="L714" s="327"/>
      <c r="M714" s="327"/>
      <c r="N714" s="327"/>
      <c r="O714" s="327"/>
      <c r="P714" s="327"/>
      <c r="Q714" s="327"/>
      <c r="R714" s="327"/>
      <c r="S714" s="327"/>
      <c r="T714" s="327"/>
      <c r="U714" s="327"/>
      <c r="V714" s="327"/>
      <c r="W714" s="327"/>
      <c r="X714" s="327"/>
      <c r="Y714" s="327"/>
      <c r="Z714" s="327"/>
      <c r="AA714" s="327"/>
      <c r="AB714" s="327"/>
      <c r="AC714" s="327"/>
      <c r="AD714" s="327"/>
      <c r="AE714" s="327"/>
      <c r="AF714" s="327"/>
      <c r="AG714" s="327"/>
      <c r="AH714" s="327"/>
      <c r="AI714" s="327"/>
      <c r="AJ714" s="327"/>
      <c r="AK714" s="327"/>
      <c r="AL714" s="327"/>
      <c r="AM714" s="327"/>
    </row>
    <row r="715" spans="1:39">
      <c r="A715" s="69"/>
      <c r="B715" s="69"/>
      <c r="C715" s="327"/>
      <c r="D715" s="327"/>
      <c r="E715" s="327"/>
      <c r="F715" s="327"/>
      <c r="G715" s="327"/>
      <c r="H715" s="327"/>
      <c r="I715" s="327"/>
      <c r="J715" s="327"/>
      <c r="K715" s="327"/>
      <c r="L715" s="327"/>
      <c r="M715" s="327"/>
      <c r="N715" s="327"/>
      <c r="O715" s="327"/>
      <c r="P715" s="327"/>
      <c r="Q715" s="327"/>
      <c r="R715" s="327"/>
      <c r="S715" s="327"/>
      <c r="T715" s="327"/>
      <c r="U715" s="327"/>
      <c r="V715" s="327"/>
      <c r="W715" s="327"/>
      <c r="X715" s="327"/>
      <c r="Y715" s="327"/>
      <c r="Z715" s="327"/>
      <c r="AA715" s="327"/>
      <c r="AB715" s="327"/>
      <c r="AC715" s="327"/>
      <c r="AD715" s="327"/>
      <c r="AE715" s="327"/>
      <c r="AF715" s="327"/>
      <c r="AG715" s="327"/>
      <c r="AH715" s="327"/>
      <c r="AI715" s="327"/>
      <c r="AJ715" s="327"/>
      <c r="AK715" s="327"/>
      <c r="AL715" s="327"/>
      <c r="AM715" s="327"/>
    </row>
    <row r="716" spans="1:39">
      <c r="A716" s="69"/>
      <c r="B716" s="69"/>
      <c r="C716" s="327"/>
      <c r="D716" s="327"/>
      <c r="E716" s="327"/>
      <c r="F716" s="327"/>
      <c r="G716" s="327"/>
      <c r="H716" s="327"/>
      <c r="I716" s="327"/>
      <c r="J716" s="327"/>
      <c r="K716" s="327"/>
      <c r="L716" s="327"/>
      <c r="M716" s="327"/>
      <c r="N716" s="327"/>
      <c r="O716" s="327"/>
      <c r="P716" s="327"/>
      <c r="Q716" s="327"/>
      <c r="R716" s="327"/>
      <c r="S716" s="327"/>
      <c r="T716" s="327"/>
      <c r="U716" s="327"/>
      <c r="V716" s="327"/>
      <c r="W716" s="327"/>
      <c r="X716" s="327"/>
      <c r="Y716" s="327"/>
      <c r="Z716" s="327"/>
      <c r="AA716" s="327"/>
      <c r="AB716" s="327"/>
      <c r="AC716" s="327"/>
      <c r="AD716" s="327"/>
      <c r="AE716" s="327"/>
      <c r="AF716" s="327"/>
      <c r="AG716" s="327"/>
      <c r="AH716" s="327"/>
      <c r="AI716" s="327"/>
      <c r="AJ716" s="327"/>
      <c r="AK716" s="327"/>
      <c r="AL716" s="327"/>
      <c r="AM716" s="327"/>
    </row>
    <row r="717" spans="1:39">
      <c r="A717" s="69"/>
      <c r="B717" s="69"/>
      <c r="C717" s="327"/>
      <c r="D717" s="327"/>
      <c r="E717" s="327"/>
      <c r="F717" s="327"/>
      <c r="G717" s="327"/>
      <c r="H717" s="327"/>
      <c r="I717" s="327"/>
      <c r="J717" s="327"/>
      <c r="K717" s="327"/>
      <c r="L717" s="327"/>
      <c r="M717" s="327"/>
      <c r="N717" s="327"/>
      <c r="O717" s="327"/>
      <c r="P717" s="327"/>
      <c r="Q717" s="327"/>
      <c r="R717" s="327"/>
      <c r="S717" s="327"/>
      <c r="T717" s="327"/>
      <c r="U717" s="327"/>
      <c r="V717" s="327"/>
      <c r="W717" s="327"/>
      <c r="X717" s="327"/>
      <c r="Y717" s="327"/>
      <c r="Z717" s="327"/>
      <c r="AA717" s="327"/>
      <c r="AB717" s="327"/>
      <c r="AC717" s="327"/>
      <c r="AD717" s="327"/>
      <c r="AE717" s="327"/>
      <c r="AF717" s="327"/>
      <c r="AG717" s="327"/>
      <c r="AH717" s="327"/>
      <c r="AI717" s="327"/>
      <c r="AJ717" s="327"/>
      <c r="AK717" s="327"/>
      <c r="AL717" s="327"/>
      <c r="AM717" s="327"/>
    </row>
    <row r="718" spans="1:39">
      <c r="A718" s="69"/>
      <c r="B718" s="69"/>
      <c r="C718" s="327"/>
      <c r="D718" s="327"/>
      <c r="E718" s="327"/>
      <c r="F718" s="327"/>
      <c r="G718" s="327"/>
      <c r="H718" s="327"/>
      <c r="I718" s="327"/>
      <c r="J718" s="327"/>
      <c r="K718" s="327"/>
      <c r="L718" s="327"/>
      <c r="M718" s="327"/>
      <c r="N718" s="327"/>
      <c r="O718" s="327"/>
      <c r="P718" s="327"/>
      <c r="Q718" s="327"/>
      <c r="R718" s="327"/>
      <c r="S718" s="327"/>
      <c r="T718" s="327"/>
      <c r="U718" s="327"/>
      <c r="V718" s="327"/>
      <c r="W718" s="327"/>
      <c r="X718" s="327"/>
      <c r="Y718" s="327"/>
      <c r="Z718" s="327"/>
      <c r="AA718" s="327"/>
      <c r="AB718" s="327"/>
      <c r="AC718" s="327"/>
      <c r="AD718" s="327"/>
      <c r="AE718" s="327"/>
      <c r="AF718" s="327"/>
      <c r="AG718" s="327"/>
      <c r="AH718" s="327"/>
      <c r="AI718" s="327"/>
      <c r="AJ718" s="327"/>
      <c r="AK718" s="327"/>
      <c r="AL718" s="327"/>
      <c r="AM718" s="327"/>
    </row>
    <row r="719" spans="1:39">
      <c r="A719" s="69"/>
      <c r="B719" s="69"/>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327"/>
      <c r="AE719" s="327"/>
      <c r="AF719" s="327"/>
      <c r="AG719" s="327"/>
      <c r="AH719" s="327"/>
      <c r="AI719" s="327"/>
      <c r="AJ719" s="327"/>
      <c r="AK719" s="327"/>
      <c r="AL719" s="327"/>
      <c r="AM719" s="327"/>
    </row>
    <row r="720" spans="1:39">
      <c r="A720" s="69"/>
      <c r="B720" s="69"/>
      <c r="C720" s="327"/>
      <c r="D720" s="327"/>
      <c r="E720" s="327"/>
      <c r="F720" s="327"/>
      <c r="G720" s="327"/>
      <c r="H720" s="327"/>
      <c r="I720" s="327"/>
      <c r="J720" s="327"/>
      <c r="K720" s="327"/>
      <c r="L720" s="327"/>
      <c r="M720" s="327"/>
      <c r="N720" s="327"/>
      <c r="O720" s="327"/>
      <c r="P720" s="327"/>
      <c r="Q720" s="327"/>
      <c r="R720" s="327"/>
      <c r="S720" s="327"/>
      <c r="T720" s="327"/>
      <c r="U720" s="327"/>
      <c r="V720" s="327"/>
      <c r="W720" s="327"/>
      <c r="X720" s="327"/>
      <c r="Y720" s="327"/>
      <c r="Z720" s="327"/>
      <c r="AA720" s="327"/>
      <c r="AB720" s="327"/>
      <c r="AC720" s="327"/>
      <c r="AD720" s="327"/>
      <c r="AE720" s="327"/>
      <c r="AF720" s="327"/>
      <c r="AG720" s="327"/>
      <c r="AH720" s="327"/>
      <c r="AI720" s="327"/>
      <c r="AJ720" s="327"/>
      <c r="AK720" s="327"/>
      <c r="AL720" s="327"/>
      <c r="AM720" s="327"/>
    </row>
    <row r="721" spans="1:39">
      <c r="A721" s="69"/>
      <c r="B721" s="69"/>
      <c r="C721" s="327"/>
      <c r="D721" s="327"/>
      <c r="E721" s="327"/>
      <c r="F721" s="327"/>
      <c r="G721" s="327"/>
      <c r="H721" s="327"/>
      <c r="I721" s="327"/>
      <c r="J721" s="327"/>
      <c r="K721" s="327"/>
      <c r="L721" s="327"/>
      <c r="M721" s="327"/>
      <c r="N721" s="327"/>
      <c r="O721" s="327"/>
      <c r="P721" s="327"/>
      <c r="Q721" s="327"/>
      <c r="R721" s="327"/>
      <c r="S721" s="327"/>
      <c r="T721" s="327"/>
      <c r="U721" s="327"/>
      <c r="V721" s="327"/>
      <c r="W721" s="327"/>
      <c r="X721" s="327"/>
      <c r="Y721" s="327"/>
      <c r="Z721" s="327"/>
      <c r="AA721" s="327"/>
      <c r="AB721" s="327"/>
      <c r="AC721" s="327"/>
      <c r="AD721" s="327"/>
      <c r="AE721" s="327"/>
      <c r="AF721" s="327"/>
      <c r="AG721" s="327"/>
      <c r="AH721" s="327"/>
      <c r="AI721" s="327"/>
      <c r="AJ721" s="327"/>
      <c r="AK721" s="327"/>
      <c r="AL721" s="327"/>
      <c r="AM721" s="327"/>
    </row>
    <row r="722" spans="1:39">
      <c r="A722" s="69"/>
      <c r="B722" s="69"/>
      <c r="C722" s="327"/>
      <c r="D722" s="327"/>
      <c r="E722" s="327"/>
      <c r="F722" s="327"/>
      <c r="G722" s="327"/>
      <c r="H722" s="327"/>
      <c r="I722" s="327"/>
      <c r="J722" s="327"/>
      <c r="K722" s="327"/>
      <c r="L722" s="327"/>
      <c r="M722" s="327"/>
      <c r="N722" s="327"/>
      <c r="O722" s="327"/>
      <c r="P722" s="327"/>
      <c r="Q722" s="327"/>
      <c r="R722" s="327"/>
      <c r="S722" s="327"/>
      <c r="T722" s="327"/>
      <c r="U722" s="327"/>
      <c r="V722" s="327"/>
      <c r="W722" s="327"/>
      <c r="X722" s="327"/>
      <c r="Y722" s="327"/>
      <c r="Z722" s="327"/>
      <c r="AA722" s="327"/>
      <c r="AB722" s="327"/>
      <c r="AC722" s="327"/>
      <c r="AD722" s="327"/>
      <c r="AE722" s="327"/>
      <c r="AF722" s="327"/>
      <c r="AG722" s="327"/>
      <c r="AH722" s="327"/>
      <c r="AI722" s="327"/>
      <c r="AJ722" s="327"/>
      <c r="AK722" s="327"/>
      <c r="AL722" s="327"/>
      <c r="AM722" s="327"/>
    </row>
    <row r="723" spans="1:39">
      <c r="A723" s="69"/>
      <c r="B723" s="69"/>
      <c r="C723" s="327"/>
      <c r="D723" s="327"/>
      <c r="E723" s="327"/>
      <c r="F723" s="327"/>
      <c r="G723" s="327"/>
      <c r="H723" s="327"/>
      <c r="I723" s="327"/>
      <c r="J723" s="327"/>
      <c r="K723" s="327"/>
      <c r="L723" s="327"/>
      <c r="M723" s="327"/>
      <c r="N723" s="327"/>
      <c r="O723" s="327"/>
      <c r="P723" s="327"/>
      <c r="Q723" s="327"/>
      <c r="R723" s="327"/>
      <c r="S723" s="327"/>
      <c r="T723" s="327"/>
      <c r="U723" s="327"/>
      <c r="V723" s="327"/>
      <c r="W723" s="327"/>
      <c r="X723" s="327"/>
      <c r="Y723" s="327"/>
      <c r="Z723" s="327"/>
      <c r="AA723" s="327"/>
      <c r="AB723" s="327"/>
      <c r="AC723" s="327"/>
      <c r="AD723" s="327"/>
      <c r="AE723" s="327"/>
      <c r="AF723" s="327"/>
      <c r="AG723" s="327"/>
      <c r="AH723" s="327"/>
      <c r="AI723" s="327"/>
      <c r="AJ723" s="327"/>
      <c r="AK723" s="327"/>
      <c r="AL723" s="327"/>
      <c r="AM723" s="327"/>
    </row>
    <row r="724" spans="1:39">
      <c r="A724" s="69"/>
      <c r="B724" s="69"/>
      <c r="C724" s="327"/>
      <c r="D724" s="327"/>
      <c r="E724" s="327"/>
      <c r="F724" s="327"/>
      <c r="G724" s="327"/>
      <c r="H724" s="327"/>
      <c r="I724" s="327"/>
      <c r="J724" s="327"/>
      <c r="K724" s="327"/>
      <c r="L724" s="327"/>
      <c r="M724" s="327"/>
      <c r="N724" s="327"/>
      <c r="O724" s="327"/>
      <c r="P724" s="327"/>
      <c r="Q724" s="327"/>
      <c r="R724" s="327"/>
      <c r="S724" s="327"/>
      <c r="T724" s="327"/>
      <c r="U724" s="327"/>
      <c r="V724" s="327"/>
      <c r="W724" s="327"/>
      <c r="X724" s="327"/>
      <c r="Y724" s="327"/>
      <c r="Z724" s="327"/>
      <c r="AA724" s="327"/>
      <c r="AB724" s="327"/>
      <c r="AC724" s="327"/>
      <c r="AD724" s="327"/>
      <c r="AE724" s="327"/>
      <c r="AF724" s="327"/>
      <c r="AG724" s="327"/>
      <c r="AH724" s="327"/>
      <c r="AI724" s="327"/>
      <c r="AJ724" s="327"/>
      <c r="AK724" s="327"/>
      <c r="AL724" s="327"/>
      <c r="AM724" s="327"/>
    </row>
    <row r="725" spans="1:39">
      <c r="A725" s="69"/>
      <c r="B725" s="69"/>
      <c r="C725" s="327"/>
      <c r="D725" s="327"/>
      <c r="E725" s="327"/>
      <c r="F725" s="327"/>
      <c r="G725" s="327"/>
      <c r="H725" s="327"/>
      <c r="I725" s="327"/>
      <c r="J725" s="327"/>
      <c r="K725" s="327"/>
      <c r="L725" s="327"/>
      <c r="M725" s="327"/>
      <c r="N725" s="327"/>
      <c r="O725" s="327"/>
      <c r="P725" s="327"/>
      <c r="Q725" s="327"/>
      <c r="R725" s="327"/>
      <c r="S725" s="327"/>
      <c r="T725" s="327"/>
      <c r="U725" s="327"/>
      <c r="V725" s="327"/>
      <c r="W725" s="327"/>
      <c r="X725" s="327"/>
      <c r="Y725" s="327"/>
      <c r="Z725" s="327"/>
      <c r="AA725" s="327"/>
      <c r="AB725" s="327"/>
      <c r="AC725" s="327"/>
      <c r="AD725" s="327"/>
      <c r="AE725" s="327"/>
      <c r="AF725" s="327"/>
      <c r="AG725" s="327"/>
      <c r="AH725" s="327"/>
      <c r="AI725" s="327"/>
      <c r="AJ725" s="327"/>
      <c r="AK725" s="327"/>
      <c r="AL725" s="327"/>
      <c r="AM725" s="327"/>
    </row>
    <row r="726" spans="1:39">
      <c r="A726" s="69"/>
      <c r="B726" s="69"/>
      <c r="C726" s="327"/>
      <c r="D726" s="327"/>
      <c r="E726" s="327"/>
      <c r="F726" s="327"/>
      <c r="G726" s="327"/>
      <c r="H726" s="327"/>
      <c r="I726" s="327"/>
      <c r="J726" s="327"/>
      <c r="K726" s="327"/>
      <c r="L726" s="327"/>
      <c r="M726" s="327"/>
      <c r="N726" s="327"/>
      <c r="O726" s="327"/>
      <c r="P726" s="327"/>
      <c r="Q726" s="327"/>
      <c r="R726" s="327"/>
      <c r="S726" s="327"/>
      <c r="T726" s="327"/>
      <c r="U726" s="327"/>
      <c r="V726" s="327"/>
      <c r="W726" s="327"/>
      <c r="X726" s="327"/>
      <c r="Y726" s="327"/>
      <c r="Z726" s="327"/>
      <c r="AA726" s="327"/>
      <c r="AB726" s="327"/>
      <c r="AC726" s="327"/>
      <c r="AD726" s="327"/>
      <c r="AE726" s="327"/>
      <c r="AF726" s="327"/>
      <c r="AG726" s="327"/>
      <c r="AH726" s="327"/>
      <c r="AI726" s="327"/>
      <c r="AJ726" s="327"/>
      <c r="AK726" s="327"/>
      <c r="AL726" s="327"/>
      <c r="AM726" s="327"/>
    </row>
    <row r="727" spans="1:39">
      <c r="A727" s="69"/>
      <c r="B727" s="69"/>
      <c r="C727" s="327"/>
      <c r="D727" s="327"/>
      <c r="E727" s="327"/>
      <c r="F727" s="327"/>
      <c r="G727" s="327"/>
      <c r="H727" s="327"/>
      <c r="I727" s="327"/>
      <c r="J727" s="327"/>
      <c r="K727" s="327"/>
      <c r="L727" s="327"/>
      <c r="M727" s="327"/>
      <c r="N727" s="327"/>
      <c r="O727" s="327"/>
      <c r="P727" s="327"/>
      <c r="Q727" s="327"/>
      <c r="R727" s="327"/>
      <c r="S727" s="327"/>
      <c r="T727" s="327"/>
      <c r="U727" s="327"/>
      <c r="V727" s="327"/>
      <c r="W727" s="327"/>
      <c r="X727" s="327"/>
      <c r="Y727" s="327"/>
      <c r="Z727" s="327"/>
      <c r="AA727" s="327"/>
      <c r="AB727" s="327"/>
      <c r="AC727" s="327"/>
      <c r="AD727" s="327"/>
      <c r="AE727" s="327"/>
      <c r="AF727" s="327"/>
      <c r="AG727" s="327"/>
      <c r="AH727" s="327"/>
      <c r="AI727" s="327"/>
      <c r="AJ727" s="327"/>
      <c r="AK727" s="327"/>
      <c r="AL727" s="327"/>
      <c r="AM727" s="327"/>
    </row>
    <row r="728" spans="1:39">
      <c r="A728" s="69"/>
      <c r="B728" s="69"/>
      <c r="C728" s="327"/>
      <c r="D728" s="327"/>
      <c r="E728" s="327"/>
      <c r="F728" s="327"/>
      <c r="G728" s="327"/>
      <c r="H728" s="327"/>
      <c r="I728" s="327"/>
      <c r="J728" s="327"/>
      <c r="K728" s="327"/>
      <c r="L728" s="327"/>
      <c r="M728" s="327"/>
      <c r="N728" s="327"/>
      <c r="O728" s="327"/>
      <c r="P728" s="327"/>
      <c r="Q728" s="327"/>
      <c r="R728" s="327"/>
      <c r="S728" s="327"/>
      <c r="T728" s="327"/>
      <c r="U728" s="327"/>
      <c r="V728" s="327"/>
      <c r="W728" s="327"/>
      <c r="X728" s="327"/>
      <c r="Y728" s="327"/>
      <c r="Z728" s="327"/>
      <c r="AA728" s="327"/>
      <c r="AB728" s="327"/>
      <c r="AC728" s="327"/>
      <c r="AD728" s="327"/>
      <c r="AE728" s="327"/>
      <c r="AF728" s="327"/>
      <c r="AG728" s="327"/>
      <c r="AH728" s="327"/>
      <c r="AI728" s="327"/>
      <c r="AJ728" s="327"/>
      <c r="AK728" s="327"/>
      <c r="AL728" s="327"/>
      <c r="AM728" s="327"/>
    </row>
    <row r="729" spans="1:39">
      <c r="A729" s="69"/>
      <c r="B729" s="69"/>
      <c r="C729" s="327"/>
      <c r="D729" s="327"/>
      <c r="E729" s="327"/>
      <c r="F729" s="327"/>
      <c r="G729" s="327"/>
      <c r="H729" s="327"/>
      <c r="I729" s="327"/>
      <c r="J729" s="327"/>
      <c r="K729" s="327"/>
      <c r="L729" s="327"/>
      <c r="M729" s="327"/>
      <c r="N729" s="327"/>
      <c r="O729" s="327"/>
      <c r="P729" s="327"/>
      <c r="Q729" s="327"/>
      <c r="R729" s="327"/>
      <c r="S729" s="327"/>
      <c r="T729" s="327"/>
      <c r="U729" s="327"/>
      <c r="V729" s="327"/>
      <c r="W729" s="327"/>
      <c r="X729" s="327"/>
      <c r="Y729" s="327"/>
      <c r="Z729" s="327"/>
      <c r="AA729" s="327"/>
      <c r="AB729" s="327"/>
      <c r="AC729" s="327"/>
      <c r="AD729" s="327"/>
      <c r="AE729" s="327"/>
      <c r="AF729" s="327"/>
      <c r="AG729" s="327"/>
      <c r="AH729" s="327"/>
      <c r="AI729" s="327"/>
      <c r="AJ729" s="327"/>
      <c r="AK729" s="327"/>
      <c r="AL729" s="327"/>
      <c r="AM729" s="327"/>
    </row>
    <row r="730" spans="1:39">
      <c r="A730" s="69"/>
      <c r="B730" s="69"/>
      <c r="C730" s="327"/>
      <c r="D730" s="327"/>
      <c r="E730" s="327"/>
      <c r="F730" s="327"/>
      <c r="G730" s="327"/>
      <c r="H730" s="327"/>
      <c r="I730" s="327"/>
      <c r="J730" s="327"/>
      <c r="K730" s="327"/>
      <c r="L730" s="327"/>
      <c r="M730" s="327"/>
      <c r="N730" s="327"/>
      <c r="O730" s="327"/>
      <c r="P730" s="327"/>
      <c r="Q730" s="327"/>
      <c r="R730" s="327"/>
      <c r="S730" s="327"/>
      <c r="T730" s="327"/>
      <c r="U730" s="327"/>
      <c r="V730" s="327"/>
      <c r="W730" s="327"/>
      <c r="X730" s="327"/>
      <c r="Y730" s="327"/>
      <c r="Z730" s="327"/>
      <c r="AA730" s="327"/>
      <c r="AB730" s="327"/>
      <c r="AC730" s="327"/>
      <c r="AD730" s="327"/>
      <c r="AE730" s="327"/>
      <c r="AF730" s="327"/>
      <c r="AG730" s="327"/>
      <c r="AH730" s="327"/>
      <c r="AI730" s="327"/>
      <c r="AJ730" s="327"/>
      <c r="AK730" s="327"/>
      <c r="AL730" s="327"/>
      <c r="AM730" s="327"/>
    </row>
    <row r="731" spans="1:39">
      <c r="A731" s="69"/>
      <c r="B731" s="69"/>
      <c r="C731" s="327"/>
      <c r="D731" s="327"/>
      <c r="E731" s="327"/>
      <c r="F731" s="327"/>
      <c r="G731" s="327"/>
      <c r="H731" s="327"/>
      <c r="I731" s="327"/>
      <c r="J731" s="327"/>
      <c r="K731" s="327"/>
      <c r="L731" s="327"/>
      <c r="M731" s="327"/>
      <c r="N731" s="327"/>
      <c r="O731" s="327"/>
      <c r="P731" s="327"/>
      <c r="Q731" s="327"/>
      <c r="R731" s="327"/>
      <c r="S731" s="327"/>
      <c r="T731" s="327"/>
      <c r="U731" s="327"/>
      <c r="V731" s="327"/>
      <c r="W731" s="327"/>
      <c r="X731" s="327"/>
      <c r="Y731" s="327"/>
      <c r="Z731" s="327"/>
      <c r="AA731" s="327"/>
      <c r="AB731" s="327"/>
      <c r="AC731" s="327"/>
      <c r="AD731" s="327"/>
      <c r="AE731" s="327"/>
      <c r="AF731" s="327"/>
      <c r="AG731" s="327"/>
      <c r="AH731" s="327"/>
      <c r="AI731" s="327"/>
      <c r="AJ731" s="327"/>
      <c r="AK731" s="327"/>
      <c r="AL731" s="327"/>
      <c r="AM731" s="327"/>
    </row>
    <row r="732" spans="1:39">
      <c r="A732" s="69"/>
      <c r="B732" s="69"/>
      <c r="C732" s="327"/>
      <c r="D732" s="327"/>
      <c r="E732" s="327"/>
      <c r="F732" s="327"/>
      <c r="G732" s="327"/>
      <c r="H732" s="327"/>
      <c r="I732" s="327"/>
      <c r="J732" s="327"/>
      <c r="K732" s="327"/>
      <c r="L732" s="327"/>
      <c r="M732" s="327"/>
      <c r="N732" s="327"/>
      <c r="O732" s="327"/>
      <c r="P732" s="327"/>
      <c r="Q732" s="327"/>
      <c r="R732" s="327"/>
      <c r="S732" s="327"/>
      <c r="T732" s="327"/>
      <c r="U732" s="327"/>
      <c r="V732" s="327"/>
      <c r="W732" s="327"/>
      <c r="X732" s="327"/>
      <c r="Y732" s="327"/>
      <c r="Z732" s="327"/>
      <c r="AA732" s="327"/>
      <c r="AB732" s="327"/>
      <c r="AC732" s="327"/>
      <c r="AD732" s="327"/>
      <c r="AE732" s="327"/>
      <c r="AF732" s="327"/>
      <c r="AG732" s="327"/>
      <c r="AH732" s="327"/>
      <c r="AI732" s="327"/>
      <c r="AJ732" s="327"/>
      <c r="AK732" s="327"/>
      <c r="AL732" s="327"/>
      <c r="AM732" s="327"/>
    </row>
    <row r="733" spans="1:39">
      <c r="A733" s="69"/>
      <c r="B733" s="69"/>
      <c r="C733" s="327"/>
      <c r="D733" s="327"/>
      <c r="E733" s="327"/>
      <c r="F733" s="327"/>
      <c r="G733" s="327"/>
      <c r="H733" s="327"/>
      <c r="I733" s="327"/>
      <c r="J733" s="327"/>
      <c r="K733" s="327"/>
      <c r="L733" s="327"/>
      <c r="M733" s="327"/>
      <c r="N733" s="327"/>
      <c r="O733" s="327"/>
      <c r="P733" s="327"/>
      <c r="Q733" s="327"/>
      <c r="R733" s="327"/>
      <c r="S733" s="327"/>
      <c r="T733" s="327"/>
      <c r="U733" s="327"/>
      <c r="V733" s="327"/>
      <c r="W733" s="327"/>
      <c r="X733" s="327"/>
      <c r="Y733" s="327"/>
      <c r="Z733" s="327"/>
      <c r="AA733" s="327"/>
      <c r="AB733" s="327"/>
      <c r="AC733" s="327"/>
      <c r="AD733" s="327"/>
      <c r="AE733" s="327"/>
      <c r="AF733" s="327"/>
      <c r="AG733" s="327"/>
      <c r="AH733" s="327"/>
      <c r="AI733" s="327"/>
      <c r="AJ733" s="327"/>
      <c r="AK733" s="327"/>
      <c r="AL733" s="327"/>
      <c r="AM733" s="327"/>
    </row>
    <row r="734" spans="1:39">
      <c r="A734" s="69"/>
      <c r="B734" s="69"/>
      <c r="C734" s="327"/>
      <c r="D734" s="327"/>
      <c r="E734" s="327"/>
      <c r="F734" s="327"/>
      <c r="G734" s="327"/>
      <c r="H734" s="327"/>
      <c r="I734" s="327"/>
      <c r="J734" s="327"/>
      <c r="K734" s="327"/>
      <c r="L734" s="327"/>
      <c r="M734" s="327"/>
      <c r="N734" s="327"/>
      <c r="O734" s="327"/>
      <c r="P734" s="327"/>
      <c r="Q734" s="327"/>
      <c r="R734" s="327"/>
      <c r="S734" s="327"/>
      <c r="T734" s="327"/>
      <c r="U734" s="327"/>
      <c r="V734" s="327"/>
      <c r="W734" s="327"/>
      <c r="X734" s="327"/>
      <c r="Y734" s="327"/>
      <c r="Z734" s="327"/>
      <c r="AA734" s="327"/>
      <c r="AB734" s="327"/>
      <c r="AC734" s="327"/>
      <c r="AD734" s="327"/>
      <c r="AE734" s="327"/>
      <c r="AF734" s="327"/>
      <c r="AG734" s="327"/>
      <c r="AH734" s="327"/>
      <c r="AI734" s="327"/>
      <c r="AJ734" s="327"/>
      <c r="AK734" s="327"/>
      <c r="AL734" s="327"/>
      <c r="AM734" s="327"/>
    </row>
    <row r="735" spans="1:39">
      <c r="A735" s="69"/>
      <c r="B735" s="69"/>
      <c r="C735" s="327"/>
      <c r="D735" s="327"/>
      <c r="E735" s="327"/>
      <c r="F735" s="327"/>
      <c r="G735" s="327"/>
      <c r="H735" s="327"/>
      <c r="I735" s="327"/>
      <c r="J735" s="327"/>
      <c r="K735" s="327"/>
      <c r="L735" s="327"/>
      <c r="M735" s="327"/>
      <c r="N735" s="327"/>
      <c r="O735" s="327"/>
      <c r="P735" s="327"/>
      <c r="Q735" s="327"/>
      <c r="R735" s="327"/>
      <c r="S735" s="327"/>
      <c r="T735" s="327"/>
      <c r="U735" s="327"/>
      <c r="V735" s="327"/>
      <c r="W735" s="327"/>
      <c r="X735" s="327"/>
      <c r="Y735" s="327"/>
      <c r="Z735" s="327"/>
      <c r="AA735" s="327"/>
      <c r="AB735" s="327"/>
      <c r="AC735" s="327"/>
      <c r="AD735" s="327"/>
      <c r="AE735" s="327"/>
      <c r="AF735" s="327"/>
      <c r="AG735" s="327"/>
      <c r="AH735" s="327"/>
      <c r="AI735" s="327"/>
      <c r="AJ735" s="327"/>
      <c r="AK735" s="327"/>
      <c r="AL735" s="327"/>
      <c r="AM735" s="327"/>
    </row>
    <row r="736" spans="1:39">
      <c r="A736" s="69"/>
      <c r="B736" s="69"/>
      <c r="C736" s="327"/>
      <c r="D736" s="327"/>
      <c r="E736" s="327"/>
      <c r="F736" s="327"/>
      <c r="G736" s="327"/>
      <c r="H736" s="327"/>
      <c r="I736" s="327"/>
      <c r="J736" s="327"/>
      <c r="K736" s="327"/>
      <c r="L736" s="327"/>
      <c r="M736" s="327"/>
      <c r="N736" s="327"/>
      <c r="O736" s="327"/>
      <c r="P736" s="327"/>
      <c r="Q736" s="327"/>
      <c r="R736" s="327"/>
      <c r="S736" s="327"/>
      <c r="T736" s="327"/>
      <c r="U736" s="327"/>
      <c r="V736" s="327"/>
      <c r="W736" s="327"/>
      <c r="X736" s="327"/>
      <c r="Y736" s="327"/>
      <c r="Z736" s="327"/>
      <c r="AA736" s="327"/>
      <c r="AB736" s="327"/>
      <c r="AC736" s="327"/>
      <c r="AD736" s="327"/>
      <c r="AE736" s="327"/>
      <c r="AF736" s="327"/>
      <c r="AG736" s="327"/>
      <c r="AH736" s="327"/>
      <c r="AI736" s="327"/>
      <c r="AJ736" s="327"/>
      <c r="AK736" s="327"/>
      <c r="AL736" s="327"/>
      <c r="AM736" s="327"/>
    </row>
    <row r="737" spans="1:39">
      <c r="A737" s="69"/>
      <c r="B737" s="69"/>
      <c r="C737" s="327"/>
      <c r="D737" s="327"/>
      <c r="E737" s="327"/>
      <c r="F737" s="327"/>
      <c r="G737" s="327"/>
      <c r="H737" s="327"/>
      <c r="I737" s="327"/>
      <c r="J737" s="327"/>
      <c r="K737" s="327"/>
      <c r="L737" s="327"/>
      <c r="M737" s="327"/>
      <c r="N737" s="327"/>
      <c r="O737" s="327"/>
      <c r="P737" s="327"/>
      <c r="Q737" s="327"/>
      <c r="R737" s="327"/>
      <c r="S737" s="327"/>
      <c r="T737" s="327"/>
      <c r="U737" s="327"/>
      <c r="V737" s="327"/>
      <c r="W737" s="327"/>
      <c r="X737" s="327"/>
      <c r="Y737" s="327"/>
      <c r="Z737" s="327"/>
      <c r="AA737" s="327"/>
      <c r="AB737" s="327"/>
      <c r="AC737" s="327"/>
      <c r="AD737" s="327"/>
      <c r="AE737" s="327"/>
      <c r="AF737" s="327"/>
      <c r="AG737" s="327"/>
      <c r="AH737" s="327"/>
      <c r="AI737" s="327"/>
      <c r="AJ737" s="327"/>
      <c r="AK737" s="327"/>
      <c r="AL737" s="327"/>
      <c r="AM737" s="327"/>
    </row>
    <row r="738" spans="1:39">
      <c r="A738" s="69"/>
      <c r="B738" s="69"/>
      <c r="C738" s="327"/>
      <c r="D738" s="327"/>
      <c r="E738" s="327"/>
      <c r="F738" s="327"/>
      <c r="G738" s="327"/>
      <c r="H738" s="327"/>
      <c r="I738" s="327"/>
      <c r="J738" s="327"/>
      <c r="K738" s="327"/>
      <c r="L738" s="327"/>
      <c r="M738" s="327"/>
      <c r="N738" s="327"/>
      <c r="O738" s="327"/>
      <c r="P738" s="327"/>
      <c r="Q738" s="327"/>
      <c r="R738" s="327"/>
      <c r="S738" s="327"/>
      <c r="T738" s="327"/>
      <c r="U738" s="327"/>
      <c r="V738" s="327"/>
      <c r="W738" s="327"/>
      <c r="X738" s="327"/>
      <c r="Y738" s="327"/>
      <c r="Z738" s="327"/>
      <c r="AA738" s="327"/>
      <c r="AB738" s="327"/>
      <c r="AC738" s="327"/>
      <c r="AD738" s="327"/>
      <c r="AE738" s="327"/>
      <c r="AF738" s="327"/>
      <c r="AG738" s="327"/>
      <c r="AH738" s="327"/>
      <c r="AI738" s="327"/>
      <c r="AJ738" s="327"/>
      <c r="AK738" s="327"/>
      <c r="AL738" s="327"/>
      <c r="AM738" s="327"/>
    </row>
    <row r="739" spans="1:39">
      <c r="A739" s="69"/>
      <c r="B739" s="69"/>
      <c r="C739" s="327"/>
      <c r="D739" s="327"/>
      <c r="E739" s="327"/>
      <c r="F739" s="327"/>
      <c r="G739" s="327"/>
      <c r="H739" s="327"/>
      <c r="I739" s="327"/>
      <c r="J739" s="327"/>
      <c r="K739" s="327"/>
      <c r="L739" s="327"/>
      <c r="M739" s="327"/>
      <c r="N739" s="327"/>
      <c r="O739" s="327"/>
      <c r="P739" s="327"/>
      <c r="Q739" s="327"/>
      <c r="R739" s="327"/>
      <c r="S739" s="327"/>
      <c r="T739" s="327"/>
      <c r="U739" s="327"/>
      <c r="V739" s="327"/>
      <c r="W739" s="327"/>
      <c r="X739" s="327"/>
      <c r="Y739" s="327"/>
      <c r="Z739" s="327"/>
      <c r="AA739" s="327"/>
      <c r="AB739" s="327"/>
      <c r="AC739" s="327"/>
      <c r="AD739" s="327"/>
      <c r="AE739" s="327"/>
      <c r="AF739" s="327"/>
      <c r="AG739" s="327"/>
      <c r="AH739" s="327"/>
      <c r="AI739" s="327"/>
      <c r="AJ739" s="327"/>
      <c r="AK739" s="327"/>
      <c r="AL739" s="327"/>
      <c r="AM739" s="327"/>
    </row>
    <row r="740" spans="1:39">
      <c r="A740" s="69"/>
      <c r="B740" s="69"/>
      <c r="C740" s="327"/>
      <c r="D740" s="327"/>
      <c r="E740" s="327"/>
      <c r="F740" s="327"/>
      <c r="G740" s="327"/>
      <c r="H740" s="327"/>
      <c r="I740" s="327"/>
      <c r="J740" s="327"/>
      <c r="K740" s="327"/>
      <c r="L740" s="327"/>
      <c r="M740" s="327"/>
      <c r="N740" s="327"/>
      <c r="O740" s="327"/>
      <c r="P740" s="327"/>
      <c r="Q740" s="327"/>
      <c r="R740" s="327"/>
      <c r="S740" s="327"/>
      <c r="T740" s="327"/>
      <c r="U740" s="327"/>
      <c r="V740" s="327"/>
      <c r="W740" s="327"/>
      <c r="X740" s="327"/>
      <c r="Y740" s="327"/>
      <c r="Z740" s="327"/>
      <c r="AA740" s="327"/>
      <c r="AB740" s="327"/>
      <c r="AC740" s="327"/>
      <c r="AD740" s="327"/>
      <c r="AE740" s="327"/>
      <c r="AF740" s="327"/>
      <c r="AG740" s="327"/>
      <c r="AH740" s="327"/>
      <c r="AI740" s="327"/>
      <c r="AJ740" s="327"/>
      <c r="AK740" s="327"/>
      <c r="AL740" s="327"/>
      <c r="AM740" s="327"/>
    </row>
    <row r="741" spans="1:39">
      <c r="A741" s="69"/>
      <c r="B741" s="69"/>
      <c r="C741" s="327"/>
      <c r="D741" s="327"/>
      <c r="E741" s="327"/>
      <c r="F741" s="327"/>
      <c r="G741" s="327"/>
      <c r="H741" s="327"/>
      <c r="I741" s="327"/>
      <c r="J741" s="327"/>
      <c r="K741" s="327"/>
      <c r="L741" s="327"/>
      <c r="M741" s="327"/>
      <c r="N741" s="327"/>
      <c r="O741" s="327"/>
      <c r="P741" s="327"/>
      <c r="Q741" s="327"/>
      <c r="R741" s="327"/>
      <c r="S741" s="327"/>
      <c r="T741" s="327"/>
      <c r="U741" s="327"/>
      <c r="V741" s="327"/>
      <c r="W741" s="327"/>
      <c r="X741" s="327"/>
      <c r="Y741" s="327"/>
      <c r="Z741" s="327"/>
      <c r="AA741" s="327"/>
      <c r="AB741" s="327"/>
      <c r="AC741" s="327"/>
      <c r="AD741" s="327"/>
      <c r="AE741" s="327"/>
      <c r="AF741" s="327"/>
      <c r="AG741" s="327"/>
      <c r="AH741" s="327"/>
      <c r="AI741" s="327"/>
      <c r="AJ741" s="327"/>
      <c r="AK741" s="327"/>
      <c r="AL741" s="327"/>
      <c r="AM741" s="327"/>
    </row>
    <row r="742" spans="1:39">
      <c r="A742" s="69"/>
      <c r="B742" s="69"/>
      <c r="C742" s="327"/>
      <c r="D742" s="327"/>
      <c r="E742" s="327"/>
      <c r="F742" s="327"/>
      <c r="G742" s="327"/>
      <c r="H742" s="327"/>
      <c r="I742" s="327"/>
      <c r="J742" s="327"/>
      <c r="K742" s="327"/>
      <c r="L742" s="327"/>
      <c r="M742" s="327"/>
      <c r="N742" s="327"/>
      <c r="O742" s="327"/>
      <c r="P742" s="327"/>
      <c r="Q742" s="327"/>
      <c r="R742" s="327"/>
      <c r="S742" s="327"/>
      <c r="T742" s="327"/>
      <c r="U742" s="327"/>
      <c r="V742" s="327"/>
      <c r="W742" s="327"/>
      <c r="X742" s="327"/>
      <c r="Y742" s="327"/>
      <c r="Z742" s="327"/>
      <c r="AA742" s="327"/>
      <c r="AB742" s="327"/>
      <c r="AC742" s="327"/>
      <c r="AD742" s="327"/>
      <c r="AE742" s="327"/>
      <c r="AF742" s="327"/>
      <c r="AG742" s="327"/>
      <c r="AH742" s="327"/>
      <c r="AI742" s="327"/>
      <c r="AJ742" s="327"/>
      <c r="AK742" s="327"/>
      <c r="AL742" s="327"/>
      <c r="AM742" s="327"/>
    </row>
    <row r="743" spans="1:39">
      <c r="A743" s="69"/>
      <c r="B743" s="69"/>
      <c r="C743" s="327"/>
      <c r="D743" s="327"/>
      <c r="E743" s="327"/>
      <c r="F743" s="327"/>
      <c r="G743" s="327"/>
      <c r="H743" s="327"/>
      <c r="I743" s="327"/>
      <c r="J743" s="327"/>
      <c r="K743" s="327"/>
      <c r="L743" s="327"/>
      <c r="M743" s="327"/>
      <c r="N743" s="327"/>
      <c r="O743" s="327"/>
      <c r="P743" s="327"/>
      <c r="Q743" s="327"/>
      <c r="R743" s="327"/>
      <c r="S743" s="327"/>
      <c r="T743" s="327"/>
      <c r="U743" s="327"/>
      <c r="V743" s="327"/>
      <c r="W743" s="327"/>
      <c r="X743" s="327"/>
      <c r="Y743" s="327"/>
      <c r="Z743" s="327"/>
      <c r="AA743" s="327"/>
      <c r="AB743" s="327"/>
      <c r="AC743" s="327"/>
      <c r="AD743" s="327"/>
      <c r="AE743" s="327"/>
      <c r="AF743" s="327"/>
      <c r="AG743" s="327"/>
      <c r="AH743" s="327"/>
      <c r="AI743" s="327"/>
      <c r="AJ743" s="327"/>
      <c r="AK743" s="327"/>
      <c r="AL743" s="327"/>
      <c r="AM743" s="327"/>
    </row>
    <row r="744" spans="1:39">
      <c r="A744" s="69"/>
      <c r="B744" s="69"/>
      <c r="C744" s="327"/>
      <c r="D744" s="327"/>
      <c r="E744" s="327"/>
      <c r="F744" s="327"/>
      <c r="G744" s="327"/>
      <c r="H744" s="327"/>
      <c r="I744" s="327"/>
      <c r="J744" s="327"/>
      <c r="K744" s="327"/>
      <c r="L744" s="327"/>
      <c r="M744" s="327"/>
      <c r="N744" s="327"/>
      <c r="O744" s="327"/>
      <c r="P744" s="327"/>
      <c r="Q744" s="327"/>
      <c r="R744" s="327"/>
      <c r="S744" s="327"/>
      <c r="T744" s="327"/>
      <c r="U744" s="327"/>
      <c r="V744" s="327"/>
      <c r="W744" s="327"/>
      <c r="X744" s="327"/>
      <c r="Y744" s="327"/>
      <c r="Z744" s="327"/>
      <c r="AA744" s="327"/>
      <c r="AB744" s="327"/>
      <c r="AC744" s="327"/>
      <c r="AD744" s="327"/>
      <c r="AE744" s="327"/>
      <c r="AF744" s="327"/>
      <c r="AG744" s="327"/>
      <c r="AH744" s="327"/>
      <c r="AI744" s="327"/>
      <c r="AJ744" s="327"/>
      <c r="AK744" s="327"/>
      <c r="AL744" s="327"/>
      <c r="AM744" s="327"/>
    </row>
    <row r="745" spans="1:39">
      <c r="A745" s="69"/>
      <c r="B745" s="69"/>
      <c r="C745" s="327"/>
      <c r="D745" s="327"/>
      <c r="E745" s="327"/>
      <c r="F745" s="327"/>
      <c r="G745" s="327"/>
      <c r="H745" s="327"/>
      <c r="I745" s="327"/>
      <c r="J745" s="327"/>
      <c r="K745" s="327"/>
      <c r="L745" s="327"/>
      <c r="M745" s="327"/>
      <c r="N745" s="327"/>
      <c r="O745" s="327"/>
      <c r="P745" s="327"/>
      <c r="Q745" s="327"/>
      <c r="R745" s="327"/>
      <c r="S745" s="327"/>
      <c r="T745" s="327"/>
      <c r="U745" s="327"/>
      <c r="V745" s="327"/>
      <c r="W745" s="327"/>
      <c r="X745" s="327"/>
      <c r="Y745" s="327"/>
      <c r="Z745" s="327"/>
      <c r="AA745" s="327"/>
      <c r="AB745" s="327"/>
      <c r="AC745" s="327"/>
      <c r="AD745" s="327"/>
      <c r="AE745" s="327"/>
      <c r="AF745" s="327"/>
      <c r="AG745" s="327"/>
      <c r="AH745" s="327"/>
      <c r="AI745" s="327"/>
      <c r="AJ745" s="327"/>
      <c r="AK745" s="327"/>
      <c r="AL745" s="327"/>
      <c r="AM745" s="327"/>
    </row>
    <row r="746" spans="1:39">
      <c r="A746" s="69"/>
      <c r="B746" s="69"/>
      <c r="C746" s="327"/>
      <c r="D746" s="327"/>
      <c r="E746" s="327"/>
      <c r="F746" s="327"/>
      <c r="G746" s="327"/>
      <c r="H746" s="327"/>
      <c r="I746" s="327"/>
      <c r="J746" s="327"/>
      <c r="K746" s="327"/>
      <c r="L746" s="327"/>
      <c r="M746" s="327"/>
      <c r="N746" s="327"/>
      <c r="O746" s="327"/>
      <c r="P746" s="327"/>
      <c r="Q746" s="327"/>
      <c r="R746" s="327"/>
      <c r="S746" s="327"/>
      <c r="T746" s="327"/>
      <c r="U746" s="327"/>
      <c r="V746" s="327"/>
      <c r="W746" s="327"/>
      <c r="X746" s="327"/>
      <c r="Y746" s="327"/>
      <c r="Z746" s="327"/>
      <c r="AA746" s="327"/>
      <c r="AB746" s="327"/>
      <c r="AC746" s="327"/>
      <c r="AD746" s="327"/>
      <c r="AE746" s="327"/>
      <c r="AF746" s="327"/>
      <c r="AG746" s="327"/>
      <c r="AH746" s="327"/>
      <c r="AI746" s="327"/>
      <c r="AJ746" s="327"/>
      <c r="AK746" s="327"/>
      <c r="AL746" s="327"/>
      <c r="AM746" s="327"/>
    </row>
    <row r="747" spans="1:39">
      <c r="A747" s="69"/>
      <c r="B747" s="69"/>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327"/>
      <c r="AE747" s="327"/>
      <c r="AF747" s="327"/>
      <c r="AG747" s="327"/>
      <c r="AH747" s="327"/>
      <c r="AI747" s="327"/>
      <c r="AJ747" s="327"/>
      <c r="AK747" s="327"/>
      <c r="AL747" s="327"/>
      <c r="AM747" s="327"/>
    </row>
    <row r="748" spans="1:39">
      <c r="A748" s="69"/>
      <c r="B748" s="69"/>
      <c r="C748" s="327"/>
      <c r="D748" s="327"/>
      <c r="E748" s="327"/>
      <c r="F748" s="327"/>
      <c r="G748" s="327"/>
      <c r="H748" s="327"/>
      <c r="I748" s="327"/>
      <c r="J748" s="327"/>
      <c r="K748" s="327"/>
      <c r="L748" s="327"/>
      <c r="M748" s="327"/>
      <c r="N748" s="327"/>
      <c r="O748" s="327"/>
      <c r="P748" s="327"/>
      <c r="Q748" s="327"/>
      <c r="R748" s="327"/>
      <c r="S748" s="327"/>
      <c r="T748" s="327"/>
      <c r="U748" s="327"/>
      <c r="V748" s="327"/>
      <c r="W748" s="327"/>
      <c r="X748" s="327"/>
      <c r="Y748" s="327"/>
      <c r="Z748" s="327"/>
      <c r="AA748" s="327"/>
      <c r="AB748" s="327"/>
      <c r="AC748" s="327"/>
      <c r="AD748" s="327"/>
      <c r="AE748" s="327"/>
      <c r="AF748" s="327"/>
      <c r="AG748" s="327"/>
      <c r="AH748" s="327"/>
      <c r="AI748" s="327"/>
      <c r="AJ748" s="327"/>
      <c r="AK748" s="327"/>
      <c r="AL748" s="327"/>
      <c r="AM748" s="327"/>
    </row>
    <row r="749" spans="1:39">
      <c r="A749" s="69"/>
      <c r="B749" s="69"/>
      <c r="C749" s="327"/>
      <c r="D749" s="327"/>
      <c r="E749" s="327"/>
      <c r="F749" s="327"/>
      <c r="G749" s="327"/>
      <c r="H749" s="327"/>
      <c r="I749" s="327"/>
      <c r="J749" s="327"/>
      <c r="K749" s="327"/>
      <c r="L749" s="327"/>
      <c r="M749" s="327"/>
      <c r="N749" s="327"/>
      <c r="O749" s="327"/>
      <c r="P749" s="327"/>
      <c r="Q749" s="327"/>
      <c r="R749" s="327"/>
      <c r="S749" s="327"/>
      <c r="T749" s="327"/>
      <c r="U749" s="327"/>
      <c r="V749" s="327"/>
      <c r="W749" s="327"/>
      <c r="X749" s="327"/>
      <c r="Y749" s="327"/>
      <c r="Z749" s="327"/>
      <c r="AA749" s="327"/>
      <c r="AB749" s="327"/>
      <c r="AC749" s="327"/>
      <c r="AD749" s="327"/>
      <c r="AE749" s="327"/>
      <c r="AF749" s="327"/>
      <c r="AG749" s="327"/>
      <c r="AH749" s="327"/>
      <c r="AI749" s="327"/>
      <c r="AJ749" s="327"/>
      <c r="AK749" s="327"/>
      <c r="AL749" s="327"/>
      <c r="AM749" s="327"/>
    </row>
    <row r="750" spans="1:39">
      <c r="A750" s="69"/>
      <c r="B750" s="69"/>
      <c r="C750" s="327"/>
      <c r="D750" s="327"/>
      <c r="E750" s="327"/>
      <c r="F750" s="327"/>
      <c r="G750" s="327"/>
      <c r="H750" s="327"/>
      <c r="I750" s="327"/>
      <c r="J750" s="327"/>
      <c r="K750" s="327"/>
      <c r="L750" s="327"/>
      <c r="M750" s="327"/>
      <c r="N750" s="327"/>
      <c r="O750" s="327"/>
      <c r="P750" s="327"/>
      <c r="Q750" s="327"/>
      <c r="R750" s="327"/>
      <c r="S750" s="327"/>
      <c r="T750" s="327"/>
      <c r="U750" s="327"/>
      <c r="V750" s="327"/>
      <c r="W750" s="327"/>
      <c r="X750" s="327"/>
      <c r="Y750" s="327"/>
      <c r="Z750" s="327"/>
      <c r="AA750" s="327"/>
      <c r="AB750" s="327"/>
      <c r="AC750" s="327"/>
      <c r="AD750" s="327"/>
      <c r="AE750" s="327"/>
      <c r="AF750" s="327"/>
      <c r="AG750" s="327"/>
      <c r="AH750" s="327"/>
      <c r="AI750" s="327"/>
      <c r="AJ750" s="327"/>
      <c r="AK750" s="327"/>
      <c r="AL750" s="327"/>
      <c r="AM750" s="327"/>
    </row>
    <row r="751" spans="1:39">
      <c r="A751" s="69"/>
      <c r="B751" s="69"/>
      <c r="C751" s="327"/>
      <c r="D751" s="327"/>
      <c r="E751" s="327"/>
      <c r="F751" s="327"/>
      <c r="G751" s="327"/>
      <c r="H751" s="327"/>
      <c r="I751" s="327"/>
      <c r="J751" s="327"/>
      <c r="K751" s="327"/>
      <c r="L751" s="327"/>
      <c r="M751" s="327"/>
      <c r="N751" s="327"/>
      <c r="O751" s="327"/>
      <c r="P751" s="327"/>
      <c r="Q751" s="327"/>
      <c r="R751" s="327"/>
      <c r="S751" s="327"/>
      <c r="T751" s="327"/>
      <c r="U751" s="327"/>
      <c r="V751" s="327"/>
      <c r="W751" s="327"/>
      <c r="X751" s="327"/>
      <c r="Y751" s="327"/>
      <c r="Z751" s="327"/>
      <c r="AA751" s="327"/>
      <c r="AB751" s="327"/>
      <c r="AC751" s="327"/>
      <c r="AD751" s="327"/>
      <c r="AE751" s="327"/>
      <c r="AF751" s="327"/>
      <c r="AG751" s="327"/>
      <c r="AH751" s="327"/>
      <c r="AI751" s="327"/>
      <c r="AJ751" s="327"/>
      <c r="AK751" s="327"/>
      <c r="AL751" s="327"/>
      <c r="AM751" s="327"/>
    </row>
    <row r="752" spans="1:39">
      <c r="A752" s="69"/>
      <c r="B752" s="69"/>
      <c r="C752" s="327"/>
      <c r="D752" s="327"/>
      <c r="E752" s="327"/>
      <c r="F752" s="327"/>
      <c r="G752" s="327"/>
      <c r="H752" s="327"/>
      <c r="I752" s="327"/>
      <c r="J752" s="327"/>
      <c r="K752" s="327"/>
      <c r="L752" s="327"/>
      <c r="M752" s="327"/>
      <c r="N752" s="327"/>
      <c r="O752" s="327"/>
      <c r="P752" s="327"/>
      <c r="Q752" s="327"/>
      <c r="R752" s="327"/>
      <c r="S752" s="327"/>
      <c r="T752" s="327"/>
      <c r="U752" s="327"/>
      <c r="V752" s="327"/>
      <c r="W752" s="327"/>
      <c r="X752" s="327"/>
      <c r="Y752" s="327"/>
      <c r="Z752" s="327"/>
      <c r="AA752" s="327"/>
      <c r="AB752" s="327"/>
      <c r="AC752" s="327"/>
      <c r="AD752" s="327"/>
      <c r="AE752" s="327"/>
      <c r="AF752" s="327"/>
      <c r="AG752" s="327"/>
      <c r="AH752" s="327"/>
      <c r="AI752" s="327"/>
      <c r="AJ752" s="327"/>
      <c r="AK752" s="327"/>
      <c r="AL752" s="327"/>
      <c r="AM752" s="327"/>
    </row>
    <row r="753" spans="1:39">
      <c r="A753" s="69"/>
      <c r="B753" s="69"/>
      <c r="C753" s="327"/>
      <c r="D753" s="327"/>
      <c r="E753" s="327"/>
      <c r="F753" s="327"/>
      <c r="G753" s="327"/>
      <c r="H753" s="327"/>
      <c r="I753" s="327"/>
      <c r="J753" s="327"/>
      <c r="K753" s="327"/>
      <c r="L753" s="327"/>
      <c r="M753" s="327"/>
      <c r="N753" s="327"/>
      <c r="O753" s="327"/>
      <c r="P753" s="327"/>
      <c r="Q753" s="327"/>
      <c r="R753" s="327"/>
      <c r="S753" s="327"/>
      <c r="T753" s="327"/>
      <c r="U753" s="327"/>
      <c r="V753" s="327"/>
      <c r="W753" s="327"/>
      <c r="X753" s="327"/>
      <c r="Y753" s="327"/>
      <c r="Z753" s="327"/>
      <c r="AA753" s="327"/>
      <c r="AB753" s="327"/>
      <c r="AC753" s="327"/>
      <c r="AD753" s="327"/>
      <c r="AE753" s="327"/>
      <c r="AF753" s="327"/>
      <c r="AG753" s="327"/>
      <c r="AH753" s="327"/>
      <c r="AI753" s="327"/>
      <c r="AJ753" s="327"/>
      <c r="AK753" s="327"/>
      <c r="AL753" s="327"/>
      <c r="AM753" s="327"/>
    </row>
    <row r="754" spans="1:39">
      <c r="A754" s="69"/>
      <c r="B754" s="69"/>
      <c r="C754" s="327"/>
      <c r="D754" s="327"/>
      <c r="E754" s="327"/>
      <c r="F754" s="327"/>
      <c r="G754" s="327"/>
      <c r="H754" s="327"/>
      <c r="I754" s="327"/>
      <c r="J754" s="327"/>
      <c r="K754" s="327"/>
      <c r="L754" s="327"/>
      <c r="M754" s="327"/>
      <c r="N754" s="327"/>
      <c r="O754" s="327"/>
      <c r="P754" s="327"/>
      <c r="Q754" s="327"/>
      <c r="R754" s="327"/>
      <c r="S754" s="327"/>
      <c r="T754" s="327"/>
      <c r="U754" s="327"/>
      <c r="V754" s="327"/>
      <c r="W754" s="327"/>
      <c r="X754" s="327"/>
      <c r="Y754" s="327"/>
      <c r="Z754" s="327"/>
      <c r="AA754" s="327"/>
      <c r="AB754" s="327"/>
      <c r="AC754" s="327"/>
      <c r="AD754" s="327"/>
      <c r="AE754" s="327"/>
      <c r="AF754" s="327"/>
      <c r="AG754" s="327"/>
      <c r="AH754" s="327"/>
      <c r="AI754" s="327"/>
      <c r="AJ754" s="327"/>
      <c r="AK754" s="327"/>
      <c r="AL754" s="327"/>
      <c r="AM754" s="327"/>
    </row>
    <row r="755" spans="1:39">
      <c r="A755" s="69"/>
      <c r="B755" s="69"/>
      <c r="C755" s="327"/>
      <c r="D755" s="327"/>
      <c r="E755" s="327"/>
      <c r="F755" s="327"/>
      <c r="G755" s="327"/>
      <c r="H755" s="327"/>
      <c r="I755" s="327"/>
      <c r="J755" s="327"/>
      <c r="K755" s="327"/>
      <c r="L755" s="327"/>
      <c r="M755" s="327"/>
      <c r="N755" s="327"/>
      <c r="O755" s="327"/>
      <c r="P755" s="327"/>
      <c r="Q755" s="327"/>
      <c r="R755" s="327"/>
      <c r="S755" s="327"/>
      <c r="T755" s="327"/>
      <c r="U755" s="327"/>
      <c r="V755" s="327"/>
      <c r="W755" s="327"/>
      <c r="X755" s="327"/>
      <c r="Y755" s="327"/>
      <c r="Z755" s="327"/>
      <c r="AA755" s="327"/>
      <c r="AB755" s="327"/>
      <c r="AC755" s="327"/>
      <c r="AD755" s="327"/>
      <c r="AE755" s="327"/>
      <c r="AF755" s="327"/>
      <c r="AG755" s="327"/>
      <c r="AH755" s="327"/>
      <c r="AI755" s="327"/>
      <c r="AJ755" s="327"/>
      <c r="AK755" s="327"/>
      <c r="AL755" s="327"/>
      <c r="AM755" s="327"/>
    </row>
    <row r="756" spans="1:39">
      <c r="A756" s="69"/>
      <c r="B756" s="69"/>
      <c r="C756" s="327"/>
      <c r="D756" s="327"/>
      <c r="E756" s="327"/>
      <c r="F756" s="327"/>
      <c r="G756" s="327"/>
      <c r="H756" s="327"/>
      <c r="I756" s="327"/>
      <c r="J756" s="327"/>
      <c r="K756" s="327"/>
      <c r="L756" s="327"/>
      <c r="M756" s="327"/>
      <c r="N756" s="327"/>
      <c r="O756" s="327"/>
      <c r="P756" s="327"/>
      <c r="Q756" s="327"/>
      <c r="R756" s="327"/>
      <c r="S756" s="327"/>
      <c r="T756" s="327"/>
      <c r="U756" s="327"/>
      <c r="V756" s="327"/>
      <c r="W756" s="327"/>
      <c r="X756" s="327"/>
      <c r="Y756" s="327"/>
      <c r="Z756" s="327"/>
      <c r="AA756" s="327"/>
      <c r="AB756" s="327"/>
      <c r="AC756" s="327"/>
      <c r="AD756" s="327"/>
      <c r="AE756" s="327"/>
      <c r="AF756" s="327"/>
      <c r="AG756" s="327"/>
      <c r="AH756" s="327"/>
      <c r="AI756" s="327"/>
      <c r="AJ756" s="327"/>
      <c r="AK756" s="327"/>
      <c r="AL756" s="327"/>
      <c r="AM756" s="327"/>
    </row>
    <row r="757" spans="1:39">
      <c r="A757" s="69"/>
      <c r="B757" s="69"/>
      <c r="C757" s="327"/>
      <c r="D757" s="327"/>
      <c r="E757" s="327"/>
      <c r="F757" s="327"/>
      <c r="G757" s="327"/>
      <c r="H757" s="327"/>
      <c r="I757" s="327"/>
      <c r="J757" s="327"/>
      <c r="K757" s="327"/>
      <c r="L757" s="327"/>
      <c r="M757" s="327"/>
      <c r="N757" s="327"/>
      <c r="O757" s="327"/>
      <c r="P757" s="327"/>
      <c r="Q757" s="327"/>
      <c r="R757" s="327"/>
      <c r="S757" s="327"/>
      <c r="T757" s="327"/>
      <c r="U757" s="327"/>
      <c r="V757" s="327"/>
      <c r="W757" s="327"/>
      <c r="X757" s="327"/>
      <c r="Y757" s="327"/>
      <c r="Z757" s="327"/>
      <c r="AA757" s="327"/>
      <c r="AB757" s="327"/>
      <c r="AC757" s="327"/>
      <c r="AD757" s="327"/>
      <c r="AE757" s="327"/>
      <c r="AF757" s="327"/>
      <c r="AG757" s="327"/>
      <c r="AH757" s="327"/>
      <c r="AI757" s="327"/>
      <c r="AJ757" s="327"/>
      <c r="AK757" s="327"/>
      <c r="AL757" s="327"/>
      <c r="AM757" s="327"/>
    </row>
    <row r="758" spans="1:39">
      <c r="A758" s="69"/>
      <c r="B758" s="69"/>
      <c r="C758" s="327"/>
      <c r="D758" s="327"/>
      <c r="E758" s="327"/>
      <c r="F758" s="327"/>
      <c r="G758" s="327"/>
      <c r="H758" s="327"/>
      <c r="I758" s="327"/>
      <c r="J758" s="327"/>
      <c r="K758" s="327"/>
      <c r="L758" s="327"/>
      <c r="M758" s="327"/>
      <c r="N758" s="327"/>
      <c r="O758" s="327"/>
      <c r="P758" s="327"/>
      <c r="Q758" s="327"/>
      <c r="R758" s="327"/>
      <c r="S758" s="327"/>
      <c r="T758" s="327"/>
      <c r="U758" s="327"/>
      <c r="V758" s="327"/>
      <c r="W758" s="327"/>
      <c r="X758" s="327"/>
      <c r="Y758" s="327"/>
      <c r="Z758" s="327"/>
      <c r="AA758" s="327"/>
      <c r="AB758" s="327"/>
      <c r="AC758" s="327"/>
      <c r="AD758" s="327"/>
      <c r="AE758" s="327"/>
      <c r="AF758" s="327"/>
      <c r="AG758" s="327"/>
      <c r="AH758" s="327"/>
      <c r="AI758" s="327"/>
      <c r="AJ758" s="327"/>
      <c r="AK758" s="327"/>
      <c r="AL758" s="327"/>
      <c r="AM758" s="327"/>
    </row>
    <row r="759" spans="1:39">
      <c r="A759" s="69"/>
      <c r="B759" s="69"/>
      <c r="C759" s="327"/>
      <c r="D759" s="327"/>
      <c r="E759" s="327"/>
      <c r="F759" s="327"/>
      <c r="G759" s="327"/>
      <c r="H759" s="327"/>
      <c r="I759" s="327"/>
      <c r="J759" s="327"/>
      <c r="K759" s="327"/>
      <c r="L759" s="327"/>
      <c r="M759" s="327"/>
      <c r="N759" s="327"/>
      <c r="O759" s="327"/>
      <c r="P759" s="327"/>
      <c r="Q759" s="327"/>
      <c r="R759" s="327"/>
      <c r="S759" s="327"/>
      <c r="T759" s="327"/>
      <c r="U759" s="327"/>
      <c r="V759" s="327"/>
      <c r="W759" s="327"/>
      <c r="X759" s="327"/>
      <c r="Y759" s="327"/>
      <c r="Z759" s="327"/>
      <c r="AA759" s="327"/>
      <c r="AB759" s="327"/>
      <c r="AC759" s="327"/>
      <c r="AD759" s="327"/>
      <c r="AE759" s="327"/>
      <c r="AF759" s="327"/>
      <c r="AG759" s="327"/>
      <c r="AH759" s="327"/>
      <c r="AI759" s="327"/>
      <c r="AJ759" s="327"/>
      <c r="AK759" s="327"/>
      <c r="AL759" s="327"/>
      <c r="AM759" s="327"/>
    </row>
    <row r="760" spans="1:39">
      <c r="A760" s="69"/>
      <c r="B760" s="69"/>
      <c r="C760" s="327"/>
      <c r="D760" s="327"/>
      <c r="E760" s="327"/>
      <c r="F760" s="327"/>
      <c r="G760" s="327"/>
      <c r="H760" s="327"/>
      <c r="I760" s="327"/>
      <c r="J760" s="327"/>
      <c r="K760" s="327"/>
      <c r="L760" s="327"/>
      <c r="M760" s="327"/>
      <c r="N760" s="327"/>
      <c r="O760" s="327"/>
      <c r="P760" s="327"/>
      <c r="Q760" s="327"/>
      <c r="R760" s="327"/>
      <c r="S760" s="327"/>
      <c r="T760" s="327"/>
      <c r="U760" s="327"/>
      <c r="V760" s="327"/>
      <c r="W760" s="327"/>
      <c r="X760" s="327"/>
      <c r="Y760" s="327"/>
      <c r="Z760" s="327"/>
      <c r="AA760" s="327"/>
      <c r="AB760" s="327"/>
      <c r="AC760" s="327"/>
      <c r="AD760" s="327"/>
      <c r="AE760" s="327"/>
      <c r="AF760" s="327"/>
      <c r="AG760" s="327"/>
      <c r="AH760" s="327"/>
      <c r="AI760" s="327"/>
      <c r="AJ760" s="327"/>
      <c r="AK760" s="327"/>
      <c r="AL760" s="327"/>
      <c r="AM760" s="327"/>
    </row>
    <row r="761" spans="1:39">
      <c r="A761" s="69"/>
      <c r="B761" s="69"/>
      <c r="C761" s="327"/>
      <c r="D761" s="327"/>
      <c r="E761" s="327"/>
      <c r="F761" s="327"/>
      <c r="G761" s="327"/>
      <c r="H761" s="327"/>
      <c r="I761" s="327"/>
      <c r="J761" s="327"/>
      <c r="K761" s="327"/>
      <c r="L761" s="327"/>
      <c r="M761" s="327"/>
      <c r="N761" s="327"/>
      <c r="O761" s="327"/>
      <c r="P761" s="327"/>
      <c r="Q761" s="327"/>
      <c r="R761" s="327"/>
      <c r="S761" s="327"/>
      <c r="T761" s="327"/>
      <c r="U761" s="327"/>
      <c r="V761" s="327"/>
      <c r="W761" s="327"/>
      <c r="X761" s="327"/>
      <c r="Y761" s="327"/>
      <c r="Z761" s="327"/>
      <c r="AA761" s="327"/>
      <c r="AB761" s="327"/>
      <c r="AC761" s="327"/>
      <c r="AD761" s="327"/>
      <c r="AE761" s="327"/>
      <c r="AF761" s="327"/>
      <c r="AG761" s="327"/>
      <c r="AH761" s="327"/>
      <c r="AI761" s="327"/>
      <c r="AJ761" s="327"/>
      <c r="AK761" s="327"/>
      <c r="AL761" s="327"/>
      <c r="AM761" s="327"/>
    </row>
    <row r="762" spans="1:39">
      <c r="A762" s="69"/>
      <c r="B762" s="69"/>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327"/>
      <c r="AE762" s="327"/>
      <c r="AF762" s="327"/>
      <c r="AG762" s="327"/>
      <c r="AH762" s="327"/>
      <c r="AI762" s="327"/>
      <c r="AJ762" s="327"/>
      <c r="AK762" s="327"/>
      <c r="AL762" s="327"/>
      <c r="AM762" s="327"/>
    </row>
    <row r="763" spans="1:39">
      <c r="A763" s="69"/>
      <c r="B763" s="69"/>
      <c r="C763" s="327"/>
      <c r="D763" s="327"/>
      <c r="E763" s="327"/>
      <c r="F763" s="327"/>
      <c r="G763" s="327"/>
      <c r="H763" s="327"/>
      <c r="I763" s="327"/>
      <c r="J763" s="327"/>
      <c r="K763" s="327"/>
      <c r="L763" s="327"/>
      <c r="M763" s="327"/>
      <c r="N763" s="327"/>
      <c r="O763" s="327"/>
      <c r="P763" s="327"/>
      <c r="Q763" s="327"/>
      <c r="R763" s="327"/>
      <c r="S763" s="327"/>
      <c r="T763" s="327"/>
      <c r="U763" s="327"/>
      <c r="V763" s="327"/>
      <c r="W763" s="327"/>
      <c r="X763" s="327"/>
      <c r="Y763" s="327"/>
      <c r="Z763" s="327"/>
      <c r="AA763" s="327"/>
      <c r="AB763" s="327"/>
      <c r="AC763" s="327"/>
      <c r="AD763" s="327"/>
      <c r="AE763" s="327"/>
      <c r="AF763" s="327"/>
      <c r="AG763" s="327"/>
      <c r="AH763" s="327"/>
      <c r="AI763" s="327"/>
      <c r="AJ763" s="327"/>
      <c r="AK763" s="327"/>
      <c r="AL763" s="327"/>
      <c r="AM763" s="327"/>
    </row>
    <row r="764" spans="1:39">
      <c r="A764" s="69"/>
      <c r="B764" s="69"/>
      <c r="C764" s="327"/>
      <c r="D764" s="327"/>
      <c r="E764" s="327"/>
      <c r="F764" s="327"/>
      <c r="G764" s="327"/>
      <c r="H764" s="327"/>
      <c r="I764" s="327"/>
      <c r="J764" s="327"/>
      <c r="K764" s="327"/>
      <c r="L764" s="327"/>
      <c r="M764" s="327"/>
      <c r="N764" s="327"/>
      <c r="O764" s="327"/>
      <c r="P764" s="327"/>
      <c r="Q764" s="327"/>
      <c r="R764" s="327"/>
      <c r="S764" s="327"/>
      <c r="T764" s="327"/>
      <c r="U764" s="327"/>
      <c r="V764" s="327"/>
      <c r="W764" s="327"/>
      <c r="X764" s="327"/>
      <c r="Y764" s="327"/>
      <c r="Z764" s="327"/>
      <c r="AA764" s="327"/>
      <c r="AB764" s="327"/>
      <c r="AC764" s="327"/>
      <c r="AD764" s="327"/>
      <c r="AE764" s="327"/>
      <c r="AF764" s="327"/>
      <c r="AG764" s="327"/>
      <c r="AH764" s="327"/>
      <c r="AI764" s="327"/>
      <c r="AJ764" s="327"/>
      <c r="AK764" s="327"/>
      <c r="AL764" s="327"/>
      <c r="AM764" s="327"/>
    </row>
    <row r="765" spans="1:39">
      <c r="A765" s="69"/>
      <c r="B765" s="69"/>
      <c r="C765" s="327"/>
      <c r="D765" s="327"/>
      <c r="E765" s="327"/>
      <c r="F765" s="327"/>
      <c r="G765" s="327"/>
      <c r="H765" s="327"/>
      <c r="I765" s="327"/>
      <c r="J765" s="327"/>
      <c r="K765" s="327"/>
      <c r="L765" s="327"/>
      <c r="M765" s="327"/>
      <c r="N765" s="327"/>
      <c r="O765" s="327"/>
      <c r="P765" s="327"/>
      <c r="Q765" s="327"/>
      <c r="R765" s="327"/>
      <c r="S765" s="327"/>
      <c r="T765" s="327"/>
      <c r="U765" s="327"/>
      <c r="V765" s="327"/>
      <c r="W765" s="327"/>
      <c r="X765" s="327"/>
      <c r="Y765" s="327"/>
      <c r="Z765" s="327"/>
      <c r="AA765" s="327"/>
      <c r="AB765" s="327"/>
      <c r="AC765" s="327"/>
      <c r="AD765" s="327"/>
      <c r="AE765" s="327"/>
      <c r="AF765" s="327"/>
      <c r="AG765" s="327"/>
      <c r="AH765" s="327"/>
      <c r="AI765" s="327"/>
      <c r="AJ765" s="327"/>
      <c r="AK765" s="327"/>
      <c r="AL765" s="327"/>
      <c r="AM765" s="327"/>
    </row>
    <row r="766" spans="1:39">
      <c r="A766" s="69"/>
      <c r="B766" s="69"/>
      <c r="C766" s="327"/>
      <c r="D766" s="327"/>
      <c r="E766" s="327"/>
      <c r="F766" s="327"/>
      <c r="G766" s="327"/>
      <c r="H766" s="327"/>
      <c r="I766" s="327"/>
      <c r="J766" s="327"/>
      <c r="K766" s="327"/>
      <c r="L766" s="327"/>
      <c r="M766" s="327"/>
      <c r="N766" s="327"/>
      <c r="O766" s="327"/>
      <c r="P766" s="327"/>
      <c r="Q766" s="327"/>
      <c r="R766" s="327"/>
      <c r="S766" s="327"/>
      <c r="T766" s="327"/>
      <c r="U766" s="327"/>
      <c r="V766" s="327"/>
      <c r="W766" s="327"/>
      <c r="X766" s="327"/>
      <c r="Y766" s="327"/>
      <c r="Z766" s="327"/>
      <c r="AA766" s="327"/>
      <c r="AB766" s="327"/>
      <c r="AC766" s="327"/>
      <c r="AD766" s="327"/>
      <c r="AE766" s="327"/>
      <c r="AF766" s="327"/>
      <c r="AG766" s="327"/>
      <c r="AH766" s="327"/>
      <c r="AI766" s="327"/>
      <c r="AJ766" s="327"/>
      <c r="AK766" s="327"/>
      <c r="AL766" s="327"/>
      <c r="AM766" s="327"/>
    </row>
    <row r="767" spans="1:39">
      <c r="A767" s="69"/>
      <c r="B767" s="69"/>
      <c r="C767" s="327"/>
      <c r="D767" s="327"/>
      <c r="E767" s="327"/>
      <c r="F767" s="327"/>
      <c r="G767" s="327"/>
      <c r="H767" s="327"/>
      <c r="I767" s="327"/>
      <c r="J767" s="327"/>
      <c r="K767" s="327"/>
      <c r="L767" s="327"/>
      <c r="M767" s="327"/>
      <c r="N767" s="327"/>
      <c r="O767" s="327"/>
      <c r="P767" s="327"/>
      <c r="Q767" s="327"/>
      <c r="R767" s="327"/>
      <c r="S767" s="327"/>
      <c r="T767" s="327"/>
      <c r="U767" s="327"/>
      <c r="V767" s="327"/>
      <c r="W767" s="327"/>
      <c r="X767" s="327"/>
      <c r="Y767" s="327"/>
      <c r="Z767" s="327"/>
      <c r="AA767" s="327"/>
      <c r="AB767" s="327"/>
      <c r="AC767" s="327"/>
      <c r="AD767" s="327"/>
      <c r="AE767" s="327"/>
      <c r="AF767" s="327"/>
      <c r="AG767" s="327"/>
      <c r="AH767" s="327"/>
      <c r="AI767" s="327"/>
      <c r="AJ767" s="327"/>
      <c r="AK767" s="327"/>
      <c r="AL767" s="327"/>
      <c r="AM767" s="327"/>
    </row>
    <row r="768" spans="1:39">
      <c r="A768" s="69"/>
      <c r="B768" s="69"/>
      <c r="C768" s="327"/>
      <c r="D768" s="327"/>
      <c r="E768" s="327"/>
      <c r="F768" s="327"/>
      <c r="G768" s="327"/>
      <c r="H768" s="327"/>
      <c r="I768" s="327"/>
      <c r="J768" s="327"/>
      <c r="K768" s="327"/>
      <c r="L768" s="327"/>
      <c r="M768" s="327"/>
      <c r="N768" s="327"/>
      <c r="O768" s="327"/>
      <c r="P768" s="327"/>
      <c r="Q768" s="327"/>
      <c r="R768" s="327"/>
      <c r="S768" s="327"/>
      <c r="T768" s="327"/>
      <c r="U768" s="327"/>
      <c r="V768" s="327"/>
      <c r="W768" s="327"/>
      <c r="X768" s="327"/>
      <c r="Y768" s="327"/>
      <c r="Z768" s="327"/>
      <c r="AA768" s="327"/>
      <c r="AB768" s="327"/>
      <c r="AC768" s="327"/>
      <c r="AD768" s="327"/>
      <c r="AE768" s="327"/>
      <c r="AF768" s="327"/>
      <c r="AG768" s="327"/>
      <c r="AH768" s="327"/>
      <c r="AI768" s="327"/>
      <c r="AJ768" s="327"/>
      <c r="AK768" s="327"/>
      <c r="AL768" s="327"/>
      <c r="AM768" s="327"/>
    </row>
    <row r="769" spans="1:39">
      <c r="A769" s="69"/>
      <c r="B769" s="69"/>
      <c r="C769" s="327"/>
      <c r="D769" s="327"/>
      <c r="E769" s="327"/>
      <c r="F769" s="327"/>
      <c r="G769" s="327"/>
      <c r="H769" s="327"/>
      <c r="I769" s="327"/>
      <c r="J769" s="327"/>
      <c r="K769" s="327"/>
      <c r="L769" s="327"/>
      <c r="M769" s="327"/>
      <c r="N769" s="327"/>
      <c r="O769" s="327"/>
      <c r="P769" s="327"/>
      <c r="Q769" s="327"/>
      <c r="R769" s="327"/>
      <c r="S769" s="327"/>
      <c r="T769" s="327"/>
      <c r="U769" s="327"/>
      <c r="V769" s="327"/>
      <c r="W769" s="327"/>
      <c r="X769" s="327"/>
      <c r="Y769" s="327"/>
      <c r="Z769" s="327"/>
      <c r="AA769" s="327"/>
      <c r="AB769" s="327"/>
      <c r="AC769" s="327"/>
      <c r="AD769" s="327"/>
      <c r="AE769" s="327"/>
      <c r="AF769" s="327"/>
      <c r="AG769" s="327"/>
      <c r="AH769" s="327"/>
      <c r="AI769" s="327"/>
      <c r="AJ769" s="327"/>
      <c r="AK769" s="327"/>
      <c r="AL769" s="327"/>
      <c r="AM769" s="327"/>
    </row>
    <row r="770" spans="1:39">
      <c r="A770" s="69"/>
      <c r="B770" s="69"/>
      <c r="C770" s="327"/>
      <c r="D770" s="327"/>
      <c r="E770" s="327"/>
      <c r="F770" s="327"/>
      <c r="G770" s="327"/>
      <c r="H770" s="327"/>
      <c r="I770" s="327"/>
      <c r="J770" s="327"/>
      <c r="K770" s="327"/>
      <c r="L770" s="327"/>
      <c r="M770" s="327"/>
      <c r="N770" s="327"/>
      <c r="O770" s="327"/>
      <c r="P770" s="327"/>
      <c r="Q770" s="327"/>
      <c r="R770" s="327"/>
      <c r="S770" s="327"/>
      <c r="T770" s="327"/>
      <c r="U770" s="327"/>
      <c r="V770" s="327"/>
      <c r="W770" s="327"/>
      <c r="X770" s="327"/>
      <c r="Y770" s="327"/>
      <c r="Z770" s="327"/>
      <c r="AA770" s="327"/>
      <c r="AB770" s="327"/>
      <c r="AC770" s="327"/>
      <c r="AD770" s="327"/>
      <c r="AE770" s="327"/>
      <c r="AF770" s="327"/>
      <c r="AG770" s="327"/>
      <c r="AH770" s="327"/>
      <c r="AI770" s="327"/>
      <c r="AJ770" s="327"/>
      <c r="AK770" s="327"/>
      <c r="AL770" s="327"/>
      <c r="AM770" s="327"/>
    </row>
    <row r="771" spans="1:39">
      <c r="A771" s="69"/>
      <c r="B771" s="69"/>
      <c r="C771" s="327"/>
      <c r="D771" s="327"/>
      <c r="E771" s="327"/>
      <c r="F771" s="327"/>
      <c r="G771" s="327"/>
      <c r="H771" s="327"/>
      <c r="I771" s="327"/>
      <c r="J771" s="327"/>
      <c r="K771" s="327"/>
      <c r="L771" s="327"/>
      <c r="M771" s="327"/>
      <c r="N771" s="327"/>
      <c r="O771" s="327"/>
      <c r="P771" s="327"/>
      <c r="Q771" s="327"/>
      <c r="R771" s="327"/>
      <c r="S771" s="327"/>
      <c r="T771" s="327"/>
      <c r="U771" s="327"/>
      <c r="V771" s="327"/>
      <c r="W771" s="327"/>
      <c r="X771" s="327"/>
      <c r="Y771" s="327"/>
      <c r="Z771" s="327"/>
      <c r="AA771" s="327"/>
      <c r="AB771" s="327"/>
      <c r="AC771" s="327"/>
      <c r="AD771" s="327"/>
      <c r="AE771" s="327"/>
      <c r="AF771" s="327"/>
      <c r="AG771" s="327"/>
      <c r="AH771" s="327"/>
      <c r="AI771" s="327"/>
      <c r="AJ771" s="327"/>
      <c r="AK771" s="327"/>
      <c r="AL771" s="327"/>
      <c r="AM771" s="327"/>
    </row>
    <row r="772" spans="1:39">
      <c r="A772" s="69"/>
      <c r="B772" s="69"/>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327"/>
      <c r="AE772" s="327"/>
      <c r="AF772" s="327"/>
      <c r="AG772" s="327"/>
      <c r="AH772" s="327"/>
      <c r="AI772" s="327"/>
      <c r="AJ772" s="327"/>
      <c r="AK772" s="327"/>
      <c r="AL772" s="327"/>
      <c r="AM772" s="327"/>
    </row>
    <row r="773" spans="1:39">
      <c r="A773" s="69"/>
      <c r="B773" s="69"/>
      <c r="C773" s="327"/>
      <c r="D773" s="327"/>
      <c r="E773" s="327"/>
      <c r="F773" s="327"/>
      <c r="G773" s="327"/>
      <c r="H773" s="327"/>
      <c r="I773" s="327"/>
      <c r="J773" s="327"/>
      <c r="K773" s="327"/>
      <c r="L773" s="327"/>
      <c r="M773" s="327"/>
      <c r="N773" s="327"/>
      <c r="O773" s="327"/>
      <c r="P773" s="327"/>
      <c r="Q773" s="327"/>
      <c r="R773" s="327"/>
      <c r="S773" s="327"/>
      <c r="T773" s="327"/>
      <c r="U773" s="327"/>
      <c r="V773" s="327"/>
      <c r="W773" s="327"/>
      <c r="X773" s="327"/>
      <c r="Y773" s="327"/>
      <c r="Z773" s="327"/>
      <c r="AA773" s="327"/>
      <c r="AB773" s="327"/>
      <c r="AC773" s="327"/>
      <c r="AD773" s="327"/>
      <c r="AE773" s="327"/>
      <c r="AF773" s="327"/>
      <c r="AG773" s="327"/>
      <c r="AH773" s="327"/>
      <c r="AI773" s="327"/>
      <c r="AJ773" s="327"/>
      <c r="AK773" s="327"/>
      <c r="AL773" s="327"/>
      <c r="AM773" s="327"/>
    </row>
    <row r="774" spans="1:39">
      <c r="A774" s="69"/>
      <c r="B774" s="69"/>
      <c r="C774" s="327"/>
      <c r="D774" s="327"/>
      <c r="E774" s="327"/>
      <c r="F774" s="327"/>
      <c r="G774" s="327"/>
      <c r="H774" s="327"/>
      <c r="I774" s="327"/>
      <c r="J774" s="327"/>
      <c r="K774" s="327"/>
      <c r="L774" s="327"/>
      <c r="M774" s="327"/>
      <c r="N774" s="327"/>
      <c r="O774" s="327"/>
      <c r="P774" s="327"/>
      <c r="Q774" s="327"/>
      <c r="R774" s="327"/>
      <c r="S774" s="327"/>
      <c r="T774" s="327"/>
      <c r="U774" s="327"/>
      <c r="V774" s="327"/>
      <c r="W774" s="327"/>
      <c r="X774" s="327"/>
      <c r="Y774" s="327"/>
      <c r="Z774" s="327"/>
      <c r="AA774" s="327"/>
      <c r="AB774" s="327"/>
      <c r="AC774" s="327"/>
      <c r="AD774" s="327"/>
      <c r="AE774" s="327"/>
      <c r="AF774" s="327"/>
      <c r="AG774" s="327"/>
      <c r="AH774" s="327"/>
      <c r="AI774" s="327"/>
      <c r="AJ774" s="327"/>
      <c r="AK774" s="327"/>
      <c r="AL774" s="327"/>
      <c r="AM774" s="327"/>
    </row>
    <row r="775" spans="1:39">
      <c r="A775" s="69"/>
      <c r="B775" s="69"/>
      <c r="C775" s="327"/>
      <c r="D775" s="327"/>
      <c r="E775" s="327"/>
      <c r="F775" s="327"/>
      <c r="G775" s="327"/>
      <c r="H775" s="327"/>
      <c r="I775" s="327"/>
      <c r="J775" s="327"/>
      <c r="K775" s="327"/>
      <c r="L775" s="327"/>
      <c r="M775" s="327"/>
      <c r="N775" s="327"/>
      <c r="O775" s="327"/>
      <c r="P775" s="327"/>
      <c r="Q775" s="327"/>
      <c r="R775" s="327"/>
      <c r="S775" s="327"/>
      <c r="T775" s="327"/>
      <c r="U775" s="327"/>
      <c r="V775" s="327"/>
      <c r="W775" s="327"/>
      <c r="X775" s="327"/>
      <c r="Y775" s="327"/>
      <c r="Z775" s="327"/>
      <c r="AA775" s="327"/>
      <c r="AB775" s="327"/>
      <c r="AC775" s="327"/>
      <c r="AD775" s="327"/>
      <c r="AE775" s="327"/>
      <c r="AF775" s="327"/>
      <c r="AG775" s="327"/>
      <c r="AH775" s="327"/>
      <c r="AI775" s="327"/>
      <c r="AJ775" s="327"/>
      <c r="AK775" s="327"/>
      <c r="AL775" s="327"/>
      <c r="AM775" s="327"/>
    </row>
    <row r="776" spans="1:39">
      <c r="A776" s="69"/>
      <c r="B776" s="69"/>
      <c r="C776" s="327"/>
      <c r="D776" s="327"/>
      <c r="E776" s="327"/>
      <c r="F776" s="327"/>
      <c r="G776" s="327"/>
      <c r="H776" s="327"/>
      <c r="I776" s="327"/>
      <c r="J776" s="327"/>
      <c r="K776" s="327"/>
      <c r="L776" s="327"/>
      <c r="M776" s="327"/>
      <c r="N776" s="327"/>
      <c r="O776" s="327"/>
      <c r="P776" s="327"/>
      <c r="Q776" s="327"/>
      <c r="R776" s="327"/>
      <c r="S776" s="327"/>
      <c r="T776" s="327"/>
      <c r="U776" s="327"/>
      <c r="V776" s="327"/>
      <c r="W776" s="327"/>
      <c r="X776" s="327"/>
      <c r="Y776" s="327"/>
      <c r="Z776" s="327"/>
      <c r="AA776" s="327"/>
      <c r="AB776" s="327"/>
      <c r="AC776" s="327"/>
      <c r="AD776" s="327"/>
      <c r="AE776" s="327"/>
      <c r="AF776" s="327"/>
      <c r="AG776" s="327"/>
      <c r="AH776" s="327"/>
      <c r="AI776" s="327"/>
      <c r="AJ776" s="327"/>
      <c r="AK776" s="327"/>
      <c r="AL776" s="327"/>
      <c r="AM776" s="327"/>
    </row>
    <row r="777" spans="1:39">
      <c r="A777" s="69"/>
      <c r="B777" s="69"/>
      <c r="C777" s="327"/>
      <c r="D777" s="327"/>
      <c r="E777" s="327"/>
      <c r="F777" s="327"/>
      <c r="G777" s="327"/>
      <c r="H777" s="327"/>
      <c r="I777" s="327"/>
      <c r="J777" s="327"/>
      <c r="K777" s="327"/>
      <c r="L777" s="327"/>
      <c r="M777" s="327"/>
      <c r="N777" s="327"/>
      <c r="O777" s="327"/>
      <c r="P777" s="327"/>
      <c r="Q777" s="327"/>
      <c r="R777" s="327"/>
      <c r="S777" s="327"/>
      <c r="T777" s="327"/>
      <c r="U777" s="327"/>
      <c r="V777" s="327"/>
      <c r="W777" s="327"/>
      <c r="X777" s="327"/>
      <c r="Y777" s="327"/>
      <c r="Z777" s="327"/>
      <c r="AA777" s="327"/>
      <c r="AB777" s="327"/>
      <c r="AC777" s="327"/>
      <c r="AD777" s="327"/>
      <c r="AE777" s="327"/>
      <c r="AF777" s="327"/>
      <c r="AG777" s="327"/>
      <c r="AH777" s="327"/>
      <c r="AI777" s="327"/>
      <c r="AJ777" s="327"/>
      <c r="AK777" s="327"/>
      <c r="AL777" s="327"/>
      <c r="AM777" s="327"/>
    </row>
    <row r="778" spans="1:39">
      <c r="A778" s="69"/>
      <c r="B778" s="69"/>
      <c r="C778" s="327"/>
      <c r="D778" s="327"/>
      <c r="E778" s="327"/>
      <c r="F778" s="327"/>
      <c r="G778" s="327"/>
      <c r="H778" s="327"/>
      <c r="I778" s="327"/>
      <c r="J778" s="327"/>
      <c r="K778" s="327"/>
      <c r="L778" s="327"/>
      <c r="M778" s="327"/>
      <c r="N778" s="327"/>
      <c r="O778" s="327"/>
      <c r="P778" s="327"/>
      <c r="Q778" s="327"/>
      <c r="R778" s="327"/>
      <c r="S778" s="327"/>
      <c r="T778" s="327"/>
      <c r="U778" s="327"/>
      <c r="V778" s="327"/>
      <c r="W778" s="327"/>
      <c r="X778" s="327"/>
      <c r="Y778" s="327"/>
      <c r="Z778" s="327"/>
      <c r="AA778" s="327"/>
      <c r="AB778" s="327"/>
      <c r="AC778" s="327"/>
      <c r="AD778" s="327"/>
      <c r="AE778" s="327"/>
      <c r="AF778" s="327"/>
      <c r="AG778" s="327"/>
      <c r="AH778" s="327"/>
      <c r="AI778" s="327"/>
      <c r="AJ778" s="327"/>
      <c r="AK778" s="327"/>
      <c r="AL778" s="327"/>
      <c r="AM778" s="327"/>
    </row>
    <row r="779" spans="1:39">
      <c r="A779" s="69"/>
      <c r="B779" s="69"/>
      <c r="C779" s="327"/>
      <c r="D779" s="327"/>
      <c r="E779" s="327"/>
      <c r="F779" s="327"/>
      <c r="G779" s="327"/>
      <c r="H779" s="327"/>
      <c r="I779" s="327"/>
      <c r="J779" s="327"/>
      <c r="K779" s="327"/>
      <c r="L779" s="327"/>
      <c r="M779" s="327"/>
      <c r="N779" s="327"/>
      <c r="O779" s="327"/>
      <c r="P779" s="327"/>
      <c r="Q779" s="327"/>
      <c r="R779" s="327"/>
      <c r="S779" s="327"/>
      <c r="T779" s="327"/>
      <c r="U779" s="327"/>
      <c r="V779" s="327"/>
      <c r="W779" s="327"/>
      <c r="X779" s="327"/>
      <c r="Y779" s="327"/>
      <c r="Z779" s="327"/>
      <c r="AA779" s="327"/>
      <c r="AB779" s="327"/>
      <c r="AC779" s="327"/>
      <c r="AD779" s="327"/>
      <c r="AE779" s="327"/>
      <c r="AF779" s="327"/>
      <c r="AG779" s="327"/>
      <c r="AH779" s="327"/>
      <c r="AI779" s="327"/>
      <c r="AJ779" s="327"/>
      <c r="AK779" s="327"/>
      <c r="AL779" s="327"/>
      <c r="AM779" s="327"/>
    </row>
    <row r="780" spans="1:39">
      <c r="A780" s="69"/>
      <c r="B780" s="69"/>
      <c r="C780" s="327"/>
      <c r="D780" s="327"/>
      <c r="E780" s="327"/>
      <c r="F780" s="327"/>
      <c r="G780" s="327"/>
      <c r="H780" s="327"/>
      <c r="I780" s="327"/>
      <c r="J780" s="327"/>
      <c r="K780" s="327"/>
      <c r="L780" s="327"/>
      <c r="M780" s="327"/>
      <c r="N780" s="327"/>
      <c r="O780" s="327"/>
      <c r="P780" s="327"/>
      <c r="Q780" s="327"/>
      <c r="R780" s="327"/>
      <c r="S780" s="327"/>
      <c r="T780" s="327"/>
      <c r="U780" s="327"/>
      <c r="V780" s="327"/>
      <c r="W780" s="327"/>
      <c r="X780" s="327"/>
      <c r="Y780" s="327"/>
      <c r="Z780" s="327"/>
      <c r="AA780" s="327"/>
      <c r="AB780" s="327"/>
      <c r="AC780" s="327"/>
      <c r="AD780" s="327"/>
      <c r="AE780" s="327"/>
      <c r="AF780" s="327"/>
      <c r="AG780" s="327"/>
      <c r="AH780" s="327"/>
      <c r="AI780" s="327"/>
      <c r="AJ780" s="327"/>
      <c r="AK780" s="327"/>
      <c r="AL780" s="327"/>
      <c r="AM780" s="327"/>
    </row>
    <row r="781" spans="1:39">
      <c r="A781" s="69"/>
      <c r="B781" s="69"/>
      <c r="C781" s="327"/>
      <c r="D781" s="327"/>
      <c r="E781" s="327"/>
      <c r="F781" s="327"/>
      <c r="G781" s="327"/>
      <c r="H781" s="327"/>
      <c r="I781" s="327"/>
      <c r="J781" s="327"/>
      <c r="K781" s="327"/>
      <c r="L781" s="327"/>
      <c r="M781" s="327"/>
      <c r="N781" s="327"/>
      <c r="O781" s="327"/>
      <c r="P781" s="327"/>
      <c r="Q781" s="327"/>
      <c r="R781" s="327"/>
      <c r="S781" s="327"/>
      <c r="T781" s="327"/>
      <c r="U781" s="327"/>
      <c r="V781" s="327"/>
      <c r="W781" s="327"/>
      <c r="X781" s="327"/>
      <c r="Y781" s="327"/>
      <c r="Z781" s="327"/>
      <c r="AA781" s="327"/>
      <c r="AB781" s="327"/>
      <c r="AC781" s="327"/>
      <c r="AD781" s="327"/>
      <c r="AE781" s="327"/>
      <c r="AF781" s="327"/>
      <c r="AG781" s="327"/>
      <c r="AH781" s="327"/>
      <c r="AI781" s="327"/>
      <c r="AJ781" s="327"/>
      <c r="AK781" s="327"/>
      <c r="AL781" s="327"/>
      <c r="AM781" s="327"/>
    </row>
    <row r="782" spans="1:39">
      <c r="A782" s="69"/>
      <c r="B782" s="69"/>
      <c r="C782" s="327"/>
      <c r="D782" s="327"/>
      <c r="E782" s="327"/>
      <c r="F782" s="327"/>
      <c r="G782" s="327"/>
      <c r="H782" s="327"/>
      <c r="I782" s="327"/>
      <c r="J782" s="327"/>
      <c r="K782" s="327"/>
      <c r="L782" s="327"/>
      <c r="M782" s="327"/>
      <c r="N782" s="327"/>
      <c r="O782" s="327"/>
      <c r="P782" s="327"/>
      <c r="Q782" s="327"/>
      <c r="R782" s="327"/>
      <c r="S782" s="327"/>
      <c r="T782" s="327"/>
      <c r="U782" s="327"/>
      <c r="V782" s="327"/>
      <c r="W782" s="327"/>
      <c r="X782" s="327"/>
      <c r="Y782" s="327"/>
      <c r="Z782" s="327"/>
      <c r="AA782" s="327"/>
      <c r="AB782" s="327"/>
      <c r="AC782" s="327"/>
      <c r="AD782" s="327"/>
      <c r="AE782" s="327"/>
      <c r="AF782" s="327"/>
      <c r="AG782" s="327"/>
      <c r="AH782" s="327"/>
      <c r="AI782" s="327"/>
      <c r="AJ782" s="327"/>
      <c r="AK782" s="327"/>
      <c r="AL782" s="327"/>
      <c r="AM782" s="327"/>
    </row>
    <row r="783" spans="1:39">
      <c r="A783" s="69"/>
      <c r="B783" s="69"/>
      <c r="C783" s="327"/>
      <c r="D783" s="327"/>
      <c r="E783" s="327"/>
      <c r="F783" s="327"/>
      <c r="G783" s="327"/>
      <c r="H783" s="327"/>
      <c r="I783" s="327"/>
      <c r="J783" s="327"/>
      <c r="K783" s="327"/>
      <c r="L783" s="327"/>
      <c r="M783" s="327"/>
      <c r="N783" s="327"/>
      <c r="O783" s="327"/>
      <c r="P783" s="327"/>
      <c r="Q783" s="327"/>
      <c r="R783" s="327"/>
      <c r="S783" s="327"/>
      <c r="T783" s="327"/>
      <c r="U783" s="327"/>
      <c r="V783" s="327"/>
      <c r="W783" s="327"/>
      <c r="X783" s="327"/>
      <c r="Y783" s="327"/>
      <c r="Z783" s="327"/>
      <c r="AA783" s="327"/>
      <c r="AB783" s="327"/>
      <c r="AC783" s="327"/>
      <c r="AD783" s="327"/>
      <c r="AE783" s="327"/>
      <c r="AF783" s="327"/>
      <c r="AG783" s="327"/>
      <c r="AH783" s="327"/>
      <c r="AI783" s="327"/>
      <c r="AJ783" s="327"/>
      <c r="AK783" s="327"/>
      <c r="AL783" s="327"/>
      <c r="AM783" s="327"/>
    </row>
    <row r="784" spans="1:39">
      <c r="A784" s="69"/>
      <c r="B784" s="69"/>
      <c r="C784" s="327"/>
      <c r="D784" s="327"/>
      <c r="E784" s="327"/>
      <c r="F784" s="327"/>
      <c r="G784" s="327"/>
      <c r="H784" s="327"/>
      <c r="I784" s="327"/>
      <c r="J784" s="327"/>
      <c r="K784" s="327"/>
      <c r="L784" s="327"/>
      <c r="M784" s="327"/>
      <c r="N784" s="327"/>
      <c r="O784" s="327"/>
      <c r="P784" s="327"/>
      <c r="Q784" s="327"/>
      <c r="R784" s="327"/>
      <c r="S784" s="327"/>
      <c r="T784" s="327"/>
      <c r="U784" s="327"/>
      <c r="V784" s="327"/>
      <c r="W784" s="327"/>
      <c r="X784" s="327"/>
      <c r="Y784" s="327"/>
      <c r="Z784" s="327"/>
      <c r="AA784" s="327"/>
      <c r="AB784" s="327"/>
      <c r="AC784" s="327"/>
      <c r="AD784" s="327"/>
      <c r="AE784" s="327"/>
      <c r="AF784" s="327"/>
      <c r="AG784" s="327"/>
      <c r="AH784" s="327"/>
      <c r="AI784" s="327"/>
      <c r="AJ784" s="327"/>
      <c r="AK784" s="327"/>
      <c r="AL784" s="327"/>
      <c r="AM784" s="327"/>
    </row>
    <row r="785" spans="1:39">
      <c r="A785" s="69"/>
      <c r="B785" s="69"/>
      <c r="C785" s="327"/>
      <c r="D785" s="327"/>
      <c r="E785" s="327"/>
      <c r="F785" s="327"/>
      <c r="G785" s="327"/>
      <c r="H785" s="327"/>
      <c r="I785" s="327"/>
      <c r="J785" s="327"/>
      <c r="K785" s="327"/>
      <c r="L785" s="327"/>
      <c r="M785" s="327"/>
      <c r="N785" s="327"/>
      <c r="O785" s="327"/>
      <c r="P785" s="327"/>
      <c r="Q785" s="327"/>
      <c r="R785" s="327"/>
      <c r="S785" s="327"/>
      <c r="T785" s="327"/>
      <c r="U785" s="327"/>
      <c r="V785" s="327"/>
      <c r="W785" s="327"/>
      <c r="X785" s="327"/>
      <c r="Y785" s="327"/>
      <c r="Z785" s="327"/>
      <c r="AA785" s="327"/>
      <c r="AB785" s="327"/>
      <c r="AC785" s="327"/>
      <c r="AD785" s="327"/>
      <c r="AE785" s="327"/>
      <c r="AF785" s="327"/>
      <c r="AG785" s="327"/>
      <c r="AH785" s="327"/>
      <c r="AI785" s="327"/>
      <c r="AJ785" s="327"/>
      <c r="AK785" s="327"/>
      <c r="AL785" s="327"/>
      <c r="AM785" s="327"/>
    </row>
    <row r="786" spans="1:39">
      <c r="A786" s="69"/>
      <c r="B786" s="69"/>
      <c r="C786" s="327"/>
      <c r="D786" s="327"/>
      <c r="E786" s="327"/>
      <c r="F786" s="327"/>
      <c r="G786" s="327"/>
      <c r="H786" s="327"/>
      <c r="I786" s="327"/>
      <c r="J786" s="327"/>
      <c r="K786" s="327"/>
      <c r="L786" s="327"/>
      <c r="M786" s="327"/>
      <c r="N786" s="327"/>
      <c r="O786" s="327"/>
      <c r="P786" s="327"/>
      <c r="Q786" s="327"/>
      <c r="R786" s="327"/>
      <c r="S786" s="327"/>
      <c r="T786" s="327"/>
      <c r="U786" s="327"/>
      <c r="V786" s="327"/>
      <c r="W786" s="327"/>
      <c r="X786" s="327"/>
      <c r="Y786" s="327"/>
      <c r="Z786" s="327"/>
      <c r="AA786" s="327"/>
      <c r="AB786" s="327"/>
      <c r="AC786" s="327"/>
      <c r="AD786" s="327"/>
      <c r="AE786" s="327"/>
      <c r="AF786" s="327"/>
      <c r="AG786" s="327"/>
      <c r="AH786" s="327"/>
      <c r="AI786" s="327"/>
      <c r="AJ786" s="327"/>
      <c r="AK786" s="327"/>
      <c r="AL786" s="327"/>
      <c r="AM786" s="327"/>
    </row>
    <row r="787" spans="1:39">
      <c r="A787" s="69"/>
      <c r="B787" s="69"/>
      <c r="C787" s="327"/>
      <c r="D787" s="327"/>
      <c r="E787" s="327"/>
      <c r="F787" s="327"/>
      <c r="G787" s="327"/>
      <c r="H787" s="327"/>
      <c r="I787" s="327"/>
      <c r="J787" s="327"/>
      <c r="K787" s="327"/>
      <c r="L787" s="327"/>
      <c r="M787" s="327"/>
      <c r="N787" s="327"/>
      <c r="O787" s="327"/>
      <c r="P787" s="327"/>
      <c r="Q787" s="327"/>
      <c r="R787" s="327"/>
      <c r="S787" s="327"/>
      <c r="T787" s="327"/>
      <c r="U787" s="327"/>
      <c r="V787" s="327"/>
      <c r="W787" s="327"/>
      <c r="X787" s="327"/>
      <c r="Y787" s="327"/>
      <c r="Z787" s="327"/>
      <c r="AA787" s="327"/>
      <c r="AB787" s="327"/>
      <c r="AC787" s="327"/>
      <c r="AD787" s="327"/>
      <c r="AE787" s="327"/>
      <c r="AF787" s="327"/>
      <c r="AG787" s="327"/>
      <c r="AH787" s="327"/>
      <c r="AI787" s="327"/>
      <c r="AJ787" s="327"/>
      <c r="AK787" s="327"/>
      <c r="AL787" s="327"/>
      <c r="AM787" s="327"/>
    </row>
    <row r="788" spans="1:39">
      <c r="A788" s="69"/>
      <c r="B788" s="69"/>
      <c r="C788" s="327"/>
      <c r="D788" s="327"/>
      <c r="E788" s="327"/>
      <c r="F788" s="327"/>
      <c r="G788" s="327"/>
      <c r="H788" s="327"/>
      <c r="I788" s="327"/>
      <c r="J788" s="327"/>
      <c r="K788" s="327"/>
      <c r="L788" s="327"/>
      <c r="M788" s="327"/>
      <c r="N788" s="327"/>
      <c r="O788" s="327"/>
      <c r="P788" s="327"/>
      <c r="Q788" s="327"/>
      <c r="R788" s="327"/>
      <c r="S788" s="327"/>
      <c r="T788" s="327"/>
      <c r="U788" s="327"/>
      <c r="V788" s="327"/>
      <c r="W788" s="327"/>
      <c r="X788" s="327"/>
      <c r="Y788" s="327"/>
      <c r="Z788" s="327"/>
      <c r="AA788" s="327"/>
      <c r="AB788" s="327"/>
      <c r="AC788" s="327"/>
      <c r="AD788" s="327"/>
      <c r="AE788" s="327"/>
      <c r="AF788" s="327"/>
      <c r="AG788" s="327"/>
      <c r="AH788" s="327"/>
      <c r="AI788" s="327"/>
      <c r="AJ788" s="327"/>
      <c r="AK788" s="327"/>
      <c r="AL788" s="327"/>
      <c r="AM788" s="327"/>
    </row>
    <row r="789" spans="1:39">
      <c r="A789" s="69"/>
      <c r="B789" s="69"/>
      <c r="C789" s="327"/>
      <c r="D789" s="327"/>
      <c r="E789" s="327"/>
      <c r="F789" s="327"/>
      <c r="G789" s="327"/>
      <c r="H789" s="327"/>
      <c r="I789" s="327"/>
      <c r="J789" s="327"/>
      <c r="K789" s="327"/>
      <c r="L789" s="327"/>
      <c r="M789" s="327"/>
      <c r="N789" s="327"/>
      <c r="O789" s="327"/>
      <c r="P789" s="327"/>
      <c r="Q789" s="327"/>
      <c r="R789" s="327"/>
      <c r="S789" s="327"/>
      <c r="T789" s="327"/>
      <c r="U789" s="327"/>
      <c r="V789" s="327"/>
      <c r="W789" s="327"/>
      <c r="X789" s="327"/>
      <c r="Y789" s="327"/>
      <c r="Z789" s="327"/>
      <c r="AA789" s="327"/>
      <c r="AB789" s="327"/>
      <c r="AC789" s="327"/>
      <c r="AD789" s="327"/>
      <c r="AE789" s="327"/>
      <c r="AF789" s="327"/>
      <c r="AG789" s="327"/>
      <c r="AH789" s="327"/>
      <c r="AI789" s="327"/>
      <c r="AJ789" s="327"/>
      <c r="AK789" s="327"/>
      <c r="AL789" s="327"/>
      <c r="AM789" s="327"/>
    </row>
    <row r="790" spans="1:39">
      <c r="A790" s="69"/>
      <c r="B790" s="69"/>
      <c r="C790" s="327"/>
      <c r="D790" s="327"/>
      <c r="E790" s="327"/>
      <c r="F790" s="327"/>
      <c r="G790" s="327"/>
      <c r="H790" s="327"/>
      <c r="I790" s="327"/>
      <c r="J790" s="327"/>
      <c r="K790" s="327"/>
      <c r="L790" s="327"/>
      <c r="M790" s="327"/>
      <c r="N790" s="327"/>
      <c r="O790" s="327"/>
      <c r="P790" s="327"/>
      <c r="Q790" s="327"/>
      <c r="R790" s="327"/>
      <c r="S790" s="327"/>
      <c r="T790" s="327"/>
      <c r="U790" s="327"/>
      <c r="V790" s="327"/>
      <c r="W790" s="327"/>
      <c r="X790" s="327"/>
      <c r="Y790" s="327"/>
      <c r="Z790" s="327"/>
      <c r="AA790" s="327"/>
      <c r="AB790" s="327"/>
      <c r="AC790" s="327"/>
      <c r="AD790" s="327"/>
      <c r="AE790" s="327"/>
      <c r="AF790" s="327"/>
      <c r="AG790" s="327"/>
      <c r="AH790" s="327"/>
      <c r="AI790" s="327"/>
      <c r="AJ790" s="327"/>
      <c r="AK790" s="327"/>
      <c r="AL790" s="327"/>
      <c r="AM790" s="327"/>
    </row>
    <row r="791" spans="1:39">
      <c r="A791" s="69"/>
      <c r="B791" s="69"/>
      <c r="C791" s="327"/>
      <c r="D791" s="327"/>
      <c r="E791" s="327"/>
      <c r="F791" s="327"/>
      <c r="G791" s="327"/>
      <c r="H791" s="327"/>
      <c r="I791" s="327"/>
      <c r="J791" s="327"/>
      <c r="K791" s="327"/>
      <c r="L791" s="327"/>
      <c r="M791" s="327"/>
      <c r="N791" s="327"/>
      <c r="O791" s="327"/>
      <c r="P791" s="327"/>
      <c r="Q791" s="327"/>
      <c r="R791" s="327"/>
      <c r="S791" s="327"/>
      <c r="T791" s="327"/>
      <c r="U791" s="327"/>
      <c r="V791" s="327"/>
      <c r="W791" s="327"/>
      <c r="X791" s="327"/>
      <c r="Y791" s="327"/>
      <c r="Z791" s="327"/>
      <c r="AA791" s="327"/>
      <c r="AB791" s="327"/>
      <c r="AC791" s="327"/>
      <c r="AD791" s="327"/>
      <c r="AE791" s="327"/>
      <c r="AF791" s="327"/>
      <c r="AG791" s="327"/>
      <c r="AH791" s="327"/>
      <c r="AI791" s="327"/>
      <c r="AJ791" s="327"/>
      <c r="AK791" s="327"/>
      <c r="AL791" s="327"/>
      <c r="AM791" s="327"/>
    </row>
    <row r="792" spans="1:39">
      <c r="A792" s="69"/>
      <c r="B792" s="69"/>
      <c r="C792" s="327"/>
      <c r="D792" s="327"/>
      <c r="E792" s="327"/>
      <c r="F792" s="327"/>
      <c r="G792" s="327"/>
      <c r="H792" s="327"/>
      <c r="I792" s="327"/>
      <c r="J792" s="327"/>
      <c r="K792" s="327"/>
      <c r="L792" s="327"/>
      <c r="M792" s="327"/>
      <c r="N792" s="327"/>
      <c r="O792" s="327"/>
      <c r="P792" s="327"/>
      <c r="Q792" s="327"/>
      <c r="R792" s="327"/>
      <c r="S792" s="327"/>
      <c r="T792" s="327"/>
      <c r="U792" s="327"/>
      <c r="V792" s="327"/>
      <c r="W792" s="327"/>
      <c r="X792" s="327"/>
      <c r="Y792" s="327"/>
      <c r="Z792" s="327"/>
      <c r="AA792" s="327"/>
      <c r="AB792" s="327"/>
      <c r="AC792" s="327"/>
      <c r="AD792" s="327"/>
      <c r="AE792" s="327"/>
      <c r="AF792" s="327"/>
      <c r="AG792" s="327"/>
      <c r="AH792" s="327"/>
      <c r="AI792" s="327"/>
      <c r="AJ792" s="327"/>
      <c r="AK792" s="327"/>
      <c r="AL792" s="327"/>
      <c r="AM792" s="327"/>
    </row>
    <row r="793" spans="1:39">
      <c r="A793" s="69"/>
      <c r="B793" s="69"/>
      <c r="C793" s="327"/>
      <c r="D793" s="327"/>
      <c r="E793" s="327"/>
      <c r="F793" s="327"/>
      <c r="G793" s="327"/>
      <c r="H793" s="327"/>
      <c r="I793" s="327"/>
      <c r="J793" s="327"/>
      <c r="K793" s="327"/>
      <c r="L793" s="327"/>
      <c r="M793" s="327"/>
      <c r="N793" s="327"/>
      <c r="O793" s="327"/>
      <c r="P793" s="327"/>
      <c r="Q793" s="327"/>
      <c r="R793" s="327"/>
      <c r="S793" s="327"/>
      <c r="T793" s="327"/>
      <c r="U793" s="327"/>
      <c r="V793" s="327"/>
      <c r="W793" s="327"/>
      <c r="X793" s="327"/>
      <c r="Y793" s="327"/>
      <c r="Z793" s="327"/>
      <c r="AA793" s="327"/>
      <c r="AB793" s="327"/>
      <c r="AC793" s="327"/>
      <c r="AD793" s="327"/>
      <c r="AE793" s="327"/>
      <c r="AF793" s="327"/>
      <c r="AG793" s="327"/>
      <c r="AH793" s="327"/>
      <c r="AI793" s="327"/>
      <c r="AJ793" s="327"/>
      <c r="AK793" s="327"/>
      <c r="AL793" s="327"/>
      <c r="AM793" s="327"/>
    </row>
    <row r="794" spans="1:39">
      <c r="A794" s="69"/>
      <c r="B794" s="69"/>
      <c r="C794" s="327"/>
      <c r="D794" s="327"/>
      <c r="E794" s="327"/>
      <c r="F794" s="327"/>
      <c r="G794" s="327"/>
      <c r="H794" s="327"/>
      <c r="I794" s="327"/>
      <c r="J794" s="327"/>
      <c r="K794" s="327"/>
      <c r="L794" s="327"/>
      <c r="M794" s="327"/>
      <c r="N794" s="327"/>
      <c r="O794" s="327"/>
      <c r="P794" s="327"/>
      <c r="Q794" s="327"/>
      <c r="R794" s="327"/>
      <c r="S794" s="327"/>
      <c r="T794" s="327"/>
      <c r="U794" s="327"/>
      <c r="V794" s="327"/>
      <c r="W794" s="327"/>
      <c r="X794" s="327"/>
      <c r="Y794" s="327"/>
      <c r="Z794" s="327"/>
      <c r="AA794" s="327"/>
      <c r="AB794" s="327"/>
      <c r="AC794" s="327"/>
      <c r="AD794" s="327"/>
      <c r="AE794" s="327"/>
      <c r="AF794" s="327"/>
      <c r="AG794" s="327"/>
      <c r="AH794" s="327"/>
      <c r="AI794" s="327"/>
      <c r="AJ794" s="327"/>
      <c r="AK794" s="327"/>
      <c r="AL794" s="327"/>
      <c r="AM794" s="327"/>
    </row>
    <row r="795" spans="1:39">
      <c r="A795" s="69"/>
      <c r="B795" s="69"/>
      <c r="C795" s="327"/>
      <c r="D795" s="327"/>
      <c r="E795" s="327"/>
      <c r="F795" s="327"/>
      <c r="G795" s="327"/>
      <c r="H795" s="327"/>
      <c r="I795" s="327"/>
      <c r="J795" s="327"/>
      <c r="K795" s="327"/>
      <c r="L795" s="327"/>
      <c r="M795" s="327"/>
      <c r="N795" s="327"/>
      <c r="O795" s="327"/>
      <c r="P795" s="327"/>
      <c r="Q795" s="327"/>
      <c r="R795" s="327"/>
      <c r="S795" s="327"/>
      <c r="T795" s="327"/>
      <c r="U795" s="327"/>
      <c r="V795" s="327"/>
      <c r="W795" s="327"/>
      <c r="X795" s="327"/>
      <c r="Y795" s="327"/>
      <c r="Z795" s="327"/>
      <c r="AA795" s="327"/>
      <c r="AB795" s="327"/>
      <c r="AC795" s="327"/>
      <c r="AD795" s="327"/>
      <c r="AE795" s="327"/>
      <c r="AF795" s="327"/>
      <c r="AG795" s="327"/>
      <c r="AH795" s="327"/>
      <c r="AI795" s="327"/>
      <c r="AJ795" s="327"/>
      <c r="AK795" s="327"/>
      <c r="AL795" s="327"/>
      <c r="AM795" s="327"/>
    </row>
    <row r="796" spans="1:39">
      <c r="A796" s="69"/>
      <c r="B796" s="69"/>
      <c r="C796" s="327"/>
      <c r="D796" s="327"/>
      <c r="E796" s="327"/>
      <c r="F796" s="327"/>
      <c r="G796" s="327"/>
      <c r="H796" s="327"/>
      <c r="I796" s="327"/>
      <c r="J796" s="327"/>
      <c r="K796" s="327"/>
      <c r="L796" s="327"/>
      <c r="M796" s="327"/>
      <c r="N796" s="327"/>
      <c r="O796" s="327"/>
      <c r="P796" s="327"/>
      <c r="Q796" s="327"/>
      <c r="R796" s="327"/>
      <c r="S796" s="327"/>
      <c r="T796" s="327"/>
      <c r="U796" s="327"/>
      <c r="V796" s="327"/>
      <c r="W796" s="327"/>
      <c r="X796" s="327"/>
      <c r="Y796" s="327"/>
      <c r="Z796" s="327"/>
      <c r="AA796" s="327"/>
      <c r="AB796" s="327"/>
      <c r="AC796" s="327"/>
      <c r="AD796" s="327"/>
      <c r="AE796" s="327"/>
      <c r="AF796" s="327"/>
      <c r="AG796" s="327"/>
      <c r="AH796" s="327"/>
      <c r="AI796" s="327"/>
      <c r="AJ796" s="327"/>
      <c r="AK796" s="327"/>
      <c r="AL796" s="327"/>
      <c r="AM796" s="327"/>
    </row>
    <row r="797" spans="1:39">
      <c r="A797" s="69"/>
      <c r="B797" s="69"/>
      <c r="C797" s="327"/>
      <c r="D797" s="327"/>
      <c r="E797" s="327"/>
      <c r="F797" s="327"/>
      <c r="G797" s="327"/>
      <c r="H797" s="327"/>
      <c r="I797" s="327"/>
      <c r="J797" s="327"/>
      <c r="K797" s="327"/>
      <c r="L797" s="327"/>
      <c r="M797" s="327"/>
      <c r="N797" s="327"/>
      <c r="O797" s="327"/>
      <c r="P797" s="327"/>
      <c r="Q797" s="327"/>
      <c r="R797" s="327"/>
      <c r="S797" s="327"/>
      <c r="T797" s="327"/>
      <c r="U797" s="327"/>
      <c r="V797" s="327"/>
      <c r="W797" s="327"/>
      <c r="X797" s="327"/>
      <c r="Y797" s="327"/>
      <c r="Z797" s="327"/>
      <c r="AA797" s="327"/>
      <c r="AB797" s="327"/>
      <c r="AC797" s="327"/>
      <c r="AD797" s="327"/>
      <c r="AE797" s="327"/>
      <c r="AF797" s="327"/>
      <c r="AG797" s="327"/>
      <c r="AH797" s="327"/>
      <c r="AI797" s="327"/>
      <c r="AJ797" s="327"/>
      <c r="AK797" s="327"/>
      <c r="AL797" s="327"/>
      <c r="AM797" s="327"/>
    </row>
    <row r="798" spans="1:39">
      <c r="A798" s="69"/>
      <c r="B798" s="69"/>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327"/>
      <c r="AE798" s="327"/>
      <c r="AF798" s="327"/>
      <c r="AG798" s="327"/>
      <c r="AH798" s="327"/>
      <c r="AI798" s="327"/>
      <c r="AJ798" s="327"/>
      <c r="AK798" s="327"/>
      <c r="AL798" s="327"/>
      <c r="AM798" s="327"/>
    </row>
    <row r="799" spans="1:39">
      <c r="A799" s="69"/>
      <c r="B799" s="69"/>
      <c r="C799" s="327"/>
      <c r="D799" s="327"/>
      <c r="E799" s="327"/>
      <c r="F799" s="327"/>
      <c r="G799" s="327"/>
      <c r="H799" s="327"/>
      <c r="I799" s="327"/>
      <c r="J799" s="327"/>
      <c r="K799" s="327"/>
      <c r="L799" s="327"/>
      <c r="M799" s="327"/>
      <c r="N799" s="327"/>
      <c r="O799" s="327"/>
      <c r="P799" s="327"/>
      <c r="Q799" s="327"/>
      <c r="R799" s="327"/>
      <c r="S799" s="327"/>
      <c r="T799" s="327"/>
      <c r="U799" s="327"/>
      <c r="V799" s="327"/>
      <c r="W799" s="327"/>
      <c r="X799" s="327"/>
      <c r="Y799" s="327"/>
      <c r="Z799" s="327"/>
      <c r="AA799" s="327"/>
      <c r="AB799" s="327"/>
      <c r="AC799" s="327"/>
      <c r="AD799" s="327"/>
      <c r="AE799" s="327"/>
      <c r="AF799" s="327"/>
      <c r="AG799" s="327"/>
      <c r="AH799" s="327"/>
      <c r="AI799" s="327"/>
      <c r="AJ799" s="327"/>
      <c r="AK799" s="327"/>
      <c r="AL799" s="327"/>
      <c r="AM799" s="327"/>
    </row>
    <row r="800" spans="1:39">
      <c r="A800" s="69"/>
      <c r="B800" s="69"/>
      <c r="C800" s="327"/>
      <c r="D800" s="327"/>
      <c r="E800" s="327"/>
      <c r="F800" s="327"/>
      <c r="G800" s="327"/>
      <c r="H800" s="327"/>
      <c r="I800" s="327"/>
      <c r="J800" s="327"/>
      <c r="K800" s="327"/>
      <c r="L800" s="327"/>
      <c r="M800" s="327"/>
      <c r="N800" s="327"/>
      <c r="O800" s="327"/>
      <c r="P800" s="327"/>
      <c r="Q800" s="327"/>
      <c r="R800" s="327"/>
      <c r="S800" s="327"/>
      <c r="T800" s="327"/>
      <c r="U800" s="327"/>
      <c r="V800" s="327"/>
      <c r="W800" s="327"/>
      <c r="X800" s="327"/>
      <c r="Y800" s="327"/>
      <c r="Z800" s="327"/>
      <c r="AA800" s="327"/>
      <c r="AB800" s="327"/>
      <c r="AC800" s="327"/>
      <c r="AD800" s="327"/>
      <c r="AE800" s="327"/>
      <c r="AF800" s="327"/>
      <c r="AG800" s="327"/>
      <c r="AH800" s="327"/>
      <c r="AI800" s="327"/>
      <c r="AJ800" s="327"/>
      <c r="AK800" s="327"/>
      <c r="AL800" s="327"/>
      <c r="AM800" s="327"/>
    </row>
    <row r="801" spans="1:39">
      <c r="A801" s="69"/>
      <c r="B801" s="69"/>
      <c r="C801" s="327"/>
      <c r="D801" s="327"/>
      <c r="E801" s="327"/>
      <c r="F801" s="327"/>
      <c r="G801" s="327"/>
      <c r="H801" s="327"/>
      <c r="I801" s="327"/>
      <c r="J801" s="327"/>
      <c r="K801" s="327"/>
      <c r="L801" s="327"/>
      <c r="M801" s="327"/>
      <c r="N801" s="327"/>
      <c r="O801" s="327"/>
      <c r="P801" s="327"/>
      <c r="Q801" s="327"/>
      <c r="R801" s="327"/>
      <c r="S801" s="327"/>
      <c r="T801" s="327"/>
      <c r="U801" s="327"/>
      <c r="V801" s="327"/>
      <c r="W801" s="327"/>
      <c r="X801" s="327"/>
      <c r="Y801" s="327"/>
      <c r="Z801" s="327"/>
      <c r="AA801" s="327"/>
      <c r="AB801" s="327"/>
      <c r="AC801" s="327"/>
      <c r="AD801" s="327"/>
      <c r="AE801" s="327"/>
      <c r="AF801" s="327"/>
      <c r="AG801" s="327"/>
      <c r="AH801" s="327"/>
      <c r="AI801" s="327"/>
      <c r="AJ801" s="327"/>
      <c r="AK801" s="327"/>
      <c r="AL801" s="327"/>
      <c r="AM801" s="327"/>
    </row>
    <row r="802" spans="1:39">
      <c r="A802" s="69"/>
      <c r="B802" s="69"/>
      <c r="C802" s="327"/>
      <c r="D802" s="327"/>
      <c r="E802" s="327"/>
      <c r="F802" s="327"/>
      <c r="G802" s="327"/>
      <c r="H802" s="327"/>
      <c r="I802" s="327"/>
      <c r="J802" s="327"/>
      <c r="K802" s="327"/>
      <c r="L802" s="327"/>
      <c r="M802" s="327"/>
      <c r="N802" s="327"/>
      <c r="O802" s="327"/>
      <c r="P802" s="327"/>
      <c r="Q802" s="327"/>
      <c r="R802" s="327"/>
      <c r="S802" s="327"/>
      <c r="T802" s="327"/>
      <c r="U802" s="327"/>
      <c r="V802" s="327"/>
      <c r="W802" s="327"/>
      <c r="X802" s="327"/>
      <c r="Y802" s="327"/>
      <c r="Z802" s="327"/>
      <c r="AA802" s="327"/>
      <c r="AB802" s="327"/>
      <c r="AC802" s="327"/>
      <c r="AD802" s="327"/>
      <c r="AE802" s="327"/>
      <c r="AF802" s="327"/>
      <c r="AG802" s="327"/>
      <c r="AH802" s="327"/>
      <c r="AI802" s="327"/>
      <c r="AJ802" s="327"/>
      <c r="AK802" s="327"/>
      <c r="AL802" s="327"/>
      <c r="AM802" s="327"/>
    </row>
    <row r="803" spans="1:39">
      <c r="A803" s="69"/>
      <c r="B803" s="69"/>
      <c r="C803" s="327"/>
      <c r="D803" s="327"/>
      <c r="E803" s="327"/>
      <c r="F803" s="327"/>
      <c r="G803" s="327"/>
      <c r="H803" s="327"/>
      <c r="I803" s="327"/>
      <c r="J803" s="327"/>
      <c r="K803" s="327"/>
      <c r="L803" s="327"/>
      <c r="M803" s="327"/>
      <c r="N803" s="327"/>
      <c r="O803" s="327"/>
      <c r="P803" s="327"/>
      <c r="Q803" s="327"/>
      <c r="R803" s="327"/>
      <c r="S803" s="327"/>
      <c r="T803" s="327"/>
      <c r="U803" s="327"/>
      <c r="V803" s="327"/>
      <c r="W803" s="327"/>
      <c r="X803" s="327"/>
      <c r="Y803" s="327"/>
      <c r="Z803" s="327"/>
      <c r="AA803" s="327"/>
      <c r="AB803" s="327"/>
      <c r="AC803" s="327"/>
      <c r="AD803" s="327"/>
      <c r="AE803" s="327"/>
      <c r="AF803" s="327"/>
      <c r="AG803" s="327"/>
      <c r="AH803" s="327"/>
      <c r="AI803" s="327"/>
      <c r="AJ803" s="327"/>
      <c r="AK803" s="327"/>
      <c r="AL803" s="327"/>
      <c r="AM803" s="327"/>
    </row>
    <row r="804" spans="1:39">
      <c r="A804" s="69"/>
      <c r="B804" s="69"/>
      <c r="C804" s="327"/>
      <c r="D804" s="327"/>
      <c r="E804" s="327"/>
      <c r="F804" s="327"/>
      <c r="G804" s="327"/>
      <c r="H804" s="327"/>
      <c r="I804" s="327"/>
      <c r="J804" s="327"/>
      <c r="K804" s="327"/>
      <c r="L804" s="327"/>
      <c r="M804" s="327"/>
      <c r="N804" s="327"/>
      <c r="O804" s="327"/>
      <c r="P804" s="327"/>
      <c r="Q804" s="327"/>
      <c r="R804" s="327"/>
      <c r="S804" s="327"/>
      <c r="T804" s="327"/>
      <c r="U804" s="327"/>
      <c r="V804" s="327"/>
      <c r="W804" s="327"/>
      <c r="X804" s="327"/>
      <c r="Y804" s="327"/>
      <c r="Z804" s="327"/>
      <c r="AA804" s="327"/>
      <c r="AB804" s="327"/>
      <c r="AC804" s="327"/>
      <c r="AD804" s="327"/>
      <c r="AE804" s="327"/>
      <c r="AF804" s="327"/>
      <c r="AG804" s="327"/>
      <c r="AH804" s="327"/>
      <c r="AI804" s="327"/>
      <c r="AJ804" s="327"/>
      <c r="AK804" s="327"/>
      <c r="AL804" s="327"/>
      <c r="AM804" s="327"/>
    </row>
    <row r="805" spans="1:39">
      <c r="A805" s="69"/>
      <c r="B805" s="69"/>
      <c r="C805" s="327"/>
      <c r="D805" s="327"/>
      <c r="E805" s="327"/>
      <c r="F805" s="327"/>
      <c r="G805" s="327"/>
      <c r="H805" s="327"/>
      <c r="I805" s="327"/>
      <c r="J805" s="327"/>
      <c r="K805" s="327"/>
      <c r="L805" s="327"/>
      <c r="M805" s="327"/>
      <c r="N805" s="327"/>
      <c r="O805" s="327"/>
      <c r="P805" s="327"/>
      <c r="Q805" s="327"/>
      <c r="R805" s="327"/>
      <c r="S805" s="327"/>
      <c r="T805" s="327"/>
      <c r="U805" s="327"/>
      <c r="V805" s="327"/>
      <c r="W805" s="327"/>
      <c r="X805" s="327"/>
      <c r="Y805" s="327"/>
      <c r="Z805" s="327"/>
      <c r="AA805" s="327"/>
      <c r="AB805" s="327"/>
      <c r="AC805" s="327"/>
      <c r="AD805" s="327"/>
      <c r="AE805" s="327"/>
      <c r="AF805" s="327"/>
      <c r="AG805" s="327"/>
      <c r="AH805" s="327"/>
      <c r="AI805" s="327"/>
      <c r="AJ805" s="327"/>
      <c r="AK805" s="327"/>
      <c r="AL805" s="327"/>
      <c r="AM805" s="327"/>
    </row>
    <row r="806" spans="1:39">
      <c r="A806" s="69"/>
      <c r="B806" s="69"/>
      <c r="C806" s="327"/>
      <c r="D806" s="327"/>
      <c r="E806" s="327"/>
      <c r="F806" s="327"/>
      <c r="G806" s="327"/>
      <c r="H806" s="327"/>
      <c r="I806" s="327"/>
      <c r="J806" s="327"/>
      <c r="K806" s="327"/>
      <c r="L806" s="327"/>
      <c r="M806" s="327"/>
      <c r="N806" s="327"/>
      <c r="O806" s="327"/>
      <c r="P806" s="327"/>
      <c r="Q806" s="327"/>
      <c r="R806" s="327"/>
      <c r="S806" s="327"/>
      <c r="T806" s="327"/>
      <c r="U806" s="327"/>
      <c r="V806" s="327"/>
      <c r="W806" s="327"/>
      <c r="X806" s="327"/>
      <c r="Y806" s="327"/>
      <c r="Z806" s="327"/>
      <c r="AA806" s="327"/>
      <c r="AB806" s="327"/>
      <c r="AC806" s="327"/>
      <c r="AD806" s="327"/>
      <c r="AE806" s="327"/>
      <c r="AF806" s="327"/>
      <c r="AG806" s="327"/>
      <c r="AH806" s="327"/>
      <c r="AI806" s="327"/>
      <c r="AJ806" s="327"/>
      <c r="AK806" s="327"/>
      <c r="AL806" s="327"/>
      <c r="AM806" s="327"/>
    </row>
    <row r="807" spans="1:39">
      <c r="A807" s="69"/>
      <c r="B807" s="69"/>
      <c r="C807" s="327"/>
      <c r="D807" s="327"/>
      <c r="E807" s="327"/>
      <c r="F807" s="327"/>
      <c r="G807" s="327"/>
      <c r="H807" s="327"/>
      <c r="I807" s="327"/>
      <c r="J807" s="327"/>
      <c r="K807" s="327"/>
      <c r="L807" s="327"/>
      <c r="M807" s="327"/>
      <c r="N807" s="327"/>
      <c r="O807" s="327"/>
      <c r="P807" s="327"/>
      <c r="Q807" s="327"/>
      <c r="R807" s="327"/>
      <c r="S807" s="327"/>
      <c r="T807" s="327"/>
      <c r="U807" s="327"/>
      <c r="V807" s="327"/>
      <c r="W807" s="327"/>
      <c r="X807" s="327"/>
      <c r="Y807" s="327"/>
      <c r="Z807" s="327"/>
      <c r="AA807" s="327"/>
      <c r="AB807" s="327"/>
      <c r="AC807" s="327"/>
      <c r="AD807" s="327"/>
      <c r="AE807" s="327"/>
      <c r="AF807" s="327"/>
      <c r="AG807" s="327"/>
      <c r="AH807" s="327"/>
      <c r="AI807" s="327"/>
      <c r="AJ807" s="327"/>
      <c r="AK807" s="327"/>
      <c r="AL807" s="327"/>
      <c r="AM807" s="327"/>
    </row>
    <row r="808" spans="1:39">
      <c r="A808" s="69"/>
      <c r="B808" s="69"/>
      <c r="C808" s="327"/>
      <c r="D808" s="327"/>
      <c r="E808" s="327"/>
      <c r="F808" s="327"/>
      <c r="G808" s="327"/>
      <c r="H808" s="327"/>
      <c r="I808" s="327"/>
      <c r="J808" s="327"/>
      <c r="K808" s="327"/>
      <c r="L808" s="327"/>
      <c r="M808" s="327"/>
      <c r="N808" s="327"/>
      <c r="O808" s="327"/>
      <c r="P808" s="327"/>
      <c r="Q808" s="327"/>
      <c r="R808" s="327"/>
      <c r="S808" s="327"/>
      <c r="T808" s="327"/>
      <c r="U808" s="327"/>
      <c r="V808" s="327"/>
      <c r="W808" s="327"/>
      <c r="X808" s="327"/>
      <c r="Y808" s="327"/>
      <c r="Z808" s="327"/>
      <c r="AA808" s="327"/>
      <c r="AB808" s="327"/>
      <c r="AC808" s="327"/>
      <c r="AD808" s="327"/>
      <c r="AE808" s="327"/>
      <c r="AF808" s="327"/>
      <c r="AG808" s="327"/>
      <c r="AH808" s="327"/>
      <c r="AI808" s="327"/>
      <c r="AJ808" s="327"/>
      <c r="AK808" s="327"/>
      <c r="AL808" s="327"/>
      <c r="AM808" s="327"/>
    </row>
    <row r="809" spans="1:39">
      <c r="A809" s="69"/>
      <c r="B809" s="69"/>
      <c r="C809" s="327"/>
      <c r="D809" s="327"/>
      <c r="E809" s="327"/>
      <c r="F809" s="327"/>
      <c r="G809" s="327"/>
      <c r="H809" s="327"/>
      <c r="I809" s="327"/>
      <c r="J809" s="327"/>
      <c r="K809" s="327"/>
      <c r="L809" s="327"/>
      <c r="M809" s="327"/>
      <c r="N809" s="327"/>
      <c r="O809" s="327"/>
      <c r="P809" s="327"/>
      <c r="Q809" s="327"/>
      <c r="R809" s="327"/>
      <c r="S809" s="327"/>
      <c r="T809" s="327"/>
      <c r="U809" s="327"/>
      <c r="V809" s="327"/>
      <c r="W809" s="327"/>
      <c r="X809" s="327"/>
      <c r="Y809" s="327"/>
      <c r="Z809" s="327"/>
      <c r="AA809" s="327"/>
      <c r="AB809" s="327"/>
      <c r="AC809" s="327"/>
      <c r="AD809" s="327"/>
      <c r="AE809" s="327"/>
      <c r="AF809" s="327"/>
      <c r="AG809" s="327"/>
      <c r="AH809" s="327"/>
      <c r="AI809" s="327"/>
      <c r="AJ809" s="327"/>
      <c r="AK809" s="327"/>
      <c r="AL809" s="327"/>
      <c r="AM809" s="327"/>
    </row>
    <row r="810" spans="1:39">
      <c r="A810" s="69"/>
      <c r="B810" s="69"/>
      <c r="C810" s="327"/>
      <c r="D810" s="327"/>
      <c r="E810" s="327"/>
      <c r="F810" s="327"/>
      <c r="G810" s="327"/>
      <c r="H810" s="327"/>
      <c r="I810" s="327"/>
      <c r="J810" s="327"/>
      <c r="K810" s="327"/>
      <c r="L810" s="327"/>
      <c r="M810" s="327"/>
      <c r="N810" s="327"/>
      <c r="O810" s="327"/>
      <c r="P810" s="327"/>
      <c r="Q810" s="327"/>
      <c r="R810" s="327"/>
      <c r="S810" s="327"/>
      <c r="T810" s="327"/>
      <c r="U810" s="327"/>
      <c r="V810" s="327"/>
      <c r="W810" s="327"/>
      <c r="X810" s="327"/>
      <c r="Y810" s="327"/>
      <c r="Z810" s="327"/>
      <c r="AA810" s="327"/>
      <c r="AB810" s="327"/>
      <c r="AC810" s="327"/>
      <c r="AD810" s="327"/>
      <c r="AE810" s="327"/>
      <c r="AF810" s="327"/>
      <c r="AG810" s="327"/>
      <c r="AH810" s="327"/>
      <c r="AI810" s="327"/>
      <c r="AJ810" s="327"/>
      <c r="AK810" s="327"/>
      <c r="AL810" s="327"/>
      <c r="AM810" s="327"/>
    </row>
    <row r="811" spans="1:39">
      <c r="A811" s="69"/>
      <c r="B811" s="69"/>
      <c r="C811" s="327"/>
      <c r="D811" s="327"/>
      <c r="E811" s="327"/>
      <c r="F811" s="327"/>
      <c r="G811" s="327"/>
      <c r="H811" s="327"/>
      <c r="I811" s="327"/>
      <c r="J811" s="327"/>
      <c r="K811" s="327"/>
      <c r="L811" s="327"/>
      <c r="M811" s="327"/>
      <c r="N811" s="327"/>
      <c r="O811" s="327"/>
      <c r="P811" s="327"/>
      <c r="Q811" s="327"/>
      <c r="R811" s="327"/>
      <c r="S811" s="327"/>
      <c r="T811" s="327"/>
      <c r="U811" s="327"/>
      <c r="V811" s="327"/>
      <c r="W811" s="327"/>
      <c r="X811" s="327"/>
      <c r="Y811" s="327"/>
      <c r="Z811" s="327"/>
      <c r="AA811" s="327"/>
      <c r="AB811" s="327"/>
      <c r="AC811" s="327"/>
      <c r="AD811" s="327"/>
      <c r="AE811" s="327"/>
      <c r="AF811" s="327"/>
      <c r="AG811" s="327"/>
      <c r="AH811" s="327"/>
      <c r="AI811" s="327"/>
      <c r="AJ811" s="327"/>
      <c r="AK811" s="327"/>
      <c r="AL811" s="327"/>
      <c r="AM811" s="327"/>
    </row>
    <row r="812" spans="1:39">
      <c r="A812" s="69"/>
      <c r="B812" s="69"/>
      <c r="C812" s="327"/>
      <c r="D812" s="327"/>
      <c r="E812" s="327"/>
      <c r="F812" s="327"/>
      <c r="G812" s="327"/>
      <c r="H812" s="327"/>
      <c r="I812" s="327"/>
      <c r="J812" s="327"/>
      <c r="K812" s="327"/>
      <c r="L812" s="327"/>
      <c r="M812" s="327"/>
      <c r="N812" s="327"/>
      <c r="O812" s="327"/>
      <c r="P812" s="327"/>
      <c r="Q812" s="327"/>
      <c r="R812" s="327"/>
      <c r="S812" s="327"/>
      <c r="T812" s="327"/>
      <c r="U812" s="327"/>
      <c r="V812" s="327"/>
      <c r="W812" s="327"/>
      <c r="X812" s="327"/>
      <c r="Y812" s="327"/>
      <c r="Z812" s="327"/>
      <c r="AA812" s="327"/>
      <c r="AB812" s="327"/>
      <c r="AC812" s="327"/>
      <c r="AD812" s="327"/>
      <c r="AE812" s="327"/>
      <c r="AF812" s="327"/>
      <c r="AG812" s="327"/>
      <c r="AH812" s="327"/>
      <c r="AI812" s="327"/>
      <c r="AJ812" s="327"/>
      <c r="AK812" s="327"/>
      <c r="AL812" s="327"/>
      <c r="AM812" s="327"/>
    </row>
    <row r="813" spans="1:39">
      <c r="A813" s="69"/>
      <c r="B813" s="69"/>
      <c r="C813" s="327"/>
      <c r="D813" s="327"/>
      <c r="E813" s="327"/>
      <c r="F813" s="327"/>
      <c r="G813" s="327"/>
      <c r="H813" s="327"/>
      <c r="I813" s="327"/>
      <c r="J813" s="327"/>
      <c r="K813" s="327"/>
      <c r="L813" s="327"/>
      <c r="M813" s="327"/>
      <c r="N813" s="327"/>
      <c r="O813" s="327"/>
      <c r="P813" s="327"/>
      <c r="Q813" s="327"/>
      <c r="R813" s="327"/>
      <c r="S813" s="327"/>
      <c r="T813" s="327"/>
      <c r="U813" s="327"/>
      <c r="V813" s="327"/>
      <c r="W813" s="327"/>
      <c r="X813" s="327"/>
      <c r="Y813" s="327"/>
      <c r="Z813" s="327"/>
      <c r="AA813" s="327"/>
      <c r="AB813" s="327"/>
      <c r="AC813" s="327"/>
      <c r="AD813" s="327"/>
      <c r="AE813" s="327"/>
      <c r="AF813" s="327"/>
      <c r="AG813" s="327"/>
      <c r="AH813" s="327"/>
      <c r="AI813" s="327"/>
      <c r="AJ813" s="327"/>
      <c r="AK813" s="327"/>
      <c r="AL813" s="327"/>
      <c r="AM813" s="327"/>
    </row>
    <row r="814" spans="1:39">
      <c r="A814" s="69"/>
      <c r="B814" s="69"/>
      <c r="C814" s="327"/>
      <c r="D814" s="327"/>
      <c r="E814" s="327"/>
      <c r="F814" s="327"/>
      <c r="G814" s="327"/>
      <c r="H814" s="327"/>
      <c r="I814" s="327"/>
      <c r="J814" s="327"/>
      <c r="K814" s="327"/>
      <c r="L814" s="327"/>
      <c r="M814" s="327"/>
      <c r="N814" s="327"/>
      <c r="O814" s="327"/>
      <c r="P814" s="327"/>
      <c r="Q814" s="327"/>
      <c r="R814" s="327"/>
      <c r="S814" s="327"/>
      <c r="T814" s="327"/>
      <c r="U814" s="327"/>
      <c r="V814" s="327"/>
      <c r="W814" s="327"/>
      <c r="X814" s="327"/>
      <c r="Y814" s="327"/>
      <c r="Z814" s="327"/>
      <c r="AA814" s="327"/>
      <c r="AB814" s="327"/>
      <c r="AC814" s="327"/>
      <c r="AD814" s="327"/>
      <c r="AE814" s="327"/>
      <c r="AF814" s="327"/>
      <c r="AG814" s="327"/>
      <c r="AH814" s="327"/>
      <c r="AI814" s="327"/>
      <c r="AJ814" s="327"/>
      <c r="AK814" s="327"/>
      <c r="AL814" s="327"/>
      <c r="AM814" s="327"/>
    </row>
    <row r="815" spans="1:39">
      <c r="A815" s="69"/>
      <c r="B815" s="69"/>
      <c r="C815" s="327"/>
      <c r="D815" s="327"/>
      <c r="E815" s="327"/>
      <c r="F815" s="327"/>
      <c r="G815" s="327"/>
      <c r="H815" s="327"/>
      <c r="I815" s="327"/>
      <c r="J815" s="327"/>
      <c r="K815" s="327"/>
      <c r="L815" s="327"/>
      <c r="M815" s="327"/>
      <c r="N815" s="327"/>
      <c r="O815" s="327"/>
      <c r="P815" s="327"/>
      <c r="Q815" s="327"/>
      <c r="R815" s="327"/>
      <c r="S815" s="327"/>
      <c r="T815" s="327"/>
      <c r="U815" s="327"/>
      <c r="V815" s="327"/>
      <c r="W815" s="327"/>
      <c r="X815" s="327"/>
      <c r="Y815" s="327"/>
      <c r="Z815" s="327"/>
      <c r="AA815" s="327"/>
      <c r="AB815" s="327"/>
      <c r="AC815" s="327"/>
      <c r="AD815" s="327"/>
      <c r="AE815" s="327"/>
      <c r="AF815" s="327"/>
      <c r="AG815" s="327"/>
      <c r="AH815" s="327"/>
      <c r="AI815" s="327"/>
      <c r="AJ815" s="327"/>
      <c r="AK815" s="327"/>
      <c r="AL815" s="327"/>
      <c r="AM815" s="327"/>
    </row>
    <row r="816" spans="1:39">
      <c r="A816" s="69"/>
      <c r="B816" s="69"/>
      <c r="C816" s="327"/>
      <c r="D816" s="327"/>
      <c r="E816" s="327"/>
      <c r="F816" s="327"/>
      <c r="G816" s="327"/>
      <c r="H816" s="327"/>
      <c r="I816" s="327"/>
      <c r="J816" s="327"/>
      <c r="K816" s="327"/>
      <c r="L816" s="327"/>
      <c r="M816" s="327"/>
      <c r="N816" s="327"/>
      <c r="O816" s="327"/>
      <c r="P816" s="327"/>
      <c r="Q816" s="327"/>
      <c r="R816" s="327"/>
      <c r="S816" s="327"/>
      <c r="T816" s="327"/>
      <c r="U816" s="327"/>
      <c r="V816" s="327"/>
      <c r="W816" s="327"/>
      <c r="X816" s="327"/>
      <c r="Y816" s="327"/>
      <c r="Z816" s="327"/>
      <c r="AA816" s="327"/>
      <c r="AB816" s="327"/>
      <c r="AC816" s="327"/>
      <c r="AD816" s="327"/>
      <c r="AE816" s="327"/>
      <c r="AF816" s="327"/>
      <c r="AG816" s="327"/>
      <c r="AH816" s="327"/>
      <c r="AI816" s="327"/>
      <c r="AJ816" s="327"/>
      <c r="AK816" s="327"/>
      <c r="AL816" s="327"/>
      <c r="AM816" s="327"/>
    </row>
    <row r="817" spans="1:39">
      <c r="A817" s="69"/>
      <c r="B817" s="69"/>
      <c r="C817" s="327"/>
      <c r="D817" s="327"/>
      <c r="E817" s="327"/>
      <c r="F817" s="327"/>
      <c r="G817" s="327"/>
      <c r="H817" s="327"/>
      <c r="I817" s="327"/>
      <c r="J817" s="327"/>
      <c r="K817" s="327"/>
      <c r="L817" s="327"/>
      <c r="M817" s="327"/>
      <c r="N817" s="327"/>
      <c r="O817" s="327"/>
      <c r="P817" s="327"/>
      <c r="Q817" s="327"/>
      <c r="R817" s="327"/>
      <c r="S817" s="327"/>
      <c r="T817" s="327"/>
      <c r="U817" s="327"/>
      <c r="V817" s="327"/>
      <c r="W817" s="327"/>
      <c r="X817" s="327"/>
      <c r="Y817" s="327"/>
      <c r="Z817" s="327"/>
      <c r="AA817" s="327"/>
      <c r="AB817" s="327"/>
      <c r="AC817" s="327"/>
      <c r="AD817" s="327"/>
      <c r="AE817" s="327"/>
      <c r="AF817" s="327"/>
      <c r="AG817" s="327"/>
      <c r="AH817" s="327"/>
      <c r="AI817" s="327"/>
      <c r="AJ817" s="327"/>
      <c r="AK817" s="327"/>
      <c r="AL817" s="327"/>
      <c r="AM817" s="327"/>
    </row>
    <row r="818" spans="1:39">
      <c r="A818" s="69"/>
      <c r="B818" s="69"/>
      <c r="C818" s="327"/>
      <c r="D818" s="327"/>
      <c r="E818" s="327"/>
      <c r="F818" s="327"/>
      <c r="G818" s="327"/>
      <c r="H818" s="327"/>
      <c r="I818" s="327"/>
      <c r="J818" s="327"/>
      <c r="K818" s="327"/>
      <c r="L818" s="327"/>
      <c r="M818" s="327"/>
      <c r="N818" s="327"/>
      <c r="O818" s="327"/>
      <c r="P818" s="327"/>
      <c r="Q818" s="327"/>
      <c r="R818" s="327"/>
      <c r="S818" s="327"/>
      <c r="T818" s="327"/>
      <c r="U818" s="327"/>
      <c r="V818" s="327"/>
      <c r="W818" s="327"/>
      <c r="X818" s="327"/>
      <c r="Y818" s="327"/>
      <c r="Z818" s="327"/>
      <c r="AA818" s="327"/>
      <c r="AB818" s="327"/>
      <c r="AC818" s="327"/>
      <c r="AD818" s="327"/>
      <c r="AE818" s="327"/>
      <c r="AF818" s="327"/>
      <c r="AG818" s="327"/>
      <c r="AH818" s="327"/>
      <c r="AI818" s="327"/>
      <c r="AJ818" s="327"/>
      <c r="AK818" s="327"/>
      <c r="AL818" s="327"/>
      <c r="AM818" s="327"/>
    </row>
    <row r="819" spans="1:39">
      <c r="A819" s="69"/>
      <c r="B819" s="69"/>
      <c r="C819" s="327"/>
      <c r="D819" s="327"/>
      <c r="E819" s="327"/>
      <c r="F819" s="327"/>
      <c r="G819" s="327"/>
      <c r="H819" s="327"/>
      <c r="I819" s="327"/>
      <c r="J819" s="327"/>
      <c r="K819" s="327"/>
      <c r="L819" s="327"/>
      <c r="M819" s="327"/>
      <c r="N819" s="327"/>
      <c r="O819" s="327"/>
      <c r="P819" s="327"/>
      <c r="Q819" s="327"/>
      <c r="R819" s="327"/>
      <c r="S819" s="327"/>
      <c r="T819" s="327"/>
      <c r="U819" s="327"/>
      <c r="V819" s="327"/>
      <c r="W819" s="327"/>
      <c r="X819" s="327"/>
      <c r="Y819" s="327"/>
      <c r="Z819" s="327"/>
      <c r="AA819" s="327"/>
      <c r="AB819" s="327"/>
      <c r="AC819" s="327"/>
      <c r="AD819" s="327"/>
      <c r="AE819" s="327"/>
      <c r="AF819" s="327"/>
      <c r="AG819" s="327"/>
      <c r="AH819" s="327"/>
      <c r="AI819" s="327"/>
      <c r="AJ819" s="327"/>
      <c r="AK819" s="327"/>
      <c r="AL819" s="327"/>
      <c r="AM819" s="327"/>
    </row>
    <row r="820" spans="1:39">
      <c r="A820" s="69"/>
      <c r="B820" s="69"/>
      <c r="C820" s="327"/>
      <c r="D820" s="327"/>
      <c r="E820" s="327"/>
      <c r="F820" s="327"/>
      <c r="G820" s="327"/>
      <c r="H820" s="327"/>
      <c r="I820" s="327"/>
      <c r="J820" s="327"/>
      <c r="K820" s="327"/>
      <c r="L820" s="327"/>
      <c r="M820" s="327"/>
      <c r="N820" s="327"/>
      <c r="O820" s="327"/>
      <c r="P820" s="327"/>
      <c r="Q820" s="327"/>
      <c r="R820" s="327"/>
      <c r="S820" s="327"/>
      <c r="T820" s="327"/>
      <c r="U820" s="327"/>
      <c r="V820" s="327"/>
      <c r="W820" s="327"/>
      <c r="X820" s="327"/>
      <c r="Y820" s="327"/>
      <c r="Z820" s="327"/>
      <c r="AA820" s="327"/>
      <c r="AB820" s="327"/>
      <c r="AC820" s="327"/>
      <c r="AD820" s="327"/>
      <c r="AE820" s="327"/>
      <c r="AF820" s="327"/>
      <c r="AG820" s="327"/>
      <c r="AH820" s="327"/>
      <c r="AI820" s="327"/>
      <c r="AJ820" s="327"/>
      <c r="AK820" s="327"/>
      <c r="AL820" s="327"/>
      <c r="AM820" s="327"/>
    </row>
    <row r="821" spans="1:39">
      <c r="A821" s="69"/>
      <c r="B821" s="69"/>
      <c r="C821" s="327"/>
      <c r="D821" s="327"/>
      <c r="E821" s="327"/>
      <c r="F821" s="327"/>
      <c r="G821" s="327"/>
      <c r="H821" s="327"/>
      <c r="I821" s="327"/>
      <c r="J821" s="327"/>
      <c r="K821" s="327"/>
      <c r="L821" s="327"/>
      <c r="M821" s="327"/>
      <c r="N821" s="327"/>
      <c r="O821" s="327"/>
      <c r="P821" s="327"/>
      <c r="Q821" s="327"/>
      <c r="R821" s="327"/>
      <c r="S821" s="327"/>
      <c r="T821" s="327"/>
      <c r="U821" s="327"/>
      <c r="V821" s="327"/>
      <c r="W821" s="327"/>
      <c r="X821" s="327"/>
      <c r="Y821" s="327"/>
      <c r="Z821" s="327"/>
      <c r="AA821" s="327"/>
      <c r="AB821" s="327"/>
      <c r="AC821" s="327"/>
      <c r="AD821" s="327"/>
      <c r="AE821" s="327"/>
      <c r="AF821" s="327"/>
      <c r="AG821" s="327"/>
      <c r="AH821" s="327"/>
      <c r="AI821" s="327"/>
      <c r="AJ821" s="327"/>
      <c r="AK821" s="327"/>
      <c r="AL821" s="327"/>
      <c r="AM821" s="327"/>
    </row>
    <row r="822" spans="1:39">
      <c r="A822" s="69"/>
      <c r="B822" s="69"/>
      <c r="C822" s="327"/>
      <c r="D822" s="327"/>
      <c r="E822" s="327"/>
      <c r="F822" s="327"/>
      <c r="G822" s="327"/>
      <c r="H822" s="327"/>
      <c r="I822" s="327"/>
      <c r="J822" s="327"/>
      <c r="K822" s="327"/>
      <c r="L822" s="327"/>
      <c r="M822" s="327"/>
      <c r="N822" s="327"/>
      <c r="O822" s="327"/>
      <c r="P822" s="327"/>
      <c r="Q822" s="327"/>
      <c r="R822" s="327"/>
      <c r="S822" s="327"/>
      <c r="T822" s="327"/>
      <c r="U822" s="327"/>
      <c r="V822" s="327"/>
      <c r="W822" s="327"/>
      <c r="X822" s="327"/>
      <c r="Y822" s="327"/>
      <c r="Z822" s="327"/>
      <c r="AA822" s="327"/>
      <c r="AB822" s="327"/>
      <c r="AC822" s="327"/>
      <c r="AD822" s="327"/>
      <c r="AE822" s="327"/>
      <c r="AF822" s="327"/>
      <c r="AG822" s="327"/>
      <c r="AH822" s="327"/>
      <c r="AI822" s="327"/>
      <c r="AJ822" s="327"/>
      <c r="AK822" s="327"/>
      <c r="AL822" s="327"/>
      <c r="AM822" s="327"/>
    </row>
    <row r="823" spans="1:39">
      <c r="A823" s="69"/>
      <c r="B823" s="69"/>
      <c r="C823" s="327"/>
      <c r="D823" s="327"/>
      <c r="E823" s="327"/>
      <c r="F823" s="327"/>
      <c r="G823" s="327"/>
      <c r="H823" s="327"/>
      <c r="I823" s="327"/>
      <c r="J823" s="327"/>
      <c r="K823" s="327"/>
      <c r="L823" s="327"/>
      <c r="M823" s="327"/>
      <c r="N823" s="327"/>
      <c r="O823" s="327"/>
      <c r="P823" s="327"/>
      <c r="Q823" s="327"/>
      <c r="R823" s="327"/>
      <c r="S823" s="327"/>
      <c r="T823" s="327"/>
      <c r="U823" s="327"/>
      <c r="V823" s="327"/>
      <c r="W823" s="327"/>
      <c r="X823" s="327"/>
      <c r="Y823" s="327"/>
      <c r="Z823" s="327"/>
      <c r="AA823" s="327"/>
      <c r="AB823" s="327"/>
      <c r="AC823" s="327"/>
      <c r="AD823" s="327"/>
      <c r="AE823" s="327"/>
      <c r="AF823" s="327"/>
      <c r="AG823" s="327"/>
      <c r="AH823" s="327"/>
      <c r="AI823" s="327"/>
      <c r="AJ823" s="327"/>
      <c r="AK823" s="327"/>
      <c r="AL823" s="327"/>
      <c r="AM823" s="327"/>
    </row>
    <row r="824" spans="1:39">
      <c r="A824" s="69"/>
      <c r="B824" s="69"/>
      <c r="C824" s="327"/>
      <c r="D824" s="327"/>
      <c r="E824" s="327"/>
      <c r="F824" s="327"/>
      <c r="G824" s="327"/>
      <c r="H824" s="327"/>
      <c r="I824" s="327"/>
      <c r="J824" s="327"/>
      <c r="K824" s="327"/>
      <c r="L824" s="327"/>
      <c r="M824" s="327"/>
      <c r="N824" s="327"/>
      <c r="O824" s="327"/>
      <c r="P824" s="327"/>
      <c r="Q824" s="327"/>
      <c r="R824" s="327"/>
      <c r="S824" s="327"/>
      <c r="T824" s="327"/>
      <c r="U824" s="327"/>
      <c r="V824" s="327"/>
      <c r="W824" s="327"/>
      <c r="X824" s="327"/>
      <c r="Y824" s="327"/>
      <c r="Z824" s="327"/>
      <c r="AA824" s="327"/>
      <c r="AB824" s="327"/>
      <c r="AC824" s="327"/>
      <c r="AD824" s="327"/>
      <c r="AE824" s="327"/>
      <c r="AF824" s="327"/>
      <c r="AG824" s="327"/>
      <c r="AH824" s="327"/>
      <c r="AI824" s="327"/>
      <c r="AJ824" s="327"/>
      <c r="AK824" s="327"/>
      <c r="AL824" s="327"/>
      <c r="AM824" s="327"/>
    </row>
    <row r="825" spans="1:39">
      <c r="A825" s="69"/>
      <c r="B825" s="69"/>
      <c r="C825" s="327"/>
      <c r="D825" s="327"/>
      <c r="E825" s="327"/>
      <c r="F825" s="327"/>
      <c r="G825" s="327"/>
      <c r="H825" s="327"/>
      <c r="I825" s="327"/>
      <c r="J825" s="327"/>
      <c r="K825" s="327"/>
      <c r="L825" s="327"/>
      <c r="M825" s="327"/>
      <c r="N825" s="327"/>
      <c r="O825" s="327"/>
      <c r="P825" s="327"/>
      <c r="Q825" s="327"/>
      <c r="R825" s="327"/>
      <c r="S825" s="327"/>
      <c r="T825" s="327"/>
      <c r="U825" s="327"/>
      <c r="V825" s="327"/>
      <c r="W825" s="327"/>
      <c r="X825" s="327"/>
      <c r="Y825" s="327"/>
      <c r="Z825" s="327"/>
      <c r="AA825" s="327"/>
      <c r="AB825" s="327"/>
      <c r="AC825" s="327"/>
      <c r="AD825" s="327"/>
      <c r="AE825" s="327"/>
      <c r="AF825" s="327"/>
      <c r="AG825" s="327"/>
      <c r="AH825" s="327"/>
      <c r="AI825" s="327"/>
      <c r="AJ825" s="327"/>
      <c r="AK825" s="327"/>
      <c r="AL825" s="327"/>
      <c r="AM825" s="327"/>
    </row>
    <row r="826" spans="1:39">
      <c r="A826" s="69"/>
      <c r="B826" s="69"/>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327"/>
      <c r="AE826" s="327"/>
      <c r="AF826" s="327"/>
      <c r="AG826" s="327"/>
      <c r="AH826" s="327"/>
      <c r="AI826" s="327"/>
      <c r="AJ826" s="327"/>
      <c r="AK826" s="327"/>
      <c r="AL826" s="327"/>
      <c r="AM826" s="327"/>
    </row>
    <row r="827" spans="1:39">
      <c r="A827" s="69"/>
      <c r="B827" s="69"/>
      <c r="C827" s="327"/>
      <c r="D827" s="327"/>
      <c r="E827" s="327"/>
      <c r="F827" s="327"/>
      <c r="G827" s="327"/>
      <c r="H827" s="327"/>
      <c r="I827" s="327"/>
      <c r="J827" s="327"/>
      <c r="K827" s="327"/>
      <c r="L827" s="327"/>
      <c r="M827" s="327"/>
      <c r="N827" s="327"/>
      <c r="O827" s="327"/>
      <c r="P827" s="327"/>
      <c r="Q827" s="327"/>
      <c r="R827" s="327"/>
      <c r="S827" s="327"/>
      <c r="T827" s="327"/>
      <c r="U827" s="327"/>
      <c r="V827" s="327"/>
      <c r="W827" s="327"/>
      <c r="X827" s="327"/>
      <c r="Y827" s="327"/>
      <c r="Z827" s="327"/>
      <c r="AA827" s="327"/>
      <c r="AB827" s="327"/>
      <c r="AC827" s="327"/>
      <c r="AD827" s="327"/>
      <c r="AE827" s="327"/>
      <c r="AF827" s="327"/>
      <c r="AG827" s="327"/>
      <c r="AH827" s="327"/>
      <c r="AI827" s="327"/>
      <c r="AJ827" s="327"/>
      <c r="AK827" s="327"/>
      <c r="AL827" s="327"/>
      <c r="AM827" s="327"/>
    </row>
    <row r="828" spans="1:39">
      <c r="A828" s="69"/>
      <c r="B828" s="69"/>
      <c r="C828" s="327"/>
      <c r="D828" s="327"/>
      <c r="E828" s="327"/>
      <c r="F828" s="327"/>
      <c r="G828" s="327"/>
      <c r="H828" s="327"/>
      <c r="I828" s="327"/>
      <c r="J828" s="327"/>
      <c r="K828" s="327"/>
      <c r="L828" s="327"/>
      <c r="M828" s="327"/>
      <c r="N828" s="327"/>
      <c r="O828" s="327"/>
      <c r="P828" s="327"/>
      <c r="Q828" s="327"/>
      <c r="R828" s="327"/>
      <c r="S828" s="327"/>
      <c r="T828" s="327"/>
      <c r="U828" s="327"/>
      <c r="V828" s="327"/>
      <c r="W828" s="327"/>
      <c r="X828" s="327"/>
      <c r="Y828" s="327"/>
      <c r="Z828" s="327"/>
      <c r="AA828" s="327"/>
      <c r="AB828" s="327"/>
      <c r="AC828" s="327"/>
      <c r="AD828" s="327"/>
      <c r="AE828" s="327"/>
      <c r="AF828" s="327"/>
      <c r="AG828" s="327"/>
      <c r="AH828" s="327"/>
      <c r="AI828" s="327"/>
      <c r="AJ828" s="327"/>
      <c r="AK828" s="327"/>
      <c r="AL828" s="327"/>
      <c r="AM828" s="327"/>
    </row>
    <row r="829" spans="1:39">
      <c r="A829" s="69"/>
      <c r="B829" s="69"/>
      <c r="C829" s="327"/>
      <c r="D829" s="327"/>
      <c r="E829" s="327"/>
      <c r="F829" s="327"/>
      <c r="G829" s="327"/>
      <c r="H829" s="327"/>
      <c r="I829" s="327"/>
      <c r="J829" s="327"/>
      <c r="K829" s="327"/>
      <c r="L829" s="327"/>
      <c r="M829" s="327"/>
      <c r="N829" s="327"/>
      <c r="O829" s="327"/>
      <c r="P829" s="327"/>
      <c r="Q829" s="327"/>
      <c r="R829" s="327"/>
      <c r="S829" s="327"/>
      <c r="T829" s="327"/>
      <c r="U829" s="327"/>
      <c r="V829" s="327"/>
      <c r="W829" s="327"/>
      <c r="X829" s="327"/>
      <c r="Y829" s="327"/>
      <c r="Z829" s="327"/>
      <c r="AA829" s="327"/>
      <c r="AB829" s="327"/>
      <c r="AC829" s="327"/>
      <c r="AD829" s="327"/>
      <c r="AE829" s="327"/>
      <c r="AF829" s="327"/>
      <c r="AG829" s="327"/>
      <c r="AH829" s="327"/>
      <c r="AI829" s="327"/>
      <c r="AJ829" s="327"/>
      <c r="AK829" s="327"/>
      <c r="AL829" s="327"/>
      <c r="AM829" s="327"/>
    </row>
    <row r="830" spans="1:39">
      <c r="A830" s="69"/>
      <c r="B830" s="69"/>
      <c r="C830" s="327"/>
      <c r="D830" s="327"/>
      <c r="E830" s="327"/>
      <c r="F830" s="327"/>
      <c r="G830" s="327"/>
      <c r="H830" s="327"/>
      <c r="I830" s="327"/>
      <c r="J830" s="327"/>
      <c r="K830" s="327"/>
      <c r="L830" s="327"/>
      <c r="M830" s="327"/>
      <c r="N830" s="327"/>
      <c r="O830" s="327"/>
      <c r="P830" s="327"/>
      <c r="Q830" s="327"/>
      <c r="R830" s="327"/>
      <c r="S830" s="327"/>
      <c r="T830" s="327"/>
      <c r="U830" s="327"/>
      <c r="V830" s="327"/>
      <c r="W830" s="327"/>
      <c r="X830" s="327"/>
      <c r="Y830" s="327"/>
      <c r="Z830" s="327"/>
      <c r="AA830" s="327"/>
      <c r="AB830" s="327"/>
      <c r="AC830" s="327"/>
      <c r="AD830" s="327"/>
      <c r="AE830" s="327"/>
      <c r="AF830" s="327"/>
      <c r="AG830" s="327"/>
      <c r="AH830" s="327"/>
      <c r="AI830" s="327"/>
      <c r="AJ830" s="327"/>
      <c r="AK830" s="327"/>
      <c r="AL830" s="327"/>
      <c r="AM830" s="327"/>
    </row>
    <row r="831" spans="1:39">
      <c r="A831" s="69"/>
      <c r="B831" s="69"/>
      <c r="C831" s="327"/>
      <c r="D831" s="327"/>
      <c r="E831" s="327"/>
      <c r="F831" s="327"/>
      <c r="G831" s="327"/>
      <c r="H831" s="327"/>
      <c r="I831" s="327"/>
      <c r="J831" s="327"/>
      <c r="K831" s="327"/>
      <c r="L831" s="327"/>
      <c r="M831" s="327"/>
      <c r="N831" s="327"/>
      <c r="O831" s="327"/>
      <c r="P831" s="327"/>
      <c r="Q831" s="327"/>
      <c r="R831" s="327"/>
      <c r="S831" s="327"/>
      <c r="T831" s="327"/>
      <c r="U831" s="327"/>
      <c r="V831" s="327"/>
      <c r="W831" s="327"/>
      <c r="X831" s="327"/>
      <c r="Y831" s="327"/>
      <c r="Z831" s="327"/>
      <c r="AA831" s="327"/>
      <c r="AB831" s="327"/>
      <c r="AC831" s="327"/>
      <c r="AD831" s="327"/>
      <c r="AE831" s="327"/>
      <c r="AF831" s="327"/>
      <c r="AG831" s="327"/>
      <c r="AH831" s="327"/>
      <c r="AI831" s="327"/>
      <c r="AJ831" s="327"/>
      <c r="AK831" s="327"/>
      <c r="AL831" s="327"/>
      <c r="AM831" s="327"/>
    </row>
    <row r="832" spans="1:39">
      <c r="A832" s="69"/>
      <c r="B832" s="69"/>
      <c r="C832" s="327"/>
      <c r="D832" s="327"/>
      <c r="E832" s="327"/>
      <c r="F832" s="327"/>
      <c r="G832" s="327"/>
      <c r="H832" s="327"/>
      <c r="I832" s="327"/>
      <c r="J832" s="327"/>
      <c r="K832" s="327"/>
      <c r="L832" s="327"/>
      <c r="M832" s="327"/>
      <c r="N832" s="327"/>
      <c r="O832" s="327"/>
      <c r="P832" s="327"/>
      <c r="Q832" s="327"/>
      <c r="R832" s="327"/>
      <c r="S832" s="327"/>
      <c r="T832" s="327"/>
      <c r="U832" s="327"/>
      <c r="V832" s="327"/>
      <c r="W832" s="327"/>
      <c r="X832" s="327"/>
      <c r="Y832" s="327"/>
      <c r="Z832" s="327"/>
      <c r="AA832" s="327"/>
      <c r="AB832" s="327"/>
      <c r="AC832" s="327"/>
      <c r="AD832" s="327"/>
      <c r="AE832" s="327"/>
      <c r="AF832" s="327"/>
      <c r="AG832" s="327"/>
      <c r="AH832" s="327"/>
      <c r="AI832" s="327"/>
      <c r="AJ832" s="327"/>
      <c r="AK832" s="327"/>
      <c r="AL832" s="327"/>
      <c r="AM832" s="327"/>
    </row>
    <row r="833" spans="1:39">
      <c r="A833" s="69"/>
      <c r="B833" s="69"/>
      <c r="C833" s="327"/>
      <c r="D833" s="327"/>
      <c r="E833" s="327"/>
      <c r="F833" s="327"/>
      <c r="G833" s="327"/>
      <c r="H833" s="327"/>
      <c r="I833" s="327"/>
      <c r="J833" s="327"/>
      <c r="K833" s="327"/>
      <c r="L833" s="327"/>
      <c r="M833" s="327"/>
      <c r="N833" s="327"/>
      <c r="O833" s="327"/>
      <c r="P833" s="327"/>
      <c r="Q833" s="327"/>
      <c r="R833" s="327"/>
      <c r="S833" s="327"/>
      <c r="T833" s="327"/>
      <c r="U833" s="327"/>
      <c r="V833" s="327"/>
      <c r="W833" s="327"/>
      <c r="X833" s="327"/>
      <c r="Y833" s="327"/>
      <c r="Z833" s="327"/>
      <c r="AA833" s="327"/>
      <c r="AB833" s="327"/>
      <c r="AC833" s="327"/>
      <c r="AD833" s="327"/>
      <c r="AE833" s="327"/>
      <c r="AF833" s="327"/>
      <c r="AG833" s="327"/>
      <c r="AH833" s="327"/>
      <c r="AI833" s="327"/>
      <c r="AJ833" s="327"/>
      <c r="AK833" s="327"/>
      <c r="AL833" s="327"/>
      <c r="AM833" s="327"/>
    </row>
    <row r="834" spans="1:39">
      <c r="A834" s="69"/>
      <c r="B834" s="69"/>
      <c r="C834" s="327"/>
      <c r="D834" s="327"/>
      <c r="E834" s="327"/>
      <c r="F834" s="327"/>
      <c r="G834" s="327"/>
      <c r="H834" s="327"/>
      <c r="I834" s="327"/>
      <c r="J834" s="327"/>
      <c r="K834" s="327"/>
      <c r="L834" s="327"/>
      <c r="M834" s="327"/>
      <c r="N834" s="327"/>
      <c r="O834" s="327"/>
      <c r="P834" s="327"/>
      <c r="Q834" s="327"/>
      <c r="R834" s="327"/>
      <c r="S834" s="327"/>
      <c r="T834" s="327"/>
      <c r="U834" s="327"/>
      <c r="V834" s="327"/>
      <c r="W834" s="327"/>
      <c r="X834" s="327"/>
      <c r="Y834" s="327"/>
      <c r="Z834" s="327"/>
      <c r="AA834" s="327"/>
      <c r="AB834" s="327"/>
      <c r="AC834" s="327"/>
      <c r="AD834" s="327"/>
      <c r="AE834" s="327"/>
      <c r="AF834" s="327"/>
      <c r="AG834" s="327"/>
      <c r="AH834" s="327"/>
      <c r="AI834" s="327"/>
      <c r="AJ834" s="327"/>
      <c r="AK834" s="327"/>
      <c r="AL834" s="327"/>
      <c r="AM834" s="327"/>
    </row>
    <row r="835" spans="1:39">
      <c r="A835" s="69"/>
      <c r="B835" s="69"/>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327"/>
      <c r="AE835" s="327"/>
      <c r="AF835" s="327"/>
      <c r="AG835" s="327"/>
      <c r="AH835" s="327"/>
      <c r="AI835" s="327"/>
      <c r="AJ835" s="327"/>
      <c r="AK835" s="327"/>
      <c r="AL835" s="327"/>
      <c r="AM835" s="327"/>
    </row>
    <row r="836" spans="1:39">
      <c r="A836" s="69"/>
      <c r="B836" s="69"/>
      <c r="C836" s="327"/>
      <c r="D836" s="327"/>
      <c r="E836" s="327"/>
      <c r="F836" s="327"/>
      <c r="G836" s="327"/>
      <c r="H836" s="327"/>
      <c r="I836" s="327"/>
      <c r="J836" s="327"/>
      <c r="K836" s="327"/>
      <c r="L836" s="327"/>
      <c r="M836" s="327"/>
      <c r="N836" s="327"/>
      <c r="O836" s="327"/>
      <c r="P836" s="327"/>
      <c r="Q836" s="327"/>
      <c r="R836" s="327"/>
      <c r="S836" s="327"/>
      <c r="T836" s="327"/>
      <c r="U836" s="327"/>
      <c r="V836" s="327"/>
      <c r="W836" s="327"/>
      <c r="X836" s="327"/>
      <c r="Y836" s="327"/>
      <c r="Z836" s="327"/>
      <c r="AA836" s="327"/>
      <c r="AB836" s="327"/>
      <c r="AC836" s="327"/>
      <c r="AD836" s="327"/>
      <c r="AE836" s="327"/>
      <c r="AF836" s="327"/>
      <c r="AG836" s="327"/>
      <c r="AH836" s="327"/>
      <c r="AI836" s="327"/>
      <c r="AJ836" s="327"/>
      <c r="AK836" s="327"/>
      <c r="AL836" s="327"/>
      <c r="AM836" s="327"/>
    </row>
    <row r="837" spans="1:39">
      <c r="A837" s="69"/>
      <c r="B837" s="69"/>
      <c r="C837" s="327"/>
      <c r="D837" s="327"/>
      <c r="E837" s="327"/>
      <c r="F837" s="327"/>
      <c r="G837" s="327"/>
      <c r="H837" s="327"/>
      <c r="I837" s="327"/>
      <c r="J837" s="327"/>
      <c r="K837" s="327"/>
      <c r="L837" s="327"/>
      <c r="M837" s="327"/>
      <c r="N837" s="327"/>
      <c r="O837" s="327"/>
      <c r="P837" s="327"/>
      <c r="Q837" s="327"/>
      <c r="R837" s="327"/>
      <c r="S837" s="327"/>
      <c r="T837" s="327"/>
      <c r="U837" s="327"/>
      <c r="V837" s="327"/>
      <c r="W837" s="327"/>
      <c r="X837" s="327"/>
      <c r="Y837" s="327"/>
      <c r="Z837" s="327"/>
      <c r="AA837" s="327"/>
      <c r="AB837" s="327"/>
      <c r="AC837" s="327"/>
      <c r="AD837" s="327"/>
      <c r="AE837" s="327"/>
      <c r="AF837" s="327"/>
      <c r="AG837" s="327"/>
      <c r="AH837" s="327"/>
      <c r="AI837" s="327"/>
      <c r="AJ837" s="327"/>
      <c r="AK837" s="327"/>
      <c r="AL837" s="327"/>
      <c r="AM837" s="327"/>
    </row>
    <row r="838" spans="1:39">
      <c r="A838" s="69"/>
      <c r="B838" s="69"/>
      <c r="C838" s="327"/>
      <c r="D838" s="327"/>
      <c r="E838" s="327"/>
      <c r="F838" s="327"/>
      <c r="G838" s="327"/>
      <c r="H838" s="327"/>
      <c r="I838" s="327"/>
      <c r="J838" s="327"/>
      <c r="K838" s="327"/>
      <c r="L838" s="327"/>
      <c r="M838" s="327"/>
      <c r="N838" s="327"/>
      <c r="O838" s="327"/>
      <c r="P838" s="327"/>
      <c r="Q838" s="327"/>
      <c r="R838" s="327"/>
      <c r="S838" s="327"/>
      <c r="T838" s="327"/>
      <c r="U838" s="327"/>
      <c r="V838" s="327"/>
      <c r="W838" s="327"/>
      <c r="X838" s="327"/>
      <c r="Y838" s="327"/>
      <c r="Z838" s="327"/>
      <c r="AA838" s="327"/>
      <c r="AB838" s="327"/>
      <c r="AC838" s="327"/>
      <c r="AD838" s="327"/>
      <c r="AE838" s="327"/>
      <c r="AF838" s="327"/>
      <c r="AG838" s="327"/>
      <c r="AH838" s="327"/>
      <c r="AI838" s="327"/>
      <c r="AJ838" s="327"/>
      <c r="AK838" s="327"/>
      <c r="AL838" s="327"/>
      <c r="AM838" s="327"/>
    </row>
    <row r="839" spans="1:39">
      <c r="A839" s="69"/>
      <c r="B839" s="69"/>
      <c r="C839" s="327"/>
      <c r="D839" s="327"/>
      <c r="E839" s="327"/>
      <c r="F839" s="327"/>
      <c r="G839" s="327"/>
      <c r="H839" s="327"/>
      <c r="I839" s="327"/>
      <c r="J839" s="327"/>
      <c r="K839" s="327"/>
      <c r="L839" s="327"/>
      <c r="M839" s="327"/>
      <c r="N839" s="327"/>
      <c r="O839" s="327"/>
      <c r="P839" s="327"/>
      <c r="Q839" s="327"/>
      <c r="R839" s="327"/>
      <c r="S839" s="327"/>
      <c r="T839" s="327"/>
      <c r="U839" s="327"/>
      <c r="V839" s="327"/>
      <c r="W839" s="327"/>
      <c r="X839" s="327"/>
      <c r="Y839" s="327"/>
      <c r="Z839" s="327"/>
      <c r="AA839" s="327"/>
      <c r="AB839" s="327"/>
      <c r="AC839" s="327"/>
      <c r="AD839" s="327"/>
      <c r="AE839" s="327"/>
      <c r="AF839" s="327"/>
      <c r="AG839" s="327"/>
      <c r="AH839" s="327"/>
      <c r="AI839" s="327"/>
      <c r="AJ839" s="327"/>
      <c r="AK839" s="327"/>
      <c r="AL839" s="327"/>
      <c r="AM839" s="327"/>
    </row>
    <row r="840" spans="1:39">
      <c r="A840" s="69"/>
      <c r="B840" s="69"/>
      <c r="C840" s="327"/>
      <c r="D840" s="327"/>
      <c r="E840" s="327"/>
      <c r="F840" s="327"/>
      <c r="G840" s="327"/>
      <c r="H840" s="327"/>
      <c r="I840" s="327"/>
      <c r="J840" s="327"/>
      <c r="K840" s="327"/>
      <c r="L840" s="327"/>
      <c r="M840" s="327"/>
      <c r="N840" s="327"/>
      <c r="O840" s="327"/>
      <c r="P840" s="327"/>
      <c r="Q840" s="327"/>
      <c r="R840" s="327"/>
      <c r="S840" s="327"/>
      <c r="T840" s="327"/>
      <c r="U840" s="327"/>
      <c r="V840" s="327"/>
      <c r="W840" s="327"/>
      <c r="X840" s="327"/>
      <c r="Y840" s="327"/>
      <c r="Z840" s="327"/>
      <c r="AA840" s="327"/>
      <c r="AB840" s="327"/>
      <c r="AC840" s="327"/>
      <c r="AD840" s="327"/>
      <c r="AE840" s="327"/>
      <c r="AF840" s="327"/>
      <c r="AG840" s="327"/>
      <c r="AH840" s="327"/>
      <c r="AI840" s="327"/>
      <c r="AJ840" s="327"/>
      <c r="AK840" s="327"/>
      <c r="AL840" s="327"/>
      <c r="AM840" s="327"/>
    </row>
    <row r="841" spans="1:39">
      <c r="A841" s="69"/>
      <c r="B841" s="69"/>
      <c r="C841" s="327"/>
      <c r="D841" s="327"/>
      <c r="E841" s="327"/>
      <c r="F841" s="327"/>
      <c r="G841" s="327"/>
      <c r="H841" s="327"/>
      <c r="I841" s="327"/>
      <c r="J841" s="327"/>
      <c r="K841" s="327"/>
      <c r="L841" s="327"/>
      <c r="M841" s="327"/>
      <c r="N841" s="327"/>
      <c r="O841" s="327"/>
      <c r="P841" s="327"/>
      <c r="Q841" s="327"/>
      <c r="R841" s="327"/>
      <c r="S841" s="327"/>
      <c r="T841" s="327"/>
      <c r="U841" s="327"/>
      <c r="V841" s="327"/>
      <c r="W841" s="327"/>
      <c r="X841" s="327"/>
      <c r="Y841" s="327"/>
      <c r="Z841" s="327"/>
      <c r="AA841" s="327"/>
      <c r="AB841" s="327"/>
      <c r="AC841" s="327"/>
      <c r="AD841" s="327"/>
      <c r="AE841" s="327"/>
      <c r="AF841" s="327"/>
      <c r="AG841" s="327"/>
      <c r="AH841" s="327"/>
      <c r="AI841" s="327"/>
      <c r="AJ841" s="327"/>
      <c r="AK841" s="327"/>
      <c r="AL841" s="327"/>
      <c r="AM841" s="327"/>
    </row>
    <row r="842" spans="1:39">
      <c r="A842" s="69"/>
      <c r="B842" s="69"/>
      <c r="C842" s="327"/>
      <c r="D842" s="327"/>
      <c r="E842" s="327"/>
      <c r="F842" s="327"/>
      <c r="G842" s="327"/>
      <c r="H842" s="327"/>
      <c r="I842" s="327"/>
      <c r="J842" s="327"/>
      <c r="K842" s="327"/>
      <c r="L842" s="327"/>
      <c r="M842" s="327"/>
      <c r="N842" s="327"/>
      <c r="O842" s="327"/>
      <c r="P842" s="327"/>
      <c r="Q842" s="327"/>
      <c r="R842" s="327"/>
      <c r="S842" s="327"/>
      <c r="T842" s="327"/>
      <c r="U842" s="327"/>
      <c r="V842" s="327"/>
      <c r="W842" s="327"/>
      <c r="X842" s="327"/>
      <c r="Y842" s="327"/>
      <c r="Z842" s="327"/>
      <c r="AA842" s="327"/>
      <c r="AB842" s="327"/>
      <c r="AC842" s="327"/>
      <c r="AD842" s="327"/>
      <c r="AE842" s="327"/>
      <c r="AF842" s="327"/>
      <c r="AG842" s="327"/>
      <c r="AH842" s="327"/>
      <c r="AI842" s="327"/>
      <c r="AJ842" s="327"/>
      <c r="AK842" s="327"/>
      <c r="AL842" s="327"/>
      <c r="AM842" s="327"/>
    </row>
    <row r="843" spans="1:39">
      <c r="A843" s="69"/>
      <c r="B843" s="69"/>
      <c r="C843" s="327"/>
      <c r="D843" s="327"/>
      <c r="E843" s="327"/>
      <c r="F843" s="327"/>
      <c r="G843" s="327"/>
      <c r="H843" s="327"/>
      <c r="I843" s="327"/>
      <c r="J843" s="327"/>
      <c r="K843" s="327"/>
      <c r="L843" s="327"/>
      <c r="M843" s="327"/>
      <c r="N843" s="327"/>
      <c r="O843" s="327"/>
      <c r="P843" s="327"/>
      <c r="Q843" s="327"/>
      <c r="R843" s="327"/>
      <c r="S843" s="327"/>
      <c r="T843" s="327"/>
      <c r="U843" s="327"/>
      <c r="V843" s="327"/>
      <c r="W843" s="327"/>
      <c r="X843" s="327"/>
      <c r="Y843" s="327"/>
      <c r="Z843" s="327"/>
      <c r="AA843" s="327"/>
      <c r="AB843" s="327"/>
      <c r="AC843" s="327"/>
      <c r="AD843" s="327"/>
      <c r="AE843" s="327"/>
      <c r="AF843" s="327"/>
      <c r="AG843" s="327"/>
      <c r="AH843" s="327"/>
      <c r="AI843" s="327"/>
      <c r="AJ843" s="327"/>
      <c r="AK843" s="327"/>
      <c r="AL843" s="327"/>
      <c r="AM843" s="327"/>
    </row>
    <row r="844" spans="1:39">
      <c r="A844" s="69"/>
      <c r="B844" s="69"/>
      <c r="C844" s="327"/>
      <c r="D844" s="327"/>
      <c r="E844" s="327"/>
      <c r="F844" s="327"/>
      <c r="G844" s="327"/>
      <c r="H844" s="327"/>
      <c r="I844" s="327"/>
      <c r="J844" s="327"/>
      <c r="K844" s="327"/>
      <c r="L844" s="327"/>
      <c r="M844" s="327"/>
      <c r="N844" s="327"/>
      <c r="O844" s="327"/>
      <c r="P844" s="327"/>
      <c r="Q844" s="327"/>
      <c r="R844" s="327"/>
      <c r="S844" s="327"/>
      <c r="T844" s="327"/>
      <c r="U844" s="327"/>
      <c r="V844" s="327"/>
      <c r="W844" s="327"/>
      <c r="X844" s="327"/>
      <c r="Y844" s="327"/>
      <c r="Z844" s="327"/>
      <c r="AA844" s="327"/>
      <c r="AB844" s="327"/>
      <c r="AC844" s="327"/>
      <c r="AD844" s="327"/>
      <c r="AE844" s="327"/>
      <c r="AF844" s="327"/>
      <c r="AG844" s="327"/>
      <c r="AH844" s="327"/>
      <c r="AI844" s="327"/>
      <c r="AJ844" s="327"/>
      <c r="AK844" s="327"/>
      <c r="AL844" s="327"/>
      <c r="AM844" s="327"/>
    </row>
    <row r="845" spans="1:39">
      <c r="A845" s="69"/>
      <c r="B845" s="69"/>
      <c r="C845" s="327"/>
      <c r="D845" s="327"/>
      <c r="E845" s="327"/>
      <c r="F845" s="327"/>
      <c r="G845" s="327"/>
      <c r="H845" s="327"/>
      <c r="I845" s="327"/>
      <c r="J845" s="327"/>
      <c r="K845" s="327"/>
      <c r="L845" s="327"/>
      <c r="M845" s="327"/>
      <c r="N845" s="327"/>
      <c r="O845" s="327"/>
      <c r="P845" s="327"/>
      <c r="Q845" s="327"/>
      <c r="R845" s="327"/>
      <c r="S845" s="327"/>
      <c r="T845" s="327"/>
      <c r="U845" s="327"/>
      <c r="V845" s="327"/>
      <c r="W845" s="327"/>
      <c r="X845" s="327"/>
      <c r="Y845" s="327"/>
      <c r="Z845" s="327"/>
      <c r="AA845" s="327"/>
      <c r="AB845" s="327"/>
      <c r="AC845" s="327"/>
      <c r="AD845" s="327"/>
      <c r="AE845" s="327"/>
      <c r="AF845" s="327"/>
      <c r="AG845" s="327"/>
      <c r="AH845" s="327"/>
      <c r="AI845" s="327"/>
      <c r="AJ845" s="327"/>
      <c r="AK845" s="327"/>
      <c r="AL845" s="327"/>
      <c r="AM845" s="327"/>
    </row>
    <row r="846" spans="1:39">
      <c r="A846" s="69"/>
      <c r="B846" s="69"/>
      <c r="C846" s="327"/>
      <c r="D846" s="327"/>
      <c r="E846" s="327"/>
      <c r="F846" s="327"/>
      <c r="G846" s="327"/>
      <c r="H846" s="327"/>
      <c r="I846" s="327"/>
      <c r="J846" s="327"/>
      <c r="K846" s="327"/>
      <c r="L846" s="327"/>
      <c r="M846" s="327"/>
      <c r="N846" s="327"/>
      <c r="O846" s="327"/>
      <c r="P846" s="327"/>
      <c r="Q846" s="327"/>
      <c r="R846" s="327"/>
      <c r="S846" s="327"/>
      <c r="T846" s="327"/>
      <c r="U846" s="327"/>
      <c r="V846" s="327"/>
      <c r="W846" s="327"/>
      <c r="X846" s="327"/>
      <c r="Y846" s="327"/>
      <c r="Z846" s="327"/>
      <c r="AA846" s="327"/>
      <c r="AB846" s="327"/>
      <c r="AC846" s="327"/>
      <c r="AD846" s="327"/>
      <c r="AE846" s="327"/>
      <c r="AF846" s="327"/>
      <c r="AG846" s="327"/>
      <c r="AH846" s="327"/>
      <c r="AI846" s="327"/>
      <c r="AJ846" s="327"/>
      <c r="AK846" s="327"/>
      <c r="AL846" s="327"/>
      <c r="AM846" s="327"/>
    </row>
    <row r="847" spans="1:39">
      <c r="A847" s="69"/>
      <c r="B847" s="69"/>
      <c r="C847" s="327"/>
      <c r="D847" s="327"/>
      <c r="E847" s="327"/>
      <c r="F847" s="327"/>
      <c r="G847" s="327"/>
      <c r="H847" s="327"/>
      <c r="I847" s="327"/>
      <c r="J847" s="327"/>
      <c r="K847" s="327"/>
      <c r="L847" s="327"/>
      <c r="M847" s="327"/>
      <c r="N847" s="327"/>
      <c r="O847" s="327"/>
      <c r="P847" s="327"/>
      <c r="Q847" s="327"/>
      <c r="R847" s="327"/>
      <c r="S847" s="327"/>
      <c r="T847" s="327"/>
      <c r="U847" s="327"/>
      <c r="V847" s="327"/>
      <c r="W847" s="327"/>
      <c r="X847" s="327"/>
      <c r="Y847" s="327"/>
      <c r="Z847" s="327"/>
      <c r="AA847" s="327"/>
      <c r="AB847" s="327"/>
      <c r="AC847" s="327"/>
      <c r="AD847" s="327"/>
      <c r="AE847" s="327"/>
      <c r="AF847" s="327"/>
      <c r="AG847" s="327"/>
      <c r="AH847" s="327"/>
      <c r="AI847" s="327"/>
      <c r="AJ847" s="327"/>
      <c r="AK847" s="327"/>
      <c r="AL847" s="327"/>
      <c r="AM847" s="327"/>
    </row>
    <row r="848" spans="1:39">
      <c r="A848" s="69"/>
      <c r="B848" s="69"/>
      <c r="C848" s="327"/>
      <c r="D848" s="327"/>
      <c r="E848" s="327"/>
      <c r="F848" s="327"/>
      <c r="G848" s="327"/>
      <c r="H848" s="327"/>
      <c r="I848" s="327"/>
      <c r="J848" s="327"/>
      <c r="K848" s="327"/>
      <c r="L848" s="327"/>
      <c r="M848" s="327"/>
      <c r="N848" s="327"/>
      <c r="O848" s="327"/>
      <c r="P848" s="327"/>
      <c r="Q848" s="327"/>
      <c r="R848" s="327"/>
      <c r="S848" s="327"/>
      <c r="T848" s="327"/>
      <c r="U848" s="327"/>
      <c r="V848" s="327"/>
      <c r="W848" s="327"/>
      <c r="X848" s="327"/>
      <c r="Y848" s="327"/>
      <c r="Z848" s="327"/>
      <c r="AA848" s="327"/>
      <c r="AB848" s="327"/>
      <c r="AC848" s="327"/>
      <c r="AD848" s="327"/>
      <c r="AE848" s="327"/>
      <c r="AF848" s="327"/>
      <c r="AG848" s="327"/>
      <c r="AH848" s="327"/>
      <c r="AI848" s="327"/>
      <c r="AJ848" s="327"/>
      <c r="AK848" s="327"/>
      <c r="AL848" s="327"/>
      <c r="AM848" s="327"/>
    </row>
    <row r="849" spans="1:39">
      <c r="A849" s="69"/>
      <c r="B849" s="69"/>
      <c r="C849" s="327"/>
      <c r="D849" s="327"/>
      <c r="E849" s="327"/>
      <c r="F849" s="327"/>
      <c r="G849" s="327"/>
      <c r="H849" s="327"/>
      <c r="I849" s="327"/>
      <c r="J849" s="327"/>
      <c r="K849" s="327"/>
      <c r="L849" s="327"/>
      <c r="M849" s="327"/>
      <c r="N849" s="327"/>
      <c r="O849" s="327"/>
      <c r="P849" s="327"/>
      <c r="Q849" s="327"/>
      <c r="R849" s="327"/>
      <c r="S849" s="327"/>
      <c r="T849" s="327"/>
      <c r="U849" s="327"/>
      <c r="V849" s="327"/>
      <c r="W849" s="327"/>
      <c r="X849" s="327"/>
      <c r="Y849" s="327"/>
      <c r="Z849" s="327"/>
      <c r="AA849" s="327"/>
      <c r="AB849" s="327"/>
      <c r="AC849" s="327"/>
      <c r="AD849" s="327"/>
      <c r="AE849" s="327"/>
      <c r="AF849" s="327"/>
      <c r="AG849" s="327"/>
      <c r="AH849" s="327"/>
      <c r="AI849" s="327"/>
      <c r="AJ849" s="327"/>
      <c r="AK849" s="327"/>
      <c r="AL849" s="327"/>
      <c r="AM849" s="327"/>
    </row>
    <row r="850" spans="1:39">
      <c r="A850" s="69"/>
      <c r="B850" s="69"/>
      <c r="C850" s="327"/>
      <c r="D850" s="327"/>
      <c r="E850" s="327"/>
      <c r="F850" s="327"/>
      <c r="G850" s="327"/>
      <c r="H850" s="327"/>
      <c r="I850" s="327"/>
      <c r="J850" s="327"/>
      <c r="K850" s="327"/>
      <c r="L850" s="327"/>
      <c r="M850" s="327"/>
      <c r="N850" s="327"/>
      <c r="O850" s="327"/>
      <c r="P850" s="327"/>
      <c r="Q850" s="327"/>
      <c r="R850" s="327"/>
      <c r="S850" s="327"/>
      <c r="T850" s="327"/>
      <c r="U850" s="327"/>
      <c r="V850" s="327"/>
      <c r="W850" s="327"/>
      <c r="X850" s="327"/>
      <c r="Y850" s="327"/>
      <c r="Z850" s="327"/>
      <c r="AA850" s="327"/>
      <c r="AB850" s="327"/>
      <c r="AC850" s="327"/>
      <c r="AD850" s="327"/>
      <c r="AE850" s="327"/>
      <c r="AF850" s="327"/>
      <c r="AG850" s="327"/>
      <c r="AH850" s="327"/>
      <c r="AI850" s="327"/>
      <c r="AJ850" s="327"/>
      <c r="AK850" s="327"/>
      <c r="AL850" s="327"/>
      <c r="AM850" s="327"/>
    </row>
    <row r="851" spans="1:39">
      <c r="A851" s="69"/>
      <c r="B851" s="69"/>
      <c r="C851" s="327"/>
      <c r="D851" s="327"/>
      <c r="E851" s="327"/>
      <c r="F851" s="327"/>
      <c r="G851" s="327"/>
      <c r="H851" s="327"/>
      <c r="I851" s="327"/>
      <c r="J851" s="327"/>
      <c r="K851" s="327"/>
      <c r="L851" s="327"/>
      <c r="M851" s="327"/>
      <c r="N851" s="327"/>
      <c r="O851" s="327"/>
      <c r="P851" s="327"/>
      <c r="Q851" s="327"/>
      <c r="R851" s="327"/>
      <c r="S851" s="327"/>
      <c r="T851" s="327"/>
      <c r="U851" s="327"/>
      <c r="V851" s="327"/>
      <c r="W851" s="327"/>
      <c r="X851" s="327"/>
      <c r="Y851" s="327"/>
      <c r="Z851" s="327"/>
      <c r="AA851" s="327"/>
      <c r="AB851" s="327"/>
      <c r="AC851" s="327"/>
      <c r="AD851" s="327"/>
      <c r="AE851" s="327"/>
      <c r="AF851" s="327"/>
      <c r="AG851" s="327"/>
      <c r="AH851" s="327"/>
      <c r="AI851" s="327"/>
      <c r="AJ851" s="327"/>
      <c r="AK851" s="327"/>
      <c r="AL851" s="327"/>
      <c r="AM851" s="327"/>
    </row>
    <row r="852" spans="1:39">
      <c r="A852" s="69"/>
      <c r="B852" s="69"/>
      <c r="C852" s="327"/>
      <c r="D852" s="327"/>
      <c r="E852" s="327"/>
      <c r="F852" s="327"/>
      <c r="G852" s="327"/>
      <c r="H852" s="327"/>
      <c r="I852" s="327"/>
      <c r="J852" s="327"/>
      <c r="K852" s="327"/>
      <c r="L852" s="327"/>
      <c r="M852" s="327"/>
      <c r="N852" s="327"/>
      <c r="O852" s="327"/>
      <c r="P852" s="327"/>
      <c r="Q852" s="327"/>
      <c r="R852" s="327"/>
      <c r="S852" s="327"/>
      <c r="T852" s="327"/>
      <c r="U852" s="327"/>
      <c r="V852" s="327"/>
      <c r="W852" s="327"/>
      <c r="X852" s="327"/>
      <c r="Y852" s="327"/>
      <c r="Z852" s="327"/>
      <c r="AA852" s="327"/>
      <c r="AB852" s="327"/>
      <c r="AC852" s="327"/>
      <c r="AD852" s="327"/>
      <c r="AE852" s="327"/>
      <c r="AF852" s="327"/>
      <c r="AG852" s="327"/>
      <c r="AH852" s="327"/>
      <c r="AI852" s="327"/>
      <c r="AJ852" s="327"/>
      <c r="AK852" s="327"/>
      <c r="AL852" s="327"/>
      <c r="AM852" s="327"/>
    </row>
    <row r="853" spans="1:39">
      <c r="A853" s="69"/>
      <c r="B853" s="69"/>
      <c r="C853" s="327"/>
      <c r="D853" s="327"/>
      <c r="E853" s="327"/>
      <c r="F853" s="327"/>
      <c r="G853" s="327"/>
      <c r="H853" s="327"/>
      <c r="I853" s="327"/>
      <c r="J853" s="327"/>
      <c r="K853" s="327"/>
      <c r="L853" s="327"/>
      <c r="M853" s="327"/>
      <c r="N853" s="327"/>
      <c r="O853" s="327"/>
      <c r="P853" s="327"/>
      <c r="Q853" s="327"/>
      <c r="R853" s="327"/>
      <c r="S853" s="327"/>
      <c r="T853" s="327"/>
      <c r="U853" s="327"/>
      <c r="V853" s="327"/>
      <c r="W853" s="327"/>
      <c r="X853" s="327"/>
      <c r="Y853" s="327"/>
      <c r="Z853" s="327"/>
      <c r="AA853" s="327"/>
      <c r="AB853" s="327"/>
      <c r="AC853" s="327"/>
      <c r="AD853" s="327"/>
      <c r="AE853" s="327"/>
      <c r="AF853" s="327"/>
      <c r="AG853" s="327"/>
      <c r="AH853" s="327"/>
      <c r="AI853" s="327"/>
      <c r="AJ853" s="327"/>
      <c r="AK853" s="327"/>
      <c r="AL853" s="327"/>
      <c r="AM853" s="327"/>
    </row>
    <row r="854" spans="1:39">
      <c r="A854" s="69"/>
      <c r="B854" s="69"/>
      <c r="C854" s="327"/>
      <c r="D854" s="327"/>
      <c r="E854" s="327"/>
      <c r="F854" s="327"/>
      <c r="G854" s="327"/>
      <c r="H854" s="327"/>
      <c r="I854" s="327"/>
      <c r="J854" s="327"/>
      <c r="K854" s="327"/>
      <c r="L854" s="327"/>
      <c r="M854" s="327"/>
      <c r="N854" s="327"/>
      <c r="O854" s="327"/>
      <c r="P854" s="327"/>
      <c r="Q854" s="327"/>
      <c r="R854" s="327"/>
      <c r="S854" s="327"/>
      <c r="T854" s="327"/>
      <c r="U854" s="327"/>
      <c r="V854" s="327"/>
      <c r="W854" s="327"/>
      <c r="X854" s="327"/>
      <c r="Y854" s="327"/>
      <c r="Z854" s="327"/>
      <c r="AA854" s="327"/>
      <c r="AB854" s="327"/>
      <c r="AC854" s="327"/>
      <c r="AD854" s="327"/>
      <c r="AE854" s="327"/>
      <c r="AF854" s="327"/>
      <c r="AG854" s="327"/>
      <c r="AH854" s="327"/>
      <c r="AI854" s="327"/>
      <c r="AJ854" s="327"/>
      <c r="AK854" s="327"/>
      <c r="AL854" s="327"/>
      <c r="AM854" s="327"/>
    </row>
    <row r="855" spans="1:39">
      <c r="A855" s="69"/>
      <c r="B855" s="69"/>
      <c r="C855" s="327"/>
      <c r="D855" s="327"/>
      <c r="E855" s="327"/>
      <c r="F855" s="327"/>
      <c r="G855" s="327"/>
      <c r="H855" s="327"/>
      <c r="I855" s="327"/>
      <c r="J855" s="327"/>
      <c r="K855" s="327"/>
      <c r="L855" s="327"/>
      <c r="M855" s="327"/>
      <c r="N855" s="327"/>
      <c r="O855" s="327"/>
      <c r="P855" s="327"/>
      <c r="Q855" s="327"/>
      <c r="R855" s="327"/>
      <c r="S855" s="327"/>
      <c r="T855" s="327"/>
      <c r="U855" s="327"/>
      <c r="V855" s="327"/>
      <c r="W855" s="327"/>
      <c r="X855" s="327"/>
      <c r="Y855" s="327"/>
      <c r="Z855" s="327"/>
      <c r="AA855" s="327"/>
      <c r="AB855" s="327"/>
      <c r="AC855" s="327"/>
      <c r="AD855" s="327"/>
      <c r="AE855" s="327"/>
      <c r="AF855" s="327"/>
      <c r="AG855" s="327"/>
      <c r="AH855" s="327"/>
      <c r="AI855" s="327"/>
      <c r="AJ855" s="327"/>
      <c r="AK855" s="327"/>
      <c r="AL855" s="327"/>
      <c r="AM855" s="327"/>
    </row>
    <row r="856" spans="1:39">
      <c r="A856" s="69"/>
      <c r="B856" s="69"/>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327"/>
      <c r="AE856" s="327"/>
      <c r="AF856" s="327"/>
      <c r="AG856" s="327"/>
      <c r="AH856" s="327"/>
      <c r="AI856" s="327"/>
      <c r="AJ856" s="327"/>
      <c r="AK856" s="327"/>
      <c r="AL856" s="327"/>
      <c r="AM856" s="327"/>
    </row>
    <row r="857" spans="1:39">
      <c r="A857" s="69"/>
      <c r="B857" s="69"/>
      <c r="C857" s="327"/>
      <c r="D857" s="327"/>
      <c r="E857" s="327"/>
      <c r="F857" s="327"/>
      <c r="G857" s="327"/>
      <c r="H857" s="327"/>
      <c r="I857" s="327"/>
      <c r="J857" s="327"/>
      <c r="K857" s="327"/>
      <c r="L857" s="327"/>
      <c r="M857" s="327"/>
      <c r="N857" s="327"/>
      <c r="O857" s="327"/>
      <c r="P857" s="327"/>
      <c r="Q857" s="327"/>
      <c r="R857" s="327"/>
      <c r="S857" s="327"/>
      <c r="T857" s="327"/>
      <c r="U857" s="327"/>
      <c r="V857" s="327"/>
      <c r="W857" s="327"/>
      <c r="X857" s="327"/>
      <c r="Y857" s="327"/>
      <c r="Z857" s="327"/>
      <c r="AA857" s="327"/>
      <c r="AB857" s="327"/>
      <c r="AC857" s="327"/>
      <c r="AD857" s="327"/>
      <c r="AE857" s="327"/>
      <c r="AF857" s="327"/>
      <c r="AG857" s="327"/>
      <c r="AH857" s="327"/>
      <c r="AI857" s="327"/>
      <c r="AJ857" s="327"/>
      <c r="AK857" s="327"/>
      <c r="AL857" s="327"/>
      <c r="AM857" s="327"/>
    </row>
    <row r="858" spans="1:39">
      <c r="A858" s="69"/>
      <c r="B858" s="69"/>
      <c r="C858" s="327"/>
      <c r="D858" s="327"/>
      <c r="E858" s="327"/>
      <c r="F858" s="327"/>
      <c r="G858" s="327"/>
      <c r="H858" s="327"/>
      <c r="I858" s="327"/>
      <c r="J858" s="327"/>
      <c r="K858" s="327"/>
      <c r="L858" s="327"/>
      <c r="M858" s="327"/>
      <c r="N858" s="327"/>
      <c r="O858" s="327"/>
      <c r="P858" s="327"/>
      <c r="Q858" s="327"/>
      <c r="R858" s="327"/>
      <c r="S858" s="327"/>
      <c r="T858" s="327"/>
      <c r="U858" s="327"/>
      <c r="V858" s="327"/>
      <c r="W858" s="327"/>
      <c r="X858" s="327"/>
      <c r="Y858" s="327"/>
      <c r="Z858" s="327"/>
      <c r="AA858" s="327"/>
      <c r="AB858" s="327"/>
      <c r="AC858" s="327"/>
      <c r="AD858" s="327"/>
      <c r="AE858" s="327"/>
      <c r="AF858" s="327"/>
      <c r="AG858" s="327"/>
      <c r="AH858" s="327"/>
      <c r="AI858" s="327"/>
      <c r="AJ858" s="327"/>
      <c r="AK858" s="327"/>
      <c r="AL858" s="327"/>
      <c r="AM858" s="327"/>
    </row>
    <row r="859" spans="1:39">
      <c r="A859" s="69"/>
      <c r="B859" s="69"/>
      <c r="C859" s="327"/>
      <c r="D859" s="327"/>
      <c r="E859" s="327"/>
      <c r="F859" s="327"/>
      <c r="G859" s="327"/>
      <c r="H859" s="327"/>
      <c r="I859" s="327"/>
      <c r="J859" s="327"/>
      <c r="K859" s="327"/>
      <c r="L859" s="327"/>
      <c r="M859" s="327"/>
      <c r="N859" s="327"/>
      <c r="O859" s="327"/>
      <c r="P859" s="327"/>
      <c r="Q859" s="327"/>
      <c r="R859" s="327"/>
      <c r="S859" s="327"/>
      <c r="T859" s="327"/>
      <c r="U859" s="327"/>
      <c r="V859" s="327"/>
      <c r="W859" s="327"/>
      <c r="X859" s="327"/>
      <c r="Y859" s="327"/>
      <c r="Z859" s="327"/>
      <c r="AA859" s="327"/>
      <c r="AB859" s="327"/>
      <c r="AC859" s="327"/>
      <c r="AD859" s="327"/>
      <c r="AE859" s="327"/>
      <c r="AF859" s="327"/>
      <c r="AG859" s="327"/>
      <c r="AH859" s="327"/>
      <c r="AI859" s="327"/>
      <c r="AJ859" s="327"/>
      <c r="AK859" s="327"/>
      <c r="AL859" s="327"/>
      <c r="AM859" s="327"/>
    </row>
    <row r="860" spans="1:39">
      <c r="A860" s="69"/>
      <c r="B860" s="69"/>
      <c r="C860" s="327"/>
      <c r="D860" s="327"/>
      <c r="E860" s="327"/>
      <c r="F860" s="327"/>
      <c r="G860" s="327"/>
      <c r="H860" s="327"/>
      <c r="I860" s="327"/>
      <c r="J860" s="327"/>
      <c r="K860" s="327"/>
      <c r="L860" s="327"/>
      <c r="M860" s="327"/>
      <c r="N860" s="327"/>
      <c r="O860" s="327"/>
      <c r="P860" s="327"/>
      <c r="Q860" s="327"/>
      <c r="R860" s="327"/>
      <c r="S860" s="327"/>
      <c r="T860" s="327"/>
      <c r="U860" s="327"/>
      <c r="V860" s="327"/>
      <c r="W860" s="327"/>
      <c r="X860" s="327"/>
      <c r="Y860" s="327"/>
      <c r="Z860" s="327"/>
      <c r="AA860" s="327"/>
      <c r="AB860" s="327"/>
      <c r="AC860" s="327"/>
      <c r="AD860" s="327"/>
      <c r="AE860" s="327"/>
      <c r="AF860" s="327"/>
      <c r="AG860" s="327"/>
      <c r="AH860" s="327"/>
      <c r="AI860" s="327"/>
      <c r="AJ860" s="327"/>
      <c r="AK860" s="327"/>
      <c r="AL860" s="327"/>
      <c r="AM860" s="327"/>
    </row>
    <row r="861" spans="1:39">
      <c r="A861" s="69"/>
      <c r="B861" s="69"/>
      <c r="C861" s="327"/>
      <c r="D861" s="327"/>
      <c r="E861" s="327"/>
      <c r="F861" s="327"/>
      <c r="G861" s="327"/>
      <c r="H861" s="327"/>
      <c r="I861" s="327"/>
      <c r="J861" s="327"/>
      <c r="K861" s="327"/>
      <c r="L861" s="327"/>
      <c r="M861" s="327"/>
      <c r="N861" s="327"/>
      <c r="O861" s="327"/>
      <c r="P861" s="327"/>
      <c r="Q861" s="327"/>
      <c r="R861" s="327"/>
      <c r="S861" s="327"/>
      <c r="T861" s="327"/>
      <c r="U861" s="327"/>
      <c r="V861" s="327"/>
      <c r="W861" s="327"/>
      <c r="X861" s="327"/>
      <c r="Y861" s="327"/>
      <c r="Z861" s="327"/>
      <c r="AA861" s="327"/>
      <c r="AB861" s="327"/>
      <c r="AC861" s="327"/>
      <c r="AD861" s="327"/>
      <c r="AE861" s="327"/>
      <c r="AF861" s="327"/>
      <c r="AG861" s="327"/>
      <c r="AH861" s="327"/>
      <c r="AI861" s="327"/>
      <c r="AJ861" s="327"/>
      <c r="AK861" s="327"/>
      <c r="AL861" s="327"/>
      <c r="AM861" s="327"/>
    </row>
    <row r="862" spans="1:39">
      <c r="A862" s="69"/>
      <c r="B862" s="69"/>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327"/>
      <c r="AE862" s="327"/>
      <c r="AF862" s="327"/>
      <c r="AG862" s="327"/>
      <c r="AH862" s="327"/>
      <c r="AI862" s="327"/>
      <c r="AJ862" s="327"/>
      <c r="AK862" s="327"/>
      <c r="AL862" s="327"/>
      <c r="AM862" s="327"/>
    </row>
    <row r="863" spans="1:39">
      <c r="A863" s="69"/>
      <c r="B863" s="69"/>
      <c r="C863" s="327"/>
      <c r="D863" s="327"/>
      <c r="E863" s="327"/>
      <c r="F863" s="327"/>
      <c r="G863" s="327"/>
      <c r="H863" s="327"/>
      <c r="I863" s="327"/>
      <c r="J863" s="327"/>
      <c r="K863" s="327"/>
      <c r="L863" s="327"/>
      <c r="M863" s="327"/>
      <c r="N863" s="327"/>
      <c r="O863" s="327"/>
      <c r="P863" s="327"/>
      <c r="Q863" s="327"/>
      <c r="R863" s="327"/>
      <c r="S863" s="327"/>
      <c r="T863" s="327"/>
      <c r="U863" s="327"/>
      <c r="V863" s="327"/>
      <c r="W863" s="327"/>
      <c r="X863" s="327"/>
      <c r="Y863" s="327"/>
      <c r="Z863" s="327"/>
      <c r="AA863" s="327"/>
      <c r="AB863" s="327"/>
      <c r="AC863" s="327"/>
      <c r="AD863" s="327"/>
      <c r="AE863" s="327"/>
      <c r="AF863" s="327"/>
      <c r="AG863" s="327"/>
      <c r="AH863" s="327"/>
      <c r="AI863" s="327"/>
      <c r="AJ863" s="327"/>
      <c r="AK863" s="327"/>
      <c r="AL863" s="327"/>
      <c r="AM863" s="327"/>
    </row>
    <row r="864" spans="1:39">
      <c r="A864" s="69"/>
      <c r="B864" s="69"/>
      <c r="C864" s="327"/>
      <c r="D864" s="327"/>
      <c r="E864" s="327"/>
      <c r="F864" s="327"/>
      <c r="G864" s="327"/>
      <c r="H864" s="327"/>
      <c r="I864" s="327"/>
      <c r="J864" s="327"/>
      <c r="K864" s="327"/>
      <c r="L864" s="327"/>
      <c r="M864" s="327"/>
      <c r="N864" s="327"/>
      <c r="O864" s="327"/>
      <c r="P864" s="327"/>
      <c r="Q864" s="327"/>
      <c r="R864" s="327"/>
      <c r="S864" s="327"/>
      <c r="T864" s="327"/>
      <c r="U864" s="327"/>
      <c r="V864" s="327"/>
      <c r="W864" s="327"/>
      <c r="X864" s="327"/>
      <c r="Y864" s="327"/>
      <c r="Z864" s="327"/>
      <c r="AA864" s="327"/>
      <c r="AB864" s="327"/>
      <c r="AC864" s="327"/>
      <c r="AD864" s="327"/>
      <c r="AE864" s="327"/>
      <c r="AF864" s="327"/>
      <c r="AG864" s="327"/>
      <c r="AH864" s="327"/>
      <c r="AI864" s="327"/>
      <c r="AJ864" s="327"/>
      <c r="AK864" s="327"/>
      <c r="AL864" s="327"/>
      <c r="AM864" s="327"/>
    </row>
    <row r="865" spans="1:39">
      <c r="A865" s="69"/>
      <c r="B865" s="69"/>
      <c r="C865" s="327"/>
      <c r="D865" s="327"/>
      <c r="E865" s="327"/>
      <c r="F865" s="327"/>
      <c r="G865" s="327"/>
      <c r="H865" s="327"/>
      <c r="I865" s="327"/>
      <c r="J865" s="327"/>
      <c r="K865" s="327"/>
      <c r="L865" s="327"/>
      <c r="M865" s="327"/>
      <c r="N865" s="327"/>
      <c r="O865" s="327"/>
      <c r="P865" s="327"/>
      <c r="Q865" s="327"/>
      <c r="R865" s="327"/>
      <c r="S865" s="327"/>
      <c r="T865" s="327"/>
      <c r="U865" s="327"/>
      <c r="V865" s="327"/>
      <c r="W865" s="327"/>
      <c r="X865" s="327"/>
      <c r="Y865" s="327"/>
      <c r="Z865" s="327"/>
      <c r="AA865" s="327"/>
      <c r="AB865" s="327"/>
      <c r="AC865" s="327"/>
      <c r="AD865" s="327"/>
      <c r="AE865" s="327"/>
      <c r="AF865" s="327"/>
      <c r="AG865" s="327"/>
      <c r="AH865" s="327"/>
      <c r="AI865" s="327"/>
      <c r="AJ865" s="327"/>
      <c r="AK865" s="327"/>
      <c r="AL865" s="327"/>
      <c r="AM865" s="327"/>
    </row>
    <row r="866" spans="1:39">
      <c r="A866" s="69"/>
      <c r="B866" s="69"/>
      <c r="C866" s="327"/>
      <c r="D866" s="327"/>
      <c r="E866" s="327"/>
      <c r="F866" s="327"/>
      <c r="G866" s="327"/>
      <c r="H866" s="327"/>
      <c r="I866" s="327"/>
      <c r="J866" s="327"/>
      <c r="K866" s="327"/>
      <c r="L866" s="327"/>
      <c r="M866" s="327"/>
      <c r="N866" s="327"/>
      <c r="O866" s="327"/>
      <c r="P866" s="327"/>
      <c r="Q866" s="327"/>
      <c r="R866" s="327"/>
      <c r="S866" s="327"/>
      <c r="T866" s="327"/>
      <c r="U866" s="327"/>
      <c r="V866" s="327"/>
      <c r="W866" s="327"/>
      <c r="X866" s="327"/>
      <c r="Y866" s="327"/>
      <c r="Z866" s="327"/>
      <c r="AA866" s="327"/>
      <c r="AB866" s="327"/>
      <c r="AC866" s="327"/>
      <c r="AD866" s="327"/>
      <c r="AE866" s="327"/>
      <c r="AF866" s="327"/>
      <c r="AG866" s="327"/>
      <c r="AH866" s="327"/>
      <c r="AI866" s="327"/>
      <c r="AJ866" s="327"/>
      <c r="AK866" s="327"/>
      <c r="AL866" s="327"/>
      <c r="AM866" s="327"/>
    </row>
    <row r="867" spans="1:39">
      <c r="A867" s="69"/>
      <c r="B867" s="69"/>
      <c r="C867" s="327"/>
      <c r="D867" s="327"/>
      <c r="E867" s="327"/>
      <c r="F867" s="327"/>
      <c r="G867" s="327"/>
      <c r="H867" s="327"/>
      <c r="I867" s="327"/>
      <c r="J867" s="327"/>
      <c r="K867" s="327"/>
      <c r="L867" s="327"/>
      <c r="M867" s="327"/>
      <c r="N867" s="327"/>
      <c r="O867" s="327"/>
      <c r="P867" s="327"/>
      <c r="Q867" s="327"/>
      <c r="R867" s="327"/>
      <c r="S867" s="327"/>
      <c r="T867" s="327"/>
      <c r="U867" s="327"/>
      <c r="V867" s="327"/>
      <c r="W867" s="327"/>
      <c r="X867" s="327"/>
      <c r="Y867" s="327"/>
      <c r="Z867" s="327"/>
      <c r="AA867" s="327"/>
      <c r="AB867" s="327"/>
      <c r="AC867" s="327"/>
      <c r="AD867" s="327"/>
      <c r="AE867" s="327"/>
      <c r="AF867" s="327"/>
      <c r="AG867" s="327"/>
      <c r="AH867" s="327"/>
      <c r="AI867" s="327"/>
      <c r="AJ867" s="327"/>
      <c r="AK867" s="327"/>
      <c r="AL867" s="327"/>
      <c r="AM867" s="327"/>
    </row>
    <row r="868" spans="1:39">
      <c r="A868" s="69"/>
      <c r="B868" s="69"/>
      <c r="C868" s="327"/>
      <c r="D868" s="327"/>
      <c r="E868" s="327"/>
      <c r="F868" s="327"/>
      <c r="G868" s="327"/>
      <c r="H868" s="327"/>
      <c r="I868" s="327"/>
      <c r="J868" s="327"/>
      <c r="K868" s="327"/>
      <c r="L868" s="327"/>
      <c r="M868" s="327"/>
      <c r="N868" s="327"/>
      <c r="O868" s="327"/>
      <c r="P868" s="327"/>
      <c r="Q868" s="327"/>
      <c r="R868" s="327"/>
      <c r="S868" s="327"/>
      <c r="T868" s="327"/>
      <c r="U868" s="327"/>
      <c r="V868" s="327"/>
      <c r="W868" s="327"/>
      <c r="X868" s="327"/>
      <c r="Y868" s="327"/>
      <c r="Z868" s="327"/>
      <c r="AA868" s="327"/>
      <c r="AB868" s="327"/>
      <c r="AC868" s="327"/>
      <c r="AD868" s="327"/>
      <c r="AE868" s="327"/>
      <c r="AF868" s="327"/>
      <c r="AG868" s="327"/>
      <c r="AH868" s="327"/>
      <c r="AI868" s="327"/>
      <c r="AJ868" s="327"/>
      <c r="AK868" s="327"/>
      <c r="AL868" s="327"/>
      <c r="AM868" s="327"/>
    </row>
    <row r="869" spans="1:39">
      <c r="A869" s="69"/>
      <c r="B869" s="69"/>
      <c r="C869" s="327"/>
      <c r="D869" s="327"/>
      <c r="E869" s="327"/>
      <c r="F869" s="327"/>
      <c r="G869" s="327"/>
      <c r="H869" s="327"/>
      <c r="I869" s="327"/>
      <c r="J869" s="327"/>
      <c r="K869" s="327"/>
      <c r="L869" s="327"/>
      <c r="M869" s="327"/>
      <c r="N869" s="327"/>
      <c r="O869" s="327"/>
      <c r="P869" s="327"/>
      <c r="Q869" s="327"/>
      <c r="R869" s="327"/>
      <c r="S869" s="327"/>
      <c r="T869" s="327"/>
      <c r="U869" s="327"/>
      <c r="V869" s="327"/>
      <c r="W869" s="327"/>
      <c r="X869" s="327"/>
      <c r="Y869" s="327"/>
      <c r="Z869" s="327"/>
      <c r="AA869" s="327"/>
      <c r="AB869" s="327"/>
      <c r="AC869" s="327"/>
      <c r="AD869" s="327"/>
      <c r="AE869" s="327"/>
      <c r="AF869" s="327"/>
      <c r="AG869" s="327"/>
      <c r="AH869" s="327"/>
      <c r="AI869" s="327"/>
      <c r="AJ869" s="327"/>
      <c r="AK869" s="327"/>
      <c r="AL869" s="327"/>
      <c r="AM869" s="327"/>
    </row>
    <row r="870" spans="1:39">
      <c r="A870" s="69"/>
      <c r="B870" s="69"/>
      <c r="C870" s="327"/>
      <c r="D870" s="327"/>
      <c r="E870" s="327"/>
      <c r="F870" s="327"/>
      <c r="G870" s="327"/>
      <c r="H870" s="327"/>
      <c r="I870" s="327"/>
      <c r="J870" s="327"/>
      <c r="K870" s="327"/>
      <c r="L870" s="327"/>
      <c r="M870" s="327"/>
      <c r="N870" s="327"/>
      <c r="O870" s="327"/>
      <c r="P870" s="327"/>
      <c r="Q870" s="327"/>
      <c r="R870" s="327"/>
      <c r="S870" s="327"/>
      <c r="T870" s="327"/>
      <c r="U870" s="327"/>
      <c r="V870" s="327"/>
      <c r="W870" s="327"/>
      <c r="X870" s="327"/>
      <c r="Y870" s="327"/>
      <c r="Z870" s="327"/>
      <c r="AA870" s="327"/>
      <c r="AB870" s="327"/>
      <c r="AC870" s="327"/>
      <c r="AD870" s="327"/>
      <c r="AE870" s="327"/>
      <c r="AF870" s="327"/>
      <c r="AG870" s="327"/>
      <c r="AH870" s="327"/>
      <c r="AI870" s="327"/>
      <c r="AJ870" s="327"/>
      <c r="AK870" s="327"/>
      <c r="AL870" s="327"/>
      <c r="AM870" s="327"/>
    </row>
    <row r="871" spans="1:39">
      <c r="A871" s="69"/>
      <c r="B871" s="69"/>
      <c r="C871" s="327"/>
      <c r="D871" s="327"/>
      <c r="E871" s="327"/>
      <c r="F871" s="327"/>
      <c r="G871" s="327"/>
      <c r="H871" s="327"/>
      <c r="I871" s="327"/>
      <c r="J871" s="327"/>
      <c r="K871" s="327"/>
      <c r="L871" s="327"/>
      <c r="M871" s="327"/>
      <c r="N871" s="327"/>
      <c r="O871" s="327"/>
      <c r="P871" s="327"/>
      <c r="Q871" s="327"/>
      <c r="R871" s="327"/>
      <c r="S871" s="327"/>
      <c r="T871" s="327"/>
      <c r="U871" s="327"/>
      <c r="V871" s="327"/>
      <c r="W871" s="327"/>
      <c r="X871" s="327"/>
      <c r="Y871" s="327"/>
      <c r="Z871" s="327"/>
      <c r="AA871" s="327"/>
      <c r="AB871" s="327"/>
      <c r="AC871" s="327"/>
      <c r="AD871" s="327"/>
      <c r="AE871" s="327"/>
      <c r="AF871" s="327"/>
      <c r="AG871" s="327"/>
      <c r="AH871" s="327"/>
      <c r="AI871" s="327"/>
      <c r="AJ871" s="327"/>
      <c r="AK871" s="327"/>
      <c r="AL871" s="327"/>
      <c r="AM871" s="327"/>
    </row>
    <row r="872" spans="1:39">
      <c r="A872" s="69"/>
      <c r="B872" s="69"/>
      <c r="C872" s="327"/>
      <c r="D872" s="327"/>
      <c r="E872" s="327"/>
      <c r="F872" s="327"/>
      <c r="G872" s="327"/>
      <c r="H872" s="327"/>
      <c r="I872" s="327"/>
      <c r="J872" s="327"/>
      <c r="K872" s="327"/>
      <c r="L872" s="327"/>
      <c r="M872" s="327"/>
      <c r="N872" s="327"/>
      <c r="O872" s="327"/>
      <c r="P872" s="327"/>
      <c r="Q872" s="327"/>
      <c r="R872" s="327"/>
      <c r="S872" s="327"/>
      <c r="T872" s="327"/>
      <c r="U872" s="327"/>
      <c r="V872" s="327"/>
      <c r="W872" s="327"/>
      <c r="X872" s="327"/>
      <c r="Y872" s="327"/>
      <c r="Z872" s="327"/>
      <c r="AA872" s="327"/>
      <c r="AB872" s="327"/>
      <c r="AC872" s="327"/>
      <c r="AD872" s="327"/>
      <c r="AE872" s="327"/>
      <c r="AF872" s="327"/>
      <c r="AG872" s="327"/>
      <c r="AH872" s="327"/>
      <c r="AI872" s="327"/>
      <c r="AJ872" s="327"/>
      <c r="AK872" s="327"/>
      <c r="AL872" s="327"/>
      <c r="AM872" s="327"/>
    </row>
    <row r="873" spans="1:39">
      <c r="A873" s="69"/>
      <c r="B873" s="69"/>
      <c r="C873" s="327"/>
      <c r="D873" s="327"/>
      <c r="E873" s="327"/>
      <c r="F873" s="327"/>
      <c r="G873" s="327"/>
      <c r="H873" s="327"/>
      <c r="I873" s="327"/>
      <c r="J873" s="327"/>
      <c r="K873" s="327"/>
      <c r="L873" s="327"/>
      <c r="M873" s="327"/>
      <c r="N873" s="327"/>
      <c r="O873" s="327"/>
      <c r="P873" s="327"/>
      <c r="Q873" s="327"/>
      <c r="R873" s="327"/>
      <c r="S873" s="327"/>
      <c r="T873" s="327"/>
      <c r="U873" s="327"/>
      <c r="V873" s="327"/>
      <c r="W873" s="327"/>
      <c r="X873" s="327"/>
      <c r="Y873" s="327"/>
      <c r="Z873" s="327"/>
      <c r="AA873" s="327"/>
      <c r="AB873" s="327"/>
      <c r="AC873" s="327"/>
      <c r="AD873" s="327"/>
      <c r="AE873" s="327"/>
      <c r="AF873" s="327"/>
      <c r="AG873" s="327"/>
      <c r="AH873" s="327"/>
      <c r="AI873" s="327"/>
      <c r="AJ873" s="327"/>
      <c r="AK873" s="327"/>
      <c r="AL873" s="327"/>
      <c r="AM873" s="327"/>
    </row>
    <row r="874" spans="1:39">
      <c r="A874" s="69"/>
      <c r="B874" s="69"/>
      <c r="C874" s="327"/>
      <c r="D874" s="327"/>
      <c r="E874" s="327"/>
      <c r="F874" s="327"/>
      <c r="G874" s="327"/>
      <c r="H874" s="327"/>
      <c r="I874" s="327"/>
      <c r="J874" s="327"/>
      <c r="K874" s="327"/>
      <c r="L874" s="327"/>
      <c r="M874" s="327"/>
      <c r="N874" s="327"/>
      <c r="O874" s="327"/>
      <c r="P874" s="327"/>
      <c r="Q874" s="327"/>
      <c r="R874" s="327"/>
      <c r="S874" s="327"/>
      <c r="T874" s="327"/>
      <c r="U874" s="327"/>
      <c r="V874" s="327"/>
      <c r="W874" s="327"/>
      <c r="X874" s="327"/>
      <c r="Y874" s="327"/>
      <c r="Z874" s="327"/>
      <c r="AA874" s="327"/>
      <c r="AB874" s="327"/>
      <c r="AC874" s="327"/>
      <c r="AD874" s="327"/>
      <c r="AE874" s="327"/>
      <c r="AF874" s="327"/>
      <c r="AG874" s="327"/>
      <c r="AH874" s="327"/>
      <c r="AI874" s="327"/>
      <c r="AJ874" s="327"/>
      <c r="AK874" s="327"/>
      <c r="AL874" s="327"/>
      <c r="AM874" s="327"/>
    </row>
    <row r="875" spans="1:39">
      <c r="A875" s="69"/>
      <c r="B875" s="69"/>
      <c r="C875" s="327"/>
      <c r="D875" s="327"/>
      <c r="E875" s="327"/>
      <c r="F875" s="327"/>
      <c r="G875" s="327"/>
      <c r="H875" s="327"/>
      <c r="I875" s="327"/>
      <c r="J875" s="327"/>
      <c r="K875" s="327"/>
      <c r="L875" s="327"/>
      <c r="M875" s="327"/>
      <c r="N875" s="327"/>
      <c r="O875" s="327"/>
      <c r="P875" s="327"/>
      <c r="Q875" s="327"/>
      <c r="R875" s="327"/>
      <c r="S875" s="327"/>
      <c r="T875" s="327"/>
      <c r="U875" s="327"/>
      <c r="V875" s="327"/>
      <c r="W875" s="327"/>
      <c r="X875" s="327"/>
      <c r="Y875" s="327"/>
      <c r="Z875" s="327"/>
      <c r="AA875" s="327"/>
      <c r="AB875" s="327"/>
      <c r="AC875" s="327"/>
      <c r="AD875" s="327"/>
      <c r="AE875" s="327"/>
      <c r="AF875" s="327"/>
      <c r="AG875" s="327"/>
      <c r="AH875" s="327"/>
      <c r="AI875" s="327"/>
      <c r="AJ875" s="327"/>
      <c r="AK875" s="327"/>
      <c r="AL875" s="327"/>
      <c r="AM875" s="327"/>
    </row>
    <row r="876" spans="1:39">
      <c r="A876" s="69"/>
      <c r="B876" s="69"/>
      <c r="C876" s="327"/>
      <c r="D876" s="327"/>
      <c r="E876" s="327"/>
      <c r="F876" s="327"/>
      <c r="G876" s="327"/>
      <c r="H876" s="327"/>
      <c r="I876" s="327"/>
      <c r="J876" s="327"/>
      <c r="K876" s="327"/>
      <c r="L876" s="327"/>
      <c r="M876" s="327"/>
      <c r="N876" s="327"/>
      <c r="O876" s="327"/>
      <c r="P876" s="327"/>
      <c r="Q876" s="327"/>
      <c r="R876" s="327"/>
      <c r="S876" s="327"/>
      <c r="T876" s="327"/>
      <c r="U876" s="327"/>
      <c r="V876" s="327"/>
      <c r="W876" s="327"/>
      <c r="X876" s="327"/>
      <c r="Y876" s="327"/>
      <c r="Z876" s="327"/>
      <c r="AA876" s="327"/>
      <c r="AB876" s="327"/>
      <c r="AC876" s="327"/>
      <c r="AD876" s="327"/>
      <c r="AE876" s="327"/>
      <c r="AF876" s="327"/>
      <c r="AG876" s="327"/>
      <c r="AH876" s="327"/>
      <c r="AI876" s="327"/>
      <c r="AJ876" s="327"/>
      <c r="AK876" s="327"/>
      <c r="AL876" s="327"/>
      <c r="AM876" s="327"/>
    </row>
    <row r="877" spans="1:39">
      <c r="A877" s="69"/>
      <c r="B877" s="69"/>
      <c r="C877" s="327"/>
      <c r="D877" s="327"/>
      <c r="E877" s="327"/>
      <c r="F877" s="327"/>
      <c r="G877" s="327"/>
      <c r="H877" s="327"/>
      <c r="I877" s="327"/>
      <c r="J877" s="327"/>
      <c r="K877" s="327"/>
      <c r="L877" s="327"/>
      <c r="M877" s="327"/>
      <c r="N877" s="327"/>
      <c r="O877" s="327"/>
      <c r="P877" s="327"/>
      <c r="Q877" s="327"/>
      <c r="R877" s="327"/>
      <c r="S877" s="327"/>
      <c r="T877" s="327"/>
      <c r="U877" s="327"/>
      <c r="V877" s="327"/>
      <c r="W877" s="327"/>
      <c r="X877" s="327"/>
      <c r="Y877" s="327"/>
      <c r="Z877" s="327"/>
      <c r="AA877" s="327"/>
      <c r="AB877" s="327"/>
      <c r="AC877" s="327"/>
      <c r="AD877" s="327"/>
      <c r="AE877" s="327"/>
      <c r="AF877" s="327"/>
      <c r="AG877" s="327"/>
      <c r="AH877" s="327"/>
      <c r="AI877" s="327"/>
      <c r="AJ877" s="327"/>
      <c r="AK877" s="327"/>
      <c r="AL877" s="327"/>
      <c r="AM877" s="327"/>
    </row>
    <row r="878" spans="1:39">
      <c r="A878" s="69"/>
      <c r="B878" s="69"/>
      <c r="C878" s="327"/>
      <c r="D878" s="327"/>
      <c r="E878" s="327"/>
      <c r="F878" s="327"/>
      <c r="G878" s="327"/>
      <c r="H878" s="327"/>
      <c r="I878" s="327"/>
      <c r="J878" s="327"/>
      <c r="K878" s="327"/>
      <c r="L878" s="327"/>
      <c r="M878" s="327"/>
      <c r="N878" s="327"/>
      <c r="O878" s="327"/>
      <c r="P878" s="327"/>
      <c r="Q878" s="327"/>
      <c r="R878" s="327"/>
      <c r="S878" s="327"/>
      <c r="T878" s="327"/>
      <c r="U878" s="327"/>
      <c r="V878" s="327"/>
      <c r="W878" s="327"/>
      <c r="X878" s="327"/>
      <c r="Y878" s="327"/>
      <c r="Z878" s="327"/>
      <c r="AA878" s="327"/>
      <c r="AB878" s="327"/>
      <c r="AC878" s="327"/>
      <c r="AD878" s="327"/>
      <c r="AE878" s="327"/>
      <c r="AF878" s="327"/>
      <c r="AG878" s="327"/>
      <c r="AH878" s="327"/>
      <c r="AI878" s="327"/>
      <c r="AJ878" s="327"/>
      <c r="AK878" s="327"/>
      <c r="AL878" s="327"/>
      <c r="AM878" s="327"/>
    </row>
    <row r="879" spans="1:39">
      <c r="A879" s="69"/>
      <c r="B879" s="69"/>
      <c r="C879" s="327"/>
      <c r="D879" s="327"/>
      <c r="E879" s="327"/>
      <c r="F879" s="327"/>
      <c r="G879" s="327"/>
      <c r="H879" s="327"/>
      <c r="I879" s="327"/>
      <c r="J879" s="327"/>
      <c r="K879" s="327"/>
      <c r="L879" s="327"/>
      <c r="M879" s="327"/>
      <c r="N879" s="327"/>
      <c r="O879" s="327"/>
      <c r="P879" s="327"/>
      <c r="Q879" s="327"/>
      <c r="R879" s="327"/>
      <c r="S879" s="327"/>
      <c r="T879" s="327"/>
      <c r="U879" s="327"/>
      <c r="V879" s="327"/>
      <c r="W879" s="327"/>
      <c r="X879" s="327"/>
      <c r="Y879" s="327"/>
      <c r="Z879" s="327"/>
      <c r="AA879" s="327"/>
      <c r="AB879" s="327"/>
      <c r="AC879" s="327"/>
      <c r="AD879" s="327"/>
      <c r="AE879" s="327"/>
      <c r="AF879" s="327"/>
      <c r="AG879" s="327"/>
      <c r="AH879" s="327"/>
      <c r="AI879" s="327"/>
      <c r="AJ879" s="327"/>
      <c r="AK879" s="327"/>
      <c r="AL879" s="327"/>
      <c r="AM879" s="327"/>
    </row>
    <row r="880" spans="1:39">
      <c r="A880" s="69"/>
      <c r="B880" s="69"/>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327"/>
      <c r="AE880" s="327"/>
      <c r="AF880" s="327"/>
      <c r="AG880" s="327"/>
      <c r="AH880" s="327"/>
      <c r="AI880" s="327"/>
      <c r="AJ880" s="327"/>
      <c r="AK880" s="327"/>
      <c r="AL880" s="327"/>
      <c r="AM880" s="327"/>
    </row>
    <row r="881" spans="1:39">
      <c r="A881" s="69"/>
      <c r="B881" s="69"/>
      <c r="C881" s="327"/>
      <c r="D881" s="327"/>
      <c r="E881" s="327"/>
      <c r="F881" s="327"/>
      <c r="G881" s="327"/>
      <c r="H881" s="327"/>
      <c r="I881" s="327"/>
      <c r="J881" s="327"/>
      <c r="K881" s="327"/>
      <c r="L881" s="327"/>
      <c r="M881" s="327"/>
      <c r="N881" s="327"/>
      <c r="O881" s="327"/>
      <c r="P881" s="327"/>
      <c r="Q881" s="327"/>
      <c r="R881" s="327"/>
      <c r="S881" s="327"/>
      <c r="T881" s="327"/>
      <c r="U881" s="327"/>
      <c r="V881" s="327"/>
      <c r="W881" s="327"/>
      <c r="X881" s="327"/>
      <c r="Y881" s="327"/>
      <c r="Z881" s="327"/>
      <c r="AA881" s="327"/>
      <c r="AB881" s="327"/>
      <c r="AC881" s="327"/>
      <c r="AD881" s="327"/>
      <c r="AE881" s="327"/>
      <c r="AF881" s="327"/>
      <c r="AG881" s="327"/>
      <c r="AH881" s="327"/>
      <c r="AI881" s="327"/>
      <c r="AJ881" s="327"/>
      <c r="AK881" s="327"/>
      <c r="AL881" s="327"/>
      <c r="AM881" s="327"/>
    </row>
    <row r="882" spans="1:39">
      <c r="A882" s="69"/>
      <c r="B882" s="69"/>
      <c r="C882" s="327"/>
      <c r="D882" s="327"/>
      <c r="E882" s="327"/>
      <c r="F882" s="327"/>
      <c r="G882" s="327"/>
      <c r="H882" s="327"/>
      <c r="I882" s="327"/>
      <c r="J882" s="327"/>
      <c r="K882" s="327"/>
      <c r="L882" s="327"/>
      <c r="M882" s="327"/>
      <c r="N882" s="327"/>
      <c r="O882" s="327"/>
      <c r="P882" s="327"/>
      <c r="Q882" s="327"/>
      <c r="R882" s="327"/>
      <c r="S882" s="327"/>
      <c r="T882" s="327"/>
      <c r="U882" s="327"/>
      <c r="V882" s="327"/>
      <c r="W882" s="327"/>
      <c r="X882" s="327"/>
      <c r="Y882" s="327"/>
      <c r="Z882" s="327"/>
      <c r="AA882" s="327"/>
      <c r="AB882" s="327"/>
      <c r="AC882" s="327"/>
      <c r="AD882" s="327"/>
      <c r="AE882" s="327"/>
      <c r="AF882" s="327"/>
      <c r="AG882" s="327"/>
      <c r="AH882" s="327"/>
      <c r="AI882" s="327"/>
      <c r="AJ882" s="327"/>
      <c r="AK882" s="327"/>
      <c r="AL882" s="327"/>
      <c r="AM882" s="327"/>
    </row>
    <row r="883" spans="1:39">
      <c r="A883" s="69"/>
      <c r="B883" s="69"/>
      <c r="C883" s="327"/>
      <c r="D883" s="327"/>
      <c r="E883" s="327"/>
      <c r="F883" s="327"/>
      <c r="G883" s="327"/>
      <c r="H883" s="327"/>
      <c r="I883" s="327"/>
      <c r="J883" s="327"/>
      <c r="K883" s="327"/>
      <c r="L883" s="327"/>
      <c r="M883" s="327"/>
      <c r="N883" s="327"/>
      <c r="O883" s="327"/>
      <c r="P883" s="327"/>
      <c r="Q883" s="327"/>
      <c r="R883" s="327"/>
      <c r="S883" s="327"/>
      <c r="T883" s="327"/>
      <c r="U883" s="327"/>
      <c r="V883" s="327"/>
      <c r="W883" s="327"/>
      <c r="X883" s="327"/>
      <c r="Y883" s="327"/>
      <c r="Z883" s="327"/>
      <c r="AA883" s="327"/>
      <c r="AB883" s="327"/>
      <c r="AC883" s="327"/>
      <c r="AD883" s="327"/>
      <c r="AE883" s="327"/>
      <c r="AF883" s="327"/>
      <c r="AG883" s="327"/>
      <c r="AH883" s="327"/>
      <c r="AI883" s="327"/>
      <c r="AJ883" s="327"/>
      <c r="AK883" s="327"/>
      <c r="AL883" s="327"/>
      <c r="AM883" s="327"/>
    </row>
    <row r="884" spans="1:39">
      <c r="A884" s="69"/>
      <c r="B884" s="69"/>
      <c r="C884" s="327"/>
      <c r="D884" s="327"/>
      <c r="E884" s="327"/>
      <c r="F884" s="327"/>
      <c r="G884" s="327"/>
      <c r="H884" s="327"/>
      <c r="I884" s="327"/>
      <c r="J884" s="327"/>
      <c r="K884" s="327"/>
      <c r="L884" s="327"/>
      <c r="M884" s="327"/>
      <c r="N884" s="327"/>
      <c r="O884" s="327"/>
      <c r="P884" s="327"/>
      <c r="Q884" s="327"/>
      <c r="R884" s="327"/>
      <c r="S884" s="327"/>
      <c r="T884" s="327"/>
      <c r="U884" s="327"/>
      <c r="V884" s="327"/>
      <c r="W884" s="327"/>
      <c r="X884" s="327"/>
      <c r="Y884" s="327"/>
      <c r="Z884" s="327"/>
      <c r="AA884" s="327"/>
      <c r="AB884" s="327"/>
      <c r="AC884" s="327"/>
      <c r="AD884" s="327"/>
      <c r="AE884" s="327"/>
      <c r="AF884" s="327"/>
      <c r="AG884" s="327"/>
      <c r="AH884" s="327"/>
      <c r="AI884" s="327"/>
      <c r="AJ884" s="327"/>
      <c r="AK884" s="327"/>
      <c r="AL884" s="327"/>
      <c r="AM884" s="327"/>
    </row>
    <row r="885" spans="1:39">
      <c r="A885" s="69"/>
      <c r="B885" s="69"/>
      <c r="C885" s="327"/>
      <c r="D885" s="327"/>
      <c r="E885" s="327"/>
      <c r="F885" s="327"/>
      <c r="G885" s="327"/>
      <c r="H885" s="327"/>
      <c r="I885" s="327"/>
      <c r="J885" s="327"/>
      <c r="K885" s="327"/>
      <c r="L885" s="327"/>
      <c r="M885" s="327"/>
      <c r="N885" s="327"/>
      <c r="O885" s="327"/>
      <c r="P885" s="327"/>
      <c r="Q885" s="327"/>
      <c r="R885" s="327"/>
      <c r="S885" s="327"/>
      <c r="T885" s="327"/>
      <c r="U885" s="327"/>
      <c r="V885" s="327"/>
      <c r="W885" s="327"/>
      <c r="X885" s="327"/>
      <c r="Y885" s="327"/>
      <c r="Z885" s="327"/>
      <c r="AA885" s="327"/>
      <c r="AB885" s="327"/>
      <c r="AC885" s="327"/>
      <c r="AD885" s="327"/>
      <c r="AE885" s="327"/>
      <c r="AF885" s="327"/>
      <c r="AG885" s="327"/>
      <c r="AH885" s="327"/>
      <c r="AI885" s="327"/>
      <c r="AJ885" s="327"/>
      <c r="AK885" s="327"/>
      <c r="AL885" s="327"/>
      <c r="AM885" s="327"/>
    </row>
    <row r="886" spans="1:39">
      <c r="A886" s="69"/>
      <c r="B886" s="69"/>
      <c r="C886" s="327"/>
      <c r="D886" s="327"/>
      <c r="E886" s="327"/>
      <c r="F886" s="327"/>
      <c r="G886" s="327"/>
      <c r="H886" s="327"/>
      <c r="I886" s="327"/>
      <c r="J886" s="327"/>
      <c r="K886" s="327"/>
      <c r="L886" s="327"/>
      <c r="M886" s="327"/>
      <c r="N886" s="327"/>
      <c r="O886" s="327"/>
      <c r="P886" s="327"/>
      <c r="Q886" s="327"/>
      <c r="R886" s="327"/>
      <c r="S886" s="327"/>
      <c r="T886" s="327"/>
      <c r="U886" s="327"/>
      <c r="V886" s="327"/>
      <c r="W886" s="327"/>
      <c r="X886" s="327"/>
      <c r="Y886" s="327"/>
      <c r="Z886" s="327"/>
      <c r="AA886" s="327"/>
      <c r="AB886" s="327"/>
      <c r="AC886" s="327"/>
      <c r="AD886" s="327"/>
      <c r="AE886" s="327"/>
      <c r="AF886" s="327"/>
      <c r="AG886" s="327"/>
      <c r="AH886" s="327"/>
      <c r="AI886" s="327"/>
      <c r="AJ886" s="327"/>
      <c r="AK886" s="327"/>
      <c r="AL886" s="327"/>
      <c r="AM886" s="327"/>
    </row>
    <row r="887" spans="1:39">
      <c r="A887" s="69"/>
      <c r="B887" s="69"/>
      <c r="C887" s="327"/>
      <c r="D887" s="327"/>
      <c r="E887" s="327"/>
      <c r="F887" s="327"/>
      <c r="G887" s="327"/>
      <c r="H887" s="327"/>
      <c r="I887" s="327"/>
      <c r="J887" s="327"/>
      <c r="K887" s="327"/>
      <c r="L887" s="327"/>
      <c r="M887" s="327"/>
      <c r="N887" s="327"/>
      <c r="O887" s="327"/>
      <c r="P887" s="327"/>
      <c r="Q887" s="327"/>
      <c r="R887" s="327"/>
      <c r="S887" s="327"/>
      <c r="T887" s="327"/>
      <c r="U887" s="327"/>
      <c r="V887" s="327"/>
      <c r="W887" s="327"/>
      <c r="X887" s="327"/>
      <c r="Y887" s="327"/>
      <c r="Z887" s="327"/>
      <c r="AA887" s="327"/>
      <c r="AB887" s="327"/>
      <c r="AC887" s="327"/>
      <c r="AD887" s="327"/>
      <c r="AE887" s="327"/>
      <c r="AF887" s="327"/>
      <c r="AG887" s="327"/>
      <c r="AH887" s="327"/>
      <c r="AI887" s="327"/>
      <c r="AJ887" s="327"/>
      <c r="AK887" s="327"/>
      <c r="AL887" s="327"/>
      <c r="AM887" s="327"/>
    </row>
    <row r="888" spans="1:39">
      <c r="A888" s="69"/>
      <c r="B888" s="69"/>
      <c r="C888" s="327"/>
      <c r="D888" s="327"/>
      <c r="E888" s="327"/>
      <c r="F888" s="327"/>
      <c r="G888" s="327"/>
      <c r="H888" s="327"/>
      <c r="I888" s="327"/>
      <c r="J888" s="327"/>
      <c r="K888" s="327"/>
      <c r="L888" s="327"/>
      <c r="M888" s="327"/>
      <c r="N888" s="327"/>
      <c r="O888" s="327"/>
      <c r="P888" s="327"/>
      <c r="Q888" s="327"/>
      <c r="R888" s="327"/>
      <c r="S888" s="327"/>
      <c r="T888" s="327"/>
      <c r="U888" s="327"/>
      <c r="V888" s="327"/>
      <c r="W888" s="327"/>
      <c r="X888" s="327"/>
      <c r="Y888" s="327"/>
      <c r="Z888" s="327"/>
      <c r="AA888" s="327"/>
      <c r="AB888" s="327"/>
      <c r="AC888" s="327"/>
      <c r="AD888" s="327"/>
      <c r="AE888" s="327"/>
      <c r="AF888" s="327"/>
      <c r="AG888" s="327"/>
      <c r="AH888" s="327"/>
      <c r="AI888" s="327"/>
      <c r="AJ888" s="327"/>
      <c r="AK888" s="327"/>
      <c r="AL888" s="327"/>
      <c r="AM888" s="327"/>
    </row>
    <row r="889" spans="1:39">
      <c r="A889" s="69"/>
      <c r="B889" s="69"/>
      <c r="C889" s="327"/>
      <c r="D889" s="327"/>
      <c r="E889" s="327"/>
      <c r="F889" s="327"/>
      <c r="G889" s="327"/>
      <c r="H889" s="327"/>
      <c r="I889" s="327"/>
      <c r="J889" s="327"/>
      <c r="K889" s="327"/>
      <c r="L889" s="327"/>
      <c r="M889" s="327"/>
      <c r="N889" s="327"/>
      <c r="O889" s="327"/>
      <c r="P889" s="327"/>
      <c r="Q889" s="327"/>
      <c r="R889" s="327"/>
      <c r="S889" s="327"/>
      <c r="T889" s="327"/>
      <c r="U889" s="327"/>
      <c r="V889" s="327"/>
      <c r="W889" s="327"/>
      <c r="X889" s="327"/>
      <c r="Y889" s="327"/>
      <c r="Z889" s="327"/>
      <c r="AA889" s="327"/>
      <c r="AB889" s="327"/>
      <c r="AC889" s="327"/>
      <c r="AD889" s="327"/>
      <c r="AE889" s="327"/>
      <c r="AF889" s="327"/>
      <c r="AG889" s="327"/>
      <c r="AH889" s="327"/>
      <c r="AI889" s="327"/>
      <c r="AJ889" s="327"/>
      <c r="AK889" s="327"/>
      <c r="AL889" s="327"/>
      <c r="AM889" s="327"/>
    </row>
    <row r="890" spans="1:39">
      <c r="A890" s="69"/>
      <c r="B890" s="69"/>
      <c r="C890" s="327"/>
      <c r="D890" s="327"/>
      <c r="E890" s="327"/>
      <c r="F890" s="327"/>
      <c r="G890" s="327"/>
      <c r="H890" s="327"/>
      <c r="I890" s="327"/>
      <c r="J890" s="327"/>
      <c r="K890" s="327"/>
      <c r="L890" s="327"/>
      <c r="M890" s="327"/>
      <c r="N890" s="327"/>
      <c r="O890" s="327"/>
      <c r="P890" s="327"/>
      <c r="Q890" s="327"/>
      <c r="R890" s="327"/>
      <c r="S890" s="327"/>
      <c r="T890" s="327"/>
      <c r="U890" s="327"/>
      <c r="V890" s="327"/>
      <c r="W890" s="327"/>
      <c r="X890" s="327"/>
      <c r="Y890" s="327"/>
      <c r="Z890" s="327"/>
      <c r="AA890" s="327"/>
      <c r="AB890" s="327"/>
      <c r="AC890" s="327"/>
      <c r="AD890" s="327"/>
      <c r="AE890" s="327"/>
      <c r="AF890" s="327"/>
      <c r="AG890" s="327"/>
      <c r="AH890" s="327"/>
      <c r="AI890" s="327"/>
      <c r="AJ890" s="327"/>
      <c r="AK890" s="327"/>
      <c r="AL890" s="327"/>
      <c r="AM890" s="327"/>
    </row>
    <row r="891" spans="1:39">
      <c r="A891" s="69"/>
      <c r="B891" s="69"/>
      <c r="C891" s="327"/>
      <c r="D891" s="327"/>
      <c r="E891" s="327"/>
      <c r="F891" s="327"/>
      <c r="G891" s="327"/>
      <c r="H891" s="327"/>
      <c r="I891" s="327"/>
      <c r="J891" s="327"/>
      <c r="K891" s="327"/>
      <c r="L891" s="327"/>
      <c r="M891" s="327"/>
      <c r="N891" s="327"/>
      <c r="O891" s="327"/>
      <c r="P891" s="327"/>
      <c r="Q891" s="327"/>
      <c r="R891" s="327"/>
      <c r="S891" s="327"/>
      <c r="T891" s="327"/>
      <c r="U891" s="327"/>
      <c r="V891" s="327"/>
      <c r="W891" s="327"/>
      <c r="X891" s="327"/>
      <c r="Y891" s="327"/>
      <c r="Z891" s="327"/>
      <c r="AA891" s="327"/>
      <c r="AB891" s="327"/>
      <c r="AC891" s="327"/>
      <c r="AD891" s="327"/>
      <c r="AE891" s="327"/>
      <c r="AF891" s="327"/>
      <c r="AG891" s="327"/>
      <c r="AH891" s="327"/>
      <c r="AI891" s="327"/>
      <c r="AJ891" s="327"/>
      <c r="AK891" s="327"/>
      <c r="AL891" s="327"/>
      <c r="AM891" s="327"/>
    </row>
    <row r="892" spans="1:39">
      <c r="A892" s="69"/>
      <c r="B892" s="69"/>
      <c r="C892" s="327"/>
      <c r="D892" s="327"/>
      <c r="E892" s="327"/>
      <c r="F892" s="327"/>
      <c r="G892" s="327"/>
      <c r="H892" s="327"/>
      <c r="I892" s="327"/>
      <c r="J892" s="327"/>
      <c r="K892" s="327"/>
      <c r="L892" s="327"/>
      <c r="M892" s="327"/>
      <c r="N892" s="327"/>
      <c r="O892" s="327"/>
      <c r="P892" s="327"/>
      <c r="Q892" s="327"/>
      <c r="R892" s="327"/>
      <c r="S892" s="327"/>
      <c r="T892" s="327"/>
      <c r="U892" s="327"/>
      <c r="V892" s="327"/>
      <c r="W892" s="327"/>
      <c r="X892" s="327"/>
      <c r="Y892" s="327"/>
      <c r="Z892" s="327"/>
      <c r="AA892" s="327"/>
      <c r="AB892" s="327"/>
      <c r="AC892" s="327"/>
      <c r="AD892" s="327"/>
      <c r="AE892" s="327"/>
      <c r="AF892" s="327"/>
      <c r="AG892" s="327"/>
      <c r="AH892" s="327"/>
      <c r="AI892" s="327"/>
      <c r="AJ892" s="327"/>
      <c r="AK892" s="327"/>
      <c r="AL892" s="327"/>
      <c r="AM892" s="327"/>
    </row>
    <row r="893" spans="1:39">
      <c r="A893" s="69"/>
      <c r="B893" s="69"/>
      <c r="C893" s="327"/>
      <c r="D893" s="327"/>
      <c r="E893" s="327"/>
      <c r="F893" s="327"/>
      <c r="G893" s="327"/>
      <c r="H893" s="327"/>
      <c r="I893" s="327"/>
      <c r="J893" s="327"/>
      <c r="K893" s="327"/>
      <c r="L893" s="327"/>
      <c r="M893" s="327"/>
      <c r="N893" s="327"/>
      <c r="O893" s="327"/>
      <c r="P893" s="327"/>
      <c r="Q893" s="327"/>
      <c r="R893" s="327"/>
      <c r="S893" s="327"/>
      <c r="T893" s="327"/>
      <c r="U893" s="327"/>
      <c r="V893" s="327"/>
      <c r="W893" s="327"/>
      <c r="X893" s="327"/>
      <c r="Y893" s="327"/>
      <c r="Z893" s="327"/>
      <c r="AA893" s="327"/>
      <c r="AB893" s="327"/>
      <c r="AC893" s="327"/>
      <c r="AD893" s="327"/>
      <c r="AE893" s="327"/>
      <c r="AF893" s="327"/>
      <c r="AG893" s="327"/>
      <c r="AH893" s="327"/>
      <c r="AI893" s="327"/>
      <c r="AJ893" s="327"/>
      <c r="AK893" s="327"/>
      <c r="AL893" s="327"/>
      <c r="AM893" s="327"/>
    </row>
    <row r="894" spans="1:39">
      <c r="A894" s="69"/>
      <c r="B894" s="69"/>
      <c r="C894" s="327"/>
      <c r="D894" s="327"/>
      <c r="E894" s="327"/>
      <c r="F894" s="327"/>
      <c r="G894" s="327"/>
      <c r="H894" s="327"/>
      <c r="I894" s="327"/>
      <c r="J894" s="327"/>
      <c r="K894" s="327"/>
      <c r="L894" s="327"/>
      <c r="M894" s="327"/>
      <c r="N894" s="327"/>
      <c r="O894" s="327"/>
      <c r="P894" s="327"/>
      <c r="Q894" s="327"/>
      <c r="R894" s="327"/>
      <c r="S894" s="327"/>
      <c r="T894" s="327"/>
      <c r="U894" s="327"/>
      <c r="V894" s="327"/>
      <c r="W894" s="327"/>
      <c r="X894" s="327"/>
      <c r="Y894" s="327"/>
      <c r="Z894" s="327"/>
      <c r="AA894" s="327"/>
      <c r="AB894" s="327"/>
      <c r="AC894" s="327"/>
      <c r="AD894" s="327"/>
      <c r="AE894" s="327"/>
      <c r="AF894" s="327"/>
      <c r="AG894" s="327"/>
      <c r="AH894" s="327"/>
      <c r="AI894" s="327"/>
      <c r="AJ894" s="327"/>
      <c r="AK894" s="327"/>
      <c r="AL894" s="327"/>
      <c r="AM894" s="327"/>
    </row>
    <row r="895" spans="1:39">
      <c r="A895" s="69"/>
      <c r="B895" s="69"/>
      <c r="C895" s="327"/>
      <c r="D895" s="327"/>
      <c r="E895" s="327"/>
      <c r="F895" s="327"/>
      <c r="G895" s="327"/>
      <c r="H895" s="327"/>
      <c r="I895" s="327"/>
      <c r="J895" s="327"/>
      <c r="K895" s="327"/>
      <c r="L895" s="327"/>
      <c r="M895" s="327"/>
      <c r="N895" s="327"/>
      <c r="O895" s="327"/>
      <c r="P895" s="327"/>
      <c r="Q895" s="327"/>
      <c r="R895" s="327"/>
      <c r="S895" s="327"/>
      <c r="T895" s="327"/>
      <c r="U895" s="327"/>
      <c r="V895" s="327"/>
      <c r="W895" s="327"/>
      <c r="X895" s="327"/>
      <c r="Y895" s="327"/>
      <c r="Z895" s="69"/>
      <c r="AA895" s="69"/>
      <c r="AB895" s="69"/>
      <c r="AC895" s="69"/>
      <c r="AD895" s="69"/>
      <c r="AE895" s="69"/>
      <c r="AF895" s="69"/>
      <c r="AG895" s="69"/>
      <c r="AH895" s="69"/>
      <c r="AI895" s="69"/>
      <c r="AJ895" s="69"/>
      <c r="AK895" s="69"/>
      <c r="AL895" s="69"/>
      <c r="AM895" s="327"/>
    </row>
    <row r="896" spans="1:39">
      <c r="A896" s="69"/>
      <c r="B896" s="69"/>
      <c r="C896" s="327"/>
      <c r="D896" s="327"/>
      <c r="E896" s="327"/>
      <c r="F896" s="327"/>
      <c r="G896" s="327"/>
      <c r="H896" s="327"/>
      <c r="I896" s="327"/>
      <c r="J896" s="327"/>
      <c r="K896" s="327"/>
      <c r="L896" s="327"/>
      <c r="M896" s="327"/>
      <c r="N896" s="327"/>
      <c r="O896" s="327"/>
      <c r="P896" s="327"/>
      <c r="Q896" s="327"/>
      <c r="R896" s="327"/>
      <c r="S896" s="327"/>
      <c r="T896" s="327"/>
      <c r="U896" s="327"/>
      <c r="V896" s="327"/>
      <c r="W896" s="327"/>
      <c r="X896" s="327"/>
      <c r="Y896" s="327"/>
      <c r="Z896" s="69"/>
      <c r="AA896" s="69"/>
      <c r="AB896" s="69"/>
      <c r="AC896" s="69"/>
      <c r="AD896" s="69"/>
      <c r="AE896" s="69"/>
      <c r="AF896" s="69"/>
      <c r="AG896" s="69"/>
      <c r="AH896" s="69"/>
      <c r="AI896" s="69"/>
      <c r="AJ896" s="69"/>
      <c r="AK896" s="69"/>
      <c r="AL896" s="69"/>
      <c r="AM896" s="327"/>
    </row>
    <row r="897" spans="1:39">
      <c r="A897" s="69"/>
      <c r="B897" s="69"/>
      <c r="C897" s="327"/>
      <c r="D897" s="327"/>
      <c r="E897" s="327"/>
      <c r="F897" s="327"/>
      <c r="G897" s="327"/>
      <c r="H897" s="327"/>
      <c r="I897" s="327"/>
      <c r="J897" s="327"/>
      <c r="K897" s="327"/>
      <c r="L897" s="327"/>
      <c r="M897" s="327"/>
      <c r="N897" s="327"/>
      <c r="O897" s="327"/>
      <c r="P897" s="327"/>
      <c r="Q897" s="327"/>
      <c r="R897" s="327"/>
      <c r="S897" s="327"/>
      <c r="T897" s="327"/>
      <c r="U897" s="327"/>
      <c r="V897" s="327"/>
      <c r="W897" s="327"/>
      <c r="X897" s="327"/>
      <c r="Y897" s="327"/>
      <c r="Z897" s="69"/>
      <c r="AA897" s="69"/>
      <c r="AB897" s="69"/>
      <c r="AC897" s="69"/>
      <c r="AD897" s="69"/>
      <c r="AE897" s="69"/>
      <c r="AF897" s="69"/>
      <c r="AG897" s="69"/>
      <c r="AH897" s="69"/>
      <c r="AI897" s="69"/>
      <c r="AJ897" s="69"/>
      <c r="AK897" s="69"/>
      <c r="AL897" s="69"/>
      <c r="AM897" s="327"/>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966"/>
    <outlinePr summaryBelow="0" summaryRight="0"/>
  </sheetPr>
  <dimension ref="A1:Y239"/>
  <sheetViews>
    <sheetView showGridLines="0" topLeftCell="G185" workbookViewId="0">
      <selection activeCell="T239" sqref="T239"/>
    </sheetView>
  </sheetViews>
  <sheetFormatPr defaultColWidth="14.42578125" defaultRowHeight="15" customHeight="1"/>
  <cols>
    <col min="1" max="1" width="5.140625" customWidth="1"/>
    <col min="4" max="4" width="17.85546875" customWidth="1"/>
  </cols>
  <sheetData>
    <row r="1" spans="1:25" ht="6" customHeight="1">
      <c r="A1" s="417"/>
      <c r="B1" s="417"/>
      <c r="C1" s="418"/>
      <c r="D1" s="418"/>
      <c r="E1" s="419"/>
      <c r="F1" s="419"/>
      <c r="G1" s="419"/>
      <c r="H1" s="419"/>
      <c r="I1" s="419"/>
      <c r="J1" s="419"/>
      <c r="K1" s="419"/>
      <c r="L1" s="419"/>
      <c r="M1" s="419"/>
      <c r="N1" s="419"/>
      <c r="O1" s="419"/>
      <c r="P1" s="419"/>
      <c r="Q1" s="419"/>
      <c r="R1" s="419"/>
      <c r="S1" s="419"/>
      <c r="T1" s="419"/>
      <c r="U1" s="419"/>
      <c r="V1" s="419"/>
      <c r="W1" s="419"/>
      <c r="X1" s="419"/>
      <c r="Y1" s="419"/>
    </row>
    <row r="2" spans="1:25">
      <c r="A2" s="1"/>
      <c r="B2" s="420" t="s">
        <v>911</v>
      </c>
      <c r="C2" s="421"/>
      <c r="D2" s="422"/>
      <c r="E2" s="423"/>
      <c r="F2" s="423"/>
      <c r="G2" s="423"/>
      <c r="H2" s="423"/>
      <c r="I2" s="76"/>
      <c r="J2" s="424"/>
      <c r="K2" s="425"/>
      <c r="L2" s="1"/>
      <c r="M2" s="1"/>
      <c r="N2" s="1"/>
      <c r="O2" s="1"/>
      <c r="P2" s="1"/>
      <c r="Q2" s="1"/>
      <c r="R2" s="1"/>
      <c r="S2" s="1"/>
      <c r="T2" s="1"/>
      <c r="U2" s="1"/>
      <c r="V2" s="1"/>
      <c r="W2" s="1"/>
      <c r="X2" s="1"/>
      <c r="Y2" s="1"/>
    </row>
    <row r="3" spans="1:25">
      <c r="A3" s="419"/>
      <c r="B3" s="426" t="s">
        <v>912</v>
      </c>
      <c r="C3" s="426"/>
      <c r="D3" s="426"/>
      <c r="E3" s="427" t="s">
        <v>913</v>
      </c>
      <c r="F3" s="426"/>
      <c r="G3" s="428"/>
      <c r="H3" s="428"/>
      <c r="I3" s="419"/>
      <c r="J3" s="419"/>
      <c r="K3" s="419"/>
      <c r="L3" s="419"/>
      <c r="M3" s="419"/>
      <c r="N3" s="419"/>
      <c r="O3" s="419"/>
      <c r="P3" s="419"/>
      <c r="Q3" s="419"/>
      <c r="R3" s="419"/>
      <c r="S3" s="419"/>
      <c r="T3" s="419"/>
      <c r="U3" s="419"/>
      <c r="V3" s="419"/>
      <c r="W3" s="419"/>
      <c r="X3" s="419"/>
      <c r="Y3" s="419"/>
    </row>
    <row r="4" spans="1:25">
      <c r="A4" s="419"/>
      <c r="B4" s="419"/>
      <c r="C4" s="419"/>
      <c r="D4" s="419"/>
      <c r="E4" s="419"/>
      <c r="F4" s="419"/>
      <c r="G4" s="419"/>
      <c r="H4" s="419"/>
      <c r="I4" s="419"/>
      <c r="J4" s="419"/>
      <c r="K4" s="419"/>
      <c r="L4" s="419"/>
      <c r="M4" s="419"/>
      <c r="N4" s="419"/>
      <c r="O4" s="419"/>
      <c r="P4" s="419"/>
      <c r="Q4" s="419"/>
      <c r="R4" s="419"/>
      <c r="S4" s="419"/>
      <c r="T4" s="419"/>
      <c r="U4" s="419"/>
      <c r="V4" s="419"/>
      <c r="W4" s="419"/>
      <c r="X4" s="419"/>
      <c r="Y4" s="419"/>
    </row>
    <row r="5" spans="1:25">
      <c r="A5" s="419"/>
      <c r="B5" s="429" t="s">
        <v>914</v>
      </c>
      <c r="C5" s="430">
        <v>2018</v>
      </c>
      <c r="D5" s="419"/>
      <c r="E5" s="419"/>
      <c r="F5" s="419"/>
      <c r="G5" s="419"/>
      <c r="H5" s="419"/>
      <c r="I5" s="419"/>
      <c r="J5" s="419"/>
      <c r="K5" s="419"/>
      <c r="L5" s="419"/>
      <c r="M5" s="419"/>
      <c r="N5" s="419"/>
      <c r="O5" s="419"/>
      <c r="P5" s="419"/>
      <c r="Q5" s="419"/>
      <c r="R5" s="419"/>
      <c r="S5" s="419"/>
      <c r="T5" s="419"/>
      <c r="U5" s="419"/>
      <c r="V5" s="419"/>
      <c r="W5" s="419"/>
      <c r="X5" s="419"/>
      <c r="Y5" s="419"/>
    </row>
    <row r="6" spans="1:25">
      <c r="A6" s="419"/>
      <c r="B6" s="419"/>
      <c r="C6" s="419"/>
      <c r="D6" s="419"/>
      <c r="E6" s="419"/>
      <c r="F6" s="419"/>
      <c r="G6" s="419"/>
      <c r="H6" s="419"/>
      <c r="I6" s="419"/>
      <c r="J6" s="419"/>
      <c r="K6" s="419"/>
      <c r="L6" s="419"/>
      <c r="M6" s="419"/>
      <c r="N6" s="419"/>
      <c r="O6" s="419"/>
      <c r="P6" s="419"/>
      <c r="Q6" s="419"/>
      <c r="R6" s="419"/>
      <c r="S6" s="419"/>
      <c r="T6" s="419"/>
      <c r="U6" s="419"/>
      <c r="V6" s="419"/>
      <c r="W6" s="419"/>
      <c r="X6" s="419"/>
      <c r="Y6" s="419"/>
    </row>
    <row r="7" spans="1:25">
      <c r="A7" s="1"/>
      <c r="B7" s="431" t="s">
        <v>915</v>
      </c>
      <c r="C7" s="432"/>
      <c r="D7" s="433"/>
      <c r="E7" s="434"/>
      <c r="F7" s="434"/>
      <c r="G7" s="434"/>
      <c r="H7" s="434"/>
      <c r="I7" s="435"/>
      <c r="J7" s="436"/>
      <c r="K7" s="437"/>
      <c r="L7" s="1"/>
      <c r="M7" s="1"/>
      <c r="N7" s="1"/>
      <c r="O7" s="1"/>
      <c r="P7" s="1"/>
      <c r="Q7" s="1"/>
      <c r="R7" s="1"/>
      <c r="S7" s="1"/>
      <c r="T7" s="1"/>
      <c r="U7" s="1"/>
      <c r="V7" s="1"/>
      <c r="W7" s="1"/>
      <c r="X7" s="1"/>
      <c r="Y7" s="1"/>
    </row>
    <row r="8" spans="1:25">
      <c r="A8" s="419"/>
      <c r="B8" s="419"/>
      <c r="C8" s="419"/>
      <c r="D8" s="419"/>
      <c r="E8" s="419"/>
      <c r="F8" s="419"/>
      <c r="G8" s="419"/>
      <c r="H8" s="419"/>
      <c r="I8" s="419"/>
      <c r="J8" s="419"/>
      <c r="K8" s="419"/>
      <c r="L8" s="419"/>
      <c r="M8" s="419"/>
      <c r="N8" s="419"/>
      <c r="O8" s="419"/>
      <c r="P8" s="419"/>
      <c r="Q8" s="419"/>
      <c r="R8" s="419"/>
      <c r="S8" s="419"/>
      <c r="T8" s="419"/>
      <c r="U8" s="419"/>
      <c r="V8" s="419"/>
      <c r="W8" s="419"/>
      <c r="X8" s="419"/>
      <c r="Y8" s="419"/>
    </row>
    <row r="9" spans="1:25" ht="15.75" thickBot="1">
      <c r="A9" s="418"/>
      <c r="B9" s="438" t="s">
        <v>916</v>
      </c>
      <c r="C9" s="439">
        <f>C5</f>
        <v>2018</v>
      </c>
      <c r="D9" s="419"/>
      <c r="E9" s="440" t="s">
        <v>908</v>
      </c>
      <c r="F9" s="440" t="s">
        <v>917</v>
      </c>
      <c r="G9" s="441"/>
      <c r="H9" s="441"/>
      <c r="I9" s="441"/>
      <c r="J9" s="441"/>
      <c r="K9" s="441"/>
      <c r="L9" s="441"/>
      <c r="M9" s="441"/>
      <c r="N9" s="441"/>
      <c r="O9" s="441"/>
      <c r="P9" s="441"/>
      <c r="Q9" s="441"/>
      <c r="R9" s="441"/>
      <c r="S9" s="441"/>
      <c r="T9" s="441"/>
      <c r="U9" s="441"/>
      <c r="V9" s="441"/>
      <c r="W9" s="441"/>
      <c r="X9" s="441"/>
      <c r="Y9" s="441"/>
    </row>
    <row r="10" spans="1:25" ht="15.75" thickTop="1">
      <c r="A10" s="418"/>
      <c r="B10" s="442" t="s">
        <v>918</v>
      </c>
      <c r="C10" s="443">
        <f>VLOOKUP('2.2 Input_General_Information'!H48,'2.2 Input_General_Information'!E51:G54,3, FALSE)</f>
        <v>0.2</v>
      </c>
      <c r="D10" s="419"/>
      <c r="E10" s="128">
        <f ca="1">'2.2 Input_General_Information'!H20</f>
        <v>2018</v>
      </c>
      <c r="F10" s="444">
        <f ca="1">VLOOKUP(E10,B20:C60,2)</f>
        <v>0.14294127594627595</v>
      </c>
      <c r="G10" s="441"/>
      <c r="H10" s="441"/>
      <c r="I10" s="441"/>
      <c r="J10" s="441"/>
      <c r="K10" s="441"/>
      <c r="L10" s="441"/>
      <c r="M10" s="441"/>
      <c r="N10" s="441"/>
      <c r="O10" s="441"/>
      <c r="P10" s="441"/>
      <c r="Q10" s="441"/>
      <c r="R10" s="441"/>
      <c r="S10" s="441"/>
      <c r="T10" s="441"/>
      <c r="U10" s="441"/>
      <c r="V10" s="441"/>
      <c r="W10" s="441"/>
      <c r="X10" s="441"/>
      <c r="Y10" s="441"/>
    </row>
    <row r="11" spans="1:25">
      <c r="A11" s="418"/>
      <c r="B11" s="442" t="s">
        <v>919</v>
      </c>
      <c r="C11" s="445">
        <f>C9+40</f>
        <v>2058</v>
      </c>
      <c r="D11" s="419"/>
      <c r="E11" s="419"/>
      <c r="F11" s="419"/>
      <c r="G11" s="441"/>
      <c r="H11" s="441"/>
      <c r="I11" s="441"/>
      <c r="J11" s="441"/>
      <c r="K11" s="441"/>
      <c r="L11" s="441"/>
      <c r="M11" s="441"/>
      <c r="N11" s="441"/>
      <c r="O11" s="441"/>
      <c r="P11" s="441"/>
      <c r="Q11" s="441"/>
      <c r="R11" s="441"/>
      <c r="S11" s="441"/>
      <c r="T11" s="441"/>
      <c r="U11" s="441"/>
      <c r="V11" s="441"/>
      <c r="W11" s="441"/>
      <c r="X11" s="441"/>
      <c r="Y11" s="441"/>
    </row>
    <row r="12" spans="1:25">
      <c r="A12" s="418"/>
      <c r="B12" s="442" t="s">
        <v>920</v>
      </c>
      <c r="C12" s="446">
        <v>0.5</v>
      </c>
      <c r="D12" s="419"/>
      <c r="E12" s="419"/>
      <c r="F12" s="419"/>
      <c r="G12" s="441"/>
      <c r="H12" s="441"/>
      <c r="I12" s="441"/>
      <c r="J12" s="441"/>
      <c r="K12" s="441"/>
      <c r="L12" s="441"/>
      <c r="M12" s="441"/>
      <c r="N12" s="441"/>
      <c r="O12" s="441"/>
      <c r="P12" s="441"/>
      <c r="Q12" s="441"/>
      <c r="R12" s="441"/>
      <c r="S12" s="441"/>
      <c r="T12" s="441"/>
      <c r="U12" s="441"/>
      <c r="V12" s="441"/>
      <c r="W12" s="441"/>
      <c r="X12" s="441"/>
      <c r="Y12" s="441"/>
    </row>
    <row r="13" spans="1:25">
      <c r="A13" s="418"/>
      <c r="B13" s="447" t="s">
        <v>921</v>
      </c>
      <c r="C13" s="448">
        <f>'FAIR_Assumption(s)'!H7</f>
        <v>0.71470637973137974</v>
      </c>
      <c r="D13" s="419"/>
      <c r="E13" s="419"/>
      <c r="F13" s="419"/>
      <c r="G13" s="441"/>
      <c r="H13" s="441"/>
      <c r="I13" s="441"/>
      <c r="J13" s="441"/>
      <c r="K13" s="441"/>
      <c r="L13" s="441"/>
      <c r="M13" s="441"/>
      <c r="N13" s="441"/>
      <c r="O13" s="441"/>
      <c r="P13" s="441"/>
      <c r="Q13" s="441"/>
      <c r="R13" s="441"/>
      <c r="S13" s="441"/>
      <c r="T13" s="441"/>
      <c r="U13" s="441"/>
      <c r="V13" s="441"/>
      <c r="W13" s="441"/>
      <c r="X13" s="441"/>
      <c r="Y13" s="441"/>
    </row>
    <row r="14" spans="1:25">
      <c r="A14" s="419"/>
      <c r="B14" s="441"/>
      <c r="C14" s="441"/>
      <c r="D14" s="419"/>
      <c r="E14" s="419"/>
      <c r="F14" s="419"/>
      <c r="G14" s="441"/>
      <c r="H14" s="441"/>
      <c r="I14" s="441"/>
      <c r="J14" s="441"/>
      <c r="K14" s="441"/>
      <c r="L14" s="441"/>
      <c r="M14" s="441"/>
      <c r="N14" s="441"/>
      <c r="O14" s="441"/>
      <c r="P14" s="441"/>
      <c r="Q14" s="441"/>
      <c r="R14" s="441"/>
      <c r="S14" s="441"/>
      <c r="T14" s="441"/>
      <c r="U14" s="441"/>
      <c r="V14" s="441"/>
      <c r="W14" s="441"/>
      <c r="X14" s="441"/>
      <c r="Y14" s="441"/>
    </row>
    <row r="15" spans="1:25">
      <c r="A15" s="418"/>
      <c r="B15" s="449" t="s">
        <v>922</v>
      </c>
      <c r="C15" s="450">
        <f>(LN(1/C10-1)-LN(1/C12-1))/(C11-C9)</f>
        <v>3.4657359027997263E-2</v>
      </c>
      <c r="D15" s="419"/>
      <c r="E15" s="419"/>
      <c r="F15" s="419"/>
      <c r="G15" s="441"/>
      <c r="H15" s="441"/>
      <c r="I15" s="441"/>
      <c r="J15" s="441"/>
      <c r="K15" s="441"/>
      <c r="L15" s="441"/>
      <c r="M15" s="441"/>
      <c r="N15" s="441"/>
      <c r="O15" s="441"/>
      <c r="P15" s="441"/>
      <c r="Q15" s="441"/>
      <c r="R15" s="441"/>
      <c r="S15" s="441"/>
      <c r="T15" s="441"/>
      <c r="U15" s="441"/>
      <c r="V15" s="441"/>
      <c r="W15" s="441"/>
      <c r="X15" s="441"/>
      <c r="Y15" s="441"/>
    </row>
    <row r="16" spans="1:25">
      <c r="A16" s="418"/>
      <c r="B16" s="451" t="s">
        <v>923</v>
      </c>
      <c r="C16" s="452">
        <f>LN(1/C10-1)/C15+C9</f>
        <v>2058</v>
      </c>
      <c r="D16" s="419"/>
      <c r="E16" s="419"/>
      <c r="F16" s="419"/>
      <c r="G16" s="441"/>
      <c r="H16" s="441"/>
      <c r="I16" s="441"/>
      <c r="J16" s="441"/>
      <c r="K16" s="441"/>
      <c r="L16" s="441"/>
      <c r="M16" s="441"/>
      <c r="N16" s="441"/>
      <c r="O16" s="441"/>
      <c r="P16" s="441"/>
      <c r="Q16" s="441"/>
      <c r="R16" s="441"/>
      <c r="S16" s="441"/>
      <c r="T16" s="441"/>
      <c r="U16" s="441"/>
      <c r="V16" s="441"/>
      <c r="W16" s="441"/>
      <c r="X16" s="441"/>
      <c r="Y16" s="441"/>
    </row>
    <row r="17" spans="1:25">
      <c r="A17" s="418"/>
      <c r="B17" s="418"/>
      <c r="C17" s="419"/>
      <c r="D17" s="419"/>
      <c r="F17" s="419"/>
      <c r="G17" s="441"/>
      <c r="H17" s="441"/>
      <c r="I17" s="441"/>
      <c r="J17" s="441"/>
      <c r="K17" s="441"/>
      <c r="L17" s="441"/>
      <c r="M17" s="441"/>
      <c r="N17" s="441"/>
      <c r="O17" s="441"/>
      <c r="P17" s="441"/>
      <c r="Q17" s="441"/>
      <c r="R17" s="441"/>
      <c r="S17" s="441"/>
      <c r="T17" s="441"/>
      <c r="U17" s="441"/>
      <c r="V17" s="441"/>
      <c r="W17" s="441"/>
      <c r="X17" s="441"/>
      <c r="Y17" s="441"/>
    </row>
    <row r="18" spans="1:25" ht="15.75" thickBot="1">
      <c r="A18" s="418"/>
      <c r="B18" s="453" t="s">
        <v>181</v>
      </c>
      <c r="C18" s="453" t="s">
        <v>924</v>
      </c>
      <c r="D18" s="454" t="s">
        <v>925</v>
      </c>
      <c r="E18" s="419"/>
      <c r="F18" s="419"/>
      <c r="G18" s="441"/>
      <c r="H18" s="441"/>
      <c r="I18" s="441"/>
      <c r="J18" s="441"/>
      <c r="K18" s="441"/>
      <c r="L18" s="441"/>
      <c r="M18" s="441"/>
      <c r="N18" s="441"/>
      <c r="O18" s="441"/>
      <c r="P18" s="441"/>
      <c r="Q18" s="441"/>
      <c r="R18" s="441"/>
      <c r="S18" s="441"/>
      <c r="T18" s="441"/>
      <c r="U18" s="441"/>
      <c r="V18" s="441"/>
      <c r="W18" s="441"/>
      <c r="X18" s="441"/>
      <c r="Y18" s="441"/>
    </row>
    <row r="19" spans="1:25" ht="5.25" customHeight="1" thickTop="1">
      <c r="A19" s="455"/>
      <c r="B19" s="456"/>
      <c r="C19" s="457"/>
      <c r="D19" s="128"/>
      <c r="E19" s="419"/>
      <c r="F19" s="419"/>
      <c r="G19" s="441"/>
      <c r="H19" s="441"/>
      <c r="I19" s="441"/>
      <c r="J19" s="441"/>
      <c r="K19" s="441"/>
      <c r="L19" s="441"/>
      <c r="M19" s="441"/>
      <c r="N19" s="441"/>
      <c r="O19" s="441"/>
      <c r="P19" s="441"/>
      <c r="Q19" s="441"/>
      <c r="R19" s="441"/>
      <c r="S19" s="441"/>
      <c r="T19" s="441"/>
      <c r="U19" s="441"/>
      <c r="V19" s="441"/>
      <c r="W19" s="441"/>
      <c r="X19" s="441"/>
      <c r="Y19" s="441"/>
    </row>
    <row r="20" spans="1:25">
      <c r="A20" s="455"/>
      <c r="B20" s="458">
        <f>C9</f>
        <v>2018</v>
      </c>
      <c r="C20" s="459">
        <f ca="1">IF(AND(B20&lt;=$C$11,B20&gt;='2.2 Input_General_Information'!$H$20),$C$13/(1+EXP(-$C$15*(B20-(LN(1/$C$10-1)/$C$15+$C$9)))),)</f>
        <v>0.14294127594627595</v>
      </c>
      <c r="D20" s="460">
        <f ca="1">IF(B20&gt;='2.2 Input_General_Information'!H20,C20-VLOOKUP('2.2 Input_General_Information'!H20,B20:C60,2),0)</f>
        <v>0</v>
      </c>
      <c r="E20" s="419"/>
      <c r="F20" s="419"/>
      <c r="G20" s="441"/>
      <c r="H20" s="441"/>
      <c r="I20" s="441"/>
      <c r="J20" s="441"/>
      <c r="K20" s="441"/>
      <c r="L20" s="441"/>
      <c r="M20" s="441"/>
      <c r="N20" s="441"/>
      <c r="O20" s="441"/>
      <c r="P20" s="441"/>
      <c r="Q20" s="441"/>
      <c r="R20" s="441"/>
      <c r="S20" s="441"/>
      <c r="T20" s="441"/>
      <c r="U20" s="441"/>
      <c r="V20" s="441"/>
      <c r="W20" s="441"/>
      <c r="X20" s="441"/>
      <c r="Y20" s="441"/>
    </row>
    <row r="21" spans="1:25">
      <c r="A21" s="455"/>
      <c r="B21" s="458">
        <f t="shared" ref="B21:B60" si="0">B20+1</f>
        <v>2019</v>
      </c>
      <c r="C21" s="459">
        <f ca="1">IF(AND(B21&lt;=$C$11,B21&gt;='2.2 Input_General_Information'!$H$20),$C$13/(1+EXP(-$C$15*(B21-(LN(1/$C$10-1)/$C$15+$C$9)))),)</f>
        <v>0.14694568348889966</v>
      </c>
      <c r="D21" s="460">
        <f ca="1">IF(B21&gt;='2.2 Input_General_Information'!$H$20,C21-VLOOKUP('2.2 Input_General_Information'!$H$20,$B$20:$C$60,2),0)</f>
        <v>4.0044075426237113E-3</v>
      </c>
      <c r="E21" s="419"/>
      <c r="F21" s="419"/>
      <c r="G21" s="441"/>
      <c r="H21" s="441"/>
      <c r="I21" s="441"/>
      <c r="J21" s="441"/>
      <c r="K21" s="441"/>
      <c r="L21" s="461"/>
      <c r="M21" s="461"/>
      <c r="N21" s="461"/>
      <c r="O21" s="461"/>
      <c r="P21" s="461"/>
      <c r="Q21" s="461"/>
      <c r="R21" s="461"/>
      <c r="S21" s="461"/>
      <c r="T21" s="461"/>
      <c r="U21" s="461"/>
      <c r="V21" s="461"/>
      <c r="W21" s="461"/>
      <c r="X21" s="461"/>
      <c r="Y21" s="461"/>
    </row>
    <row r="22" spans="1:25">
      <c r="A22" s="455"/>
      <c r="B22" s="458">
        <f t="shared" si="0"/>
        <v>2020</v>
      </c>
      <c r="C22" s="459">
        <f ca="1">IF(AND(B22&lt;=$C$11,B22&gt;='2.2 Input_General_Information'!$H$20),$C$13/(1+EXP(-$C$15*(B22-(LN(1/$C$10-1)/$C$15+$C$9)))),)</f>
        <v>0.15103263916650106</v>
      </c>
      <c r="D22" s="460">
        <f ca="1">IF(B22&gt;='2.2 Input_General_Information'!$H$20,C22-VLOOKUP('2.2 Input_General_Information'!$H$20,$B$20:$C$60,2),0)</f>
        <v>8.0913632202251062E-3</v>
      </c>
      <c r="E22" s="419"/>
      <c r="F22" s="419"/>
      <c r="G22" s="441"/>
      <c r="H22" s="441"/>
      <c r="I22" s="441"/>
      <c r="J22" s="441"/>
      <c r="K22" s="441"/>
      <c r="L22" s="461"/>
      <c r="M22" s="461"/>
      <c r="N22" s="461"/>
      <c r="O22" s="461"/>
      <c r="P22" s="461"/>
      <c r="Q22" s="461"/>
      <c r="R22" s="461"/>
      <c r="S22" s="461"/>
      <c r="T22" s="461"/>
      <c r="U22" s="461"/>
      <c r="V22" s="461"/>
      <c r="W22" s="461"/>
      <c r="X22" s="461"/>
      <c r="Y22" s="461"/>
    </row>
    <row r="23" spans="1:25">
      <c r="A23" s="455"/>
      <c r="B23" s="458">
        <f t="shared" si="0"/>
        <v>2021</v>
      </c>
      <c r="C23" s="459">
        <f ca="1">IF(AND(B23&lt;=$C$11,B23&gt;='2.2 Input_General_Information'!$H$20),$C$13/(1+EXP(-$C$15*(B23-(LN(1/$C$10-1)/$C$15+$C$9)))),)</f>
        <v>0.15520219164788726</v>
      </c>
      <c r="D23" s="460">
        <f ca="1">IF(B23&gt;='2.2 Input_General_Information'!$H$20,C23-VLOOKUP('2.2 Input_General_Information'!$H$20,$B$20:$C$60,2),0)</f>
        <v>1.2260915701611308E-2</v>
      </c>
      <c r="E23" s="419"/>
      <c r="F23" s="419"/>
      <c r="G23" s="441"/>
      <c r="H23" s="441"/>
      <c r="I23" s="441"/>
      <c r="J23" s="441"/>
      <c r="K23" s="441"/>
      <c r="L23" s="461"/>
      <c r="M23" s="461"/>
      <c r="N23" s="461"/>
      <c r="O23" s="461"/>
      <c r="P23" s="461"/>
      <c r="Q23" s="461"/>
      <c r="R23" s="461"/>
      <c r="S23" s="461"/>
      <c r="T23" s="461"/>
      <c r="U23" s="461"/>
      <c r="V23" s="461"/>
      <c r="W23" s="461"/>
      <c r="X23" s="461"/>
      <c r="Y23" s="461"/>
    </row>
    <row r="24" spans="1:25">
      <c r="A24" s="455"/>
      <c r="B24" s="458">
        <f t="shared" si="0"/>
        <v>2022</v>
      </c>
      <c r="C24" s="459">
        <f ca="1">IF(AND(B24&lt;=$C$11,B24&gt;='2.2 Input_General_Information'!$H$20),$C$13/(1+EXP(-$C$15*(B24-(LN(1/$C$10-1)/$C$15+$C$9)))),)</f>
        <v>0.15945429040458808</v>
      </c>
      <c r="D24" s="460">
        <f ca="1">IF(B24&gt;='2.2 Input_General_Information'!$H$20,C24-VLOOKUP('2.2 Input_General_Information'!$H$20,$B$20:$C$60,2),0)</f>
        <v>1.6513014458312131E-2</v>
      </c>
      <c r="E24" s="419"/>
      <c r="F24" s="419"/>
      <c r="G24" s="441"/>
      <c r="H24" s="441"/>
      <c r="I24" s="441"/>
      <c r="J24" s="441"/>
      <c r="K24" s="441"/>
      <c r="L24" s="461"/>
      <c r="M24" s="461"/>
      <c r="N24" s="461"/>
      <c r="O24" s="461"/>
      <c r="P24" s="461"/>
      <c r="Q24" s="461"/>
      <c r="R24" s="461"/>
      <c r="S24" s="461"/>
      <c r="T24" s="461"/>
      <c r="U24" s="461"/>
      <c r="V24" s="461"/>
      <c r="W24" s="461"/>
      <c r="X24" s="461"/>
      <c r="Y24" s="461"/>
    </row>
    <row r="25" spans="1:25">
      <c r="A25" s="455"/>
      <c r="B25" s="458">
        <f t="shared" si="0"/>
        <v>2023</v>
      </c>
      <c r="C25" s="459">
        <f ca="1">IF(AND(B25&lt;=$C$11,B25&gt;='2.2 Input_General_Information'!$H$20),$C$13/(1+EXP(-$C$15*(B25-(LN(1/$C$10-1)/$C$15+$C$9)))),)</f>
        <v>0.16378878180774786</v>
      </c>
      <c r="D25" s="460">
        <f ca="1">IF(B25&gt;='2.2 Input_General_Information'!$H$20,C25-VLOOKUP('2.2 Input_General_Information'!$H$20,$B$20:$C$60,2),0)</f>
        <v>2.084750586147191E-2</v>
      </c>
      <c r="E25" s="419"/>
      <c r="F25" s="419"/>
      <c r="G25" s="441"/>
      <c r="H25" s="441"/>
      <c r="I25" s="441"/>
      <c r="J25" s="441"/>
      <c r="K25" s="441"/>
      <c r="L25" s="461"/>
      <c r="M25" s="461"/>
      <c r="N25" s="461"/>
      <c r="O25" s="461"/>
      <c r="P25" s="461"/>
      <c r="Q25" s="461"/>
      <c r="R25" s="461"/>
      <c r="S25" s="461"/>
      <c r="T25" s="461"/>
      <c r="U25" s="461"/>
      <c r="V25" s="461"/>
      <c r="W25" s="461"/>
      <c r="X25" s="461"/>
      <c r="Y25" s="461"/>
    </row>
    <row r="26" spans="1:25">
      <c r="A26" s="455"/>
      <c r="B26" s="458">
        <f t="shared" si="0"/>
        <v>2024</v>
      </c>
      <c r="C26" s="459">
        <f ca="1">IF(AND(B26&lt;=$C$11,B26&gt;='2.2 Input_General_Information'!$H$20),$C$13/(1+EXP(-$C$15*(B26-(LN(1/$C$10-1)/$C$15+$C$9)))),)</f>
        <v>0.16820540536857892</v>
      </c>
      <c r="D26" s="460">
        <f ca="1">IF(B26&gt;='2.2 Input_General_Information'!$H$20,C26-VLOOKUP('2.2 Input_General_Information'!$H$20,$B$20:$C$60,2),0)</f>
        <v>2.5264129422302967E-2</v>
      </c>
      <c r="E26" s="419"/>
      <c r="F26" s="419"/>
      <c r="G26" s="441"/>
      <c r="H26" s="441"/>
      <c r="I26" s="441"/>
      <c r="J26" s="441"/>
      <c r="K26" s="441"/>
      <c r="L26" s="461"/>
      <c r="M26" s="461"/>
      <c r="N26" s="461"/>
      <c r="O26" s="461"/>
      <c r="P26" s="461"/>
      <c r="Q26" s="461"/>
      <c r="R26" s="461"/>
      <c r="S26" s="461"/>
      <c r="T26" s="461"/>
      <c r="U26" s="461"/>
      <c r="V26" s="461"/>
      <c r="W26" s="461"/>
      <c r="X26" s="461"/>
      <c r="Y26" s="461"/>
    </row>
    <row r="27" spans="1:25">
      <c r="A27" s="455"/>
      <c r="B27" s="458">
        <f t="shared" si="0"/>
        <v>2025</v>
      </c>
      <c r="C27" s="459">
        <f ca="1">IF(AND(B27&lt;=$C$11,B27&gt;='2.2 Input_General_Information'!$H$20),$C$13/(1+EXP(-$C$15*(B27-(LN(1/$C$10-1)/$C$15+$C$9)))),)</f>
        <v>0.17270379014725248</v>
      </c>
      <c r="D27" s="460">
        <f ca="1">IF(B27&gt;='2.2 Input_General_Information'!$H$20,C27-VLOOKUP('2.2 Input_General_Information'!$H$20,$B$20:$C$60,2),0)</f>
        <v>2.9762514200976531E-2</v>
      </c>
      <c r="E27" s="419"/>
      <c r="F27" s="419"/>
      <c r="G27" s="441"/>
      <c r="H27" s="441"/>
      <c r="I27" s="441"/>
      <c r="J27" s="441"/>
      <c r="K27" s="441"/>
      <c r="L27" s="461"/>
      <c r="M27" s="461"/>
      <c r="N27" s="461"/>
      <c r="O27" s="461"/>
      <c r="P27" s="461"/>
      <c r="Q27" s="461"/>
      <c r="R27" s="461"/>
      <c r="S27" s="461"/>
      <c r="T27" s="461"/>
      <c r="U27" s="461"/>
      <c r="V27" s="461"/>
      <c r="W27" s="461"/>
      <c r="X27" s="461"/>
      <c r="Y27" s="461"/>
    </row>
    <row r="28" spans="1:25">
      <c r="A28" s="455"/>
      <c r="B28" s="458">
        <f t="shared" si="0"/>
        <v>2026</v>
      </c>
      <c r="C28" s="459">
        <f ca="1">IF(AND(B28&lt;=$C$11,B28&gt;='2.2 Input_General_Information'!$H$20),$C$13/(1+EXP(-$C$15*(B28-(LN(1/$C$10-1)/$C$15+$C$9)))),)</f>
        <v>0.17728345135563309</v>
      </c>
      <c r="D28" s="460">
        <f ca="1">IF(B28&gt;='2.2 Input_General_Information'!$H$20,C28-VLOOKUP('2.2 Input_General_Information'!$H$20,$B$20:$C$60,2),0)</f>
        <v>3.4342175409357134E-2</v>
      </c>
      <c r="E28" s="419"/>
      <c r="F28" s="419"/>
      <c r="G28" s="441"/>
      <c r="H28" s="441"/>
      <c r="I28" s="441"/>
      <c r="J28" s="441"/>
      <c r="K28" s="441"/>
      <c r="L28" s="461"/>
      <c r="M28" s="461"/>
      <c r="N28" s="461"/>
      <c r="O28" s="461"/>
      <c r="P28" s="461"/>
      <c r="Q28" s="461"/>
      <c r="R28" s="461"/>
      <c r="S28" s="461"/>
      <c r="T28" s="461"/>
      <c r="U28" s="461"/>
      <c r="V28" s="461"/>
      <c r="W28" s="461"/>
      <c r="X28" s="461"/>
      <c r="Y28" s="461"/>
    </row>
    <row r="29" spans="1:25">
      <c r="A29" s="455"/>
      <c r="B29" s="458">
        <f t="shared" si="0"/>
        <v>2027</v>
      </c>
      <c r="C29" s="459">
        <f ca="1">IF(AND(B29&lt;=$C$11,B29&gt;='2.2 Input_General_Information'!$H$20),$C$13/(1+EXP(-$C$15*(B29-(LN(1/$C$10-1)/$C$15+$C$9)))),)</f>
        <v>0.18194378717963181</v>
      </c>
      <c r="D29" s="460">
        <f ca="1">IF(B29&gt;='2.2 Input_General_Information'!$H$20,C29-VLOOKUP('2.2 Input_General_Information'!$H$20,$B$20:$C$60,2),0)</f>
        <v>3.9002511233355852E-2</v>
      </c>
      <c r="E29" s="419"/>
      <c r="F29" s="419"/>
      <c r="G29" s="441"/>
      <c r="H29" s="441"/>
      <c r="I29" s="441"/>
      <c r="J29" s="441"/>
      <c r="K29" s="441"/>
      <c r="L29" s="461"/>
      <c r="M29" s="461"/>
      <c r="N29" s="461"/>
      <c r="O29" s="461"/>
      <c r="P29" s="461"/>
      <c r="Q29" s="461"/>
      <c r="R29" s="461"/>
      <c r="S29" s="461"/>
      <c r="T29" s="461"/>
      <c r="U29" s="461"/>
      <c r="V29" s="461"/>
      <c r="W29" s="461"/>
      <c r="X29" s="461"/>
      <c r="Y29" s="461"/>
    </row>
    <row r="30" spans="1:25">
      <c r="A30" s="455"/>
      <c r="B30" s="458">
        <f t="shared" si="0"/>
        <v>2028</v>
      </c>
      <c r="C30" s="459">
        <f ca="1">IF(AND(B30&lt;=$C$11,B30&gt;='2.2 Input_General_Information'!$H$20),$C$13/(1+EXP(-$C$15*(B30-(LN(1/$C$10-1)/$C$15+$C$9)))),)</f>
        <v>0.18668407584714364</v>
      </c>
      <c r="D30" s="460">
        <f ca="1">IF(B30&gt;='2.2 Input_General_Information'!$H$20,C30-VLOOKUP('2.2 Input_General_Information'!$H$20,$B$20:$C$60,2),0)</f>
        <v>4.3742799900867685E-2</v>
      </c>
      <c r="E30" s="441"/>
      <c r="F30" s="441"/>
      <c r="G30" s="441"/>
      <c r="H30" s="441"/>
      <c r="I30" s="441"/>
      <c r="J30" s="441"/>
      <c r="K30" s="441"/>
      <c r="L30" s="461"/>
      <c r="M30" s="461"/>
      <c r="N30" s="461"/>
      <c r="O30" s="461"/>
      <c r="P30" s="461"/>
      <c r="Q30" s="461"/>
      <c r="R30" s="461"/>
      <c r="S30" s="461"/>
      <c r="T30" s="461"/>
      <c r="U30" s="461"/>
      <c r="V30" s="461"/>
      <c r="W30" s="461"/>
      <c r="X30" s="461"/>
      <c r="Y30" s="461"/>
    </row>
    <row r="31" spans="1:25">
      <c r="A31" s="455"/>
      <c r="B31" s="458">
        <f t="shared" si="0"/>
        <v>2029</v>
      </c>
      <c r="C31" s="459">
        <f ca="1">IF(AND(B31&lt;=$C$11,B31&gt;='2.2 Input_General_Information'!$H$20),$C$13/(1+EXP(-$C$15*(B31-(LN(1/$C$10-1)/$C$15+$C$9)))),)</f>
        <v>0.19150347296753095</v>
      </c>
      <c r="D31" s="460">
        <f ca="1">IF(B31&gt;='2.2 Input_General_Information'!$H$20,C31-VLOOKUP('2.2 Input_General_Information'!$H$20,$B$20:$C$60,2),0)</f>
        <v>4.8562197021254999E-2</v>
      </c>
      <c r="E31" s="441"/>
      <c r="F31" s="441"/>
      <c r="G31" s="441"/>
      <c r="H31" s="441"/>
      <c r="I31" s="441"/>
      <c r="J31" s="441"/>
      <c r="K31" s="441"/>
      <c r="L31" s="461"/>
      <c r="M31" s="461"/>
      <c r="N31" s="461"/>
      <c r="O31" s="461"/>
      <c r="P31" s="461"/>
      <c r="Q31" s="461"/>
      <c r="R31" s="461"/>
      <c r="S31" s="461"/>
      <c r="T31" s="461"/>
      <c r="U31" s="461"/>
      <c r="V31" s="461"/>
      <c r="W31" s="461"/>
      <c r="X31" s="461"/>
      <c r="Y31" s="461"/>
    </row>
    <row r="32" spans="1:25">
      <c r="A32" s="455"/>
      <c r="B32" s="458">
        <f t="shared" si="0"/>
        <v>2030</v>
      </c>
      <c r="C32" s="459">
        <f ca="1">IF(AND(B32&lt;=$C$11,B32&gt;='2.2 Input_General_Information'!$H$20),$C$13/(1+EXP(-$C$15*(B32-(LN(1/$C$10-1)/$C$15+$C$9)))),)</f>
        <v>0.1964010091684035</v>
      </c>
      <c r="D32" s="460">
        <f ca="1">IF(B32&gt;='2.2 Input_General_Information'!$H$20,C32-VLOOKUP('2.2 Input_General_Information'!$H$20,$B$20:$C$60,2),0)</f>
        <v>5.3459733222127548E-2</v>
      </c>
      <c r="E32" s="441"/>
      <c r="F32" s="441"/>
      <c r="G32" s="441"/>
      <c r="H32" s="441"/>
      <c r="I32" s="441"/>
      <c r="J32" s="441"/>
      <c r="K32" s="441"/>
      <c r="L32" s="461"/>
      <c r="M32" s="461"/>
      <c r="N32" s="461"/>
      <c r="O32" s="461"/>
      <c r="P32" s="461"/>
      <c r="Q32" s="461"/>
      <c r="R32" s="461"/>
      <c r="S32" s="461"/>
      <c r="T32" s="461"/>
      <c r="U32" s="461"/>
      <c r="V32" s="461"/>
      <c r="W32" s="461"/>
      <c r="X32" s="461"/>
      <c r="Y32" s="461"/>
    </row>
    <row r="33" spans="1:25">
      <c r="A33" s="455"/>
      <c r="B33" s="458">
        <f t="shared" si="0"/>
        <v>2031</v>
      </c>
      <c r="C33" s="459">
        <f ca="1">IF(AND(B33&lt;=$C$11,B33&gt;='2.2 Input_General_Information'!$H$20),$C$13/(1+EXP(-$C$15*(B33-(LN(1/$C$10-1)/$C$15+$C$9)))),)</f>
        <v>0.2013755880550134</v>
      </c>
      <c r="D33" s="460">
        <f ca="1">IF(B33&gt;='2.2 Input_General_Information'!$H$20,C33-VLOOKUP('2.2 Input_General_Information'!$H$20,$B$20:$C$60,2),0)</f>
        <v>5.8434312108737452E-2</v>
      </c>
      <c r="E33" s="441"/>
      <c r="F33" s="441"/>
      <c r="G33" s="441"/>
      <c r="H33" s="441"/>
      <c r="I33" s="441"/>
      <c r="J33" s="441"/>
      <c r="K33" s="441"/>
      <c r="L33" s="461"/>
      <c r="M33" s="461"/>
      <c r="N33" s="461"/>
      <c r="O33" s="461"/>
      <c r="P33" s="461"/>
      <c r="Q33" s="461"/>
      <c r="R33" s="461"/>
      <c r="S33" s="461"/>
      <c r="T33" s="461"/>
      <c r="U33" s="461"/>
      <c r="V33" s="461"/>
      <c r="W33" s="461"/>
      <c r="X33" s="461"/>
      <c r="Y33" s="461"/>
    </row>
    <row r="34" spans="1:25">
      <c r="A34" s="455"/>
      <c r="B34" s="458">
        <f t="shared" si="0"/>
        <v>2032</v>
      </c>
      <c r="C34" s="459">
        <f ca="1">IF(AND(B34&lt;=$C$11,B34&gt;='2.2 Input_General_Information'!$H$20),$C$13/(1+EXP(-$C$15*(B34-(LN(1/$C$10-1)/$C$15+$C$9)))),)</f>
        <v>0.20642598451691982</v>
      </c>
      <c r="D34" s="460">
        <f ca="1">IF(B34&gt;='2.2 Input_General_Information'!$H$20,C34-VLOOKUP('2.2 Input_General_Information'!$H$20,$B$20:$C$60,2),0)</f>
        <v>6.3484708570643866E-2</v>
      </c>
      <c r="E34" s="441"/>
      <c r="F34" s="441"/>
      <c r="G34" s="441"/>
      <c r="H34" s="441"/>
      <c r="I34" s="441"/>
      <c r="J34" s="441"/>
      <c r="K34" s="441"/>
      <c r="L34" s="461"/>
      <c r="M34" s="461"/>
      <c r="N34" s="461"/>
      <c r="O34" s="461"/>
      <c r="P34" s="461"/>
      <c r="Q34" s="461"/>
      <c r="R34" s="461"/>
      <c r="S34" s="461"/>
      <c r="T34" s="461"/>
      <c r="U34" s="461"/>
      <c r="V34" s="461"/>
      <c r="W34" s="461"/>
      <c r="X34" s="461"/>
      <c r="Y34" s="461"/>
    </row>
    <row r="35" spans="1:25">
      <c r="A35" s="455"/>
      <c r="B35" s="458">
        <f t="shared" si="0"/>
        <v>2033</v>
      </c>
      <c r="C35" s="459">
        <f ca="1">IF(AND(B35&lt;=$C$11,B35&gt;='2.2 Input_General_Information'!$H$20),$C$13/(1+EXP(-$C$15*(B35-(LN(1/$C$10-1)/$C$15+$C$9)))),)</f>
        <v>0.21155084340567334</v>
      </c>
      <c r="D35" s="460">
        <f ca="1">IF(B35&gt;='2.2 Input_General_Information'!$H$20,C35-VLOOKUP('2.2 Input_General_Information'!$H$20,$B$20:$C$60,2),0)</f>
        <v>6.8609567459397391E-2</v>
      </c>
      <c r="E35" s="441"/>
      <c r="F35" s="441"/>
      <c r="G35" s="441"/>
      <c r="H35" s="441"/>
      <c r="I35" s="441"/>
      <c r="J35" s="441"/>
      <c r="K35" s="441"/>
      <c r="L35" s="461"/>
      <c r="M35" s="461"/>
      <c r="N35" s="461"/>
      <c r="O35" s="461"/>
      <c r="P35" s="461"/>
      <c r="Q35" s="461"/>
      <c r="R35" s="461"/>
      <c r="S35" s="461"/>
      <c r="T35" s="461"/>
      <c r="U35" s="461"/>
      <c r="V35" s="461"/>
      <c r="W35" s="461"/>
      <c r="X35" s="461"/>
      <c r="Y35" s="461"/>
    </row>
    <row r="36" spans="1:25">
      <c r="A36" s="455"/>
      <c r="B36" s="458">
        <f t="shared" si="0"/>
        <v>2034</v>
      </c>
      <c r="C36" s="459">
        <f ca="1">IF(AND(B36&lt;=$C$11,B36&gt;='2.2 Input_General_Information'!$H$20),$C$13/(1+EXP(-$C$15*(B36-(LN(1/$C$10-1)/$C$15+$C$9)))),)</f>
        <v>0.21674867860611929</v>
      </c>
      <c r="D36" s="460">
        <f ca="1">IF(B36&gt;='2.2 Input_General_Information'!$H$20,C36-VLOOKUP('2.2 Input_General_Information'!$H$20,$B$20:$C$60,2),0)</f>
        <v>7.3807402659843341E-2</v>
      </c>
      <c r="E36" s="419"/>
      <c r="F36" s="419"/>
      <c r="G36" s="419"/>
      <c r="H36" s="419"/>
      <c r="I36" s="419"/>
      <c r="J36" s="419"/>
      <c r="K36" s="419"/>
      <c r="L36" s="461"/>
      <c r="M36" s="461"/>
      <c r="N36" s="461"/>
      <c r="O36" s="461"/>
      <c r="P36" s="461"/>
      <c r="Q36" s="461"/>
      <c r="R36" s="461"/>
      <c r="S36" s="461"/>
      <c r="T36" s="461"/>
      <c r="U36" s="461"/>
      <c r="V36" s="461"/>
      <c r="W36" s="461"/>
      <c r="X36" s="461"/>
      <c r="Y36" s="461"/>
    </row>
    <row r="37" spans="1:25">
      <c r="A37" s="455"/>
      <c r="B37" s="458">
        <f t="shared" si="0"/>
        <v>2035</v>
      </c>
      <c r="C37" s="459">
        <f ca="1">IF(AND(B37&lt;=$C$11,B37&gt;='2.2 Input_General_Information'!$H$20),$C$13/(1+EXP(-$C$15*(B37-(LN(1/$C$10-1)/$C$15+$C$9)))),)</f>
        <v>0.22201787252251454</v>
      </c>
      <c r="D37" s="460">
        <f ca="1">IF(B37&gt;='2.2 Input_General_Information'!$H$20,C37-VLOOKUP('2.2 Input_General_Information'!$H$20,$B$20:$C$60,2),0)</f>
        <v>7.9076596576238584E-2</v>
      </c>
      <c r="E37" s="419"/>
      <c r="F37" s="419"/>
      <c r="G37" s="419"/>
      <c r="H37" s="419"/>
      <c r="I37" s="419"/>
      <c r="J37" s="419"/>
      <c r="K37" s="419"/>
      <c r="L37" s="461"/>
      <c r="M37" s="461"/>
      <c r="N37" s="461"/>
      <c r="O37" s="461"/>
      <c r="P37" s="461"/>
      <c r="Q37" s="461"/>
      <c r="R37" s="461"/>
      <c r="S37" s="461"/>
      <c r="T37" s="461"/>
      <c r="U37" s="461"/>
      <c r="V37" s="461"/>
      <c r="W37" s="461"/>
      <c r="X37" s="461"/>
      <c r="Y37" s="461"/>
    </row>
    <row r="38" spans="1:25">
      <c r="A38" s="455"/>
      <c r="B38" s="458">
        <f t="shared" si="0"/>
        <v>2036</v>
      </c>
      <c r="C38" s="459">
        <f ca="1">IF(AND(B38&lt;=$C$11,B38&gt;='2.2 Input_General_Information'!$H$20),$C$13/(1+EXP(-$C$15*(B38-(LN(1/$C$10-1)/$C$15+$C$9)))),)</f>
        <v>0.2273566759989997</v>
      </c>
      <c r="D38" s="460">
        <f ca="1">IF(B38&gt;='2.2 Input_General_Information'!$H$20,C38-VLOOKUP('2.2 Input_General_Information'!$H$20,$B$20:$C$60,2),0)</f>
        <v>8.4415400052723744E-2</v>
      </c>
      <c r="E38" s="419"/>
      <c r="F38" s="419"/>
      <c r="G38" s="419"/>
      <c r="H38" s="419"/>
      <c r="I38" s="419"/>
      <c r="J38" s="419"/>
      <c r="K38" s="419"/>
      <c r="L38" s="461"/>
      <c r="M38" s="461"/>
      <c r="N38" s="461"/>
      <c r="O38" s="461"/>
      <c r="P38" s="461"/>
      <c r="Q38" s="461"/>
      <c r="R38" s="461"/>
      <c r="S38" s="461"/>
      <c r="T38" s="461"/>
      <c r="U38" s="461"/>
      <c r="V38" s="461"/>
      <c r="W38" s="461"/>
      <c r="X38" s="461"/>
      <c r="Y38" s="461"/>
    </row>
    <row r="39" spans="1:25">
      <c r="A39" s="455"/>
      <c r="B39" s="458">
        <f t="shared" si="0"/>
        <v>2037</v>
      </c>
      <c r="C39" s="459">
        <f ca="1">IF(AND(B39&lt;=$C$11,B39&gt;='2.2 Input_General_Information'!$H$20),$C$13/(1+EXP(-$C$15*(B39-(LN(1/$C$10-1)/$C$15+$C$9)))),)</f>
        <v>0.2327632086920598</v>
      </c>
      <c r="D39" s="460">
        <f ca="1">IF(B39&gt;='2.2 Input_General_Information'!$H$20,C39-VLOOKUP('2.2 Input_General_Information'!$H$20,$B$20:$C$60,2),0)</f>
        <v>8.9821932745783845E-2</v>
      </c>
      <c r="E39" s="419"/>
      <c r="F39" s="419"/>
      <c r="G39" s="419"/>
      <c r="H39" s="419"/>
      <c r="I39" s="419"/>
      <c r="J39" s="419"/>
      <c r="K39" s="419"/>
      <c r="L39" s="461"/>
      <c r="M39" s="461"/>
      <c r="N39" s="461"/>
      <c r="O39" s="461"/>
      <c r="P39" s="461"/>
      <c r="Q39" s="461"/>
      <c r="R39" s="461"/>
      <c r="S39" s="461"/>
      <c r="T39" s="461"/>
      <c r="U39" s="461"/>
      <c r="V39" s="461"/>
      <c r="W39" s="461"/>
      <c r="X39" s="461"/>
      <c r="Y39" s="461"/>
    </row>
    <row r="40" spans="1:25">
      <c r="A40" s="455"/>
      <c r="B40" s="458">
        <f t="shared" si="0"/>
        <v>2038</v>
      </c>
      <c r="C40" s="459">
        <f ca="1">IF(AND(B40&lt;=$C$11,B40&gt;='2.2 Input_General_Information'!$H$20),$C$13/(1+EXP(-$C$15*(B40-(LN(1/$C$10-1)/$C$15+$C$9)))),)</f>
        <v>0.23823545991045991</v>
      </c>
      <c r="D40" s="460">
        <f ca="1">IF(B40&gt;='2.2 Input_General_Information'!$H$20,C40-VLOOKUP('2.2 Input_General_Information'!$H$20,$B$20:$C$60,2),0)</f>
        <v>9.5294183964183959E-2</v>
      </c>
      <c r="E40" s="419"/>
      <c r="F40" s="419"/>
      <c r="G40" s="419"/>
      <c r="H40" s="419"/>
      <c r="I40" s="419"/>
      <c r="J40" s="419"/>
      <c r="K40" s="419"/>
      <c r="L40" s="461"/>
      <c r="M40" s="461"/>
      <c r="N40" s="461"/>
      <c r="O40" s="461"/>
      <c r="P40" s="461"/>
      <c r="Q40" s="461"/>
      <c r="R40" s="461"/>
      <c r="S40" s="461"/>
      <c r="T40" s="461"/>
      <c r="U40" s="461"/>
      <c r="V40" s="461"/>
      <c r="W40" s="461"/>
      <c r="X40" s="461"/>
      <c r="Y40" s="461"/>
    </row>
    <row r="41" spans="1:25">
      <c r="A41" s="455"/>
      <c r="B41" s="458">
        <f t="shared" si="0"/>
        <v>2039</v>
      </c>
      <c r="C41" s="459">
        <f ca="1">IF(AND(B41&lt;=$C$11,B41&gt;='2.2 Input_General_Information'!$H$20),$C$13/(1+EXP(-$C$15*(B41-(LN(1/$C$10-1)/$C$15+$C$9)))),)</f>
        <v>0.24377128993575162</v>
      </c>
      <c r="D41" s="460">
        <f ca="1">IF(B41&gt;='2.2 Input_General_Information'!$H$20,C41-VLOOKUP('2.2 Input_General_Information'!$H$20,$B$20:$C$60,2),0)</f>
        <v>0.10083001398947566</v>
      </c>
      <c r="E41" s="419"/>
      <c r="F41" s="419"/>
      <c r="G41" s="419"/>
      <c r="H41" s="419"/>
      <c r="I41" s="419"/>
      <c r="J41" s="419"/>
      <c r="K41" s="419"/>
      <c r="L41" s="461"/>
      <c r="M41" s="461"/>
      <c r="N41" s="461"/>
      <c r="O41" s="461"/>
      <c r="P41" s="461"/>
      <c r="Q41" s="461"/>
      <c r="R41" s="461"/>
      <c r="S41" s="461"/>
      <c r="T41" s="461"/>
      <c r="U41" s="461"/>
      <c r="V41" s="461"/>
      <c r="W41" s="461"/>
      <c r="X41" s="461"/>
      <c r="Y41" s="461"/>
    </row>
    <row r="42" spans="1:25">
      <c r="A42" s="455"/>
      <c r="B42" s="458">
        <f t="shared" si="0"/>
        <v>2040</v>
      </c>
      <c r="C42" s="459">
        <f ca="1">IF(AND(B42&lt;=$C$11,B42&gt;='2.2 Input_General_Information'!$H$20),$C$13/(1+EXP(-$C$15*(B42-(LN(1/$C$10-1)/$C$15+$C$9)))),)</f>
        <v>0.24936843183383978</v>
      </c>
      <c r="D42" s="460">
        <f ca="1">IF(B42&gt;='2.2 Input_General_Information'!$H$20,C42-VLOOKUP('2.2 Input_General_Information'!$H$20,$B$20:$C$60,2),0)</f>
        <v>0.10642715588756382</v>
      </c>
      <c r="E42" s="419"/>
      <c r="F42" s="419"/>
      <c r="G42" s="419"/>
      <c r="H42" s="419"/>
      <c r="I42" s="419"/>
      <c r="J42" s="419"/>
      <c r="K42" s="419"/>
      <c r="L42" s="461"/>
      <c r="M42" s="461"/>
      <c r="N42" s="461"/>
      <c r="O42" s="461"/>
      <c r="P42" s="461"/>
      <c r="Q42" s="461"/>
      <c r="R42" s="461"/>
      <c r="S42" s="461"/>
      <c r="T42" s="461"/>
      <c r="U42" s="461"/>
      <c r="V42" s="461"/>
      <c r="W42" s="461"/>
      <c r="X42" s="461"/>
      <c r="Y42" s="461"/>
    </row>
    <row r="43" spans="1:25">
      <c r="A43" s="455"/>
      <c r="B43" s="458">
        <f t="shared" si="0"/>
        <v>2041</v>
      </c>
      <c r="C43" s="459">
        <f ca="1">IF(AND(B43&lt;=$C$11,B43&gt;='2.2 Input_General_Information'!$H$20),$C$13/(1+EXP(-$C$15*(B43-(LN(1/$C$10-1)/$C$15+$C$9)))),)</f>
        <v>0.25502449376527891</v>
      </c>
      <c r="D43" s="460">
        <f ca="1">IF(B43&gt;='2.2 Input_General_Information'!$H$20,C43-VLOOKUP('2.2 Input_General_Information'!$H$20,$B$20:$C$60,2),0)</f>
        <v>0.11208321781900296</v>
      </c>
      <c r="E43" s="419"/>
      <c r="F43" s="419"/>
      <c r="G43" s="419"/>
      <c r="H43" s="419"/>
      <c r="I43" s="419"/>
      <c r="J43" s="419"/>
      <c r="K43" s="419"/>
      <c r="L43" s="461"/>
      <c r="M43" s="461"/>
      <c r="N43" s="461"/>
      <c r="O43" s="461"/>
      <c r="P43" s="461"/>
      <c r="Q43" s="461"/>
      <c r="R43" s="461"/>
      <c r="S43" s="461"/>
      <c r="T43" s="461"/>
      <c r="U43" s="461"/>
      <c r="V43" s="461"/>
      <c r="W43" s="461"/>
      <c r="X43" s="461"/>
      <c r="Y43" s="461"/>
    </row>
    <row r="44" spans="1:25">
      <c r="A44" s="455"/>
      <c r="B44" s="458">
        <f t="shared" si="0"/>
        <v>2042</v>
      </c>
      <c r="C44" s="459">
        <f ca="1">IF(AND(B44&lt;=$C$11,B44&gt;='2.2 Input_General_Information'!$H$20),$C$13/(1+EXP(-$C$15*(B44-(LN(1/$C$10-1)/$C$15+$C$9)))),)</f>
        <v>0.26073696179896383</v>
      </c>
      <c r="D44" s="460">
        <f ca="1">IF(B44&gt;='2.2 Input_General_Information'!$H$20,C44-VLOOKUP('2.2 Input_General_Information'!$H$20,$B$20:$C$60,2),0)</f>
        <v>0.11779568585268788</v>
      </c>
      <c r="E44" s="419"/>
      <c r="F44" s="419"/>
      <c r="G44" s="419"/>
      <c r="H44" s="419"/>
      <c r="I44" s="419"/>
      <c r="J44" s="419"/>
      <c r="K44" s="419"/>
      <c r="L44" s="461"/>
      <c r="M44" s="461"/>
      <c r="N44" s="461"/>
      <c r="O44" s="461"/>
      <c r="P44" s="461"/>
      <c r="Q44" s="461"/>
      <c r="R44" s="461"/>
      <c r="S44" s="461"/>
      <c r="T44" s="461"/>
      <c r="U44" s="461"/>
      <c r="V44" s="461"/>
      <c r="W44" s="461"/>
      <c r="X44" s="461"/>
      <c r="Y44" s="461"/>
    </row>
    <row r="45" spans="1:25">
      <c r="A45" s="455"/>
      <c r="B45" s="458">
        <f t="shared" si="0"/>
        <v>2043</v>
      </c>
      <c r="C45" s="459">
        <f ca="1">IF(AND(B45&lt;=$C$11,B45&gt;='2.2 Input_General_Information'!$H$20),$C$13/(1+EXP(-$C$15*(B45-(LN(1/$C$10-1)/$C$15+$C$9)))),)</f>
        <v>0.26650320323070903</v>
      </c>
      <c r="D45" s="460">
        <f ca="1">IF(B45&gt;='2.2 Input_General_Information'!$H$20,C45-VLOOKUP('2.2 Input_General_Information'!$H$20,$B$20:$C$60,2),0)</f>
        <v>0.12356192728443308</v>
      </c>
      <c r="E45" s="419"/>
      <c r="F45" s="419"/>
      <c r="G45" s="419"/>
      <c r="H45" s="419"/>
      <c r="I45" s="419"/>
      <c r="J45" s="419"/>
      <c r="K45" s="419"/>
      <c r="L45" s="461"/>
      <c r="M45" s="461"/>
      <c r="N45" s="461"/>
      <c r="O45" s="461"/>
      <c r="P45" s="461"/>
      <c r="Q45" s="461"/>
      <c r="R45" s="461"/>
      <c r="S45" s="461"/>
      <c r="T45" s="461"/>
      <c r="U45" s="461"/>
      <c r="V45" s="461"/>
      <c r="W45" s="461"/>
      <c r="X45" s="461"/>
      <c r="Y45" s="461"/>
    </row>
    <row r="46" spans="1:25">
      <c r="A46" s="455"/>
      <c r="B46" s="458">
        <f t="shared" si="0"/>
        <v>2044</v>
      </c>
      <c r="C46" s="459">
        <f ca="1">IF(AND(B46&lt;=$C$11,B46&gt;='2.2 Input_General_Information'!$H$20),$C$13/(1+EXP(-$C$15*(B46-(LN(1/$C$10-1)/$C$15+$C$9)))),)</f>
        <v>0.27232047040490198</v>
      </c>
      <c r="D46" s="460">
        <f ca="1">IF(B46&gt;='2.2 Input_General_Information'!$H$20,C46-VLOOKUP('2.2 Input_General_Information'!$H$20,$B$20:$C$60,2),0)</f>
        <v>0.12937919445862603</v>
      </c>
      <c r="E46" s="419"/>
      <c r="F46" s="419"/>
      <c r="G46" s="419"/>
      <c r="H46" s="419"/>
      <c r="I46" s="419"/>
      <c r="J46" s="419"/>
      <c r="K46" s="419"/>
      <c r="L46" s="461"/>
      <c r="M46" s="461"/>
      <c r="N46" s="461"/>
      <c r="O46" s="461"/>
      <c r="P46" s="461"/>
      <c r="Q46" s="461"/>
      <c r="R46" s="461"/>
      <c r="S46" s="461"/>
      <c r="T46" s="461"/>
      <c r="U46" s="461"/>
      <c r="V46" s="461"/>
      <c r="W46" s="461"/>
      <c r="X46" s="461"/>
      <c r="Y46" s="461"/>
    </row>
    <row r="47" spans="1:25">
      <c r="A47" s="455"/>
      <c r="B47" s="458">
        <f t="shared" si="0"/>
        <v>2045</v>
      </c>
      <c r="C47" s="459">
        <f ca="1">IF(AND(B47&lt;=$C$11,B47&gt;='2.2 Input_General_Information'!$H$20),$C$13/(1+EXP(-$C$15*(B47-(LN(1/$C$10-1)/$C$15+$C$9)))),)</f>
        <v>0.27818590503399832</v>
      </c>
      <c r="D47" s="460">
        <f ca="1">IF(B47&gt;='2.2 Input_General_Information'!$H$20,C47-VLOOKUP('2.2 Input_General_Information'!$H$20,$B$20:$C$60,2),0)</f>
        <v>0.13524462908772236</v>
      </c>
      <c r="E47" s="419"/>
      <c r="F47" s="419"/>
      <c r="G47" s="419"/>
      <c r="H47" s="419"/>
      <c r="I47" s="419"/>
      <c r="J47" s="419"/>
      <c r="K47" s="419"/>
      <c r="L47" s="461"/>
      <c r="M47" s="461"/>
      <c r="N47" s="461"/>
      <c r="O47" s="461"/>
      <c r="P47" s="461"/>
      <c r="Q47" s="461"/>
      <c r="R47" s="461"/>
      <c r="S47" s="461"/>
      <c r="T47" s="461"/>
      <c r="U47" s="461"/>
      <c r="V47" s="461"/>
      <c r="W47" s="461"/>
      <c r="X47" s="461"/>
      <c r="Y47" s="461"/>
    </row>
    <row r="48" spans="1:25">
      <c r="A48" s="455"/>
      <c r="B48" s="458">
        <f t="shared" si="0"/>
        <v>2046</v>
      </c>
      <c r="C48" s="459">
        <f ca="1">IF(AND(B48&lt;=$C$11,B48&gt;='2.2 Input_General_Information'!$H$20),$C$13/(1+EXP(-$C$15*(B48-(LN(1/$C$10-1)/$C$15+$C$9)))),)</f>
        <v>0.28409654300713361</v>
      </c>
      <c r="D48" s="460">
        <f ca="1">IF(B48&gt;='2.2 Input_General_Information'!$H$20,C48-VLOOKUP('2.2 Input_General_Information'!$H$20,$B$20:$C$60,2),0)</f>
        <v>0.14115526706085765</v>
      </c>
      <c r="E48" s="419"/>
      <c r="F48" s="419"/>
      <c r="G48" s="419"/>
      <c r="H48" s="419"/>
      <c r="I48" s="419"/>
      <c r="J48" s="419"/>
      <c r="K48" s="419"/>
      <c r="L48" s="461"/>
      <c r="M48" s="461"/>
      <c r="N48" s="461"/>
      <c r="O48" s="461"/>
      <c r="P48" s="461"/>
      <c r="Q48" s="461"/>
      <c r="R48" s="461"/>
      <c r="S48" s="461"/>
      <c r="T48" s="461"/>
      <c r="U48" s="461"/>
      <c r="V48" s="461"/>
      <c r="W48" s="461"/>
      <c r="X48" s="461"/>
      <c r="Y48" s="461"/>
    </row>
    <row r="49" spans="1:25">
      <c r="A49" s="455"/>
      <c r="B49" s="458">
        <f t="shared" si="0"/>
        <v>2047</v>
      </c>
      <c r="C49" s="459">
        <f ca="1">IF(AND(B49&lt;=$C$11,B49&gt;='2.2 Input_General_Information'!$H$20),$C$13/(1+EXP(-$C$15*(B49-(LN(1/$C$10-1)/$C$15+$C$9)))),)</f>
        <v>0.29004931967558933</v>
      </c>
      <c r="D49" s="460">
        <f ca="1">IF(B49&gt;='2.2 Input_General_Information'!$H$20,C49-VLOOKUP('2.2 Input_General_Information'!$H$20,$B$20:$C$60,2),0)</f>
        <v>0.14710804372931338</v>
      </c>
      <c r="E49" s="419"/>
      <c r="F49" s="419"/>
      <c r="G49" s="419"/>
      <c r="H49" s="419"/>
      <c r="I49" s="419"/>
      <c r="J49" s="419"/>
      <c r="K49" s="419"/>
      <c r="L49" s="461"/>
      <c r="M49" s="461"/>
      <c r="N49" s="461"/>
      <c r="O49" s="461"/>
      <c r="P49" s="461"/>
      <c r="Q49" s="461"/>
      <c r="R49" s="461"/>
      <c r="S49" s="461"/>
      <c r="T49" s="461"/>
      <c r="U49" s="461"/>
      <c r="V49" s="461"/>
      <c r="W49" s="461"/>
      <c r="X49" s="461"/>
      <c r="Y49" s="461"/>
    </row>
    <row r="50" spans="1:25">
      <c r="A50" s="455"/>
      <c r="B50" s="458">
        <f t="shared" si="0"/>
        <v>2048</v>
      </c>
      <c r="C50" s="459">
        <f ca="1">IF(AND(B50&lt;=$C$11,B50&gt;='2.2 Input_General_Information'!$H$20),$C$13/(1+EXP(-$C$15*(B50-(LN(1/$C$10-1)/$C$15+$C$9)))),)</f>
        <v>0.29604107559931281</v>
      </c>
      <c r="D50" s="460">
        <f ca="1">IF(B50&gt;='2.2 Input_General_Information'!$H$20,C50-VLOOKUP('2.2 Input_General_Information'!$H$20,$B$20:$C$60,2),0)</f>
        <v>0.15309979965303686</v>
      </c>
      <c r="E50" s="419"/>
      <c r="F50" s="419"/>
      <c r="G50" s="419"/>
      <c r="H50" s="419"/>
      <c r="I50" s="419"/>
      <c r="J50" s="419"/>
      <c r="K50" s="419"/>
      <c r="L50" s="461"/>
      <c r="M50" s="461"/>
      <c r="N50" s="461"/>
      <c r="O50" s="461"/>
      <c r="P50" s="461"/>
      <c r="Q50" s="461"/>
      <c r="R50" s="461"/>
      <c r="S50" s="461"/>
      <c r="T50" s="461"/>
      <c r="U50" s="461"/>
      <c r="V50" s="461"/>
      <c r="W50" s="461"/>
      <c r="X50" s="461"/>
      <c r="Y50" s="461"/>
    </row>
    <row r="51" spans="1:25">
      <c r="A51" s="455"/>
      <c r="B51" s="458">
        <f t="shared" si="0"/>
        <v>2049</v>
      </c>
      <c r="C51" s="459">
        <f ca="1">IF(AND(B51&lt;=$C$11,B51&gt;='2.2 Input_General_Information'!$H$20),$C$13/(1+EXP(-$C$15*(B51-(LN(1/$C$10-1)/$C$15+$C$9)))),)</f>
        <v>0.30206856273518135</v>
      </c>
      <c r="D51" s="460">
        <f ca="1">IF(B51&gt;='2.2 Input_General_Information'!$H$20,C51-VLOOKUP('2.2 Input_General_Information'!$H$20,$B$20:$C$60,2),0)</f>
        <v>0.15912728678890539</v>
      </c>
      <c r="E51" s="419"/>
      <c r="F51" s="419"/>
      <c r="G51" s="419"/>
      <c r="H51" s="419"/>
      <c r="I51" s="419"/>
      <c r="J51" s="419"/>
      <c r="K51" s="419"/>
      <c r="L51" s="461"/>
      <c r="M51" s="461"/>
      <c r="N51" s="461"/>
      <c r="O51" s="461"/>
      <c r="P51" s="461"/>
      <c r="Q51" s="461"/>
      <c r="R51" s="461"/>
      <c r="S51" s="461"/>
      <c r="T51" s="461"/>
      <c r="U51" s="461"/>
      <c r="V51" s="461"/>
      <c r="W51" s="461"/>
      <c r="X51" s="461"/>
      <c r="Y51" s="461"/>
    </row>
    <row r="52" spans="1:25">
      <c r="A52" s="455"/>
      <c r="B52" s="458">
        <f t="shared" si="0"/>
        <v>2050</v>
      </c>
      <c r="C52" s="459">
        <f ca="1">IF(AND(B52&lt;=$C$11,B52&gt;='2.2 Input_General_Information'!$H$20),$C$13/(1+EXP(-$C$15*(B52-(LN(1/$C$10-1)/$C$15+$C$9)))),)</f>
        <v>0.30812845104426873</v>
      </c>
      <c r="D52" s="460">
        <f ca="1">IF(B52&gt;='2.2 Input_General_Information'!$H$20,C52-VLOOKUP('2.2 Input_General_Information'!$H$20,$B$20:$C$60,2),0)</f>
        <v>0.16518717509799277</v>
      </c>
      <c r="E52" s="419"/>
      <c r="F52" s="419"/>
      <c r="G52" s="419"/>
      <c r="H52" s="419"/>
      <c r="I52" s="419"/>
      <c r="J52" s="419"/>
      <c r="K52" s="419"/>
      <c r="L52" s="461"/>
      <c r="M52" s="461"/>
      <c r="N52" s="461"/>
      <c r="O52" s="461"/>
      <c r="P52" s="461"/>
      <c r="Q52" s="461"/>
      <c r="R52" s="461"/>
      <c r="S52" s="461"/>
      <c r="T52" s="461"/>
      <c r="U52" s="461"/>
      <c r="V52" s="461"/>
      <c r="W52" s="461"/>
      <c r="X52" s="461"/>
      <c r="Y52" s="461"/>
    </row>
    <row r="53" spans="1:25">
      <c r="A53" s="455"/>
      <c r="B53" s="458">
        <f t="shared" si="0"/>
        <v>2051</v>
      </c>
      <c r="C53" s="459">
        <f ca="1">IF(AND(B53&lt;=$C$11,B53&gt;='2.2 Input_General_Information'!$H$20),$C$13/(1+EXP(-$C$15*(B53-(LN(1/$C$10-1)/$C$15+$C$9)))),)</f>
        <v>0.314217335492048</v>
      </c>
      <c r="D53" s="460">
        <f ca="1">IF(B53&gt;='2.2 Input_General_Information'!$H$20,C53-VLOOKUP('2.2 Input_General_Information'!$H$20,$B$20:$C$60,2),0)</f>
        <v>0.17127605954577205</v>
      </c>
      <c r="E53" s="419"/>
      <c r="F53" s="419"/>
      <c r="G53" s="419"/>
      <c r="H53" s="419"/>
      <c r="I53" s="419"/>
      <c r="J53" s="419"/>
      <c r="K53" s="419"/>
      <c r="L53" s="461"/>
      <c r="M53" s="461"/>
      <c r="N53" s="461"/>
      <c r="O53" s="461"/>
      <c r="P53" s="461"/>
      <c r="Q53" s="461"/>
      <c r="R53" s="461"/>
      <c r="S53" s="461"/>
      <c r="T53" s="461"/>
      <c r="U53" s="461"/>
      <c r="V53" s="461"/>
      <c r="W53" s="461"/>
      <c r="X53" s="461"/>
      <c r="Y53" s="461"/>
    </row>
    <row r="54" spans="1:25">
      <c r="A54" s="455"/>
      <c r="B54" s="458">
        <f t="shared" si="0"/>
        <v>2052</v>
      </c>
      <c r="C54" s="459">
        <f ca="1">IF(AND(B54&lt;=$C$11,B54&gt;='2.2 Input_General_Information'!$H$20),$C$13/(1+EXP(-$C$15*(B54-(LN(1/$C$10-1)/$C$15+$C$9)))),)</f>
        <v>0.32033174341229526</v>
      </c>
      <c r="D54" s="460">
        <f ca="1">IF(B54&gt;='2.2 Input_General_Information'!$H$20,C54-VLOOKUP('2.2 Input_General_Information'!$H$20,$B$20:$C$60,2),0)</f>
        <v>0.1773904674660193</v>
      </c>
      <c r="E54" s="419"/>
      <c r="F54" s="419"/>
      <c r="G54" s="419"/>
      <c r="H54" s="419"/>
      <c r="I54" s="419"/>
      <c r="J54" s="419"/>
      <c r="K54" s="419"/>
      <c r="L54" s="461"/>
      <c r="M54" s="461"/>
      <c r="N54" s="461"/>
      <c r="O54" s="461"/>
      <c r="P54" s="461"/>
      <c r="Q54" s="461"/>
      <c r="R54" s="461"/>
      <c r="S54" s="461"/>
      <c r="T54" s="461"/>
      <c r="U54" s="461"/>
      <c r="V54" s="461"/>
      <c r="W54" s="461"/>
      <c r="X54" s="461"/>
      <c r="Y54" s="461"/>
    </row>
    <row r="55" spans="1:25">
      <c r="A55" s="455"/>
      <c r="B55" s="458">
        <f t="shared" si="0"/>
        <v>2053</v>
      </c>
      <c r="C55" s="459">
        <f ca="1">IF(AND(B55&lt;=$C$11,B55&gt;='2.2 Input_General_Information'!$H$20),$C$13/(1+EXP(-$C$15*(B55-(LN(1/$C$10-1)/$C$15+$C$9)))),)</f>
        <v>0.32646814220247566</v>
      </c>
      <c r="D55" s="460">
        <f ca="1">IF(B55&gt;='2.2 Input_General_Information'!$H$20,C55-VLOOKUP('2.2 Input_General_Information'!$H$20,$B$20:$C$60,2),0)</f>
        <v>0.18352686625619971</v>
      </c>
      <c r="E55" s="419"/>
      <c r="F55" s="419"/>
      <c r="G55" s="419"/>
      <c r="H55" s="419"/>
      <c r="I55" s="419"/>
      <c r="J55" s="419"/>
      <c r="K55" s="419"/>
      <c r="L55" s="461"/>
      <c r="M55" s="461"/>
      <c r="N55" s="461"/>
      <c r="O55" s="461"/>
      <c r="P55" s="461"/>
      <c r="Q55" s="461"/>
      <c r="R55" s="461"/>
      <c r="S55" s="461"/>
      <c r="T55" s="461"/>
      <c r="U55" s="461"/>
      <c r="V55" s="461"/>
      <c r="W55" s="461"/>
      <c r="X55" s="461"/>
      <c r="Y55" s="461"/>
    </row>
    <row r="56" spans="1:25">
      <c r="A56" s="455"/>
      <c r="B56" s="458">
        <f t="shared" si="0"/>
        <v>2054</v>
      </c>
      <c r="C56" s="459">
        <f ca="1">IF(AND(B56&lt;=$C$11,B56&gt;='2.2 Input_General_Information'!$H$20),$C$13/(1+EXP(-$C$15*(B56-(LN(1/$C$10-1)/$C$15+$C$9)))),)</f>
        <v>0.33262294731563941</v>
      </c>
      <c r="D56" s="460">
        <f ca="1">IF(B56&gt;='2.2 Input_General_Information'!$H$20,C56-VLOOKUP('2.2 Input_General_Information'!$H$20,$B$20:$C$60,2),0)</f>
        <v>0.18968167136936345</v>
      </c>
      <c r="E56" s="419"/>
      <c r="F56" s="419"/>
      <c r="G56" s="419"/>
      <c r="H56" s="419"/>
      <c r="I56" s="419"/>
      <c r="J56" s="419"/>
      <c r="K56" s="419"/>
      <c r="L56" s="461"/>
      <c r="M56" s="461"/>
      <c r="N56" s="461"/>
      <c r="O56" s="461"/>
      <c r="P56" s="461"/>
      <c r="Q56" s="461"/>
      <c r="R56" s="461"/>
      <c r="S56" s="461"/>
      <c r="T56" s="461"/>
      <c r="U56" s="461"/>
      <c r="V56" s="461"/>
      <c r="W56" s="461"/>
      <c r="X56" s="461"/>
      <c r="Y56" s="461"/>
    </row>
    <row r="57" spans="1:25">
      <c r="A57" s="455"/>
      <c r="B57" s="458">
        <f t="shared" si="0"/>
        <v>2055</v>
      </c>
      <c r="C57" s="459">
        <f ca="1">IF(AND(B57&lt;=$C$11,B57&gt;='2.2 Input_General_Information'!$H$20),$C$13/(1+EXP(-$C$15*(B57-(LN(1/$C$10-1)/$C$15+$C$9)))),)</f>
        <v>0.33879253051136038</v>
      </c>
      <c r="D57" s="460">
        <f ca="1">IF(B57&gt;='2.2 Input_General_Information'!$H$20,C57-VLOOKUP('2.2 Input_General_Information'!$H$20,$B$20:$C$60,2),0)</f>
        <v>0.19585125456508443</v>
      </c>
      <c r="E57" s="419"/>
      <c r="F57" s="419"/>
      <c r="G57" s="419"/>
      <c r="H57" s="419"/>
      <c r="I57" s="419"/>
      <c r="J57" s="419"/>
      <c r="K57" s="419"/>
      <c r="L57" s="461"/>
      <c r="M57" s="461"/>
      <c r="N57" s="461"/>
      <c r="O57" s="461"/>
      <c r="P57" s="461"/>
      <c r="Q57" s="461"/>
      <c r="R57" s="461"/>
      <c r="S57" s="461"/>
      <c r="T57" s="461"/>
      <c r="U57" s="461"/>
      <c r="V57" s="461"/>
      <c r="W57" s="461"/>
      <c r="X57" s="461"/>
      <c r="Y57" s="461"/>
    </row>
    <row r="58" spans="1:25">
      <c r="A58" s="455"/>
      <c r="B58" s="458">
        <f t="shared" si="0"/>
        <v>2056</v>
      </c>
      <c r="C58" s="459">
        <f ca="1">IF(AND(B58&lt;=$C$11,B58&gt;='2.2 Input_General_Information'!$H$20),$C$13/(1+EXP(-$C$15*(B58-(LN(1/$C$10-1)/$C$15+$C$9)))),)</f>
        <v>0.34497322832604804</v>
      </c>
      <c r="D58" s="460">
        <f ca="1">IF(B58&gt;='2.2 Input_General_Information'!$H$20,C58-VLOOKUP('2.2 Input_General_Information'!$H$20,$B$20:$C$60,2),0)</f>
        <v>0.20203195237977209</v>
      </c>
      <c r="E58" s="419"/>
      <c r="F58" s="419"/>
      <c r="G58" s="419"/>
      <c r="H58" s="419"/>
      <c r="I58" s="419"/>
      <c r="J58" s="419"/>
      <c r="K58" s="419"/>
      <c r="L58" s="461"/>
      <c r="M58" s="461"/>
      <c r="N58" s="461"/>
      <c r="O58" s="461"/>
      <c r="P58" s="461"/>
      <c r="Q58" s="461"/>
      <c r="R58" s="461"/>
      <c r="S58" s="461"/>
      <c r="T58" s="461"/>
      <c r="U58" s="461"/>
      <c r="V58" s="461"/>
      <c r="W58" s="461"/>
      <c r="X58" s="461"/>
      <c r="Y58" s="461"/>
    </row>
    <row r="59" spans="1:25">
      <c r="A59" s="455"/>
      <c r="B59" s="458">
        <f t="shared" si="0"/>
        <v>2057</v>
      </c>
      <c r="C59" s="459">
        <f ca="1">IF(AND(B59&lt;=$C$11,B59&gt;='2.2 Input_General_Information'!$H$20),$C$13/(1+EXP(-$C$15*(B59-(LN(1/$C$10-1)/$C$15+$C$9)))),)</f>
        <v>0.35116135072108279</v>
      </c>
      <c r="D59" s="460">
        <f ca="1">IF(B59&gt;='2.2 Input_General_Information'!$H$20,C59-VLOOKUP('2.2 Input_General_Information'!$H$20,$B$20:$C$60,2),0)</f>
        <v>0.20822007477480683</v>
      </c>
      <c r="E59" s="419"/>
      <c r="F59" s="419"/>
      <c r="G59" s="419"/>
      <c r="H59" s="419"/>
      <c r="I59" s="419"/>
      <c r="J59" s="419"/>
      <c r="K59" s="419"/>
      <c r="L59" s="461"/>
      <c r="M59" s="461"/>
      <c r="N59" s="461"/>
      <c r="O59" s="461"/>
      <c r="P59" s="461"/>
      <c r="Q59" s="461"/>
      <c r="R59" s="461"/>
      <c r="S59" s="461"/>
      <c r="T59" s="461"/>
      <c r="U59" s="461"/>
      <c r="V59" s="461"/>
      <c r="W59" s="461"/>
      <c r="X59" s="461"/>
      <c r="Y59" s="461"/>
    </row>
    <row r="60" spans="1:25">
      <c r="A60" s="455"/>
      <c r="B60" s="458">
        <f t="shared" si="0"/>
        <v>2058</v>
      </c>
      <c r="C60" s="459">
        <f>$C$13/(1+EXP(-((LN(1/$C$10-1)-LN(1/$C$12-1))/($C$11-$C$9))*(B60-(LN(1/$C$10-1)/((LN(1/$C$10-1)-LN(1/$C$12-1))/($C$11-$C$9))+$C$9))))</f>
        <v>0.35735318986568987</v>
      </c>
      <c r="D60" s="460">
        <f ca="1">IF(B60&gt;='2.2 Input_General_Information'!$H$20,C60-VLOOKUP('2.2 Input_General_Information'!$H$20,$B$20:$C$60,2),0)</f>
        <v>0.21441191391941392</v>
      </c>
      <c r="E60" s="419"/>
      <c r="F60" s="419"/>
      <c r="G60" s="419"/>
      <c r="H60" s="419"/>
      <c r="I60" s="419"/>
      <c r="J60" s="419"/>
      <c r="K60" s="419"/>
      <c r="L60" s="461"/>
      <c r="M60" s="461"/>
      <c r="N60" s="461"/>
      <c r="O60" s="461"/>
      <c r="P60" s="461"/>
      <c r="Q60" s="461"/>
      <c r="R60" s="461"/>
      <c r="S60" s="461"/>
      <c r="T60" s="461"/>
      <c r="U60" s="461"/>
      <c r="V60" s="461"/>
      <c r="W60" s="461"/>
      <c r="X60" s="461"/>
      <c r="Y60" s="461"/>
    </row>
    <row r="61" spans="1:25">
      <c r="A61" s="441"/>
      <c r="B61" s="462"/>
      <c r="C61" s="457"/>
      <c r="D61" s="444"/>
      <c r="E61" s="441"/>
      <c r="F61" s="441"/>
      <c r="G61" s="441"/>
      <c r="H61" s="441"/>
      <c r="I61" s="441"/>
      <c r="J61" s="441"/>
      <c r="K61" s="441"/>
      <c r="L61" s="441"/>
      <c r="M61" s="441"/>
      <c r="N61" s="441"/>
      <c r="O61" s="441"/>
      <c r="P61" s="441"/>
      <c r="Q61" s="441"/>
      <c r="R61" s="441"/>
      <c r="S61" s="441"/>
      <c r="T61" s="441"/>
      <c r="U61" s="441"/>
      <c r="V61" s="441"/>
      <c r="W61" s="441"/>
      <c r="X61" s="441"/>
      <c r="Y61" s="441"/>
    </row>
    <row r="62" spans="1:25">
      <c r="A62" s="1"/>
      <c r="B62" s="431" t="s">
        <v>926</v>
      </c>
      <c r="C62" s="432"/>
      <c r="D62" s="433"/>
      <c r="E62" s="434"/>
      <c r="F62" s="434"/>
      <c r="G62" s="434"/>
      <c r="H62" s="434"/>
      <c r="I62" s="435"/>
      <c r="J62" s="436"/>
      <c r="K62" s="437"/>
      <c r="L62" s="1"/>
      <c r="M62" s="1"/>
      <c r="N62" s="1"/>
      <c r="O62" s="1"/>
      <c r="P62" s="1"/>
      <c r="Q62" s="1"/>
      <c r="R62" s="1"/>
      <c r="S62" s="1"/>
      <c r="T62" s="1"/>
      <c r="U62" s="1"/>
      <c r="V62" s="1"/>
      <c r="W62" s="1"/>
      <c r="X62" s="1"/>
      <c r="Y62" s="1"/>
    </row>
    <row r="63" spans="1:25">
      <c r="A63" s="441"/>
      <c r="B63" s="418"/>
      <c r="C63" s="463"/>
      <c r="D63" s="441"/>
      <c r="E63" s="441"/>
      <c r="F63" s="441"/>
      <c r="G63" s="441"/>
      <c r="H63" s="441"/>
      <c r="I63" s="441"/>
      <c r="J63" s="441"/>
      <c r="K63" s="441"/>
      <c r="L63" s="441"/>
      <c r="M63" s="441"/>
      <c r="N63" s="441"/>
      <c r="O63" s="441"/>
      <c r="P63" s="441"/>
      <c r="Q63" s="441"/>
      <c r="R63" s="441"/>
      <c r="S63" s="441"/>
      <c r="T63" s="441"/>
      <c r="U63" s="441"/>
      <c r="V63" s="441"/>
      <c r="W63" s="441"/>
      <c r="X63" s="441"/>
      <c r="Y63" s="441"/>
    </row>
    <row r="64" spans="1:25" ht="15.75" thickBot="1">
      <c r="A64" s="441"/>
      <c r="B64" s="438" t="s">
        <v>916</v>
      </c>
      <c r="C64" s="464">
        <f ca="1">'2.2 Input_General_Information'!$H$20</f>
        <v>2018</v>
      </c>
      <c r="E64" s="440" t="s">
        <v>908</v>
      </c>
      <c r="F64" s="440" t="s">
        <v>917</v>
      </c>
      <c r="G64" s="441"/>
      <c r="H64" s="441"/>
      <c r="I64" s="441"/>
      <c r="J64" s="441"/>
      <c r="K64" s="441"/>
      <c r="L64" s="441"/>
      <c r="M64" s="441"/>
      <c r="N64" s="441"/>
      <c r="O64" s="441"/>
      <c r="P64" s="441"/>
      <c r="Q64" s="441"/>
      <c r="R64" s="441"/>
      <c r="S64" s="441"/>
      <c r="T64" s="441"/>
      <c r="U64" s="441"/>
      <c r="V64" s="441"/>
      <c r="W64" s="441"/>
      <c r="X64" s="441"/>
      <c r="Y64" s="441"/>
    </row>
    <row r="65" spans="1:25" ht="15.75" thickTop="1">
      <c r="A65" s="441"/>
      <c r="B65" s="442" t="s">
        <v>918</v>
      </c>
      <c r="C65" s="443">
        <f>'2.2 Input_General_Information'!H46</f>
        <v>0.59666666666666668</v>
      </c>
      <c r="E65" s="128">
        <f ca="1">'2.2 Input_General_Information'!H20</f>
        <v>2018</v>
      </c>
      <c r="F65" s="444">
        <f ca="1">VLOOKUP(E65,B75:C115,2,FALSE)</f>
        <v>0.50716666666666144</v>
      </c>
      <c r="G65" s="441"/>
      <c r="H65" s="441"/>
      <c r="I65" s="441"/>
      <c r="J65" s="441"/>
      <c r="K65" s="441"/>
      <c r="L65" s="441"/>
      <c r="M65" s="441"/>
      <c r="N65" s="441"/>
      <c r="O65" s="441"/>
      <c r="P65" s="441"/>
      <c r="Q65" s="441"/>
      <c r="R65" s="441"/>
      <c r="S65" s="441"/>
      <c r="T65" s="441"/>
      <c r="U65" s="441"/>
      <c r="V65" s="441"/>
      <c r="W65" s="441"/>
      <c r="X65" s="441"/>
      <c r="Y65" s="441"/>
    </row>
    <row r="66" spans="1:25">
      <c r="A66" s="441"/>
      <c r="B66" s="442" t="s">
        <v>919</v>
      </c>
      <c r="C66" s="465">
        <f ca="1">C64+('2.2 Input_General_Information'!H40/2)</f>
        <v>2019.5</v>
      </c>
      <c r="G66" s="441"/>
      <c r="H66" s="441"/>
      <c r="I66" s="441"/>
      <c r="J66" s="441"/>
      <c r="K66" s="441"/>
      <c r="L66" s="441"/>
      <c r="M66" s="441"/>
      <c r="N66" s="441"/>
      <c r="O66" s="441"/>
      <c r="P66" s="441"/>
      <c r="Q66" s="441"/>
      <c r="R66" s="441"/>
      <c r="S66" s="441"/>
      <c r="T66" s="441"/>
      <c r="U66" s="441"/>
      <c r="V66" s="441"/>
      <c r="W66" s="441"/>
      <c r="X66" s="441"/>
      <c r="Y66" s="441"/>
    </row>
    <row r="67" spans="1:25">
      <c r="A67" s="441"/>
      <c r="B67" s="442" t="s">
        <v>920</v>
      </c>
      <c r="C67" s="443">
        <f>(C68-C65)/2+C65</f>
        <v>0.72333333333333338</v>
      </c>
      <c r="G67" s="441"/>
      <c r="H67" s="441"/>
      <c r="I67" s="441"/>
      <c r="J67" s="441"/>
      <c r="K67" s="441"/>
      <c r="L67" s="441"/>
      <c r="M67" s="441"/>
      <c r="N67" s="441"/>
      <c r="O67" s="441"/>
      <c r="P67" s="441"/>
      <c r="Q67" s="441"/>
      <c r="R67" s="441"/>
      <c r="S67" s="441"/>
      <c r="T67" s="441"/>
      <c r="U67" s="441"/>
      <c r="V67" s="441"/>
      <c r="W67" s="441"/>
      <c r="X67" s="441"/>
      <c r="Y67" s="441"/>
    </row>
    <row r="68" spans="1:25">
      <c r="A68" s="441"/>
      <c r="B68" s="447" t="s">
        <v>921</v>
      </c>
      <c r="C68" s="448">
        <f>100%-'2.2 Input_General_Information'!H56</f>
        <v>0.85</v>
      </c>
      <c r="E68" s="466" t="s">
        <v>927</v>
      </c>
      <c r="F68" s="444">
        <f>C13-C10</f>
        <v>0.51470637973137978</v>
      </c>
      <c r="G68" s="441"/>
      <c r="I68" s="441"/>
      <c r="J68" s="441"/>
      <c r="K68" s="441"/>
      <c r="L68" s="441"/>
      <c r="M68" s="441"/>
      <c r="N68" s="441"/>
      <c r="O68" s="441"/>
      <c r="P68" s="441"/>
      <c r="Q68" s="441"/>
      <c r="R68" s="441"/>
      <c r="S68" s="441"/>
      <c r="T68" s="441"/>
      <c r="U68" s="441"/>
      <c r="V68" s="441"/>
      <c r="W68" s="441"/>
      <c r="X68" s="441"/>
      <c r="Y68" s="441"/>
    </row>
    <row r="69" spans="1:25">
      <c r="A69" s="441"/>
      <c r="B69" s="441"/>
      <c r="C69" s="441"/>
      <c r="D69" s="441"/>
      <c r="E69" s="466" t="s">
        <v>928</v>
      </c>
      <c r="F69" s="67">
        <f>(C11-C9)*2</f>
        <v>80</v>
      </c>
      <c r="G69" s="441"/>
      <c r="H69" s="441"/>
      <c r="I69" s="441"/>
      <c r="J69" s="441"/>
      <c r="K69" s="441"/>
      <c r="L69" s="441"/>
      <c r="M69" s="441"/>
      <c r="N69" s="441"/>
      <c r="O69" s="441"/>
      <c r="P69" s="441"/>
      <c r="Q69" s="441"/>
      <c r="R69" s="441"/>
      <c r="S69" s="441"/>
      <c r="T69" s="441"/>
      <c r="U69" s="441"/>
      <c r="V69" s="441"/>
      <c r="W69" s="441"/>
      <c r="X69" s="441"/>
      <c r="Y69" s="441"/>
    </row>
    <row r="70" spans="1:25">
      <c r="A70" s="441"/>
      <c r="B70" s="429" t="s">
        <v>922</v>
      </c>
      <c r="C70" s="467">
        <f ca="1">(LN(1/C65-1)-LN(1/C67-1))/(C66-C64)</f>
        <v>0.37964099033323179</v>
      </c>
      <c r="D70" s="419"/>
      <c r="E70" s="51" t="s">
        <v>929</v>
      </c>
      <c r="F70" s="468">
        <f>F68/F69</f>
        <v>6.4338297466422474E-3</v>
      </c>
      <c r="G70" s="441"/>
      <c r="H70" s="441"/>
      <c r="I70" s="441"/>
      <c r="J70" s="441"/>
      <c r="K70" s="441"/>
      <c r="L70" s="441"/>
      <c r="M70" s="441"/>
      <c r="N70" s="441"/>
      <c r="O70" s="441"/>
      <c r="P70" s="441"/>
      <c r="Q70" s="441"/>
      <c r="R70" s="441"/>
      <c r="S70" s="441"/>
      <c r="T70" s="441"/>
      <c r="U70" s="441"/>
      <c r="V70" s="441"/>
      <c r="W70" s="441"/>
      <c r="X70" s="441"/>
      <c r="Y70" s="441"/>
    </row>
    <row r="71" spans="1:25">
      <c r="A71" s="441"/>
      <c r="B71" s="418"/>
      <c r="C71" s="419"/>
      <c r="D71" s="419"/>
      <c r="E71" s="419"/>
      <c r="F71" s="441"/>
      <c r="G71" s="441"/>
      <c r="H71" s="441"/>
      <c r="I71" s="441"/>
      <c r="J71" s="441"/>
      <c r="K71" s="441"/>
      <c r="L71" s="441"/>
      <c r="M71" s="441"/>
      <c r="N71" s="441"/>
      <c r="O71" s="441"/>
      <c r="P71" s="441"/>
      <c r="Q71" s="441"/>
      <c r="R71" s="441"/>
      <c r="S71" s="441"/>
      <c r="T71" s="441"/>
      <c r="U71" s="441"/>
      <c r="V71" s="441"/>
      <c r="W71" s="441"/>
      <c r="X71" s="441"/>
      <c r="Y71" s="441"/>
    </row>
    <row r="72" spans="1:25">
      <c r="A72" s="441"/>
      <c r="B72" s="419"/>
      <c r="C72" s="419"/>
      <c r="D72" s="419"/>
      <c r="E72" s="419"/>
      <c r="F72" s="441"/>
      <c r="G72" s="441"/>
      <c r="H72" s="441"/>
      <c r="I72" s="441"/>
      <c r="J72" s="441"/>
      <c r="K72" s="441"/>
      <c r="L72" s="441"/>
      <c r="M72" s="441"/>
      <c r="N72" s="441"/>
      <c r="O72" s="441"/>
      <c r="P72" s="441"/>
      <c r="Q72" s="441"/>
      <c r="R72" s="441"/>
      <c r="S72" s="441"/>
      <c r="T72" s="441"/>
      <c r="U72" s="441"/>
      <c r="V72" s="441"/>
      <c r="W72" s="441"/>
      <c r="X72" s="441"/>
      <c r="Y72" s="441"/>
    </row>
    <row r="73" spans="1:25" ht="15.75" thickBot="1">
      <c r="A73" s="441"/>
      <c r="B73" s="453" t="s">
        <v>181</v>
      </c>
      <c r="C73" s="453" t="s">
        <v>924</v>
      </c>
      <c r="D73" s="454" t="s">
        <v>925</v>
      </c>
      <c r="E73" s="419"/>
      <c r="H73" s="441"/>
      <c r="I73" s="441"/>
      <c r="J73" s="441"/>
      <c r="K73" s="441"/>
      <c r="L73" s="441"/>
      <c r="M73" s="441"/>
      <c r="N73" s="441"/>
      <c r="O73" s="441"/>
      <c r="P73" s="441"/>
      <c r="Q73" s="441"/>
      <c r="R73" s="441"/>
      <c r="S73" s="441"/>
      <c r="T73" s="441"/>
      <c r="U73" s="441"/>
      <c r="V73" s="441"/>
      <c r="W73" s="441"/>
      <c r="X73" s="441"/>
      <c r="Y73" s="441"/>
    </row>
    <row r="74" spans="1:25" ht="5.25" customHeight="1" thickTop="1">
      <c r="A74" s="441"/>
      <c r="B74" s="456"/>
      <c r="C74" s="457"/>
      <c r="D74" s="128"/>
      <c r="E74" s="419"/>
      <c r="H74" s="441"/>
      <c r="I74" s="441"/>
      <c r="J74" s="441"/>
      <c r="K74" s="441"/>
      <c r="L74" s="441"/>
      <c r="M74" s="441"/>
      <c r="N74" s="441"/>
      <c r="O74" s="441"/>
      <c r="P74" s="441"/>
      <c r="Q74" s="441"/>
      <c r="R74" s="441"/>
      <c r="S74" s="441"/>
      <c r="T74" s="441"/>
      <c r="U74" s="441"/>
      <c r="V74" s="441"/>
      <c r="W74" s="441"/>
      <c r="X74" s="441"/>
      <c r="Y74" s="441"/>
    </row>
    <row r="75" spans="1:25">
      <c r="A75" s="441"/>
      <c r="B75" s="458">
        <f ca="1">C64</f>
        <v>2018</v>
      </c>
      <c r="C75" s="460">
        <f ca="1">IF(AND(B75&lt;=C66,B75&gt;='2.2 Input_General_Information'!$H$20),C68/(1+EXP(-C70*(B75-(LN(1/C65-1)/C70+C64)))),)</f>
        <v>0.50716666666666144</v>
      </c>
      <c r="D75" s="460">
        <f ca="1">IF(B75&gt;='2.2 Input_General_Information'!$H$20,C75-VLOOKUP('2.2 Input_General_Information'!$H$20,$B$75:$C$115,2),0)</f>
        <v>0</v>
      </c>
      <c r="E75" s="419"/>
      <c r="H75" s="441"/>
      <c r="I75" s="441"/>
      <c r="J75" s="441"/>
      <c r="K75" s="441"/>
      <c r="L75" s="441"/>
      <c r="M75" s="441"/>
      <c r="N75" s="441"/>
      <c r="O75" s="441"/>
      <c r="P75" s="441"/>
      <c r="Q75" s="441"/>
      <c r="R75" s="441"/>
      <c r="S75" s="441"/>
      <c r="T75" s="441"/>
      <c r="U75" s="441"/>
      <c r="V75" s="441"/>
      <c r="W75" s="441"/>
      <c r="X75" s="441"/>
      <c r="Y75" s="441"/>
    </row>
    <row r="76" spans="1:25">
      <c r="A76" s="441"/>
      <c r="B76" s="458">
        <f t="shared" ref="B76:B115" ca="1" si="1">B75+1</f>
        <v>2019</v>
      </c>
      <c r="C76" s="459">
        <f t="shared" ref="C76:C115" ca="1" si="2">$C$68/(1+EXP(-$C$70*(B76-(LN(1/$C$65-1)/$C$70+$C$64))))</f>
        <v>0.58122002003843232</v>
      </c>
      <c r="D76" s="460">
        <f ca="1">IF(B76&gt;='2.2 Input_General_Information'!$H$20,C76-VLOOKUP('2.2 Input_General_Information'!$H$20,$B$75:$C$115,2),0)</f>
        <v>7.405335337177088E-2</v>
      </c>
      <c r="E76" s="419"/>
      <c r="F76" s="441"/>
      <c r="G76" s="441"/>
      <c r="H76" s="441"/>
      <c r="I76" s="441"/>
      <c r="J76" s="441"/>
      <c r="K76" s="441"/>
      <c r="L76" s="441"/>
      <c r="M76" s="441"/>
      <c r="N76" s="441"/>
      <c r="O76" s="441"/>
      <c r="P76" s="441"/>
      <c r="Q76" s="441"/>
      <c r="R76" s="441"/>
      <c r="S76" s="441"/>
      <c r="T76" s="441"/>
      <c r="U76" s="441"/>
      <c r="V76" s="441"/>
      <c r="W76" s="441"/>
      <c r="X76" s="441"/>
      <c r="Y76" s="441"/>
    </row>
    <row r="77" spans="1:25">
      <c r="A77" s="441"/>
      <c r="B77" s="458">
        <f t="shared" ca="1" si="1"/>
        <v>2020</v>
      </c>
      <c r="C77" s="459">
        <f t="shared" ca="1" si="2"/>
        <v>0.64572044528905226</v>
      </c>
      <c r="D77" s="460">
        <f ca="1">IF(B77&gt;='2.2 Input_General_Information'!$H$20,C77-VLOOKUP('2.2 Input_General_Information'!$H$20,$B$75:$C$115,2),0)</f>
        <v>0.13855377862239082</v>
      </c>
      <c r="E77" s="419"/>
      <c r="F77" s="441"/>
      <c r="G77" s="441"/>
      <c r="H77" s="441"/>
      <c r="I77" s="441"/>
      <c r="J77" s="441"/>
      <c r="K77" s="441"/>
      <c r="L77" s="441"/>
      <c r="M77" s="441"/>
      <c r="N77" s="441"/>
      <c r="O77" s="441"/>
      <c r="P77" s="441"/>
      <c r="Q77" s="441"/>
      <c r="R77" s="441"/>
      <c r="S77" s="441"/>
      <c r="T77" s="441"/>
      <c r="U77" s="441"/>
      <c r="V77" s="441"/>
      <c r="W77" s="441"/>
      <c r="X77" s="441"/>
      <c r="Y77" s="441"/>
    </row>
    <row r="78" spans="1:25">
      <c r="A78" s="441"/>
      <c r="B78" s="458">
        <f t="shared" ca="1" si="1"/>
        <v>2021</v>
      </c>
      <c r="C78" s="459">
        <f t="shared" ca="1" si="2"/>
        <v>0.69876980623006801</v>
      </c>
      <c r="D78" s="460">
        <f ca="1">IF(B78&gt;='2.2 Input_General_Information'!$H$20,C78-VLOOKUP('2.2 Input_General_Information'!$H$20,$B$75:$C$115,2),0)</f>
        <v>0.19160313956340658</v>
      </c>
      <c r="E78" s="419"/>
      <c r="F78" s="441"/>
      <c r="G78" s="441"/>
      <c r="H78" s="441"/>
      <c r="I78" s="441"/>
      <c r="J78" s="441"/>
      <c r="K78" s="441"/>
      <c r="L78" s="441"/>
      <c r="M78" s="441"/>
      <c r="N78" s="441"/>
      <c r="O78" s="441"/>
      <c r="P78" s="441"/>
      <c r="Q78" s="441"/>
      <c r="R78" s="441"/>
      <c r="S78" s="441"/>
      <c r="T78" s="441"/>
      <c r="U78" s="441"/>
      <c r="V78" s="441"/>
      <c r="W78" s="441"/>
      <c r="X78" s="441"/>
      <c r="Y78" s="441"/>
    </row>
    <row r="79" spans="1:25">
      <c r="A79" s="441"/>
      <c r="B79" s="458">
        <f t="shared" ca="1" si="1"/>
        <v>2022</v>
      </c>
      <c r="C79" s="459">
        <f t="shared" ca="1" si="2"/>
        <v>0.74038147933521214</v>
      </c>
      <c r="D79" s="460">
        <f ca="1">IF(B79&gt;='2.2 Input_General_Information'!$H$20,C79-VLOOKUP('2.2 Input_General_Information'!$H$20,$B$75:$C$115,2),0)</f>
        <v>0.23321481266855071</v>
      </c>
      <c r="E79" s="419"/>
      <c r="F79" s="441"/>
      <c r="G79" s="441"/>
      <c r="H79" s="441"/>
      <c r="I79" s="441"/>
      <c r="J79" s="441"/>
      <c r="K79" s="441"/>
      <c r="L79" s="441"/>
      <c r="M79" s="441"/>
      <c r="N79" s="441"/>
      <c r="O79" s="441"/>
      <c r="P79" s="441"/>
      <c r="Q79" s="441"/>
      <c r="R79" s="441"/>
      <c r="S79" s="441"/>
      <c r="T79" s="441"/>
      <c r="U79" s="441"/>
      <c r="V79" s="441"/>
      <c r="W79" s="441"/>
      <c r="X79" s="441"/>
      <c r="Y79" s="441"/>
    </row>
    <row r="80" spans="1:25">
      <c r="A80" s="441"/>
      <c r="B80" s="458">
        <f t="shared" ca="1" si="1"/>
        <v>2023</v>
      </c>
      <c r="C80" s="459">
        <f t="shared" ca="1" si="2"/>
        <v>0.771824451627938</v>
      </c>
      <c r="D80" s="460">
        <f ca="1">IF(B80&gt;='2.2 Input_General_Information'!$H$20,C80-VLOOKUP('2.2 Input_General_Information'!$H$20,$B$75:$C$115,2),0)</f>
        <v>0.26465778496127657</v>
      </c>
      <c r="E80" s="419"/>
      <c r="F80" s="441"/>
      <c r="G80" s="441"/>
      <c r="H80" s="441"/>
      <c r="I80" s="441"/>
      <c r="J80" s="441"/>
      <c r="K80" s="441"/>
      <c r="L80" s="441"/>
      <c r="M80" s="441"/>
      <c r="N80" s="441"/>
      <c r="O80" s="441"/>
      <c r="P80" s="441"/>
      <c r="Q80" s="441"/>
      <c r="R80" s="441"/>
      <c r="S80" s="441"/>
      <c r="T80" s="441"/>
      <c r="U80" s="441"/>
      <c r="V80" s="441"/>
      <c r="W80" s="441"/>
      <c r="X80" s="441"/>
      <c r="Y80" s="441"/>
    </row>
    <row r="81" spans="1:25">
      <c r="A81" s="441"/>
      <c r="B81" s="458">
        <f t="shared" ca="1" si="1"/>
        <v>2024</v>
      </c>
      <c r="C81" s="459">
        <f t="shared" ca="1" si="2"/>
        <v>0.79491929921405713</v>
      </c>
      <c r="D81" s="460">
        <f ca="1">IF(B81&gt;='2.2 Input_General_Information'!$H$20,C81-VLOOKUP('2.2 Input_General_Information'!$H$20,$B$75:$C$115,2),0)</f>
        <v>0.28775263254739569</v>
      </c>
      <c r="E81" s="419"/>
      <c r="F81" s="441"/>
      <c r="G81" s="441"/>
      <c r="H81" s="441"/>
      <c r="I81" s="441"/>
      <c r="J81" s="441"/>
      <c r="K81" s="441"/>
      <c r="L81" s="441"/>
      <c r="M81" s="441"/>
      <c r="N81" s="441"/>
      <c r="O81" s="441"/>
      <c r="P81" s="441"/>
      <c r="Q81" s="441"/>
      <c r="R81" s="441"/>
      <c r="S81" s="441"/>
      <c r="T81" s="441"/>
      <c r="U81" s="441"/>
      <c r="V81" s="441"/>
      <c r="W81" s="441"/>
      <c r="X81" s="441"/>
      <c r="Y81" s="441"/>
    </row>
    <row r="82" spans="1:25">
      <c r="A82" s="441"/>
      <c r="B82" s="458">
        <f t="shared" ca="1" si="1"/>
        <v>2025</v>
      </c>
      <c r="C82" s="459">
        <f t="shared" ca="1" si="2"/>
        <v>0.8115314527666041</v>
      </c>
      <c r="D82" s="460">
        <f ca="1">IF(B82&gt;='2.2 Input_General_Information'!$H$20,C82-VLOOKUP('2.2 Input_General_Information'!$H$20,$B$75:$C$115,2),0)</f>
        <v>0.30436478609994266</v>
      </c>
      <c r="E82" s="419"/>
      <c r="F82" s="441"/>
      <c r="G82" s="441"/>
      <c r="H82" s="441"/>
      <c r="I82" s="441"/>
      <c r="J82" s="441"/>
      <c r="K82" s="441"/>
      <c r="L82" s="441"/>
      <c r="M82" s="441"/>
      <c r="N82" s="441"/>
      <c r="O82" s="441"/>
      <c r="P82" s="441"/>
      <c r="Q82" s="441"/>
      <c r="R82" s="441"/>
      <c r="S82" s="441"/>
      <c r="T82" s="441"/>
      <c r="U82" s="441"/>
      <c r="V82" s="441"/>
      <c r="W82" s="441"/>
      <c r="X82" s="441"/>
      <c r="Y82" s="441"/>
    </row>
    <row r="83" spans="1:25">
      <c r="A83" s="441"/>
      <c r="B83" s="458">
        <f t="shared" ca="1" si="1"/>
        <v>2026</v>
      </c>
      <c r="C83" s="459">
        <f t="shared" ca="1" si="2"/>
        <v>0.82330170922451595</v>
      </c>
      <c r="D83" s="460">
        <f ca="1">IF(B83&gt;='2.2 Input_General_Information'!$H$20,C83-VLOOKUP('2.2 Input_General_Information'!$H$20,$B$75:$C$115,2),0)</f>
        <v>0.31613504255785452</v>
      </c>
      <c r="E83" s="419"/>
      <c r="F83" s="441"/>
      <c r="G83" s="441"/>
      <c r="H83" s="441"/>
      <c r="I83" s="441"/>
      <c r="J83" s="441"/>
      <c r="K83" s="441"/>
      <c r="L83" s="441"/>
      <c r="M83" s="441"/>
      <c r="N83" s="441"/>
      <c r="O83" s="441"/>
      <c r="P83" s="441"/>
      <c r="Q83" s="441"/>
      <c r="R83" s="441"/>
      <c r="S83" s="441"/>
      <c r="T83" s="441"/>
      <c r="U83" s="441"/>
      <c r="V83" s="441"/>
      <c r="W83" s="441"/>
      <c r="X83" s="441"/>
      <c r="Y83" s="441"/>
    </row>
    <row r="84" spans="1:25">
      <c r="A84" s="441"/>
      <c r="B84" s="458">
        <f t="shared" ca="1" si="1"/>
        <v>2027</v>
      </c>
      <c r="C84" s="459">
        <f t="shared" ca="1" si="2"/>
        <v>0.83155247469154825</v>
      </c>
      <c r="D84" s="460">
        <f ca="1">IF(B84&gt;='2.2 Input_General_Information'!$H$20,C84-VLOOKUP('2.2 Input_General_Information'!$H$20,$B$75:$C$115,2),0)</f>
        <v>0.32438580802488681</v>
      </c>
      <c r="E84" s="419"/>
      <c r="F84" s="441"/>
      <c r="G84" s="441"/>
      <c r="H84" s="441"/>
      <c r="I84" s="441"/>
      <c r="J84" s="441"/>
      <c r="K84" s="441"/>
      <c r="L84" s="441"/>
      <c r="M84" s="441"/>
      <c r="N84" s="441"/>
      <c r="O84" s="441"/>
      <c r="P84" s="441"/>
      <c r="Q84" s="441"/>
      <c r="R84" s="441"/>
      <c r="S84" s="441"/>
      <c r="T84" s="441"/>
      <c r="U84" s="441"/>
      <c r="V84" s="441"/>
      <c r="W84" s="441"/>
      <c r="X84" s="441"/>
      <c r="Y84" s="441"/>
    </row>
    <row r="85" spans="1:25">
      <c r="A85" s="441"/>
      <c r="B85" s="458">
        <f t="shared" ca="1" si="1"/>
        <v>2028</v>
      </c>
      <c r="C85" s="459">
        <f t="shared" ca="1" si="2"/>
        <v>0.83729280119447091</v>
      </c>
      <c r="D85" s="460">
        <f ca="1">IF(B85&gt;='2.2 Input_General_Information'!$H$20,C85-VLOOKUP('2.2 Input_General_Information'!$H$20,$B$75:$C$115,2),0)</f>
        <v>0.33012613452780948</v>
      </c>
      <c r="E85" s="441"/>
      <c r="F85" s="441"/>
      <c r="G85" s="441"/>
      <c r="H85" s="441"/>
      <c r="I85" s="441"/>
      <c r="J85" s="441"/>
      <c r="K85" s="441"/>
      <c r="L85" s="441"/>
      <c r="M85" s="441"/>
      <c r="N85" s="441"/>
      <c r="O85" s="441"/>
      <c r="P85" s="441"/>
      <c r="Q85" s="441"/>
      <c r="R85" s="441"/>
      <c r="S85" s="441"/>
      <c r="T85" s="441"/>
      <c r="U85" s="441"/>
      <c r="V85" s="441"/>
      <c r="W85" s="441"/>
      <c r="X85" s="441"/>
      <c r="Y85" s="441"/>
    </row>
    <row r="86" spans="1:25">
      <c r="A86" s="441"/>
      <c r="B86" s="458">
        <f t="shared" ca="1" si="1"/>
        <v>2029</v>
      </c>
      <c r="C86" s="459">
        <f t="shared" ca="1" si="2"/>
        <v>0.84126566899555089</v>
      </c>
      <c r="D86" s="460">
        <f ca="1">IF(B86&gt;='2.2 Input_General_Information'!$H$20,C86-VLOOKUP('2.2 Input_General_Information'!$H$20,$B$75:$C$115,2),0)</f>
        <v>0.33409900232888945</v>
      </c>
      <c r="E86" s="441"/>
      <c r="F86" s="441"/>
      <c r="G86" s="441"/>
      <c r="H86" s="441"/>
      <c r="I86" s="441"/>
      <c r="J86" s="441"/>
      <c r="K86" s="441"/>
      <c r="L86" s="441"/>
      <c r="M86" s="441"/>
      <c r="N86" s="441"/>
      <c r="O86" s="441"/>
      <c r="P86" s="441"/>
      <c r="Q86" s="441"/>
      <c r="R86" s="441"/>
      <c r="S86" s="441"/>
      <c r="T86" s="441"/>
      <c r="U86" s="441"/>
      <c r="V86" s="441"/>
      <c r="W86" s="441"/>
      <c r="X86" s="441"/>
      <c r="Y86" s="441"/>
    </row>
    <row r="87" spans="1:25">
      <c r="A87" s="441"/>
      <c r="B87" s="458">
        <f t="shared" ca="1" si="1"/>
        <v>2030</v>
      </c>
      <c r="C87" s="459">
        <f t="shared" ca="1" si="2"/>
        <v>0.8440053244975686</v>
      </c>
      <c r="D87" s="460">
        <f ca="1">IF(B87&gt;='2.2 Input_General_Information'!$H$20,C87-VLOOKUP('2.2 Input_General_Information'!$H$20,$B$75:$C$115,2),0)</f>
        <v>0.33683865783090716</v>
      </c>
      <c r="E87" s="441"/>
      <c r="F87" s="441"/>
      <c r="G87" s="441"/>
      <c r="H87" s="441"/>
      <c r="I87" s="441"/>
      <c r="J87" s="441"/>
      <c r="K87" s="441"/>
      <c r="L87" s="441"/>
      <c r="M87" s="441"/>
      <c r="N87" s="441"/>
      <c r="O87" s="441"/>
      <c r="P87" s="441"/>
      <c r="Q87" s="441"/>
      <c r="R87" s="441"/>
      <c r="S87" s="441"/>
      <c r="T87" s="441"/>
      <c r="U87" s="441"/>
      <c r="V87" s="441"/>
      <c r="W87" s="441"/>
      <c r="X87" s="441"/>
      <c r="Y87" s="441"/>
    </row>
    <row r="88" spans="1:25">
      <c r="A88" s="441"/>
      <c r="B88" s="458">
        <f t="shared" ca="1" si="1"/>
        <v>2031</v>
      </c>
      <c r="C88" s="459">
        <f t="shared" ca="1" si="2"/>
        <v>0.84588984389969646</v>
      </c>
      <c r="D88" s="460">
        <f ca="1">IF(B88&gt;='2.2 Input_General_Information'!$H$20,C88-VLOOKUP('2.2 Input_General_Information'!$H$20,$B$75:$C$115,2),0)</f>
        <v>0.33872317723303502</v>
      </c>
      <c r="E88" s="441"/>
      <c r="F88" s="441"/>
      <c r="G88" s="441"/>
      <c r="H88" s="441"/>
      <c r="I88" s="441"/>
      <c r="J88" s="441"/>
      <c r="K88" s="441"/>
      <c r="L88" s="441"/>
      <c r="M88" s="441"/>
      <c r="N88" s="441"/>
      <c r="O88" s="441"/>
      <c r="P88" s="441"/>
      <c r="Q88" s="441"/>
      <c r="R88" s="441"/>
      <c r="S88" s="441"/>
      <c r="T88" s="441"/>
      <c r="U88" s="441"/>
      <c r="V88" s="441"/>
      <c r="W88" s="441"/>
      <c r="X88" s="441"/>
      <c r="Y88" s="441"/>
    </row>
    <row r="89" spans="1:25">
      <c r="A89" s="441"/>
      <c r="B89" s="458">
        <f t="shared" ca="1" si="1"/>
        <v>2032</v>
      </c>
      <c r="C89" s="459">
        <f t="shared" ca="1" si="2"/>
        <v>0.84718391202307919</v>
      </c>
      <c r="D89" s="460">
        <f ca="1">IF(B89&gt;='2.2 Input_General_Information'!$H$20,C89-VLOOKUP('2.2 Input_General_Information'!$H$20,$B$75:$C$115,2),0)</f>
        <v>0.34001724535641775</v>
      </c>
      <c r="E89" s="441"/>
      <c r="F89" s="441"/>
      <c r="G89" s="441"/>
      <c r="H89" s="441"/>
      <c r="I89" s="441"/>
      <c r="J89" s="441"/>
      <c r="K89" s="441"/>
      <c r="L89" s="441"/>
      <c r="M89" s="441"/>
      <c r="N89" s="441"/>
      <c r="O89" s="441"/>
      <c r="P89" s="441"/>
      <c r="Q89" s="441"/>
      <c r="R89" s="441"/>
      <c r="S89" s="441"/>
      <c r="T89" s="441"/>
      <c r="U89" s="441"/>
      <c r="V89" s="441"/>
      <c r="W89" s="441"/>
      <c r="X89" s="441"/>
      <c r="Y89" s="441"/>
    </row>
    <row r="90" spans="1:25">
      <c r="A90" s="441"/>
      <c r="B90" s="458">
        <f t="shared" ca="1" si="1"/>
        <v>2033</v>
      </c>
      <c r="C90" s="459">
        <f t="shared" ca="1" si="2"/>
        <v>0.84807147626699642</v>
      </c>
      <c r="D90" s="460">
        <f ca="1">IF(B90&gt;='2.2 Input_General_Information'!$H$20,C90-VLOOKUP('2.2 Input_General_Information'!$H$20,$B$75:$C$115,2),0)</f>
        <v>0.34090480960033498</v>
      </c>
      <c r="E90" s="441"/>
      <c r="F90" s="441"/>
      <c r="G90" s="441"/>
      <c r="H90" s="441"/>
      <c r="I90" s="441"/>
      <c r="J90" s="441"/>
      <c r="K90" s="441"/>
      <c r="L90" s="441"/>
      <c r="M90" s="441"/>
      <c r="N90" s="441"/>
      <c r="O90" s="441"/>
      <c r="P90" s="441"/>
      <c r="Q90" s="441"/>
      <c r="R90" s="441"/>
      <c r="S90" s="441"/>
      <c r="T90" s="441"/>
      <c r="U90" s="441"/>
      <c r="V90" s="441"/>
      <c r="W90" s="441"/>
      <c r="X90" s="441"/>
      <c r="Y90" s="441"/>
    </row>
    <row r="91" spans="1:25">
      <c r="A91" s="441"/>
      <c r="B91" s="458">
        <f t="shared" ca="1" si="1"/>
        <v>2034</v>
      </c>
      <c r="C91" s="459">
        <f t="shared" ca="1" si="2"/>
        <v>0.84867973722857826</v>
      </c>
      <c r="D91" s="460">
        <f ca="1">IF(B91&gt;='2.2 Input_General_Information'!$H$20,C91-VLOOKUP('2.2 Input_General_Information'!$H$20,$B$75:$C$115,2),0)</f>
        <v>0.34151307056191682</v>
      </c>
      <c r="E91" s="419"/>
      <c r="F91" s="441"/>
      <c r="G91" s="441"/>
      <c r="H91" s="441"/>
      <c r="I91" s="441"/>
      <c r="J91" s="441"/>
      <c r="K91" s="441"/>
      <c r="L91" s="441"/>
      <c r="M91" s="441"/>
      <c r="N91" s="441"/>
      <c r="O91" s="441"/>
      <c r="P91" s="441"/>
      <c r="Q91" s="441"/>
      <c r="R91" s="441"/>
      <c r="S91" s="441"/>
      <c r="T91" s="441"/>
      <c r="U91" s="441"/>
      <c r="V91" s="441"/>
      <c r="W91" s="441"/>
      <c r="X91" s="441"/>
      <c r="Y91" s="441"/>
    </row>
    <row r="92" spans="1:25">
      <c r="A92" s="441"/>
      <c r="B92" s="458">
        <f t="shared" ca="1" si="1"/>
        <v>2035</v>
      </c>
      <c r="C92" s="459">
        <f t="shared" ca="1" si="2"/>
        <v>0.84909635565793196</v>
      </c>
      <c r="D92" s="460">
        <f ca="1">IF(B92&gt;='2.2 Input_General_Information'!$H$20,C92-VLOOKUP('2.2 Input_General_Information'!$H$20,$B$75:$C$115,2),0)</f>
        <v>0.34192968899127052</v>
      </c>
      <c r="E92" s="419"/>
      <c r="F92" s="441"/>
      <c r="G92" s="441"/>
      <c r="H92" s="441"/>
      <c r="I92" s="441"/>
      <c r="J92" s="441"/>
      <c r="K92" s="441"/>
      <c r="L92" s="441"/>
      <c r="M92" s="441"/>
      <c r="N92" s="441"/>
      <c r="O92" s="441"/>
      <c r="P92" s="441"/>
      <c r="Q92" s="441"/>
      <c r="R92" s="441"/>
      <c r="S92" s="441"/>
      <c r="T92" s="441"/>
      <c r="U92" s="441"/>
      <c r="V92" s="441"/>
      <c r="W92" s="441"/>
      <c r="X92" s="441"/>
      <c r="Y92" s="441"/>
    </row>
    <row r="93" spans="1:25">
      <c r="A93" s="441"/>
      <c r="B93" s="458">
        <f t="shared" ca="1" si="1"/>
        <v>2036</v>
      </c>
      <c r="C93" s="459">
        <f t="shared" ca="1" si="2"/>
        <v>0.84938160293478537</v>
      </c>
      <c r="D93" s="460">
        <f ca="1">IF(B93&gt;='2.2 Input_General_Information'!$H$20,C93-VLOOKUP('2.2 Input_General_Information'!$H$20,$B$75:$C$115,2),0)</f>
        <v>0.34221493626812394</v>
      </c>
      <c r="E93" s="419"/>
      <c r="F93" s="441"/>
      <c r="G93" s="441"/>
      <c r="H93" s="441"/>
      <c r="I93" s="441"/>
      <c r="J93" s="441"/>
      <c r="K93" s="441"/>
      <c r="L93" s="441"/>
      <c r="M93" s="441"/>
      <c r="N93" s="441"/>
      <c r="O93" s="441"/>
      <c r="P93" s="441"/>
      <c r="Q93" s="441"/>
      <c r="R93" s="441"/>
      <c r="S93" s="441"/>
      <c r="T93" s="441"/>
      <c r="U93" s="441"/>
      <c r="V93" s="441"/>
      <c r="W93" s="441"/>
      <c r="X93" s="441"/>
      <c r="Y93" s="441"/>
    </row>
    <row r="94" spans="1:25">
      <c r="A94" s="441"/>
      <c r="B94" s="458">
        <f t="shared" ca="1" si="1"/>
        <v>2037</v>
      </c>
      <c r="C94" s="459">
        <f t="shared" ca="1" si="2"/>
        <v>0.84957685301204056</v>
      </c>
      <c r="D94" s="460">
        <f ca="1">IF(B94&gt;='2.2 Input_General_Information'!$H$20,C94-VLOOKUP('2.2 Input_General_Information'!$H$20,$B$75:$C$115,2),0)</f>
        <v>0.34241018634537912</v>
      </c>
      <c r="E94" s="419"/>
      <c r="F94" s="441"/>
      <c r="G94" s="441"/>
      <c r="H94" s="441"/>
      <c r="I94" s="441"/>
      <c r="J94" s="441"/>
      <c r="K94" s="441"/>
      <c r="L94" s="441"/>
      <c r="M94" s="441"/>
      <c r="N94" s="441"/>
      <c r="O94" s="441"/>
      <c r="P94" s="441"/>
      <c r="Q94" s="441"/>
      <c r="R94" s="441"/>
      <c r="S94" s="441"/>
      <c r="T94" s="441"/>
      <c r="U94" s="441"/>
      <c r="V94" s="441"/>
      <c r="W94" s="441"/>
      <c r="X94" s="441"/>
      <c r="Y94" s="441"/>
    </row>
    <row r="95" spans="1:25">
      <c r="A95" s="441"/>
      <c r="B95" s="458">
        <f t="shared" ca="1" si="1"/>
        <v>2038</v>
      </c>
      <c r="C95" s="459">
        <f t="shared" ca="1" si="2"/>
        <v>0.84971047666801236</v>
      </c>
      <c r="D95" s="460">
        <f ca="1">IF(B95&gt;='2.2 Input_General_Information'!$H$20,C95-VLOOKUP('2.2 Input_General_Information'!$H$20,$B$75:$C$115,2),0)</f>
        <v>0.34254381000135092</v>
      </c>
      <c r="E95" s="419"/>
      <c r="F95" s="441"/>
      <c r="G95" s="441"/>
      <c r="H95" s="441"/>
      <c r="I95" s="441"/>
      <c r="J95" s="441"/>
      <c r="K95" s="441"/>
      <c r="L95" s="441"/>
      <c r="M95" s="441"/>
      <c r="N95" s="441"/>
      <c r="O95" s="441"/>
      <c r="P95" s="441"/>
      <c r="Q95" s="441"/>
      <c r="R95" s="441"/>
      <c r="S95" s="441"/>
      <c r="T95" s="441"/>
      <c r="U95" s="441"/>
      <c r="V95" s="441"/>
      <c r="W95" s="441"/>
      <c r="X95" s="441"/>
      <c r="Y95" s="441"/>
    </row>
    <row r="96" spans="1:25">
      <c r="A96" s="441"/>
      <c r="B96" s="458">
        <f t="shared" ca="1" si="1"/>
        <v>2039</v>
      </c>
      <c r="C96" s="459">
        <f t="shared" ca="1" si="2"/>
        <v>0.84980191375801806</v>
      </c>
      <c r="D96" s="460">
        <f ca="1">IF(B96&gt;='2.2 Input_General_Information'!$H$20,C96-VLOOKUP('2.2 Input_General_Information'!$H$20,$B$75:$C$115,2),0)</f>
        <v>0.34263524709135662</v>
      </c>
      <c r="E96" s="419"/>
      <c r="F96" s="441"/>
      <c r="G96" s="441"/>
      <c r="H96" s="441"/>
      <c r="I96" s="441"/>
      <c r="J96" s="441"/>
      <c r="K96" s="441"/>
      <c r="L96" s="441"/>
      <c r="M96" s="441"/>
      <c r="N96" s="441"/>
      <c r="O96" s="441"/>
      <c r="P96" s="441"/>
      <c r="Q96" s="441"/>
      <c r="R96" s="441"/>
      <c r="S96" s="441"/>
      <c r="T96" s="441"/>
      <c r="U96" s="441"/>
      <c r="V96" s="441"/>
      <c r="W96" s="441"/>
      <c r="X96" s="441"/>
      <c r="Y96" s="441"/>
    </row>
    <row r="97" spans="1:25">
      <c r="A97" s="441"/>
      <c r="B97" s="458">
        <f t="shared" ca="1" si="1"/>
        <v>2040</v>
      </c>
      <c r="C97" s="459">
        <f t="shared" ca="1" si="2"/>
        <v>0.84986447784528985</v>
      </c>
      <c r="D97" s="460">
        <f ca="1">IF(B97&gt;='2.2 Input_General_Information'!$H$20,C97-VLOOKUP('2.2 Input_General_Information'!$H$20,$B$75:$C$115,2),0)</f>
        <v>0.34269781117862841</v>
      </c>
      <c r="E97" s="419"/>
      <c r="F97" s="441"/>
      <c r="G97" s="441"/>
      <c r="H97" s="441"/>
      <c r="I97" s="441"/>
      <c r="J97" s="441"/>
      <c r="K97" s="441"/>
      <c r="L97" s="441"/>
      <c r="M97" s="441"/>
      <c r="N97" s="441"/>
      <c r="O97" s="441"/>
      <c r="P97" s="441"/>
      <c r="Q97" s="441"/>
      <c r="R97" s="441"/>
      <c r="S97" s="441"/>
      <c r="T97" s="441"/>
      <c r="U97" s="441"/>
      <c r="V97" s="441"/>
      <c r="W97" s="441"/>
      <c r="X97" s="441"/>
      <c r="Y97" s="441"/>
    </row>
    <row r="98" spans="1:25">
      <c r="A98" s="441"/>
      <c r="B98" s="458">
        <f t="shared" ca="1" si="1"/>
        <v>2041</v>
      </c>
      <c r="C98" s="459">
        <f t="shared" ca="1" si="2"/>
        <v>0.84990728368021051</v>
      </c>
      <c r="D98" s="460">
        <f ca="1">IF(B98&gt;='2.2 Input_General_Information'!$H$20,C98-VLOOKUP('2.2 Input_General_Information'!$H$20,$B$75:$C$115,2),0)</f>
        <v>0.34274061701354908</v>
      </c>
      <c r="E98" s="419"/>
      <c r="F98" s="441"/>
      <c r="G98" s="441"/>
      <c r="H98" s="441"/>
      <c r="I98" s="441"/>
      <c r="J98" s="441"/>
      <c r="K98" s="441"/>
      <c r="L98" s="441"/>
      <c r="M98" s="441"/>
      <c r="N98" s="441"/>
      <c r="O98" s="441"/>
      <c r="P98" s="441"/>
      <c r="Q98" s="441"/>
      <c r="R98" s="441"/>
      <c r="S98" s="441"/>
      <c r="T98" s="441"/>
      <c r="U98" s="441"/>
      <c r="V98" s="441"/>
      <c r="W98" s="441"/>
      <c r="X98" s="441"/>
      <c r="Y98" s="441"/>
    </row>
    <row r="99" spans="1:25">
      <c r="A99" s="441"/>
      <c r="B99" s="458">
        <f t="shared" ca="1" si="1"/>
        <v>2042</v>
      </c>
      <c r="C99" s="459">
        <f t="shared" ca="1" si="2"/>
        <v>0.84993656993414757</v>
      </c>
      <c r="D99" s="460">
        <f ca="1">IF(B99&gt;='2.2 Input_General_Information'!$H$20,C99-VLOOKUP('2.2 Input_General_Information'!$H$20,$B$75:$C$115,2),0)</f>
        <v>0.34276990326748613</v>
      </c>
      <c r="E99" s="419"/>
      <c r="F99" s="441"/>
      <c r="G99" s="441"/>
      <c r="H99" s="441"/>
      <c r="I99" s="441"/>
      <c r="J99" s="441"/>
      <c r="K99" s="441"/>
      <c r="L99" s="441"/>
      <c r="M99" s="441"/>
      <c r="N99" s="441"/>
      <c r="O99" s="441"/>
      <c r="P99" s="441"/>
      <c r="Q99" s="441"/>
      <c r="R99" s="441"/>
      <c r="S99" s="441"/>
      <c r="T99" s="441"/>
      <c r="U99" s="441"/>
      <c r="V99" s="441"/>
      <c r="W99" s="441"/>
      <c r="X99" s="441"/>
      <c r="Y99" s="441"/>
    </row>
    <row r="100" spans="1:25">
      <c r="A100" s="441"/>
      <c r="B100" s="458">
        <f t="shared" ca="1" si="1"/>
        <v>2043</v>
      </c>
      <c r="C100" s="459">
        <f t="shared" ca="1" si="2"/>
        <v>0.84995660602715795</v>
      </c>
      <c r="D100" s="460">
        <f ca="1">IF(B100&gt;='2.2 Input_General_Information'!$H$20,C100-VLOOKUP('2.2 Input_General_Information'!$H$20,$B$75:$C$115,2),0)</f>
        <v>0.34278993936049651</v>
      </c>
      <c r="E100" s="419"/>
      <c r="F100" s="441"/>
      <c r="G100" s="441"/>
      <c r="H100" s="441"/>
      <c r="I100" s="441"/>
      <c r="J100" s="441"/>
      <c r="K100" s="441"/>
      <c r="L100" s="441"/>
      <c r="M100" s="441"/>
      <c r="N100" s="441"/>
      <c r="O100" s="441"/>
      <c r="P100" s="441"/>
      <c r="Q100" s="441"/>
      <c r="R100" s="441"/>
      <c r="S100" s="441"/>
      <c r="T100" s="441"/>
      <c r="U100" s="441"/>
      <c r="V100" s="441"/>
      <c r="W100" s="441"/>
      <c r="X100" s="441"/>
      <c r="Y100" s="441"/>
    </row>
    <row r="101" spans="1:25">
      <c r="A101" s="441"/>
      <c r="B101" s="458">
        <f t="shared" ca="1" si="1"/>
        <v>2044</v>
      </c>
      <c r="C101" s="459">
        <f t="shared" ca="1" si="2"/>
        <v>0.84997031340213758</v>
      </c>
      <c r="D101" s="460">
        <f ca="1">IF(B101&gt;='2.2 Input_General_Information'!$H$20,C101-VLOOKUP('2.2 Input_General_Information'!$H$20,$B$75:$C$115,2),0)</f>
        <v>0.34280364673547614</v>
      </c>
      <c r="E101" s="419"/>
      <c r="F101" s="441"/>
      <c r="G101" s="441"/>
      <c r="H101" s="441"/>
      <c r="I101" s="441"/>
      <c r="J101" s="441"/>
      <c r="K101" s="441"/>
      <c r="L101" s="441"/>
      <c r="M101" s="441"/>
      <c r="N101" s="441"/>
      <c r="O101" s="441"/>
      <c r="P101" s="441"/>
      <c r="Q101" s="441"/>
      <c r="R101" s="441"/>
      <c r="S101" s="441"/>
      <c r="T101" s="441"/>
      <c r="U101" s="441"/>
      <c r="V101" s="441"/>
      <c r="W101" s="441"/>
      <c r="X101" s="441"/>
      <c r="Y101" s="441"/>
    </row>
    <row r="102" spans="1:25">
      <c r="A102" s="441"/>
      <c r="B102" s="458">
        <f t="shared" ca="1" si="1"/>
        <v>2045</v>
      </c>
      <c r="C102" s="459">
        <f t="shared" ca="1" si="2"/>
        <v>0.84997969096753789</v>
      </c>
      <c r="D102" s="460">
        <f ca="1">IF(B102&gt;='2.2 Input_General_Information'!$H$20,C102-VLOOKUP('2.2 Input_General_Information'!$H$20,$B$75:$C$115,2),0)</f>
        <v>0.34281302430087646</v>
      </c>
      <c r="E102" s="419"/>
      <c r="F102" s="441"/>
      <c r="G102" s="441"/>
      <c r="H102" s="441"/>
      <c r="I102" s="441"/>
      <c r="J102" s="441"/>
      <c r="K102" s="441"/>
      <c r="L102" s="441"/>
      <c r="M102" s="441"/>
      <c r="N102" s="441"/>
      <c r="O102" s="441"/>
      <c r="P102" s="441"/>
      <c r="Q102" s="441"/>
      <c r="R102" s="441"/>
      <c r="S102" s="441"/>
      <c r="T102" s="441"/>
      <c r="U102" s="441"/>
      <c r="V102" s="441"/>
      <c r="W102" s="441"/>
      <c r="X102" s="441"/>
      <c r="Y102" s="441"/>
    </row>
    <row r="103" spans="1:25">
      <c r="A103" s="441"/>
      <c r="B103" s="458">
        <f t="shared" ca="1" si="1"/>
        <v>2046</v>
      </c>
      <c r="C103" s="459">
        <f t="shared" ca="1" si="2"/>
        <v>0.84998610634455296</v>
      </c>
      <c r="D103" s="460">
        <f ca="1">IF(B103&gt;='2.2 Input_General_Information'!$H$20,C103-VLOOKUP('2.2 Input_General_Information'!$H$20,$B$75:$C$115,2),0)</f>
        <v>0.34281943967789152</v>
      </c>
      <c r="E103" s="419"/>
      <c r="F103" s="441"/>
      <c r="G103" s="441"/>
      <c r="H103" s="441"/>
      <c r="I103" s="441"/>
      <c r="J103" s="441"/>
      <c r="K103" s="441"/>
      <c r="L103" s="441"/>
      <c r="M103" s="441"/>
      <c r="N103" s="441"/>
      <c r="O103" s="441"/>
      <c r="P103" s="441"/>
      <c r="Q103" s="441"/>
      <c r="R103" s="441"/>
      <c r="S103" s="441"/>
      <c r="T103" s="441"/>
      <c r="U103" s="441"/>
      <c r="V103" s="441"/>
      <c r="W103" s="441"/>
      <c r="X103" s="441"/>
      <c r="Y103" s="441"/>
    </row>
    <row r="104" spans="1:25">
      <c r="A104" s="441"/>
      <c r="B104" s="458">
        <f t="shared" ca="1" si="1"/>
        <v>2047</v>
      </c>
      <c r="C104" s="459">
        <f t="shared" ca="1" si="2"/>
        <v>0.84999049520444614</v>
      </c>
      <c r="D104" s="460">
        <f ca="1">IF(B104&gt;='2.2 Input_General_Information'!$H$20,C104-VLOOKUP('2.2 Input_General_Information'!$H$20,$B$75:$C$115,2),0)</f>
        <v>0.3428238285377847</v>
      </c>
      <c r="E104" s="419"/>
      <c r="F104" s="441"/>
      <c r="G104" s="441"/>
      <c r="H104" s="441"/>
      <c r="I104" s="441"/>
      <c r="J104" s="441"/>
      <c r="K104" s="441"/>
      <c r="L104" s="441"/>
      <c r="M104" s="441"/>
      <c r="N104" s="441"/>
      <c r="O104" s="441"/>
      <c r="P104" s="441"/>
      <c r="Q104" s="441"/>
      <c r="R104" s="441"/>
      <c r="S104" s="441"/>
      <c r="T104" s="441"/>
      <c r="U104" s="441"/>
      <c r="V104" s="441"/>
      <c r="W104" s="441"/>
      <c r="X104" s="441"/>
      <c r="Y104" s="441"/>
    </row>
    <row r="105" spans="1:25">
      <c r="A105" s="441"/>
      <c r="B105" s="458">
        <f t="shared" ca="1" si="1"/>
        <v>2048</v>
      </c>
      <c r="C105" s="459">
        <f t="shared" ca="1" si="2"/>
        <v>0.8499934976801814</v>
      </c>
      <c r="D105" s="460">
        <f ca="1">IF(B105&gt;='2.2 Input_General_Information'!$H$20,C105-VLOOKUP('2.2 Input_General_Information'!$H$20,$B$75:$C$115,2),0)</f>
        <v>0.34282683101351996</v>
      </c>
      <c r="E105" s="419"/>
      <c r="F105" s="441"/>
      <c r="G105" s="441"/>
      <c r="H105" s="441"/>
      <c r="I105" s="441"/>
      <c r="J105" s="441"/>
      <c r="K105" s="441"/>
      <c r="L105" s="441"/>
      <c r="M105" s="441"/>
      <c r="N105" s="441"/>
      <c r="O105" s="441"/>
      <c r="P105" s="441"/>
      <c r="Q105" s="441"/>
      <c r="R105" s="441"/>
      <c r="S105" s="441"/>
      <c r="T105" s="441"/>
      <c r="U105" s="441"/>
      <c r="V105" s="441"/>
      <c r="W105" s="441"/>
      <c r="X105" s="441"/>
      <c r="Y105" s="441"/>
    </row>
    <row r="106" spans="1:25">
      <c r="A106" s="441"/>
      <c r="B106" s="458">
        <f t="shared" ca="1" si="1"/>
        <v>2049</v>
      </c>
      <c r="C106" s="459">
        <f t="shared" ca="1" si="2"/>
        <v>0.8499955517069665</v>
      </c>
      <c r="D106" s="460">
        <f ca="1">IF(B106&gt;='2.2 Input_General_Information'!$H$20,C106-VLOOKUP('2.2 Input_General_Information'!$H$20,$B$75:$C$115,2),0)</f>
        <v>0.34282888504030506</v>
      </c>
      <c r="E106" s="419"/>
      <c r="F106" s="441"/>
      <c r="G106" s="441"/>
      <c r="H106" s="441"/>
      <c r="I106" s="441"/>
      <c r="J106" s="441"/>
      <c r="K106" s="441"/>
      <c r="L106" s="441"/>
      <c r="M106" s="441"/>
      <c r="N106" s="441"/>
      <c r="O106" s="441"/>
      <c r="P106" s="441"/>
      <c r="Q106" s="441"/>
      <c r="R106" s="441"/>
      <c r="S106" s="441"/>
      <c r="T106" s="441"/>
      <c r="U106" s="441"/>
      <c r="V106" s="441"/>
      <c r="W106" s="441"/>
      <c r="X106" s="441"/>
      <c r="Y106" s="441"/>
    </row>
    <row r="107" spans="1:25">
      <c r="A107" s="441"/>
      <c r="B107" s="458">
        <f t="shared" ca="1" si="1"/>
        <v>2050</v>
      </c>
      <c r="C107" s="459">
        <f t="shared" ca="1" si="2"/>
        <v>0.84999695688671772</v>
      </c>
      <c r="D107" s="460">
        <f ca="1">IF(B107&gt;='2.2 Input_General_Information'!$H$20,C107-VLOOKUP('2.2 Input_General_Information'!$H$20,$B$75:$C$115,2),0)</f>
        <v>0.34283029022005629</v>
      </c>
      <c r="E107" s="419"/>
      <c r="F107" s="441"/>
      <c r="G107" s="441"/>
      <c r="H107" s="441"/>
      <c r="I107" s="441"/>
      <c r="J107" s="441"/>
      <c r="K107" s="441"/>
      <c r="L107" s="441"/>
      <c r="M107" s="441"/>
      <c r="N107" s="441"/>
      <c r="O107" s="441"/>
      <c r="P107" s="441"/>
      <c r="Q107" s="441"/>
      <c r="R107" s="441"/>
      <c r="S107" s="441"/>
      <c r="T107" s="441"/>
      <c r="U107" s="441"/>
      <c r="V107" s="441"/>
      <c r="W107" s="441"/>
      <c r="X107" s="441"/>
      <c r="Y107" s="441"/>
    </row>
    <row r="108" spans="1:25">
      <c r="A108" s="441"/>
      <c r="B108" s="458">
        <f t="shared" ca="1" si="1"/>
        <v>2051</v>
      </c>
      <c r="C108" s="459">
        <f t="shared" ca="1" si="2"/>
        <v>0.84999791818265036</v>
      </c>
      <c r="D108" s="460">
        <f ca="1">IF(B108&gt;='2.2 Input_General_Information'!$H$20,C108-VLOOKUP('2.2 Input_General_Information'!$H$20,$B$75:$C$115,2),0)</f>
        <v>0.34283125151598892</v>
      </c>
      <c r="E108" s="419"/>
      <c r="F108" s="441"/>
      <c r="G108" s="441"/>
      <c r="H108" s="441"/>
      <c r="I108" s="441"/>
      <c r="J108" s="441"/>
      <c r="K108" s="441"/>
      <c r="L108" s="441"/>
      <c r="M108" s="441"/>
      <c r="N108" s="441"/>
      <c r="O108" s="441"/>
      <c r="P108" s="441"/>
      <c r="Q108" s="441"/>
      <c r="R108" s="441"/>
      <c r="S108" s="441"/>
      <c r="T108" s="441"/>
      <c r="U108" s="441"/>
      <c r="V108" s="441"/>
      <c r="W108" s="441"/>
      <c r="X108" s="441"/>
      <c r="Y108" s="441"/>
    </row>
    <row r="109" spans="1:25">
      <c r="A109" s="441"/>
      <c r="B109" s="458">
        <f t="shared" ca="1" si="1"/>
        <v>2052</v>
      </c>
      <c r="C109" s="459">
        <f t="shared" ca="1" si="2"/>
        <v>0.84999857581314697</v>
      </c>
      <c r="D109" s="460">
        <f ca="1">IF(B109&gt;='2.2 Input_General_Information'!$H$20,C109-VLOOKUP('2.2 Input_General_Information'!$H$20,$B$75:$C$115,2),0)</f>
        <v>0.34283190914648554</v>
      </c>
      <c r="E109" s="419"/>
      <c r="F109" s="441"/>
      <c r="G109" s="441"/>
      <c r="H109" s="441"/>
      <c r="I109" s="441"/>
      <c r="J109" s="441"/>
      <c r="K109" s="441"/>
      <c r="L109" s="441"/>
      <c r="M109" s="441"/>
      <c r="N109" s="441"/>
      <c r="O109" s="441"/>
      <c r="P109" s="441"/>
      <c r="Q109" s="441"/>
      <c r="R109" s="441"/>
      <c r="S109" s="441"/>
      <c r="T109" s="441"/>
      <c r="U109" s="441"/>
      <c r="V109" s="441"/>
      <c r="W109" s="441"/>
      <c r="X109" s="441"/>
      <c r="Y109" s="441"/>
    </row>
    <row r="110" spans="1:25">
      <c r="A110" s="441"/>
      <c r="B110" s="458">
        <f t="shared" ca="1" si="1"/>
        <v>2053</v>
      </c>
      <c r="C110" s="459">
        <f t="shared" ca="1" si="2"/>
        <v>0.84999902570333719</v>
      </c>
      <c r="D110" s="460">
        <f ca="1">IF(B110&gt;='2.2 Input_General_Information'!$H$20,C110-VLOOKUP('2.2 Input_General_Information'!$H$20,$B$75:$C$115,2),0)</f>
        <v>0.34283235903667575</v>
      </c>
      <c r="E110" s="419"/>
      <c r="F110" s="441"/>
      <c r="G110" s="441"/>
      <c r="H110" s="441"/>
      <c r="I110" s="441"/>
      <c r="J110" s="441"/>
      <c r="K110" s="441"/>
      <c r="L110" s="441"/>
      <c r="M110" s="441"/>
      <c r="N110" s="441"/>
      <c r="O110" s="441"/>
      <c r="P110" s="441"/>
      <c r="Q110" s="441"/>
      <c r="R110" s="441"/>
      <c r="S110" s="441"/>
      <c r="T110" s="441"/>
      <c r="U110" s="441"/>
      <c r="V110" s="441"/>
      <c r="W110" s="441"/>
      <c r="X110" s="441"/>
      <c r="Y110" s="441"/>
    </row>
    <row r="111" spans="1:25">
      <c r="A111" s="441"/>
      <c r="B111" s="458">
        <f t="shared" ca="1" si="1"/>
        <v>2054</v>
      </c>
      <c r="C111" s="459">
        <f t="shared" ca="1" si="2"/>
        <v>0.84999933347662449</v>
      </c>
      <c r="D111" s="460">
        <f ca="1">IF(B111&gt;='2.2 Input_General_Information'!$H$20,C111-VLOOKUP('2.2 Input_General_Information'!$H$20,$B$75:$C$115,2),0)</f>
        <v>0.34283266680996305</v>
      </c>
      <c r="E111" s="419"/>
      <c r="F111" s="441"/>
      <c r="G111" s="441"/>
      <c r="H111" s="441"/>
      <c r="I111" s="441"/>
      <c r="J111" s="441"/>
      <c r="K111" s="441"/>
      <c r="L111" s="441"/>
      <c r="M111" s="441"/>
      <c r="N111" s="441"/>
      <c r="O111" s="441"/>
      <c r="P111" s="441"/>
      <c r="Q111" s="441"/>
      <c r="R111" s="441"/>
      <c r="S111" s="441"/>
      <c r="T111" s="441"/>
      <c r="U111" s="441"/>
      <c r="V111" s="441"/>
      <c r="W111" s="441"/>
      <c r="X111" s="441"/>
      <c r="Y111" s="441"/>
    </row>
    <row r="112" spans="1:25">
      <c r="A112" s="441"/>
      <c r="B112" s="458">
        <f t="shared" ca="1" si="1"/>
        <v>2055</v>
      </c>
      <c r="C112" s="459">
        <f t="shared" ca="1" si="2"/>
        <v>0.84999954402660283</v>
      </c>
      <c r="D112" s="460">
        <f ca="1">IF(B112&gt;='2.2 Input_General_Information'!$H$20,C112-VLOOKUP('2.2 Input_General_Information'!$H$20,$B$75:$C$115,2),0)</f>
        <v>0.34283287735994139</v>
      </c>
      <c r="E112" s="419"/>
      <c r="F112" s="441"/>
      <c r="G112" s="441"/>
      <c r="H112" s="441"/>
      <c r="I112" s="441"/>
      <c r="J112" s="441"/>
      <c r="K112" s="441"/>
      <c r="L112" s="441"/>
      <c r="M112" s="441"/>
      <c r="N112" s="441"/>
      <c r="O112" s="441"/>
      <c r="P112" s="441"/>
      <c r="Q112" s="441"/>
      <c r="R112" s="441"/>
      <c r="S112" s="441"/>
      <c r="T112" s="441"/>
      <c r="U112" s="441"/>
      <c r="V112" s="441"/>
      <c r="W112" s="441"/>
      <c r="X112" s="441"/>
      <c r="Y112" s="441"/>
    </row>
    <row r="113" spans="1:25">
      <c r="A113" s="441"/>
      <c r="B113" s="458">
        <f t="shared" ca="1" si="1"/>
        <v>2056</v>
      </c>
      <c r="C113" s="459">
        <f t="shared" ca="1" si="2"/>
        <v>0.84999968806536963</v>
      </c>
      <c r="D113" s="460">
        <f ca="1">IF(B113&gt;='2.2 Input_General_Information'!$H$20,C113-VLOOKUP('2.2 Input_General_Information'!$H$20,$B$75:$C$115,2),0)</f>
        <v>0.34283302139870819</v>
      </c>
      <c r="E113" s="419"/>
      <c r="F113" s="441"/>
      <c r="G113" s="441"/>
      <c r="H113" s="441"/>
      <c r="I113" s="441"/>
      <c r="J113" s="441"/>
      <c r="K113" s="441"/>
      <c r="L113" s="441"/>
      <c r="M113" s="441"/>
      <c r="N113" s="441"/>
      <c r="O113" s="441"/>
      <c r="P113" s="441"/>
      <c r="Q113" s="441"/>
      <c r="R113" s="441"/>
      <c r="S113" s="441"/>
      <c r="T113" s="441"/>
      <c r="U113" s="441"/>
      <c r="V113" s="441"/>
      <c r="W113" s="441"/>
      <c r="X113" s="441"/>
      <c r="Y113" s="441"/>
    </row>
    <row r="114" spans="1:25">
      <c r="A114" s="441"/>
      <c r="B114" s="458">
        <f t="shared" ca="1" si="1"/>
        <v>2057</v>
      </c>
      <c r="C114" s="459">
        <f t="shared" ca="1" si="2"/>
        <v>0.84999978660332176</v>
      </c>
      <c r="D114" s="460">
        <f ca="1">IF(B114&gt;='2.2 Input_General_Information'!$H$20,C114-VLOOKUP('2.2 Input_General_Information'!$H$20,$B$75:$C$115,2),0)</f>
        <v>0.34283311993666032</v>
      </c>
      <c r="E114" s="419"/>
      <c r="F114" s="441"/>
      <c r="G114" s="441"/>
      <c r="H114" s="441"/>
      <c r="I114" s="441"/>
      <c r="J114" s="441"/>
      <c r="K114" s="441"/>
      <c r="L114" s="441"/>
      <c r="M114" s="441"/>
      <c r="N114" s="441"/>
      <c r="O114" s="441"/>
      <c r="P114" s="441"/>
      <c r="Q114" s="441"/>
      <c r="R114" s="441"/>
      <c r="S114" s="441"/>
      <c r="T114" s="441"/>
      <c r="U114" s="441"/>
      <c r="V114" s="441"/>
      <c r="W114" s="441"/>
      <c r="X114" s="441"/>
      <c r="Y114" s="441"/>
    </row>
    <row r="115" spans="1:25">
      <c r="A115" s="441"/>
      <c r="B115" s="458">
        <f t="shared" ca="1" si="1"/>
        <v>2058</v>
      </c>
      <c r="C115" s="459">
        <f t="shared" ca="1" si="2"/>
        <v>0.84999985401383416</v>
      </c>
      <c r="D115" s="460">
        <f ca="1">IF(B115&gt;='2.2 Input_General_Information'!$H$20,C115-VLOOKUP('2.2 Input_General_Information'!$H$20,$B$75:$C$115,2),0)</f>
        <v>0.34283318734717272</v>
      </c>
      <c r="E115" s="419"/>
      <c r="F115" s="441"/>
      <c r="G115" s="441"/>
      <c r="H115" s="441"/>
      <c r="I115" s="441"/>
      <c r="J115" s="441"/>
      <c r="K115" s="441"/>
      <c r="L115" s="441"/>
      <c r="M115" s="441"/>
      <c r="N115" s="441"/>
      <c r="O115" s="441"/>
      <c r="P115" s="441"/>
      <c r="Q115" s="441"/>
      <c r="R115" s="441"/>
      <c r="S115" s="441"/>
      <c r="T115" s="441"/>
      <c r="U115" s="441"/>
      <c r="V115" s="441"/>
      <c r="W115" s="441"/>
      <c r="X115" s="441"/>
      <c r="Y115" s="441"/>
    </row>
    <row r="116" spans="1:25">
      <c r="A116" s="441"/>
      <c r="B116" s="441"/>
      <c r="C116" s="441"/>
      <c r="D116" s="441"/>
      <c r="E116" s="441"/>
      <c r="F116" s="441"/>
      <c r="G116" s="441"/>
      <c r="H116" s="441"/>
      <c r="I116" s="441"/>
      <c r="J116" s="441"/>
      <c r="K116" s="441"/>
      <c r="L116" s="441"/>
      <c r="M116" s="441"/>
      <c r="N116" s="441"/>
      <c r="O116" s="441"/>
      <c r="P116" s="441"/>
      <c r="Q116" s="441"/>
      <c r="R116" s="441"/>
      <c r="S116" s="441"/>
      <c r="T116" s="441"/>
      <c r="U116" s="441"/>
      <c r="V116" s="441"/>
      <c r="W116" s="441"/>
      <c r="X116" s="441"/>
      <c r="Y116" s="441"/>
    </row>
    <row r="117" spans="1:25">
      <c r="A117" s="1"/>
      <c r="B117" s="431" t="s">
        <v>933</v>
      </c>
      <c r="C117" s="432"/>
      <c r="D117" s="433"/>
      <c r="E117" s="434"/>
      <c r="F117" s="434"/>
      <c r="G117" s="434"/>
      <c r="H117" s="434"/>
      <c r="I117" s="435"/>
      <c r="J117" s="436"/>
      <c r="K117" s="437"/>
      <c r="L117" s="1"/>
      <c r="M117" s="1"/>
      <c r="N117" s="1"/>
      <c r="O117" s="1"/>
      <c r="P117" s="1"/>
      <c r="Q117" s="1"/>
      <c r="R117" s="1"/>
      <c r="S117" s="1"/>
      <c r="T117" s="1"/>
      <c r="U117" s="1"/>
      <c r="V117" s="1"/>
      <c r="W117" s="1"/>
      <c r="X117" s="1"/>
      <c r="Y117" s="1"/>
    </row>
    <row r="118" spans="1:25">
      <c r="A118" s="441"/>
      <c r="B118" s="441"/>
      <c r="C118" s="441"/>
      <c r="D118" s="441"/>
      <c r="E118" s="441"/>
      <c r="F118" s="441"/>
      <c r="G118" s="441"/>
      <c r="H118" s="441"/>
      <c r="I118" s="441"/>
      <c r="J118" s="441"/>
      <c r="K118" s="441"/>
      <c r="L118" s="441"/>
      <c r="M118" s="466" t="s">
        <v>934</v>
      </c>
      <c r="N118" s="441"/>
      <c r="O118" s="441"/>
      <c r="P118" s="441"/>
      <c r="Q118" s="441"/>
      <c r="R118" s="441"/>
      <c r="S118" s="441"/>
      <c r="T118" s="441"/>
      <c r="U118" s="441"/>
      <c r="V118" s="441"/>
      <c r="W118" s="441"/>
      <c r="X118" s="441"/>
      <c r="Y118" s="441"/>
    </row>
    <row r="119" spans="1:25">
      <c r="A119" s="441"/>
      <c r="B119" s="478" t="s">
        <v>916</v>
      </c>
      <c r="C119" s="480">
        <f>C5</f>
        <v>2018</v>
      </c>
      <c r="D119" s="441"/>
      <c r="E119" s="441"/>
      <c r="F119" s="441"/>
      <c r="H119" s="464">
        <f ca="1">'2.2 Input_General_Information'!$H$20</f>
        <v>2018</v>
      </c>
      <c r="I119" s="441"/>
      <c r="J119" s="464">
        <f ca="1">'2.2 Input_General_Information'!$H$20</f>
        <v>2018</v>
      </c>
      <c r="K119" s="464">
        <f ca="1">'2.2 Input_General_Information'!$H$20</f>
        <v>2018</v>
      </c>
      <c r="L119" s="441"/>
      <c r="M119" s="464">
        <f ca="1">'2.2 Input_General_Information'!$H$20</f>
        <v>2018</v>
      </c>
      <c r="N119" s="441"/>
      <c r="O119" s="441"/>
      <c r="P119" s="441"/>
      <c r="Q119" s="441"/>
      <c r="R119" s="441"/>
      <c r="S119" s="441"/>
      <c r="T119" s="441"/>
      <c r="U119" s="441"/>
      <c r="V119" s="441"/>
      <c r="W119" s="441"/>
      <c r="X119" s="441"/>
      <c r="Y119" s="441"/>
    </row>
    <row r="120" spans="1:25">
      <c r="A120" s="441"/>
      <c r="B120" s="482" t="s">
        <v>918</v>
      </c>
      <c r="C120" s="483"/>
      <c r="D120" s="441"/>
      <c r="E120" s="441"/>
      <c r="F120" s="441"/>
      <c r="H120" s="484">
        <v>1E-4</v>
      </c>
      <c r="I120" s="441"/>
      <c r="J120" s="484">
        <v>1E-4</v>
      </c>
      <c r="K120" s="484">
        <v>1E-4</v>
      </c>
      <c r="L120" s="441"/>
      <c r="M120" s="484">
        <f>VLOOKUP('2.3 Input_Main_Questionnaire'!H261,Calc_time!E569:H573,4,FALSE)</f>
        <v>0.75</v>
      </c>
      <c r="N120" s="441"/>
      <c r="O120" s="441"/>
      <c r="P120" s="441"/>
      <c r="Q120" s="441"/>
      <c r="R120" s="441"/>
      <c r="S120" s="441"/>
      <c r="T120" s="441"/>
      <c r="U120" s="441"/>
      <c r="V120" s="441"/>
      <c r="W120" s="441"/>
      <c r="X120" s="441"/>
      <c r="Y120" s="441"/>
    </row>
    <row r="121" spans="1:25">
      <c r="A121" s="441"/>
      <c r="B121" s="482" t="s">
        <v>919</v>
      </c>
      <c r="C121" s="483"/>
      <c r="D121" s="441"/>
      <c r="E121" s="441"/>
      <c r="F121" s="441"/>
      <c r="H121" s="485">
        <f ca="1">'2.2 Input_General_Information'!$H$20+'2.2 Input_General_Information'!$H$40</f>
        <v>2021</v>
      </c>
      <c r="I121" s="441"/>
      <c r="J121" s="485">
        <f ca="1">'2.2 Input_General_Information'!$H$20+'2.2 Input_General_Information'!$H$40</f>
        <v>2021</v>
      </c>
      <c r="K121" s="485">
        <f>B60</f>
        <v>2058</v>
      </c>
      <c r="L121" s="441"/>
      <c r="M121" s="485">
        <f ca="1">'2.2 Input_General_Information'!$H$20+'2.2 Input_General_Information'!$H$40</f>
        <v>2021</v>
      </c>
      <c r="N121" s="441"/>
      <c r="O121" s="441"/>
      <c r="P121" s="441"/>
      <c r="Q121" s="441"/>
      <c r="R121" s="441"/>
      <c r="S121" s="441"/>
      <c r="T121" s="441"/>
      <c r="U121" s="441"/>
      <c r="V121" s="441"/>
      <c r="W121" s="441"/>
      <c r="X121" s="441"/>
      <c r="Y121" s="441"/>
    </row>
    <row r="122" spans="1:25">
      <c r="A122" s="441"/>
      <c r="B122" s="482" t="s">
        <v>920</v>
      </c>
      <c r="C122" s="441"/>
      <c r="D122" s="441"/>
      <c r="E122" s="441"/>
      <c r="F122" s="441"/>
      <c r="H122" s="484">
        <v>0.99990000000000001</v>
      </c>
      <c r="I122" s="441"/>
      <c r="J122" s="484">
        <v>0.99990000000000001</v>
      </c>
      <c r="K122" s="484">
        <v>0.99990000000000001</v>
      </c>
      <c r="L122" s="441"/>
      <c r="M122" s="484">
        <v>0.99990000000000001</v>
      </c>
      <c r="N122" s="441"/>
      <c r="O122" s="441"/>
      <c r="P122" s="441"/>
      <c r="Q122" s="441"/>
      <c r="R122" s="441"/>
      <c r="S122" s="441"/>
      <c r="T122" s="441"/>
      <c r="U122" s="441"/>
      <c r="V122" s="441"/>
      <c r="W122" s="441"/>
      <c r="X122" s="441"/>
      <c r="Y122" s="441"/>
    </row>
    <row r="123" spans="1:25">
      <c r="A123" s="441"/>
      <c r="B123" s="482" t="s">
        <v>921</v>
      </c>
      <c r="C123" s="441"/>
      <c r="D123" s="441"/>
      <c r="E123" s="441"/>
      <c r="F123" s="441"/>
      <c r="H123" s="486">
        <v>1</v>
      </c>
      <c r="I123" s="441"/>
      <c r="J123" s="486">
        <v>1</v>
      </c>
      <c r="K123" s="486">
        <v>1</v>
      </c>
      <c r="L123" s="441"/>
      <c r="M123" s="486">
        <v>1</v>
      </c>
      <c r="N123" s="441"/>
      <c r="O123" s="441"/>
      <c r="P123" s="441"/>
      <c r="Q123" s="441"/>
      <c r="R123" s="441"/>
      <c r="S123" s="441"/>
      <c r="T123" s="441"/>
      <c r="U123" s="441"/>
      <c r="V123" s="441"/>
      <c r="W123" s="441"/>
      <c r="X123" s="441"/>
      <c r="Y123" s="441"/>
    </row>
    <row r="124" spans="1:25">
      <c r="A124" s="441"/>
      <c r="B124" s="482" t="s">
        <v>935</v>
      </c>
      <c r="C124" s="480">
        <v>1.05</v>
      </c>
      <c r="D124" s="441"/>
      <c r="E124" s="441"/>
      <c r="F124" s="441"/>
      <c r="I124" s="441"/>
      <c r="L124" s="441"/>
      <c r="N124" s="441"/>
      <c r="O124" s="441"/>
      <c r="P124" s="441"/>
      <c r="Q124" s="441"/>
      <c r="R124" s="441"/>
      <c r="S124" s="441"/>
      <c r="T124" s="441"/>
      <c r="U124" s="441"/>
      <c r="V124" s="441"/>
      <c r="W124" s="441"/>
      <c r="X124" s="441"/>
      <c r="Y124" s="441"/>
    </row>
    <row r="125" spans="1:25">
      <c r="A125" s="441"/>
      <c r="B125" s="487" t="s">
        <v>922</v>
      </c>
      <c r="D125" s="441"/>
      <c r="E125" s="441"/>
      <c r="F125" s="441"/>
      <c r="H125" s="488">
        <f ca="1">(LN(1/H120-1)-LN(1/H122-1))/(H121-H119)</f>
        <v>6.1401602446508434</v>
      </c>
      <c r="I125" s="441"/>
      <c r="J125" s="488">
        <f t="shared" ref="J125:K125" ca="1" si="3">(LN(1/J120-1)-LN(1/J122-1))/(J121-J119)</f>
        <v>6.1401602446508434</v>
      </c>
      <c r="K125" s="488">
        <f t="shared" ca="1" si="3"/>
        <v>0.46051201834881328</v>
      </c>
      <c r="L125" s="441"/>
      <c r="M125" s="488">
        <f ca="1">(LN(1/M120-1)-LN(1/M122-1))/(M121-M119)</f>
        <v>2.7038760261028565</v>
      </c>
      <c r="N125" s="441"/>
      <c r="O125" s="441"/>
      <c r="P125" s="441"/>
      <c r="Q125" s="441"/>
      <c r="R125" s="441"/>
      <c r="S125" s="441"/>
      <c r="T125" s="441"/>
      <c r="U125" s="441"/>
      <c r="V125" s="441"/>
      <c r="W125" s="441"/>
      <c r="X125" s="441"/>
      <c r="Y125" s="441"/>
    </row>
    <row r="126" spans="1:25">
      <c r="A126" s="441"/>
      <c r="B126" s="441"/>
      <c r="C126" s="441"/>
      <c r="D126" s="441"/>
      <c r="E126" s="441"/>
      <c r="F126" s="441"/>
      <c r="G126" s="441"/>
      <c r="H126" s="441"/>
      <c r="I126" s="441"/>
      <c r="J126" s="441"/>
      <c r="K126" s="441"/>
      <c r="L126" s="441"/>
      <c r="M126" s="441"/>
      <c r="N126" s="441"/>
      <c r="O126" s="441"/>
      <c r="P126" s="441"/>
      <c r="Q126" s="441"/>
      <c r="R126" s="441"/>
      <c r="S126" s="441"/>
      <c r="T126" s="441"/>
      <c r="U126" s="441"/>
      <c r="V126" s="441"/>
      <c r="W126" s="441"/>
      <c r="X126" s="441"/>
      <c r="Y126" s="441"/>
    </row>
    <row r="127" spans="1:25">
      <c r="A127" s="441"/>
      <c r="B127" s="462"/>
      <c r="C127" s="462"/>
      <c r="D127" s="489"/>
      <c r="E127" s="489"/>
      <c r="F127" s="489"/>
      <c r="G127" s="489"/>
      <c r="H127" s="489"/>
      <c r="I127" s="489"/>
      <c r="J127" s="489"/>
      <c r="K127" s="489"/>
      <c r="L127" s="489"/>
      <c r="M127" s="489"/>
      <c r="N127" s="441"/>
      <c r="O127" s="441"/>
      <c r="P127" s="441"/>
      <c r="Q127" s="441"/>
      <c r="R127" s="441"/>
      <c r="S127" s="441"/>
      <c r="T127" s="441"/>
      <c r="U127" s="441"/>
      <c r="V127" s="441"/>
      <c r="W127" s="441"/>
      <c r="X127" s="441"/>
      <c r="Y127" s="441"/>
    </row>
    <row r="128" spans="1:25" ht="15.75" thickBot="1">
      <c r="A128" s="441"/>
      <c r="B128" s="453" t="s">
        <v>181</v>
      </c>
      <c r="C128" s="453" t="str">
        <f>B7</f>
        <v>Global growth</v>
      </c>
      <c r="D128" s="490" t="str">
        <f>B62</f>
        <v>Local Growth</v>
      </c>
      <c r="E128" s="490" t="s">
        <v>937</v>
      </c>
      <c r="F128" s="490" t="s">
        <v>938</v>
      </c>
      <c r="G128" s="490" t="s">
        <v>939</v>
      </c>
      <c r="H128" s="490" t="s">
        <v>940</v>
      </c>
      <c r="I128" s="490" t="s">
        <v>181</v>
      </c>
      <c r="J128" s="490" t="s">
        <v>940</v>
      </c>
      <c r="K128" s="490" t="s">
        <v>941</v>
      </c>
      <c r="L128" s="490" t="s">
        <v>942</v>
      </c>
      <c r="M128" s="490" t="s">
        <v>940</v>
      </c>
      <c r="N128" s="441"/>
      <c r="O128" s="441"/>
      <c r="P128" s="441"/>
      <c r="Q128" s="441"/>
      <c r="R128" s="441"/>
      <c r="S128" s="441"/>
      <c r="T128" s="441"/>
      <c r="U128" s="441"/>
      <c r="V128" s="441"/>
      <c r="W128" s="441"/>
      <c r="X128" s="441"/>
      <c r="Y128" s="441"/>
    </row>
    <row r="129" spans="1:25" ht="5.25" customHeight="1" thickTop="1">
      <c r="A129" s="441"/>
      <c r="B129" s="456"/>
      <c r="C129" s="457"/>
      <c r="D129" s="128"/>
      <c r="E129" s="441"/>
      <c r="F129" s="441"/>
      <c r="G129" s="441"/>
      <c r="H129" s="441"/>
      <c r="I129" s="441"/>
      <c r="J129" s="441"/>
      <c r="K129" s="441"/>
      <c r="L129" s="441"/>
      <c r="M129" s="441"/>
      <c r="N129" s="441"/>
      <c r="O129" s="441"/>
      <c r="P129" s="441"/>
      <c r="Q129" s="441"/>
      <c r="R129" s="441"/>
      <c r="S129" s="441"/>
      <c r="T129" s="441"/>
      <c r="U129" s="441"/>
      <c r="V129" s="441"/>
      <c r="W129" s="441"/>
      <c r="X129" s="441"/>
      <c r="Y129" s="441"/>
    </row>
    <row r="130" spans="1:25">
      <c r="A130" s="441"/>
      <c r="B130" s="458">
        <f>C119</f>
        <v>2018</v>
      </c>
      <c r="C130" s="491">
        <f t="shared" ref="C130:C170" ca="1" si="4">D20</f>
        <v>0</v>
      </c>
      <c r="D130" s="492">
        <f t="shared" ref="D130:D170" ca="1" si="5">D75</f>
        <v>0</v>
      </c>
      <c r="E130" s="460">
        <f t="shared" ref="E130:E170" ca="1" si="6">MAX($C$130:$C$170)-$C130</f>
        <v>0.21441191391941392</v>
      </c>
      <c r="F130" s="460">
        <f t="shared" ref="F130:F170" ca="1" si="7">MAX(MAX($C$130:$C$170)-$C130*$C$124,0)</f>
        <v>0.21441191391941392</v>
      </c>
      <c r="G130" s="460">
        <v>1</v>
      </c>
      <c r="H130" s="460">
        <f ca="1">IF(AND(B130&lt;=$H$121,B130&gt;='2.2 Input_General_Information'!$H$20),$H$123/(1+EXP(-$H$125*(B130-(LN(1/$H$120-1)/$H$125+$H$119)))),"")</f>
        <v>9.9999999999958439E-5</v>
      </c>
      <c r="I130" s="493">
        <f ca="1">IF(AND(B130&lt;=$H$121,B130&gt;='2.2 Input_General_Information'!$H$20),B130,)</f>
        <v>2018</v>
      </c>
      <c r="J130" s="460">
        <f ca="1">IF(AND(B130&lt;=$J$121,B130&gt;='2.2 Input_General_Information'!$H$20),1-H130,)</f>
        <v>0.99990000000000001</v>
      </c>
      <c r="K130" s="460">
        <f t="shared" ref="K130:K170" ca="1" si="8">IF($B130&gt;$K$121,,$K$123/(1+EXP(-$K$125*(B130-(LN(1/$K$120-1)/$K$125+$K$119)))))</f>
        <v>1.0000000000000034E-4</v>
      </c>
      <c r="L130" s="460">
        <f t="shared" ref="L130:L170" ca="1" si="9">1-K130</f>
        <v>0.99990000000000001</v>
      </c>
      <c r="M130" s="460">
        <f ca="1">IF(AND($B130&lt;=$M$121,$B130&gt;='2.2 Input_General_Information'!$M$20),$M$123/(1+EXP(-$M$125*($B130-(LN(1/$M$120-1)/$M$125+$M$119)))),"")</f>
        <v>0.74999999999994549</v>
      </c>
      <c r="N130" s="494"/>
      <c r="O130" s="494"/>
      <c r="P130" s="494"/>
      <c r="Q130" s="494"/>
      <c r="R130" s="494"/>
      <c r="S130" s="494"/>
      <c r="T130" s="494"/>
      <c r="U130" s="494"/>
      <c r="V130" s="494"/>
      <c r="W130" s="494"/>
      <c r="X130" s="494"/>
      <c r="Y130" s="494"/>
    </row>
    <row r="131" spans="1:25">
      <c r="A131" s="441"/>
      <c r="B131" s="458">
        <f t="shared" ref="B131:B170" si="10">B130+1</f>
        <v>2019</v>
      </c>
      <c r="C131" s="491">
        <f t="shared" ca="1" si="4"/>
        <v>4.0044075426237113E-3</v>
      </c>
      <c r="D131" s="492">
        <f t="shared" ca="1" si="5"/>
        <v>7.405335337177088E-2</v>
      </c>
      <c r="E131" s="460">
        <f t="shared" ca="1" si="6"/>
        <v>0.2104075063767902</v>
      </c>
      <c r="F131" s="460">
        <f t="shared" ca="1" si="7"/>
        <v>0.21020728599965902</v>
      </c>
      <c r="G131" s="460">
        <v>1</v>
      </c>
      <c r="H131" s="460">
        <f ca="1">IF(AND(B131&lt;=$H$121,B131&gt;='2.2 Input_General_Information'!$H$20),$H$123/(1+EXP(-$H$125*(B131-(LN(1/$H$120-1)/$H$125+$H$119)))),"")</f>
        <v>4.4358431018842411E-2</v>
      </c>
      <c r="I131" s="493">
        <f ca="1">IF(AND(B131&lt;=$H$121,B131&gt;='2.2 Input_General_Information'!$H$20),B131,)</f>
        <v>2019</v>
      </c>
      <c r="J131" s="460">
        <f ca="1">IF(AND(B131&lt;=$J$121,B131&gt;='2.2 Input_General_Information'!$H$20),1-H131,)</f>
        <v>0.9556415689811576</v>
      </c>
      <c r="K131" s="460">
        <f t="shared" ca="1" si="8"/>
        <v>1.5847925754357904E-4</v>
      </c>
      <c r="L131" s="460">
        <f t="shared" ca="1" si="9"/>
        <v>0.99984152074245647</v>
      </c>
      <c r="M131" s="460">
        <f ca="1">IF(AND($B131&lt;=$M$121,$B131&gt;='2.2 Input_General_Information'!$M$20),$M$123/(1+EXP(-$M$125*($B131-(LN(1/$M$120-1)/$M$125+$M$119)))),"")</f>
        <v>0.97817192186182356</v>
      </c>
      <c r="N131" s="441"/>
      <c r="O131" s="441"/>
      <c r="P131" s="441"/>
      <c r="Q131" s="441"/>
      <c r="R131" s="441"/>
      <c r="S131" s="441"/>
      <c r="T131" s="441"/>
      <c r="U131" s="441"/>
      <c r="V131" s="441"/>
      <c r="W131" s="441"/>
      <c r="X131" s="441"/>
      <c r="Y131" s="441"/>
    </row>
    <row r="132" spans="1:25">
      <c r="A132" s="441"/>
      <c r="B132" s="458">
        <f t="shared" si="10"/>
        <v>2020</v>
      </c>
      <c r="C132" s="491">
        <f t="shared" ca="1" si="4"/>
        <v>8.0913632202251062E-3</v>
      </c>
      <c r="D132" s="492">
        <f t="shared" ca="1" si="5"/>
        <v>0.13855377862239082</v>
      </c>
      <c r="E132" s="460">
        <f t="shared" ca="1" si="6"/>
        <v>0.20632055069918881</v>
      </c>
      <c r="F132" s="460">
        <f t="shared" ca="1" si="7"/>
        <v>0.20591598253817756</v>
      </c>
      <c r="G132" s="460">
        <v>1</v>
      </c>
      <c r="H132" s="460">
        <f ca="1">IF(AND(B132&lt;=$H$121,B132&gt;='2.2 Input_General_Information'!$H$20),$H$123/(1+EXP(-$H$125*(B132-(LN(1/$H$120-1)/$H$125+$H$119)))),1)</f>
        <v>0.95564156898115749</v>
      </c>
      <c r="I132" s="493">
        <f ca="1">IF(AND(B132&lt;=$H$121,B132&gt;='2.2 Input_General_Information'!$H$20),B132,)</f>
        <v>2020</v>
      </c>
      <c r="J132" s="460">
        <f ca="1">IF(AND(B132&lt;=$J$121,B132&gt;='2.2 Input_General_Information'!$H$20),1-H132,)</f>
        <v>4.4358431018842515E-2</v>
      </c>
      <c r="K132" s="460">
        <f t="shared" ca="1" si="8"/>
        <v>2.5114816103268315E-4</v>
      </c>
      <c r="L132" s="460">
        <f t="shared" ca="1" si="9"/>
        <v>0.99974885183896733</v>
      </c>
      <c r="M132" s="460">
        <f ca="1">IF(AND($B132&lt;=$M$121,$B132&gt;='2.2 Input_General_Information'!$M$20),$M$123/(1+EXP(-$M$125*($B132-(LN(1/$M$120-1)/$M$125+$M$119)))),1)</f>
        <v>0.99850832723444349</v>
      </c>
      <c r="N132" s="441"/>
      <c r="O132" s="441"/>
      <c r="P132" s="441"/>
      <c r="Q132" s="441"/>
      <c r="R132" s="441"/>
      <c r="S132" s="441"/>
      <c r="T132" s="441"/>
      <c r="U132" s="441"/>
      <c r="V132" s="441"/>
      <c r="W132" s="441"/>
      <c r="X132" s="441"/>
      <c r="Y132" s="441"/>
    </row>
    <row r="133" spans="1:25">
      <c r="A133" s="441"/>
      <c r="B133" s="458">
        <f t="shared" si="10"/>
        <v>2021</v>
      </c>
      <c r="C133" s="491">
        <f t="shared" ca="1" si="4"/>
        <v>1.2260915701611308E-2</v>
      </c>
      <c r="D133" s="492">
        <f t="shared" ca="1" si="5"/>
        <v>0.19160313956340658</v>
      </c>
      <c r="E133" s="460">
        <f t="shared" ca="1" si="6"/>
        <v>0.20215099821780261</v>
      </c>
      <c r="F133" s="460">
        <f t="shared" ca="1" si="7"/>
        <v>0.20153795243272205</v>
      </c>
      <c r="G133" s="460">
        <v>1</v>
      </c>
      <c r="H133" s="460">
        <f ca="1">IF(AND(B133&lt;=$H$121,B133&gt;='2.2 Input_General_Information'!$H$20),$H$123/(1+EXP(-$H$125*(B133-(LN(1/$H$120-1)/$H$125+$H$119)))),1)</f>
        <v>0.99990000000000012</v>
      </c>
      <c r="I133" s="493">
        <f ca="1">IF(AND(B133&lt;=$H$121,B133&gt;='2.2 Input_General_Information'!$H$20),B133,)</f>
        <v>2021</v>
      </c>
      <c r="J133" s="460">
        <f ca="1">IF(AND(B133&lt;=$J$121,B133&gt;='2.2 Input_General_Information'!$H$20),1-H133,)</f>
        <v>9.9999999999877964E-5</v>
      </c>
      <c r="K133" s="460">
        <f t="shared" ca="1" si="8"/>
        <v>3.9798255961407634E-4</v>
      </c>
      <c r="L133" s="460">
        <f t="shared" ca="1" si="9"/>
        <v>0.9996020174403859</v>
      </c>
      <c r="M133" s="460">
        <f ca="1">IF(AND($B133&lt;=$M$121,$B133&gt;='2.2 Input_General_Information'!$M$20),$M$123/(1+EXP(-$M$125*($B133-(LN(1/$M$120-1)/$M$125+$M$119)))),1)</f>
        <v>0.99990000000000012</v>
      </c>
      <c r="N133" s="441"/>
      <c r="O133" s="441"/>
      <c r="P133" s="441"/>
      <c r="Q133" s="441"/>
      <c r="R133" s="441"/>
      <c r="S133" s="441"/>
      <c r="T133" s="441"/>
      <c r="U133" s="441"/>
      <c r="V133" s="441"/>
      <c r="W133" s="441"/>
      <c r="X133" s="441"/>
      <c r="Y133" s="441"/>
    </row>
    <row r="134" spans="1:25">
      <c r="A134" s="441"/>
      <c r="B134" s="458">
        <f t="shared" si="10"/>
        <v>2022</v>
      </c>
      <c r="C134" s="491">
        <f t="shared" ca="1" si="4"/>
        <v>1.6513014458312131E-2</v>
      </c>
      <c r="D134" s="492">
        <f t="shared" ca="1" si="5"/>
        <v>0.23321481266855071</v>
      </c>
      <c r="E134" s="460">
        <f t="shared" ca="1" si="6"/>
        <v>0.19789889946110178</v>
      </c>
      <c r="F134" s="460">
        <f t="shared" ca="1" si="7"/>
        <v>0.19707324873818619</v>
      </c>
      <c r="G134" s="460">
        <v>1</v>
      </c>
      <c r="H134" s="460">
        <f ca="1">IF(AND(B134&lt;=$H$121,B134&gt;='2.2 Input_General_Information'!$H$20),$H$123/(1+EXP(-$H$125*(B134-(LN(1/$H$120-1)/$H$125+$H$119)))),1)</f>
        <v>1</v>
      </c>
      <c r="I134" s="493">
        <f ca="1">IF(AND(B134&lt;=$H$121,B134&gt;='2.2 Input_General_Information'!$H$20),B134,)</f>
        <v>0</v>
      </c>
      <c r="J134" s="460">
        <f ca="1">IF(AND(B134&lt;=$J$121,B134&gt;='2.2 Input_General_Information'!$H$20),1-H134,)</f>
        <v>0</v>
      </c>
      <c r="K134" s="460">
        <f t="shared" ca="1" si="8"/>
        <v>6.3060990582563918E-4</v>
      </c>
      <c r="L134" s="460">
        <f t="shared" ca="1" si="9"/>
        <v>0.99936939009417436</v>
      </c>
      <c r="M134" s="460">
        <f ca="1">IF(AND($B134&lt;=$M$121,$B134&gt;='2.2 Input_General_Information'!$M$20),$M$123/(1+EXP(-$M$125*($B134-(LN(1/$M$120-1)/$M$125+$M$119)))),1)</f>
        <v>1</v>
      </c>
      <c r="N134" s="441"/>
      <c r="O134" s="441"/>
      <c r="P134" s="441"/>
      <c r="Q134" s="441"/>
      <c r="R134" s="441"/>
      <c r="S134" s="441"/>
      <c r="T134" s="441"/>
      <c r="U134" s="441"/>
      <c r="V134" s="441"/>
      <c r="W134" s="441"/>
      <c r="X134" s="441"/>
      <c r="Y134" s="441"/>
    </row>
    <row r="135" spans="1:25">
      <c r="A135" s="441"/>
      <c r="B135" s="458">
        <f t="shared" si="10"/>
        <v>2023</v>
      </c>
      <c r="C135" s="491">
        <f t="shared" ca="1" si="4"/>
        <v>2.084750586147191E-2</v>
      </c>
      <c r="D135" s="492">
        <f t="shared" ca="1" si="5"/>
        <v>0.26465778496127657</v>
      </c>
      <c r="E135" s="460">
        <f t="shared" ca="1" si="6"/>
        <v>0.19356440805794201</v>
      </c>
      <c r="F135" s="460">
        <f t="shared" ca="1" si="7"/>
        <v>0.1925220327648684</v>
      </c>
      <c r="G135" s="460">
        <v>1</v>
      </c>
      <c r="H135" s="460">
        <f ca="1">IF(AND(B135&lt;=$H$121,B135&gt;='2.2 Input_General_Information'!$H$20),$H$123/(1+EXP(-$H$125*(B135-(LN(1/$H$120-1)/$H$125+$H$119)))),1)</f>
        <v>1</v>
      </c>
      <c r="I135" s="493">
        <f ca="1">IF(AND(B135&lt;=$H$121,B135&gt;='2.2 Input_General_Information'!$H$20),B135,)</f>
        <v>0</v>
      </c>
      <c r="J135" s="460">
        <f ca="1">IF(AND(B135&lt;=$J$121,B135&gt;='2.2 Input_General_Information'!$H$20),1-H135,)</f>
        <v>0</v>
      </c>
      <c r="K135" s="460">
        <f t="shared" ca="1" si="8"/>
        <v>9.9907585577019157E-4</v>
      </c>
      <c r="L135" s="460">
        <f t="shared" ca="1" si="9"/>
        <v>0.99900092414422981</v>
      </c>
      <c r="M135" s="460">
        <f ca="1">IF(AND($B135&lt;=$M$121,$B135&gt;='2.2 Input_General_Information'!$M$20),$M$123/(1+EXP(-$M$125*($B135-(LN(1/$M$120-1)/$M$125+$M$119)))),1)</f>
        <v>1</v>
      </c>
      <c r="N135" s="441"/>
      <c r="O135" s="441"/>
      <c r="P135" s="441"/>
      <c r="Q135" s="441"/>
      <c r="R135" s="441"/>
      <c r="S135" s="441"/>
      <c r="T135" s="441"/>
      <c r="U135" s="441"/>
      <c r="V135" s="441"/>
      <c r="W135" s="441"/>
      <c r="X135" s="441"/>
      <c r="Y135" s="441"/>
    </row>
    <row r="136" spans="1:25">
      <c r="A136" s="441"/>
      <c r="B136" s="458">
        <f t="shared" si="10"/>
        <v>2024</v>
      </c>
      <c r="C136" s="491">
        <f t="shared" ca="1" si="4"/>
        <v>2.5264129422302967E-2</v>
      </c>
      <c r="D136" s="492">
        <f t="shared" ca="1" si="5"/>
        <v>0.28775263254739569</v>
      </c>
      <c r="E136" s="460">
        <f t="shared" ca="1" si="6"/>
        <v>0.18914778449711095</v>
      </c>
      <c r="F136" s="460">
        <f t="shared" ca="1" si="7"/>
        <v>0.18788457802599579</v>
      </c>
      <c r="G136" s="460">
        <v>1</v>
      </c>
      <c r="H136" s="460">
        <f ca="1">IF(AND(B136&lt;=$H$121,B136&gt;='2.2 Input_General_Information'!$H$20),$H$123/(1+EXP(-$H$125*(B136-(LN(1/$H$120-1)/$H$125+$H$119)))),1)</f>
        <v>1</v>
      </c>
      <c r="I136" s="493">
        <f ca="1">IF(AND(B136&lt;=$H$121,B136&gt;='2.2 Input_General_Information'!$H$20),B136,)</f>
        <v>0</v>
      </c>
      <c r="J136" s="460">
        <f ca="1">IF(AND(B136&lt;=$J$121,B136&gt;='2.2 Input_General_Information'!$H$20),1-H136,)</f>
        <v>0</v>
      </c>
      <c r="K136" s="460">
        <f t="shared" ca="1" si="8"/>
        <v>1.5824958818844437E-3</v>
      </c>
      <c r="L136" s="460">
        <f t="shared" ca="1" si="9"/>
        <v>0.99841750411811558</v>
      </c>
      <c r="M136" s="460">
        <f ca="1">IF(AND($B136&lt;=$M$121,$B136&gt;='2.2 Input_General_Information'!$M$20),$M$123/(1+EXP(-$M$125*($B136-(LN(1/$M$120-1)/$M$125+$M$119)))),1)</f>
        <v>1</v>
      </c>
      <c r="N136" s="441"/>
      <c r="O136" s="441"/>
      <c r="P136" s="441"/>
      <c r="Q136" s="441"/>
      <c r="R136" s="441"/>
      <c r="S136" s="441"/>
      <c r="T136" s="441"/>
      <c r="U136" s="441"/>
      <c r="V136" s="441"/>
      <c r="W136" s="441"/>
      <c r="X136" s="441"/>
      <c r="Y136" s="441"/>
    </row>
    <row r="137" spans="1:25">
      <c r="A137" s="441"/>
      <c r="B137" s="458">
        <f t="shared" si="10"/>
        <v>2025</v>
      </c>
      <c r="C137" s="491">
        <f t="shared" ca="1" si="4"/>
        <v>2.9762514200976531E-2</v>
      </c>
      <c r="D137" s="492">
        <f t="shared" ca="1" si="5"/>
        <v>0.30436478609994266</v>
      </c>
      <c r="E137" s="460">
        <f t="shared" ca="1" si="6"/>
        <v>0.18464939971843738</v>
      </c>
      <c r="F137" s="460">
        <f t="shared" ca="1" si="7"/>
        <v>0.18316127400838855</v>
      </c>
      <c r="G137" s="460">
        <v>1</v>
      </c>
      <c r="H137" s="460">
        <f ca="1">IF(AND(B137&lt;=$H$121,B137&gt;='2.2 Input_General_Information'!$H$20),$H$123/(1+EXP(-$H$125*(B137-(LN(1/$H$120-1)/$H$125+$H$119)))),1)</f>
        <v>1</v>
      </c>
      <c r="I137" s="493">
        <f ca="1">IF(AND(B137&lt;=$H$121,B137&gt;='2.2 Input_General_Information'!$H$20),B137,)</f>
        <v>0</v>
      </c>
      <c r="J137" s="460">
        <f ca="1">IF(AND(B137&lt;=$J$121,B137&gt;='2.2 Input_General_Information'!$H$20),1-H137,)</f>
        <v>0</v>
      </c>
      <c r="K137" s="460">
        <f t="shared" ca="1" si="8"/>
        <v>2.5057551361171251E-3</v>
      </c>
      <c r="L137" s="460">
        <f t="shared" ca="1" si="9"/>
        <v>0.99749424486388283</v>
      </c>
      <c r="M137" s="460">
        <f ca="1">IF(AND($B137&lt;=$M$121,$B137&gt;='2.2 Input_General_Information'!$M$20),$M$123/(1+EXP(-$M$125*($B137-(LN(1/$M$120-1)/$M$125+$M$119)))),1)</f>
        <v>1</v>
      </c>
      <c r="N137" s="441"/>
      <c r="O137" s="441"/>
      <c r="P137" s="441"/>
      <c r="Q137" s="441"/>
      <c r="R137" s="441"/>
      <c r="S137" s="441"/>
      <c r="T137" s="441"/>
      <c r="U137" s="441"/>
      <c r="V137" s="441"/>
      <c r="W137" s="441"/>
      <c r="X137" s="441"/>
      <c r="Y137" s="441"/>
    </row>
    <row r="138" spans="1:25">
      <c r="A138" s="441"/>
      <c r="B138" s="458">
        <f t="shared" si="10"/>
        <v>2026</v>
      </c>
      <c r="C138" s="491">
        <f t="shared" ca="1" si="4"/>
        <v>3.4342175409357134E-2</v>
      </c>
      <c r="D138" s="492">
        <f t="shared" ca="1" si="5"/>
        <v>0.31613504255785452</v>
      </c>
      <c r="E138" s="460">
        <f t="shared" ca="1" si="6"/>
        <v>0.18006973851005678</v>
      </c>
      <c r="F138" s="460">
        <f t="shared" ca="1" si="7"/>
        <v>0.17835262973958893</v>
      </c>
      <c r="G138" s="460">
        <v>1</v>
      </c>
      <c r="H138" s="460">
        <f ca="1">IF(AND(B138&lt;=$H$121,B138&gt;='2.2 Input_General_Information'!$H$20),$H$123/(1+EXP(-$H$125*(B138-(LN(1/$H$120-1)/$H$125+$H$119)))),1)</f>
        <v>1</v>
      </c>
      <c r="I138" s="493">
        <f ca="1">IF(AND(B138&lt;=$H$121,B138&gt;='2.2 Input_General_Information'!$H$20),B138,)</f>
        <v>0</v>
      </c>
      <c r="J138" s="460">
        <f ca="1">IF(AND(B138&lt;=$J$121,B138&gt;='2.2 Input_General_Information'!$H$20),1-H138,)</f>
        <v>0</v>
      </c>
      <c r="K138" s="460">
        <f t="shared" ca="1" si="8"/>
        <v>3.9655226117837677E-3</v>
      </c>
      <c r="L138" s="460">
        <f t="shared" ca="1" si="9"/>
        <v>0.99603447738821627</v>
      </c>
      <c r="M138" s="460">
        <f ca="1">IF(AND($B138&lt;=$M$121,$B138&gt;='2.2 Input_General_Information'!$M$20),$M$123/(1+EXP(-$M$125*($B138-(LN(1/$M$120-1)/$M$125+$M$119)))),1)</f>
        <v>1</v>
      </c>
      <c r="N138" s="441"/>
      <c r="O138" s="441"/>
      <c r="P138" s="441"/>
      <c r="Q138" s="441"/>
      <c r="R138" s="441"/>
      <c r="S138" s="441"/>
      <c r="T138" s="441"/>
      <c r="U138" s="441"/>
      <c r="V138" s="441"/>
      <c r="W138" s="441"/>
      <c r="X138" s="441"/>
      <c r="Y138" s="441"/>
    </row>
    <row r="139" spans="1:25">
      <c r="A139" s="441"/>
      <c r="B139" s="458">
        <f t="shared" si="10"/>
        <v>2027</v>
      </c>
      <c r="C139" s="491">
        <f t="shared" ca="1" si="4"/>
        <v>3.9002511233355852E-2</v>
      </c>
      <c r="D139" s="492">
        <f t="shared" ca="1" si="5"/>
        <v>0.32438580802488681</v>
      </c>
      <c r="E139" s="460">
        <f t="shared" ca="1" si="6"/>
        <v>0.17540940268605806</v>
      </c>
      <c r="F139" s="460">
        <f t="shared" ca="1" si="7"/>
        <v>0.17345927712439027</v>
      </c>
      <c r="G139" s="460">
        <v>1</v>
      </c>
      <c r="H139" s="460">
        <f ca="1">IF(AND(B139&lt;=$H$121,B139&gt;='2.2 Input_General_Information'!$H$20),$H$123/(1+EXP(-$H$125*(B139-(LN(1/$H$120-1)/$H$125+$H$119)))),1)</f>
        <v>1</v>
      </c>
      <c r="I139" s="493">
        <f ca="1">IF(AND(B139&lt;=$H$121,B139&gt;='2.2 Input_General_Information'!$H$20),B139,)</f>
        <v>0</v>
      </c>
      <c r="J139" s="460">
        <f ca="1">IF(AND(B139&lt;=$J$121,B139&gt;='2.2 Input_General_Information'!$H$20),1-H139,)</f>
        <v>0</v>
      </c>
      <c r="K139" s="460">
        <f t="shared" ca="1" si="8"/>
        <v>6.2703550563382128E-3</v>
      </c>
      <c r="L139" s="460">
        <f t="shared" ca="1" si="9"/>
        <v>0.99372964494366178</v>
      </c>
      <c r="M139" s="460">
        <f ca="1">IF(AND($B139&lt;=$M$121,$B139&gt;='2.2 Input_General_Information'!$M$20),$M$123/(1+EXP(-$M$125*($B139-(LN(1/$M$120-1)/$M$125+$M$119)))),1)</f>
        <v>1</v>
      </c>
      <c r="N139" s="441"/>
      <c r="O139" s="441"/>
      <c r="P139" s="441"/>
      <c r="Q139" s="441"/>
      <c r="R139" s="441"/>
      <c r="S139" s="441"/>
      <c r="T139" s="441"/>
      <c r="U139" s="441"/>
      <c r="V139" s="441"/>
      <c r="W139" s="441"/>
      <c r="X139" s="441"/>
      <c r="Y139" s="441"/>
    </row>
    <row r="140" spans="1:25">
      <c r="A140" s="441"/>
      <c r="B140" s="458">
        <f t="shared" si="10"/>
        <v>2028</v>
      </c>
      <c r="C140" s="491">
        <f t="shared" ca="1" si="4"/>
        <v>4.3742799900867685E-2</v>
      </c>
      <c r="D140" s="492">
        <f t="shared" ca="1" si="5"/>
        <v>0.33012613452780948</v>
      </c>
      <c r="E140" s="460">
        <f t="shared" ca="1" si="6"/>
        <v>0.17066911401854623</v>
      </c>
      <c r="F140" s="460">
        <f t="shared" ca="1" si="7"/>
        <v>0.16848197402350285</v>
      </c>
      <c r="G140" s="460">
        <v>1</v>
      </c>
      <c r="H140" s="460">
        <f ca="1">IF(AND(B140&lt;=$H$121,B140&gt;='2.2 Input_General_Information'!$H$20),$H$123/(1+EXP(-$H$125*(B140-(LN(1/$H$120-1)/$H$125+$H$119)))),1)</f>
        <v>1</v>
      </c>
      <c r="I140" s="493">
        <f ca="1">IF(AND(B140&lt;=$H$121,B140&gt;='2.2 Input_General_Information'!$H$20),B140,)</f>
        <v>0</v>
      </c>
      <c r="J140" s="460">
        <f ca="1">IF(AND(B140&lt;=$J$121,B140&gt;='2.2 Input_General_Information'!$H$20),1-H140,)</f>
        <v>0</v>
      </c>
      <c r="K140" s="460">
        <f t="shared" ca="1" si="8"/>
        <v>9.9014802835581499E-3</v>
      </c>
      <c r="L140" s="460">
        <f t="shared" ca="1" si="9"/>
        <v>0.99009851971644181</v>
      </c>
      <c r="M140" s="460">
        <f ca="1">IF(AND($B140&lt;=$M$121,$B140&gt;='2.2 Input_General_Information'!$M$20),$M$123/(1+EXP(-$M$125*($B140-(LN(1/$M$120-1)/$M$125+$M$119)))),1)</f>
        <v>1</v>
      </c>
      <c r="N140" s="441"/>
      <c r="O140" s="441"/>
      <c r="P140" s="441"/>
      <c r="Q140" s="441"/>
      <c r="R140" s="441"/>
      <c r="S140" s="441"/>
      <c r="T140" s="441"/>
      <c r="U140" s="441"/>
      <c r="V140" s="441"/>
      <c r="W140" s="441"/>
      <c r="X140" s="441"/>
      <c r="Y140" s="441"/>
    </row>
    <row r="141" spans="1:25">
      <c r="A141" s="441"/>
      <c r="B141" s="458">
        <f t="shared" si="10"/>
        <v>2029</v>
      </c>
      <c r="C141" s="491">
        <f t="shared" ca="1" si="4"/>
        <v>4.8562197021254999E-2</v>
      </c>
      <c r="D141" s="492">
        <f t="shared" ca="1" si="5"/>
        <v>0.33409900232888945</v>
      </c>
      <c r="E141" s="460">
        <f t="shared" ca="1" si="6"/>
        <v>0.16584971689815892</v>
      </c>
      <c r="F141" s="460">
        <f t="shared" ca="1" si="7"/>
        <v>0.16342160704709616</v>
      </c>
      <c r="G141" s="460">
        <v>1</v>
      </c>
      <c r="H141" s="460">
        <f ca="1">IF(AND(B141&lt;=$H$121,B141&gt;='2.2 Input_General_Information'!$H$20),$H$123/(1+EXP(-$H$125*(B141-(LN(1/$H$120-1)/$H$125+$H$119)))),1)</f>
        <v>1</v>
      </c>
      <c r="I141" s="493">
        <f ca="1">IF(AND(B141&lt;=$H$121,B141&gt;='2.2 Input_General_Information'!$H$20),B141,)</f>
        <v>0</v>
      </c>
      <c r="J141" s="460">
        <f ca="1">IF(AND(B141&lt;=$J$121,B141&gt;='2.2 Input_General_Information'!$H$20),1-H141,)</f>
        <v>0</v>
      </c>
      <c r="K141" s="460">
        <f t="shared" ca="1" si="8"/>
        <v>1.5602353412725225E-2</v>
      </c>
      <c r="L141" s="460">
        <f t="shared" ca="1" si="9"/>
        <v>0.9843976465872748</v>
      </c>
      <c r="M141" s="460">
        <f ca="1">IF(AND($B141&lt;=$M$121,$B141&gt;='2.2 Input_General_Information'!$M$20),$M$123/(1+EXP(-$M$125*($B141-(LN(1/$M$120-1)/$M$125+$M$119)))),1)</f>
        <v>1</v>
      </c>
      <c r="N141" s="441"/>
      <c r="O141" s="441"/>
      <c r="P141" s="441"/>
      <c r="Q141" s="441"/>
      <c r="R141" s="441"/>
      <c r="S141" s="441"/>
      <c r="T141" s="441"/>
      <c r="U141" s="441"/>
      <c r="V141" s="441"/>
      <c r="W141" s="441"/>
      <c r="X141" s="441"/>
      <c r="Y141" s="441"/>
    </row>
    <row r="142" spans="1:25">
      <c r="A142" s="441"/>
      <c r="B142" s="458">
        <f t="shared" si="10"/>
        <v>2030</v>
      </c>
      <c r="C142" s="491">
        <f t="shared" ca="1" si="4"/>
        <v>5.3459733222127548E-2</v>
      </c>
      <c r="D142" s="492">
        <f t="shared" ca="1" si="5"/>
        <v>0.33683865783090716</v>
      </c>
      <c r="E142" s="460">
        <f t="shared" ca="1" si="6"/>
        <v>0.16095218069728637</v>
      </c>
      <c r="F142" s="460">
        <f t="shared" ca="1" si="7"/>
        <v>0.15827919403617999</v>
      </c>
      <c r="G142" s="460">
        <v>1</v>
      </c>
      <c r="H142" s="460">
        <f ca="1">IF(AND(B142&lt;=$H$121,B142&gt;='2.2 Input_General_Information'!$H$20),$H$123/(1+EXP(-$H$125*(B142-(LN(1/$H$120-1)/$H$125+$H$119)))),1)</f>
        <v>1</v>
      </c>
      <c r="I142" s="493">
        <f ca="1">IF(AND(B142&lt;=$H$121,B142&gt;='2.2 Input_General_Information'!$H$20),B142,)</f>
        <v>0</v>
      </c>
      <c r="J142" s="460">
        <f ca="1">IF(AND(B142&lt;=$J$121,B142&gt;='2.2 Input_General_Information'!$H$20),1-H142,)</f>
        <v>0</v>
      </c>
      <c r="K142" s="460">
        <f t="shared" ca="1" si="8"/>
        <v>2.4504323734439552E-2</v>
      </c>
      <c r="L142" s="460">
        <f t="shared" ca="1" si="9"/>
        <v>0.97549567626556044</v>
      </c>
      <c r="M142" s="460">
        <f ca="1">IF(AND($B142&lt;=$M$121,$B142&gt;='2.2 Input_General_Information'!$M$20),$M$123/(1+EXP(-$M$125*($B142-(LN(1/$M$120-1)/$M$125+$M$119)))),1)</f>
        <v>1</v>
      </c>
      <c r="N142" s="441"/>
      <c r="O142" s="441"/>
      <c r="P142" s="441"/>
      <c r="Q142" s="441"/>
      <c r="R142" s="441"/>
      <c r="S142" s="441"/>
      <c r="T142" s="441"/>
      <c r="U142" s="441"/>
      <c r="V142" s="441"/>
      <c r="W142" s="441"/>
      <c r="X142" s="441"/>
      <c r="Y142" s="441"/>
    </row>
    <row r="143" spans="1:25">
      <c r="A143" s="441"/>
      <c r="B143" s="458">
        <f t="shared" si="10"/>
        <v>2031</v>
      </c>
      <c r="C143" s="491">
        <f t="shared" ca="1" si="4"/>
        <v>5.8434312108737452E-2</v>
      </c>
      <c r="D143" s="492">
        <f t="shared" ca="1" si="5"/>
        <v>0.33872317723303502</v>
      </c>
      <c r="E143" s="460">
        <f t="shared" ca="1" si="6"/>
        <v>0.15597760181067646</v>
      </c>
      <c r="F143" s="460">
        <f t="shared" ca="1" si="7"/>
        <v>0.15305588620523958</v>
      </c>
      <c r="G143" s="460">
        <v>1</v>
      </c>
      <c r="H143" s="460">
        <f ca="1">IF(AND(B143&lt;=$H$121,B143&gt;='2.2 Input_General_Information'!$H$20),$H$123/(1+EXP(-$H$125*(B143-(LN(1/$H$120-1)/$H$125+$H$119)))),1)</f>
        <v>1</v>
      </c>
      <c r="I143" s="493">
        <f ca="1">IF(AND(B143&lt;=$H$121,B143&gt;='2.2 Input_General_Information'!$H$20),B143,)</f>
        <v>0</v>
      </c>
      <c r="J143" s="460">
        <f ca="1">IF(AND(B143&lt;=$J$121,B143&gt;='2.2 Input_General_Information'!$H$20),1-H143,)</f>
        <v>0</v>
      </c>
      <c r="K143" s="460">
        <f t="shared" ca="1" si="8"/>
        <v>3.8287792690195818E-2</v>
      </c>
      <c r="L143" s="460">
        <f t="shared" ca="1" si="9"/>
        <v>0.96171220730980422</v>
      </c>
      <c r="M143" s="460">
        <f ca="1">IF(AND($B143&lt;=$M$121,$B143&gt;='2.2 Input_General_Information'!$M$20),$M$123/(1+EXP(-$M$125*($B143-(LN(1/$M$120-1)/$M$125+$M$119)))),1)</f>
        <v>1</v>
      </c>
      <c r="N143" s="441"/>
      <c r="O143" s="441"/>
      <c r="P143" s="441"/>
      <c r="Q143" s="441"/>
      <c r="R143" s="441"/>
      <c r="S143" s="441"/>
      <c r="T143" s="441"/>
      <c r="U143" s="441"/>
      <c r="V143" s="441"/>
      <c r="W143" s="441"/>
      <c r="X143" s="441"/>
      <c r="Y143" s="441"/>
    </row>
    <row r="144" spans="1:25">
      <c r="A144" s="441"/>
      <c r="B144" s="458">
        <f t="shared" si="10"/>
        <v>2032</v>
      </c>
      <c r="C144" s="491">
        <f t="shared" ca="1" si="4"/>
        <v>6.3484708570643866E-2</v>
      </c>
      <c r="D144" s="492">
        <f t="shared" ca="1" si="5"/>
        <v>0.34001724535641775</v>
      </c>
      <c r="E144" s="460">
        <f t="shared" ca="1" si="6"/>
        <v>0.15092720534877005</v>
      </c>
      <c r="F144" s="460">
        <f t="shared" ca="1" si="7"/>
        <v>0.14775296992023784</v>
      </c>
      <c r="G144" s="460">
        <v>1</v>
      </c>
      <c r="H144" s="460">
        <f ca="1">IF(AND(B144&lt;=$H$121,B144&gt;='2.2 Input_General_Information'!$H$20),$H$123/(1+EXP(-$H$125*(B144-(LN(1/$H$120-1)/$H$125+$H$119)))),1)</f>
        <v>1</v>
      </c>
      <c r="I144" s="493">
        <f ca="1">IF(AND(B144&lt;=$H$121,B144&gt;='2.2 Input_General_Information'!$H$20),B144,)</f>
        <v>0</v>
      </c>
      <c r="J144" s="460">
        <f ca="1">IF(AND(B144&lt;=$J$121,B144&gt;='2.2 Input_General_Information'!$H$20),1-H144,)</f>
        <v>0</v>
      </c>
      <c r="K144" s="460">
        <f t="shared" ca="1" si="8"/>
        <v>5.935261806093492E-2</v>
      </c>
      <c r="L144" s="460">
        <f t="shared" ca="1" si="9"/>
        <v>0.94064738193906505</v>
      </c>
      <c r="M144" s="460">
        <f ca="1">IF(AND($B144&lt;=$M$121,$B144&gt;='2.2 Input_General_Information'!$M$20),$M$123/(1+EXP(-$M$125*($B144-(LN(1/$M$120-1)/$M$125+$M$119)))),1)</f>
        <v>1</v>
      </c>
      <c r="N144" s="441"/>
      <c r="O144" s="441"/>
      <c r="P144" s="441"/>
      <c r="Q144" s="441"/>
      <c r="R144" s="441"/>
      <c r="S144" s="441"/>
      <c r="T144" s="441"/>
      <c r="U144" s="441"/>
      <c r="V144" s="441"/>
      <c r="W144" s="441"/>
      <c r="X144" s="441"/>
      <c r="Y144" s="441"/>
    </row>
    <row r="145" spans="1:25">
      <c r="A145" s="441"/>
      <c r="B145" s="458">
        <f t="shared" si="10"/>
        <v>2033</v>
      </c>
      <c r="C145" s="491">
        <f t="shared" ca="1" si="4"/>
        <v>6.8609567459397391E-2</v>
      </c>
      <c r="D145" s="492">
        <f t="shared" ca="1" si="5"/>
        <v>0.34090480960033498</v>
      </c>
      <c r="E145" s="460">
        <f t="shared" ca="1" si="6"/>
        <v>0.14580234646001652</v>
      </c>
      <c r="F145" s="460">
        <f t="shared" ca="1" si="7"/>
        <v>0.14237186808704666</v>
      </c>
      <c r="G145" s="460">
        <v>1</v>
      </c>
      <c r="H145" s="460">
        <f ca="1">IF(AND(B145&lt;=$H$121,B145&gt;='2.2 Input_General_Information'!$H$20),$H$123/(1+EXP(-$H$125*(B145-(LN(1/$H$120-1)/$H$125+$H$119)))),1)</f>
        <v>1</v>
      </c>
      <c r="I145" s="493">
        <f ca="1">IF(AND(B145&lt;=$H$121,B145&gt;='2.2 Input_General_Information'!$H$20),B145,)</f>
        <v>0</v>
      </c>
      <c r="J145" s="460">
        <f ca="1">IF(AND(B145&lt;=$J$121,B145&gt;='2.2 Input_General_Information'!$H$20),1-H145,)</f>
        <v>0</v>
      </c>
      <c r="K145" s="460">
        <f t="shared" ca="1" si="8"/>
        <v>9.0911157149265023E-2</v>
      </c>
      <c r="L145" s="460">
        <f t="shared" ca="1" si="9"/>
        <v>0.90908884285073499</v>
      </c>
      <c r="M145" s="460">
        <f ca="1">IF(AND($B145&lt;=$M$121,$B145&gt;='2.2 Input_General_Information'!$M$20),$M$123/(1+EXP(-$M$125*($B145-(LN(1/$M$120-1)/$M$125+$M$119)))),1)</f>
        <v>1</v>
      </c>
      <c r="N145" s="441"/>
      <c r="O145" s="441"/>
      <c r="P145" s="441"/>
      <c r="Q145" s="441"/>
      <c r="R145" s="441"/>
      <c r="S145" s="441"/>
      <c r="T145" s="441"/>
      <c r="U145" s="441"/>
      <c r="V145" s="441"/>
      <c r="W145" s="441"/>
      <c r="X145" s="441"/>
      <c r="Y145" s="441"/>
    </row>
    <row r="146" spans="1:25">
      <c r="A146" s="441"/>
      <c r="B146" s="458">
        <f t="shared" si="10"/>
        <v>2034</v>
      </c>
      <c r="C146" s="491">
        <f t="shared" ca="1" si="4"/>
        <v>7.3807402659843341E-2</v>
      </c>
      <c r="D146" s="492">
        <f t="shared" ca="1" si="5"/>
        <v>0.34151307056191682</v>
      </c>
      <c r="E146" s="460">
        <f t="shared" ca="1" si="6"/>
        <v>0.14060451125957057</v>
      </c>
      <c r="F146" s="460">
        <f t="shared" ca="1" si="7"/>
        <v>0.1369141411265784</v>
      </c>
      <c r="G146" s="460">
        <v>1</v>
      </c>
      <c r="H146" s="460">
        <f ca="1">IF(AND(B146&lt;=$H$121,B146&gt;='2.2 Input_General_Information'!$H$20),$H$123/(1+EXP(-$H$125*(B146-(LN(1/$H$120-1)/$H$125+$H$119)))),1)</f>
        <v>1</v>
      </c>
      <c r="I146" s="493">
        <f ca="1">IF(AND(B146&lt;=$H$121,B146&gt;='2.2 Input_General_Information'!$H$20),B146,)</f>
        <v>0</v>
      </c>
      <c r="J146" s="460">
        <f ca="1">IF(AND(B146&lt;=$J$121,B146&gt;='2.2 Input_General_Information'!$H$20),1-H146,)</f>
        <v>0</v>
      </c>
      <c r="K146" s="460">
        <f t="shared" ca="1" si="8"/>
        <v>0.13680925055378262</v>
      </c>
      <c r="L146" s="460">
        <f t="shared" ca="1" si="9"/>
        <v>0.86319074944621743</v>
      </c>
      <c r="M146" s="460">
        <f ca="1">IF(AND($B146&lt;=$M$121,$B146&gt;='2.2 Input_General_Information'!$M$20),$M$123/(1+EXP(-$M$125*($B146-(LN(1/$M$120-1)/$M$125+$M$119)))),1)</f>
        <v>1</v>
      </c>
      <c r="N146" s="441"/>
      <c r="O146" s="441"/>
      <c r="P146" s="441"/>
      <c r="Q146" s="441"/>
      <c r="R146" s="441"/>
      <c r="S146" s="441"/>
      <c r="T146" s="441"/>
      <c r="U146" s="441"/>
      <c r="V146" s="441"/>
      <c r="W146" s="441"/>
      <c r="X146" s="441"/>
      <c r="Y146" s="441"/>
    </row>
    <row r="147" spans="1:25">
      <c r="A147" s="441"/>
      <c r="B147" s="458">
        <f t="shared" si="10"/>
        <v>2035</v>
      </c>
      <c r="C147" s="491">
        <f t="shared" ca="1" si="4"/>
        <v>7.9076596576238584E-2</v>
      </c>
      <c r="D147" s="492">
        <f t="shared" ca="1" si="5"/>
        <v>0.34192968899127052</v>
      </c>
      <c r="E147" s="460">
        <f t="shared" ca="1" si="6"/>
        <v>0.13533531734317533</v>
      </c>
      <c r="F147" s="460">
        <f t="shared" ca="1" si="7"/>
        <v>0.1313814875143634</v>
      </c>
      <c r="G147" s="460">
        <v>1</v>
      </c>
      <c r="H147" s="460">
        <f ca="1">IF(AND(B147&lt;=$H$121,B147&gt;='2.2 Input_General_Information'!$H$20),$H$123/(1+EXP(-$H$125*(B147-(LN(1/$H$120-1)/$H$125+$H$119)))),1)</f>
        <v>1</v>
      </c>
      <c r="I147" s="493">
        <f ca="1">IF(AND(B147&lt;=$H$121,B147&gt;='2.2 Input_General_Information'!$H$20),B147,)</f>
        <v>0</v>
      </c>
      <c r="J147" s="460">
        <f ca="1">IF(AND(B147&lt;=$J$121,B147&gt;='2.2 Input_General_Information'!$H$20),1-H147,)</f>
        <v>0</v>
      </c>
      <c r="K147" s="460">
        <f t="shared" ca="1" si="8"/>
        <v>0.20076241587572893</v>
      </c>
      <c r="L147" s="460">
        <f t="shared" ca="1" si="9"/>
        <v>0.79923758412427104</v>
      </c>
      <c r="M147" s="460">
        <f ca="1">IF(AND($B147&lt;=$M$121,$B147&gt;='2.2 Input_General_Information'!$M$20),$M$123/(1+EXP(-$M$125*($B147-(LN(1/$M$120-1)/$M$125+$M$119)))),1)</f>
        <v>1</v>
      </c>
      <c r="N147" s="441"/>
      <c r="O147" s="441"/>
      <c r="P147" s="441"/>
      <c r="Q147" s="441"/>
      <c r="R147" s="441"/>
      <c r="S147" s="441"/>
      <c r="T147" s="441"/>
      <c r="U147" s="441"/>
      <c r="V147" s="441"/>
      <c r="W147" s="441"/>
      <c r="X147" s="441"/>
      <c r="Y147" s="441"/>
    </row>
    <row r="148" spans="1:25">
      <c r="A148" s="441"/>
      <c r="B148" s="458">
        <f t="shared" si="10"/>
        <v>2036</v>
      </c>
      <c r="C148" s="491">
        <f t="shared" ca="1" si="4"/>
        <v>8.4415400052723744E-2</v>
      </c>
      <c r="D148" s="492">
        <f t="shared" ca="1" si="5"/>
        <v>0.34221493626812394</v>
      </c>
      <c r="E148" s="460">
        <f t="shared" ca="1" si="6"/>
        <v>0.12999651386669017</v>
      </c>
      <c r="F148" s="460">
        <f t="shared" ca="1" si="7"/>
        <v>0.12577574386405399</v>
      </c>
      <c r="G148" s="460">
        <v>1</v>
      </c>
      <c r="H148" s="460">
        <f ca="1">IF(AND(B148&lt;=$H$121,B148&gt;='2.2 Input_General_Information'!$H$20),$H$123/(1+EXP(-$H$125*(B148-(LN(1/$H$120-1)/$H$125+$H$119)))),1)</f>
        <v>1</v>
      </c>
      <c r="I148" s="493">
        <f ca="1">IF(AND(B148&lt;=$H$121,B148&gt;='2.2 Input_General_Information'!$H$20),B148,)</f>
        <v>0</v>
      </c>
      <c r="J148" s="460">
        <f ca="1">IF(AND(B148&lt;=$J$121,B148&gt;='2.2 Input_General_Information'!$H$20),1-H148,)</f>
        <v>0</v>
      </c>
      <c r="K148" s="460">
        <f t="shared" ca="1" si="8"/>
        <v>0.2847492857196342</v>
      </c>
      <c r="L148" s="460">
        <f t="shared" ca="1" si="9"/>
        <v>0.7152507142803658</v>
      </c>
      <c r="M148" s="460">
        <f ca="1">IF(AND($B148&lt;=$M$121,$B148&gt;='2.2 Input_General_Information'!$M$20),$M$123/(1+EXP(-$M$125*($B148-(LN(1/$M$120-1)/$M$125+$M$119)))),1)</f>
        <v>1</v>
      </c>
      <c r="N148" s="441"/>
      <c r="O148" s="441"/>
      <c r="P148" s="441"/>
      <c r="Q148" s="441"/>
      <c r="R148" s="441"/>
      <c r="S148" s="441"/>
      <c r="T148" s="441"/>
      <c r="U148" s="441"/>
      <c r="V148" s="441"/>
      <c r="W148" s="441"/>
      <c r="X148" s="441"/>
      <c r="Y148" s="441"/>
    </row>
    <row r="149" spans="1:25">
      <c r="A149" s="441"/>
      <c r="B149" s="458">
        <f t="shared" si="10"/>
        <v>2037</v>
      </c>
      <c r="C149" s="491">
        <f t="shared" ca="1" si="4"/>
        <v>8.9821932745783845E-2</v>
      </c>
      <c r="D149" s="492">
        <f t="shared" ca="1" si="5"/>
        <v>0.34241018634537912</v>
      </c>
      <c r="E149" s="460">
        <f t="shared" ca="1" si="6"/>
        <v>0.12458998117363007</v>
      </c>
      <c r="F149" s="460">
        <f t="shared" ca="1" si="7"/>
        <v>0.12009888453634088</v>
      </c>
      <c r="G149" s="460">
        <v>1</v>
      </c>
      <c r="H149" s="460">
        <f ca="1">IF(AND(B149&lt;=$H$121,B149&gt;='2.2 Input_General_Information'!$H$20),$H$123/(1+EXP(-$H$125*(B149-(LN(1/$H$120-1)/$H$125+$H$119)))),1)</f>
        <v>1</v>
      </c>
      <c r="I149" s="493">
        <f ca="1">IF(AND(B149&lt;=$H$121,B149&gt;='2.2 Input_General_Information'!$H$20),B149,)</f>
        <v>0</v>
      </c>
      <c r="J149" s="460">
        <f ca="1">IF(AND(B149&lt;=$J$121,B149&gt;='2.2 Input_General_Information'!$H$20),1-H149,)</f>
        <v>0</v>
      </c>
      <c r="K149" s="460">
        <f t="shared" ca="1" si="8"/>
        <v>0.38686436590722589</v>
      </c>
      <c r="L149" s="460">
        <f t="shared" ca="1" si="9"/>
        <v>0.61313563409277405</v>
      </c>
      <c r="M149" s="460">
        <f ca="1">IF(AND($B149&lt;=$M$121,$B149&gt;='2.2 Input_General_Information'!$M$20),$M$123/(1+EXP(-$M$125*($B149-(LN(1/$M$120-1)/$M$125+$M$119)))),1)</f>
        <v>1</v>
      </c>
      <c r="N149" s="441"/>
      <c r="O149" s="441"/>
      <c r="P149" s="441"/>
      <c r="Q149" s="441"/>
      <c r="R149" s="441"/>
      <c r="S149" s="441"/>
      <c r="T149" s="441"/>
      <c r="U149" s="441"/>
      <c r="V149" s="441"/>
      <c r="W149" s="441"/>
      <c r="X149" s="441"/>
      <c r="Y149" s="441"/>
    </row>
    <row r="150" spans="1:25">
      <c r="A150" s="441"/>
      <c r="B150" s="458">
        <f t="shared" si="10"/>
        <v>2038</v>
      </c>
      <c r="C150" s="491">
        <f t="shared" ca="1" si="4"/>
        <v>9.5294183964183959E-2</v>
      </c>
      <c r="D150" s="492">
        <f t="shared" ca="1" si="5"/>
        <v>0.34254381000135092</v>
      </c>
      <c r="E150" s="460">
        <f t="shared" ca="1" si="6"/>
        <v>0.11911772995522996</v>
      </c>
      <c r="F150" s="460">
        <f t="shared" ca="1" si="7"/>
        <v>0.11435302075702075</v>
      </c>
      <c r="G150" s="460">
        <v>1</v>
      </c>
      <c r="H150" s="460">
        <f ca="1">IF(AND(B150&lt;=$H$121,B150&gt;='2.2 Input_General_Information'!$H$20),$H$123/(1+EXP(-$H$125*(B150-(LN(1/$H$120-1)/$H$125+$H$119)))),1)</f>
        <v>1</v>
      </c>
      <c r="I150" s="493">
        <f ca="1">IF(AND(B150&lt;=$H$121,B150&gt;='2.2 Input_General_Information'!$H$20),B150,)</f>
        <v>0</v>
      </c>
      <c r="J150" s="460">
        <f ca="1">IF(AND(B150&lt;=$J$121,B150&gt;='2.2 Input_General_Information'!$H$20),1-H150,)</f>
        <v>0</v>
      </c>
      <c r="K150" s="460">
        <f t="shared" ca="1" si="8"/>
        <v>0.50000000000010469</v>
      </c>
      <c r="L150" s="460">
        <f t="shared" ca="1" si="9"/>
        <v>0.49999999999989531</v>
      </c>
      <c r="M150" s="460">
        <f ca="1">IF(AND($B150&lt;=$M$121,$B150&gt;='2.2 Input_General_Information'!$M$20),$M$123/(1+EXP(-$M$125*($B150-(LN(1/$M$120-1)/$M$125+$M$119)))),1)</f>
        <v>1</v>
      </c>
      <c r="N150" s="441"/>
      <c r="O150" s="441"/>
      <c r="P150" s="441"/>
      <c r="Q150" s="441"/>
      <c r="R150" s="441"/>
      <c r="S150" s="441"/>
      <c r="T150" s="441"/>
      <c r="U150" s="441"/>
      <c r="V150" s="441"/>
      <c r="W150" s="441"/>
      <c r="X150" s="441"/>
      <c r="Y150" s="441"/>
    </row>
    <row r="151" spans="1:25">
      <c r="A151" s="441"/>
      <c r="B151" s="458">
        <f t="shared" si="10"/>
        <v>2039</v>
      </c>
      <c r="C151" s="491">
        <f t="shared" ca="1" si="4"/>
        <v>0.10083001398947566</v>
      </c>
      <c r="D151" s="492">
        <f t="shared" ca="1" si="5"/>
        <v>0.34263524709135662</v>
      </c>
      <c r="E151" s="460">
        <f t="shared" ca="1" si="6"/>
        <v>0.11358189992993825</v>
      </c>
      <c r="F151" s="460">
        <f t="shared" ca="1" si="7"/>
        <v>0.10854039923046446</v>
      </c>
      <c r="G151" s="460">
        <v>1</v>
      </c>
      <c r="H151" s="460">
        <f ca="1">IF(AND(B151&lt;=$H$121,B151&gt;='2.2 Input_General_Information'!$H$20),$H$123/(1+EXP(-$H$125*(B151-(LN(1/$H$120-1)/$H$125+$H$119)))),1)</f>
        <v>1</v>
      </c>
      <c r="I151" s="493">
        <f ca="1">IF(AND(B151&lt;=$H$121,B151&gt;='2.2 Input_General_Information'!$H$20),B151,)</f>
        <v>0</v>
      </c>
      <c r="J151" s="460">
        <f ca="1">IF(AND(B151&lt;=$J$121,B151&gt;='2.2 Input_General_Information'!$H$20),1-H151,)</f>
        <v>0</v>
      </c>
      <c r="K151" s="460">
        <f t="shared" ca="1" si="8"/>
        <v>0.61313563409297278</v>
      </c>
      <c r="L151" s="460">
        <f t="shared" ca="1" si="9"/>
        <v>0.38686436590702722</v>
      </c>
      <c r="M151" s="460">
        <f ca="1">IF(AND($B151&lt;=$M$121,$B151&gt;='2.2 Input_General_Information'!$M$20),$M$123/(1+EXP(-$M$125*($B151-(LN(1/$M$120-1)/$M$125+$M$119)))),1)</f>
        <v>1</v>
      </c>
      <c r="N151" s="441"/>
      <c r="O151" s="441"/>
      <c r="P151" s="441"/>
      <c r="Q151" s="441"/>
      <c r="R151" s="441"/>
      <c r="S151" s="441"/>
      <c r="T151" s="441"/>
      <c r="U151" s="441"/>
      <c r="V151" s="441"/>
      <c r="W151" s="441"/>
      <c r="X151" s="441"/>
      <c r="Y151" s="441"/>
    </row>
    <row r="152" spans="1:25">
      <c r="A152" s="441"/>
      <c r="B152" s="458">
        <f t="shared" si="10"/>
        <v>2040</v>
      </c>
      <c r="C152" s="491">
        <f t="shared" ca="1" si="4"/>
        <v>0.10642715588756382</v>
      </c>
      <c r="D152" s="492">
        <f t="shared" ca="1" si="5"/>
        <v>0.34269781117862841</v>
      </c>
      <c r="E152" s="460">
        <f t="shared" ca="1" si="6"/>
        <v>0.10798475803185009</v>
      </c>
      <c r="F152" s="460">
        <f t="shared" ca="1" si="7"/>
        <v>0.10266340023747189</v>
      </c>
      <c r="G152" s="460">
        <v>1</v>
      </c>
      <c r="H152" s="460">
        <f ca="1">IF(AND(B152&lt;=$H$121,B152&gt;='2.2 Input_General_Information'!$H$20),$H$123/(1+EXP(-$H$125*(B152-(LN(1/$H$120-1)/$H$125+$H$119)))),1)</f>
        <v>1</v>
      </c>
      <c r="I152" s="493">
        <f ca="1">IF(AND(B152&lt;=$H$121,B152&gt;='2.2 Input_General_Information'!$H$20),B152,)</f>
        <v>0</v>
      </c>
      <c r="J152" s="460">
        <f ca="1">IF(AND(B152&lt;=$J$121,B152&gt;='2.2 Input_General_Information'!$H$20),1-H152,)</f>
        <v>0</v>
      </c>
      <c r="K152" s="460">
        <f t="shared" ca="1" si="8"/>
        <v>0.71525071428053644</v>
      </c>
      <c r="L152" s="460">
        <f t="shared" ca="1" si="9"/>
        <v>0.28474928571946356</v>
      </c>
      <c r="M152" s="460">
        <f ca="1">IF(AND($B152&lt;=$M$121,$B152&gt;='2.2 Input_General_Information'!$M$20),$M$123/(1+EXP(-$M$125*($B152-(LN(1/$M$120-1)/$M$125+$M$119)))),1)</f>
        <v>1</v>
      </c>
      <c r="N152" s="441"/>
      <c r="O152" s="441"/>
      <c r="P152" s="441"/>
      <c r="Q152" s="441"/>
      <c r="R152" s="441"/>
      <c r="S152" s="441"/>
      <c r="T152" s="441"/>
      <c r="U152" s="441"/>
      <c r="V152" s="441"/>
      <c r="W152" s="441"/>
      <c r="X152" s="441"/>
      <c r="Y152" s="441"/>
    </row>
    <row r="153" spans="1:25">
      <c r="A153" s="441"/>
      <c r="B153" s="458">
        <f t="shared" si="10"/>
        <v>2041</v>
      </c>
      <c r="C153" s="491">
        <f t="shared" ca="1" si="4"/>
        <v>0.11208321781900296</v>
      </c>
      <c r="D153" s="492">
        <f t="shared" ca="1" si="5"/>
        <v>0.34274061701354908</v>
      </c>
      <c r="E153" s="460">
        <f t="shared" ca="1" si="6"/>
        <v>0.10232869610041095</v>
      </c>
      <c r="F153" s="460">
        <f t="shared" ca="1" si="7"/>
        <v>9.6724535209460796E-2</v>
      </c>
      <c r="G153" s="460">
        <v>1</v>
      </c>
      <c r="H153" s="460">
        <f ca="1">IF(AND(B153&lt;=$H$121,B153&gt;='2.2 Input_General_Information'!$H$20),$H$123/(1+EXP(-$H$125*(B153-(LN(1/$H$120-1)/$H$125+$H$119)))),1)</f>
        <v>1</v>
      </c>
      <c r="I153" s="493">
        <f ca="1">IF(AND(B153&lt;=$H$121,B153&gt;='2.2 Input_General_Information'!$H$20),B153,)</f>
        <v>0</v>
      </c>
      <c r="J153" s="460">
        <f ca="1">IF(AND(B153&lt;=$J$121,B153&gt;='2.2 Input_General_Information'!$H$20),1-H153,)</f>
        <v>0</v>
      </c>
      <c r="K153" s="460">
        <f t="shared" ca="1" si="8"/>
        <v>0.79923758412440549</v>
      </c>
      <c r="L153" s="460">
        <f t="shared" ca="1" si="9"/>
        <v>0.20076241587559451</v>
      </c>
      <c r="M153" s="460">
        <f ca="1">IF(AND($B153&lt;=$M$121,$B153&gt;='2.2 Input_General_Information'!$M$20),$M$123/(1+EXP(-$M$125*($B153-(LN(1/$M$120-1)/$M$125+$M$119)))),1)</f>
        <v>1</v>
      </c>
      <c r="N153" s="441"/>
      <c r="O153" s="441"/>
      <c r="P153" s="441"/>
      <c r="Q153" s="441"/>
      <c r="R153" s="441"/>
      <c r="S153" s="441"/>
      <c r="T153" s="441"/>
      <c r="U153" s="441"/>
      <c r="V153" s="441"/>
      <c r="W153" s="441"/>
      <c r="X153" s="441"/>
      <c r="Y153" s="441"/>
    </row>
    <row r="154" spans="1:25">
      <c r="A154" s="441"/>
      <c r="B154" s="458">
        <f t="shared" si="10"/>
        <v>2042</v>
      </c>
      <c r="C154" s="491">
        <f t="shared" ca="1" si="4"/>
        <v>0.11779568585268788</v>
      </c>
      <c r="D154" s="492">
        <f t="shared" ca="1" si="5"/>
        <v>0.34276990326748613</v>
      </c>
      <c r="E154" s="460">
        <f t="shared" ca="1" si="6"/>
        <v>9.661622806672604E-2</v>
      </c>
      <c r="F154" s="460">
        <f t="shared" ca="1" si="7"/>
        <v>9.0726443774091642E-2</v>
      </c>
      <c r="G154" s="460">
        <v>1</v>
      </c>
      <c r="H154" s="460">
        <f ca="1">IF(AND(B154&lt;=$H$121,B154&gt;='2.2 Input_General_Information'!$H$20),$H$123/(1+EXP(-$H$125*(B154-(LN(1/$H$120-1)/$H$125+$H$119)))),1)</f>
        <v>1</v>
      </c>
      <c r="I154" s="493">
        <f ca="1">IF(AND(B154&lt;=$H$121,B154&gt;='2.2 Input_General_Information'!$H$20),B154,)</f>
        <v>0</v>
      </c>
      <c r="J154" s="460">
        <f ca="1">IF(AND(B154&lt;=$J$121,B154&gt;='2.2 Input_General_Information'!$H$20),1-H154,)</f>
        <v>0</v>
      </c>
      <c r="K154" s="460">
        <f t="shared" ca="1" si="8"/>
        <v>0.86319074944631635</v>
      </c>
      <c r="L154" s="460">
        <f t="shared" ca="1" si="9"/>
        <v>0.13680925055368365</v>
      </c>
      <c r="M154" s="460">
        <f ca="1">IF(AND($B154&lt;=$M$121,$B154&gt;='2.2 Input_General_Information'!$M$20),$M$123/(1+EXP(-$M$125*($B154-(LN(1/$M$120-1)/$M$125+$M$119)))),1)</f>
        <v>1</v>
      </c>
      <c r="N154" s="441"/>
      <c r="O154" s="441"/>
      <c r="P154" s="441"/>
      <c r="Q154" s="441"/>
      <c r="R154" s="441"/>
      <c r="S154" s="441"/>
      <c r="T154" s="441"/>
      <c r="U154" s="441"/>
      <c r="V154" s="441"/>
      <c r="W154" s="441"/>
      <c r="X154" s="441"/>
      <c r="Y154" s="441"/>
    </row>
    <row r="155" spans="1:25">
      <c r="A155" s="441"/>
      <c r="B155" s="458">
        <f t="shared" si="10"/>
        <v>2043</v>
      </c>
      <c r="C155" s="491">
        <f t="shared" ca="1" si="4"/>
        <v>0.12356192728443308</v>
      </c>
      <c r="D155" s="492">
        <f t="shared" ca="1" si="5"/>
        <v>0.34278993936049651</v>
      </c>
      <c r="E155" s="460">
        <f t="shared" ca="1" si="6"/>
        <v>9.0849986634980839E-2</v>
      </c>
      <c r="F155" s="460">
        <f t="shared" ca="1" si="7"/>
        <v>8.4671890270759192E-2</v>
      </c>
      <c r="G155" s="460">
        <v>1</v>
      </c>
      <c r="H155" s="460">
        <f ca="1">IF(AND(B155&lt;=$H$121,B155&gt;='2.2 Input_General_Information'!$H$20),$H$123/(1+EXP(-$H$125*(B155-(LN(1/$H$120-1)/$H$125+$H$119)))),1)</f>
        <v>1</v>
      </c>
      <c r="I155" s="493">
        <f ca="1">IF(AND(B155&lt;=$H$121,B155&gt;='2.2 Input_General_Information'!$H$20),B155,)</f>
        <v>0</v>
      </c>
      <c r="J155" s="460">
        <f ca="1">IF(AND(B155&lt;=$J$121,B155&gt;='2.2 Input_General_Information'!$H$20),1-H155,)</f>
        <v>0</v>
      </c>
      <c r="K155" s="460">
        <f t="shared" ca="1" si="8"/>
        <v>0.90908884285080416</v>
      </c>
      <c r="L155" s="460">
        <f t="shared" ca="1" si="9"/>
        <v>9.0911157149195843E-2</v>
      </c>
      <c r="M155" s="460">
        <f ca="1">IF(AND($B155&lt;=$M$121,$B155&gt;='2.2 Input_General_Information'!$M$20),$M$123/(1+EXP(-$M$125*($B155-(LN(1/$M$120-1)/$M$125+$M$119)))),1)</f>
        <v>1</v>
      </c>
      <c r="N155" s="441"/>
      <c r="O155" s="441"/>
      <c r="P155" s="441"/>
      <c r="Q155" s="441"/>
      <c r="R155" s="441"/>
      <c r="S155" s="441"/>
      <c r="T155" s="441"/>
      <c r="U155" s="441"/>
      <c r="V155" s="441"/>
      <c r="W155" s="441"/>
      <c r="X155" s="441"/>
      <c r="Y155" s="441"/>
    </row>
    <row r="156" spans="1:25">
      <c r="A156" s="441"/>
      <c r="B156" s="458">
        <f t="shared" si="10"/>
        <v>2044</v>
      </c>
      <c r="C156" s="491">
        <f t="shared" ca="1" si="4"/>
        <v>0.12937919445862603</v>
      </c>
      <c r="D156" s="492">
        <f t="shared" ca="1" si="5"/>
        <v>0.34280364673547614</v>
      </c>
      <c r="E156" s="460">
        <f t="shared" ca="1" si="6"/>
        <v>8.5032719460787887E-2</v>
      </c>
      <c r="F156" s="460">
        <f t="shared" ca="1" si="7"/>
        <v>7.8563759737856592E-2</v>
      </c>
      <c r="G156" s="460">
        <v>1</v>
      </c>
      <c r="H156" s="460">
        <f ca="1">IF(AND(B156&lt;=$H$121,B156&gt;='2.2 Input_General_Information'!$H$20),$H$123/(1+EXP(-$H$125*(B156-(LN(1/$H$120-1)/$H$125+$H$119)))),1)</f>
        <v>1</v>
      </c>
      <c r="I156" s="493">
        <f ca="1">IF(AND(B156&lt;=$H$121,B156&gt;='2.2 Input_General_Information'!$H$20),B156,)</f>
        <v>0</v>
      </c>
      <c r="J156" s="460">
        <f ca="1">IF(AND(B156&lt;=$J$121,B156&gt;='2.2 Input_General_Information'!$H$20),1-H156,)</f>
        <v>0</v>
      </c>
      <c r="K156" s="460">
        <f t="shared" ca="1" si="8"/>
        <v>0.9406473819391119</v>
      </c>
      <c r="L156" s="460">
        <f t="shared" ca="1" si="9"/>
        <v>5.9352618060888096E-2</v>
      </c>
      <c r="M156" s="460">
        <f ca="1">IF(AND($B156&lt;=$M$121,$B156&gt;='2.2 Input_General_Information'!$M$20),$M$123/(1+EXP(-$M$125*($B156-(LN(1/$M$120-1)/$M$125+$M$119)))),1)</f>
        <v>1</v>
      </c>
      <c r="N156" s="441"/>
      <c r="O156" s="441"/>
      <c r="P156" s="441"/>
      <c r="Q156" s="441"/>
      <c r="R156" s="441"/>
      <c r="S156" s="441"/>
      <c r="T156" s="441"/>
      <c r="U156" s="441"/>
      <c r="V156" s="441"/>
      <c r="W156" s="441"/>
      <c r="X156" s="441"/>
      <c r="Y156" s="441"/>
    </row>
    <row r="157" spans="1:25">
      <c r="A157" s="441"/>
      <c r="B157" s="458">
        <f t="shared" si="10"/>
        <v>2045</v>
      </c>
      <c r="C157" s="491">
        <f t="shared" ca="1" si="4"/>
        <v>0.13524462908772236</v>
      </c>
      <c r="D157" s="492">
        <f t="shared" ca="1" si="5"/>
        <v>0.34281302430087646</v>
      </c>
      <c r="E157" s="460">
        <f t="shared" ca="1" si="6"/>
        <v>7.9167284831691553E-2</v>
      </c>
      <c r="F157" s="460">
        <f t="shared" ca="1" si="7"/>
        <v>7.2405053377305434E-2</v>
      </c>
      <c r="G157" s="460">
        <v>1</v>
      </c>
      <c r="H157" s="460">
        <f ca="1">IF(AND(B157&lt;=$H$121,B157&gt;='2.2 Input_General_Information'!$H$20),$H$123/(1+EXP(-$H$125*(B157-(LN(1/$H$120-1)/$H$125+$H$119)))),1)</f>
        <v>1</v>
      </c>
      <c r="I157" s="493">
        <f ca="1">IF(AND(B157&lt;=$H$121,B157&gt;='2.2 Input_General_Information'!$H$20),B157,)</f>
        <v>0</v>
      </c>
      <c r="J157" s="460">
        <f ca="1">IF(AND(B157&lt;=$J$121,B157&gt;='2.2 Input_General_Information'!$H$20),1-H157,)</f>
        <v>0</v>
      </c>
      <c r="K157" s="460">
        <f t="shared" ca="1" si="8"/>
        <v>0.96171220730983498</v>
      </c>
      <c r="L157" s="460">
        <f t="shared" ca="1" si="9"/>
        <v>3.8287792690165023E-2</v>
      </c>
      <c r="M157" s="460">
        <f ca="1">IF(AND($B157&lt;=$M$121,$B157&gt;='2.2 Input_General_Information'!$M$20),$M$123/(1+EXP(-$M$125*($B157-(LN(1/$M$120-1)/$M$125+$M$119)))),1)</f>
        <v>1</v>
      </c>
      <c r="N157" s="441"/>
      <c r="O157" s="441"/>
      <c r="P157" s="441"/>
      <c r="Q157" s="441"/>
      <c r="R157" s="441"/>
      <c r="S157" s="441"/>
      <c r="T157" s="441"/>
      <c r="U157" s="441"/>
      <c r="V157" s="441"/>
      <c r="W157" s="441"/>
      <c r="X157" s="441"/>
      <c r="Y157" s="441"/>
    </row>
    <row r="158" spans="1:25">
      <c r="A158" s="441"/>
      <c r="B158" s="458">
        <f t="shared" si="10"/>
        <v>2046</v>
      </c>
      <c r="C158" s="491">
        <f t="shared" ca="1" si="4"/>
        <v>0.14115526706085765</v>
      </c>
      <c r="D158" s="492">
        <f t="shared" ca="1" si="5"/>
        <v>0.34281943967789152</v>
      </c>
      <c r="E158" s="460">
        <f t="shared" ca="1" si="6"/>
        <v>7.3256646858556262E-2</v>
      </c>
      <c r="F158" s="460">
        <f t="shared" ca="1" si="7"/>
        <v>6.6198883505513367E-2</v>
      </c>
      <c r="G158" s="460">
        <v>1</v>
      </c>
      <c r="H158" s="460">
        <f ca="1">IF(AND(B158&lt;=$H$121,B158&gt;='2.2 Input_General_Information'!$H$20),$H$123/(1+EXP(-$H$125*(B158-(LN(1/$H$120-1)/$H$125+$H$119)))),1)</f>
        <v>1</v>
      </c>
      <c r="I158" s="493">
        <f ca="1">IF(AND(B158&lt;=$H$121,B158&gt;='2.2 Input_General_Information'!$H$20),B158,)</f>
        <v>0</v>
      </c>
      <c r="J158" s="460">
        <f ca="1">IF(AND(B158&lt;=$J$121,B158&gt;='2.2 Input_General_Information'!$H$20),1-H158,)</f>
        <v>0</v>
      </c>
      <c r="K158" s="460">
        <f t="shared" ca="1" si="8"/>
        <v>0.97549567626558054</v>
      </c>
      <c r="L158" s="460">
        <f t="shared" ca="1" si="9"/>
        <v>2.4504323734419464E-2</v>
      </c>
      <c r="M158" s="460">
        <f ca="1">IF(AND($B158&lt;=$M$121,$B158&gt;='2.2 Input_General_Information'!$M$20),$M$123/(1+EXP(-$M$125*($B158-(LN(1/$M$120-1)/$M$125+$M$119)))),1)</f>
        <v>1</v>
      </c>
      <c r="N158" s="441"/>
      <c r="O158" s="441"/>
      <c r="P158" s="441"/>
      <c r="Q158" s="441"/>
      <c r="R158" s="441"/>
      <c r="S158" s="441"/>
      <c r="T158" s="441"/>
      <c r="U158" s="441"/>
      <c r="V158" s="441"/>
      <c r="W158" s="441"/>
      <c r="X158" s="441"/>
      <c r="Y158" s="441"/>
    </row>
    <row r="159" spans="1:25">
      <c r="A159" s="441"/>
      <c r="B159" s="458">
        <f t="shared" si="10"/>
        <v>2047</v>
      </c>
      <c r="C159" s="491">
        <f t="shared" ca="1" si="4"/>
        <v>0.14710804372931338</v>
      </c>
      <c r="D159" s="492">
        <f t="shared" ca="1" si="5"/>
        <v>0.3428238285377847</v>
      </c>
      <c r="E159" s="460">
        <f t="shared" ca="1" si="6"/>
        <v>6.7303870190100534E-2</v>
      </c>
      <c r="F159" s="460">
        <f t="shared" ca="1" si="7"/>
        <v>5.9948468003634847E-2</v>
      </c>
      <c r="G159" s="460">
        <v>1</v>
      </c>
      <c r="H159" s="460">
        <f ca="1">IF(AND(B159&lt;=$H$121,B159&gt;='2.2 Input_General_Information'!$H$20),$H$123/(1+EXP(-$H$125*(B159-(LN(1/$H$120-1)/$H$125+$H$119)))),1)</f>
        <v>1</v>
      </c>
      <c r="I159" s="493">
        <f ca="1">IF(AND(B159&lt;=$H$121,B159&gt;='2.2 Input_General_Information'!$H$20),B159,)</f>
        <v>0</v>
      </c>
      <c r="J159" s="460">
        <f ca="1">IF(AND(B159&lt;=$J$121,B159&gt;='2.2 Input_General_Information'!$H$20),1-H159,)</f>
        <v>0</v>
      </c>
      <c r="K159" s="460">
        <f t="shared" ca="1" si="8"/>
        <v>0.98439764658728768</v>
      </c>
      <c r="L159" s="460">
        <f t="shared" ca="1" si="9"/>
        <v>1.5602353412712322E-2</v>
      </c>
      <c r="M159" s="460">
        <f ca="1">IF(AND($B159&lt;=$M$121,$B159&gt;='2.2 Input_General_Information'!$M$20),$M$123/(1+EXP(-$M$125*($B159-(LN(1/$M$120-1)/$M$125+$M$119)))),1)</f>
        <v>1</v>
      </c>
      <c r="N159" s="441"/>
      <c r="O159" s="441"/>
      <c r="P159" s="441"/>
      <c r="Q159" s="441"/>
      <c r="R159" s="441"/>
      <c r="S159" s="441"/>
      <c r="T159" s="441"/>
      <c r="U159" s="441"/>
      <c r="V159" s="441"/>
      <c r="W159" s="441"/>
      <c r="X159" s="441"/>
      <c r="Y159" s="441"/>
    </row>
    <row r="160" spans="1:25">
      <c r="A160" s="441"/>
      <c r="B160" s="458">
        <f t="shared" si="10"/>
        <v>2048</v>
      </c>
      <c r="C160" s="491">
        <f t="shared" ca="1" si="4"/>
        <v>0.15309979965303686</v>
      </c>
      <c r="D160" s="492">
        <f t="shared" ca="1" si="5"/>
        <v>0.34282683101351996</v>
      </c>
      <c r="E160" s="460">
        <f t="shared" ca="1" si="6"/>
        <v>6.131211426637706E-2</v>
      </c>
      <c r="F160" s="460">
        <f t="shared" ca="1" si="7"/>
        <v>5.365712428372521E-2</v>
      </c>
      <c r="G160" s="460">
        <v>1</v>
      </c>
      <c r="H160" s="460">
        <f ca="1">IF(AND(B160&lt;=$H$121,B160&gt;='2.2 Input_General_Information'!$H$20),$H$123/(1+EXP(-$H$125*(B160-(LN(1/$H$120-1)/$H$125+$H$119)))),1)</f>
        <v>1</v>
      </c>
      <c r="I160" s="493">
        <f ca="1">IF(AND(B160&lt;=$H$121,B160&gt;='2.2 Input_General_Information'!$H$20),B160,)</f>
        <v>0</v>
      </c>
      <c r="J160" s="460">
        <f ca="1">IF(AND(B160&lt;=$J$121,B160&gt;='2.2 Input_General_Information'!$H$20),1-H160,)</f>
        <v>0</v>
      </c>
      <c r="K160" s="460">
        <f t="shared" ca="1" si="8"/>
        <v>0.99009851971645013</v>
      </c>
      <c r="L160" s="460">
        <f t="shared" ca="1" si="9"/>
        <v>9.9014802835498683E-3</v>
      </c>
      <c r="M160" s="460">
        <f ca="1">IF(AND($B160&lt;=$M$121,$B160&gt;='2.2 Input_General_Information'!$M$20),$M$123/(1+EXP(-$M$125*($B160-(LN(1/$M$120-1)/$M$125+$M$119)))),1)</f>
        <v>1</v>
      </c>
      <c r="N160" s="441"/>
      <c r="O160" s="441"/>
      <c r="P160" s="441"/>
      <c r="Q160" s="441"/>
      <c r="R160" s="441"/>
      <c r="S160" s="441"/>
      <c r="T160" s="441"/>
      <c r="U160" s="441"/>
      <c r="V160" s="441"/>
      <c r="W160" s="441"/>
      <c r="X160" s="441"/>
      <c r="Y160" s="441"/>
    </row>
    <row r="161" spans="1:25">
      <c r="A161" s="441"/>
      <c r="B161" s="458">
        <f t="shared" si="10"/>
        <v>2049</v>
      </c>
      <c r="C161" s="491">
        <f t="shared" ca="1" si="4"/>
        <v>0.15912728678890539</v>
      </c>
      <c r="D161" s="492">
        <f t="shared" ca="1" si="5"/>
        <v>0.34282888504030506</v>
      </c>
      <c r="E161" s="460">
        <f t="shared" ca="1" si="6"/>
        <v>5.5284627130508524E-2</v>
      </c>
      <c r="F161" s="460">
        <f t="shared" ca="1" si="7"/>
        <v>4.7328262791063253E-2</v>
      </c>
      <c r="G161" s="460">
        <v>1</v>
      </c>
      <c r="H161" s="460">
        <f ca="1">IF(AND(B161&lt;=$H$121,B161&gt;='2.2 Input_General_Information'!$H$20),$H$123/(1+EXP(-$H$125*(B161-(LN(1/$H$120-1)/$H$125+$H$119)))),1)</f>
        <v>1</v>
      </c>
      <c r="I161" s="493">
        <f ca="1">IF(AND(B161&lt;=$H$121,B161&gt;='2.2 Input_General_Information'!$H$20),B161,)</f>
        <v>0</v>
      </c>
      <c r="J161" s="460">
        <f ca="1">IF(AND(B161&lt;=$J$121,B161&gt;='2.2 Input_General_Information'!$H$20),1-H161,)</f>
        <v>0</v>
      </c>
      <c r="K161" s="460">
        <f t="shared" ca="1" si="8"/>
        <v>0.993729644943667</v>
      </c>
      <c r="L161" s="460">
        <f t="shared" ca="1" si="9"/>
        <v>6.2703550563329991E-3</v>
      </c>
      <c r="M161" s="460">
        <f ca="1">IF(AND($B161&lt;=$M$121,$B161&gt;='2.2 Input_General_Information'!$M$20),$M$123/(1+EXP(-$M$125*($B161-(LN(1/$M$120-1)/$M$125+$M$119)))),1)</f>
        <v>1</v>
      </c>
      <c r="N161" s="441"/>
      <c r="O161" s="441"/>
      <c r="P161" s="441"/>
      <c r="Q161" s="441"/>
      <c r="R161" s="441"/>
      <c r="S161" s="441"/>
      <c r="T161" s="441"/>
      <c r="U161" s="441"/>
      <c r="V161" s="441"/>
      <c r="W161" s="441"/>
      <c r="X161" s="441"/>
      <c r="Y161" s="441"/>
    </row>
    <row r="162" spans="1:25">
      <c r="A162" s="441"/>
      <c r="B162" s="458">
        <f t="shared" si="10"/>
        <v>2050</v>
      </c>
      <c r="C162" s="491">
        <f t="shared" ca="1" si="4"/>
        <v>0.16518717509799277</v>
      </c>
      <c r="D162" s="492">
        <f t="shared" ca="1" si="5"/>
        <v>0.34283029022005629</v>
      </c>
      <c r="E162" s="460">
        <f t="shared" ca="1" si="6"/>
        <v>4.9224738821421143E-2</v>
      </c>
      <c r="F162" s="460">
        <f t="shared" ca="1" si="7"/>
        <v>4.0965380066521506E-2</v>
      </c>
      <c r="G162" s="460">
        <v>1</v>
      </c>
      <c r="H162" s="460">
        <f ca="1">IF(AND(B162&lt;=$H$121,B162&gt;='2.2 Input_General_Information'!$H$20),$H$123/(1+EXP(-$H$125*(B162-(LN(1/$H$120-1)/$H$125+$H$119)))),1)</f>
        <v>1</v>
      </c>
      <c r="I162" s="493">
        <f ca="1">IF(AND(B162&lt;=$H$121,B162&gt;='2.2 Input_General_Information'!$H$20),B162,)</f>
        <v>0</v>
      </c>
      <c r="J162" s="460">
        <f ca="1">IF(AND(B162&lt;=$J$121,B162&gt;='2.2 Input_General_Information'!$H$20),1-H162,)</f>
        <v>0</v>
      </c>
      <c r="K162" s="460">
        <f t="shared" ca="1" si="8"/>
        <v>0.99603447738821949</v>
      </c>
      <c r="L162" s="460">
        <f t="shared" ca="1" si="9"/>
        <v>3.9655226117805142E-3</v>
      </c>
      <c r="M162" s="460">
        <f ca="1">IF(AND($B162&lt;=$M$121,$B162&gt;='2.2 Input_General_Information'!$M$20),$M$123/(1+EXP(-$M$125*($B162-(LN(1/$M$120-1)/$M$125+$M$119)))),1)</f>
        <v>1</v>
      </c>
      <c r="N162" s="441"/>
      <c r="O162" s="441"/>
      <c r="P162" s="441"/>
      <c r="Q162" s="441"/>
      <c r="R162" s="441"/>
      <c r="S162" s="441"/>
      <c r="T162" s="441"/>
      <c r="U162" s="441"/>
      <c r="V162" s="441"/>
      <c r="W162" s="441"/>
      <c r="X162" s="441"/>
      <c r="Y162" s="441"/>
    </row>
    <row r="163" spans="1:25">
      <c r="A163" s="441"/>
      <c r="B163" s="458">
        <f t="shared" si="10"/>
        <v>2051</v>
      </c>
      <c r="C163" s="491">
        <f t="shared" ca="1" si="4"/>
        <v>0.17127605954577205</v>
      </c>
      <c r="D163" s="492">
        <f t="shared" ca="1" si="5"/>
        <v>0.34283125151598892</v>
      </c>
      <c r="E163" s="460">
        <f t="shared" ca="1" si="6"/>
        <v>4.3135854373641869E-2</v>
      </c>
      <c r="F163" s="460">
        <f t="shared" ca="1" si="7"/>
        <v>3.4572051396353248E-2</v>
      </c>
      <c r="G163" s="460">
        <v>1</v>
      </c>
      <c r="H163" s="460">
        <f ca="1">IF(AND(B163&lt;=$H$121,B163&gt;='2.2 Input_General_Information'!$H$20),$H$123/(1+EXP(-$H$125*(B163-(LN(1/$H$120-1)/$H$125+$H$119)))),1)</f>
        <v>1</v>
      </c>
      <c r="I163" s="493">
        <f ca="1">IF(AND(B163&lt;=$H$121,B163&gt;='2.2 Input_General_Information'!$H$20),B163,)</f>
        <v>0</v>
      </c>
      <c r="J163" s="460">
        <f ca="1">IF(AND(B163&lt;=$J$121,B163&gt;='2.2 Input_General_Information'!$H$20),1-H163,)</f>
        <v>0</v>
      </c>
      <c r="K163" s="460">
        <f t="shared" ca="1" si="8"/>
        <v>0.99749424486388505</v>
      </c>
      <c r="L163" s="460">
        <f t="shared" ca="1" si="9"/>
        <v>2.505755136114951E-3</v>
      </c>
      <c r="M163" s="460">
        <f ca="1">IF(AND($B163&lt;=$M$121,$B163&gt;='2.2 Input_General_Information'!$M$20),$M$123/(1+EXP(-$M$125*($B163-(LN(1/$M$120-1)/$M$125+$M$119)))),1)</f>
        <v>1</v>
      </c>
      <c r="N163" s="441"/>
      <c r="O163" s="441"/>
      <c r="P163" s="441"/>
      <c r="Q163" s="441"/>
      <c r="R163" s="441"/>
      <c r="S163" s="441"/>
      <c r="T163" s="441"/>
      <c r="U163" s="441"/>
      <c r="V163" s="441"/>
      <c r="W163" s="441"/>
      <c r="X163" s="441"/>
      <c r="Y163" s="441"/>
    </row>
    <row r="164" spans="1:25">
      <c r="A164" s="441"/>
      <c r="B164" s="458">
        <f t="shared" si="10"/>
        <v>2052</v>
      </c>
      <c r="C164" s="491">
        <f t="shared" ca="1" si="4"/>
        <v>0.1773904674660193</v>
      </c>
      <c r="D164" s="492">
        <f t="shared" ca="1" si="5"/>
        <v>0.34283190914648554</v>
      </c>
      <c r="E164" s="460">
        <f t="shared" ca="1" si="6"/>
        <v>3.7021446453394613E-2</v>
      </c>
      <c r="F164" s="460">
        <f t="shared" ca="1" si="7"/>
        <v>2.8151923080093649E-2</v>
      </c>
      <c r="G164" s="460">
        <v>1</v>
      </c>
      <c r="H164" s="460">
        <f ca="1">IF(AND(B164&lt;=$H$121,B164&gt;='2.2 Input_General_Information'!$H$20),$H$123/(1+EXP(-$H$125*(B164-(LN(1/$H$120-1)/$H$125+$H$119)))),1)</f>
        <v>1</v>
      </c>
      <c r="I164" s="493">
        <f ca="1">IF(AND(B164&lt;=$H$121,B164&gt;='2.2 Input_General_Information'!$H$20),B164,)</f>
        <v>0</v>
      </c>
      <c r="J164" s="460">
        <f ca="1">IF(AND(B164&lt;=$J$121,B164&gt;='2.2 Input_General_Information'!$H$20),1-H164,)</f>
        <v>0</v>
      </c>
      <c r="K164" s="460">
        <f t="shared" ca="1" si="8"/>
        <v>0.99841750411811703</v>
      </c>
      <c r="L164" s="460">
        <f t="shared" ca="1" si="9"/>
        <v>1.5824958818829726E-3</v>
      </c>
      <c r="M164" s="460">
        <f ca="1">IF(AND($B164&lt;=$M$121,$B164&gt;='2.2 Input_General_Information'!$M$20),$M$123/(1+EXP(-$M$125*($B164-(LN(1/$M$120-1)/$M$125+$M$119)))),1)</f>
        <v>1</v>
      </c>
      <c r="N164" s="441"/>
      <c r="O164" s="441"/>
      <c r="P164" s="441"/>
      <c r="Q164" s="441"/>
      <c r="R164" s="441"/>
      <c r="S164" s="441"/>
      <c r="T164" s="441"/>
      <c r="U164" s="441"/>
      <c r="V164" s="441"/>
      <c r="W164" s="441"/>
      <c r="X164" s="441"/>
      <c r="Y164" s="441"/>
    </row>
    <row r="165" spans="1:25">
      <c r="A165" s="441"/>
      <c r="B165" s="458">
        <f t="shared" si="10"/>
        <v>2053</v>
      </c>
      <c r="C165" s="491">
        <f t="shared" ca="1" si="4"/>
        <v>0.18352686625619971</v>
      </c>
      <c r="D165" s="492">
        <f t="shared" ca="1" si="5"/>
        <v>0.34283235903667575</v>
      </c>
      <c r="E165" s="460">
        <f t="shared" ca="1" si="6"/>
        <v>3.0885047663214205E-2</v>
      </c>
      <c r="F165" s="460">
        <f t="shared" ca="1" si="7"/>
        <v>2.1708704350404201E-2</v>
      </c>
      <c r="G165" s="460">
        <v>1</v>
      </c>
      <c r="H165" s="460">
        <f ca="1">IF(AND(B165&lt;=$H$121,B165&gt;='2.2 Input_General_Information'!$H$20),$H$123/(1+EXP(-$H$125*(B165-(LN(1/$H$120-1)/$H$125+$H$119)))),1)</f>
        <v>1</v>
      </c>
      <c r="I165" s="493">
        <f ca="1">IF(AND(B165&lt;=$H$121,B165&gt;='2.2 Input_General_Information'!$H$20),B165,)</f>
        <v>0</v>
      </c>
      <c r="J165" s="460">
        <f ca="1">IF(AND(B165&lt;=$J$121,B165&gt;='2.2 Input_General_Information'!$H$20),1-H165,)</f>
        <v>0</v>
      </c>
      <c r="K165" s="460">
        <f t="shared" ca="1" si="8"/>
        <v>0.99900092414423058</v>
      </c>
      <c r="L165" s="460">
        <f t="shared" ca="1" si="9"/>
        <v>9.9907585576941571E-4</v>
      </c>
      <c r="M165" s="460">
        <f ca="1">IF(AND($B165&lt;=$M$121,$B165&gt;='2.2 Input_General_Information'!$M$20),$M$123/(1+EXP(-$M$125*($B165-(LN(1/$M$120-1)/$M$125+$M$119)))),1)</f>
        <v>1</v>
      </c>
      <c r="N165" s="441"/>
      <c r="O165" s="441"/>
      <c r="P165" s="441"/>
      <c r="Q165" s="441"/>
      <c r="R165" s="441"/>
      <c r="S165" s="441"/>
      <c r="T165" s="441"/>
      <c r="U165" s="441"/>
      <c r="V165" s="441"/>
      <c r="W165" s="441"/>
      <c r="X165" s="441"/>
      <c r="Y165" s="441"/>
    </row>
    <row r="166" spans="1:25">
      <c r="A166" s="441"/>
      <c r="B166" s="458">
        <f t="shared" si="10"/>
        <v>2054</v>
      </c>
      <c r="C166" s="491">
        <f t="shared" ca="1" si="4"/>
        <v>0.18968167136936345</v>
      </c>
      <c r="D166" s="492">
        <f t="shared" ca="1" si="5"/>
        <v>0.34283266680996305</v>
      </c>
      <c r="E166" s="460">
        <f t="shared" ca="1" si="6"/>
        <v>2.4730242550050463E-2</v>
      </c>
      <c r="F166" s="460">
        <f t="shared" ca="1" si="7"/>
        <v>1.524615898158227E-2</v>
      </c>
      <c r="G166" s="460">
        <v>1</v>
      </c>
      <c r="H166" s="460">
        <f ca="1">IF(AND(B166&lt;=$H$121,B166&gt;='2.2 Input_General_Information'!$H$20),$H$123/(1+EXP(-$H$125*(B166-(LN(1/$H$120-1)/$H$125+$H$119)))),1)</f>
        <v>1</v>
      </c>
      <c r="I166" s="493">
        <f ca="1">IF(AND(B166&lt;=$H$121,B166&gt;='2.2 Input_General_Information'!$H$20),B166,)</f>
        <v>0</v>
      </c>
      <c r="J166" s="460">
        <f ca="1">IF(AND(B166&lt;=$J$121,B166&gt;='2.2 Input_General_Information'!$H$20),1-H166,)</f>
        <v>0</v>
      </c>
      <c r="K166" s="460">
        <f t="shared" ca="1" si="8"/>
        <v>0.9993693900941748</v>
      </c>
      <c r="L166" s="460">
        <f t="shared" ca="1" si="9"/>
        <v>6.3060990582519683E-4</v>
      </c>
      <c r="M166" s="460">
        <f ca="1">IF(AND($B166&lt;=$M$121,$B166&gt;='2.2 Input_General_Information'!$M$20),$M$123/(1+EXP(-$M$125*($B166-(LN(1/$M$120-1)/$M$125+$M$119)))),1)</f>
        <v>1</v>
      </c>
      <c r="N166" s="441"/>
      <c r="O166" s="441"/>
      <c r="P166" s="441"/>
      <c r="Q166" s="441"/>
      <c r="R166" s="441"/>
      <c r="S166" s="441"/>
      <c r="T166" s="441"/>
      <c r="U166" s="441"/>
      <c r="V166" s="441"/>
      <c r="W166" s="441"/>
      <c r="X166" s="441"/>
      <c r="Y166" s="441"/>
    </row>
    <row r="167" spans="1:25">
      <c r="A167" s="441"/>
      <c r="B167" s="458">
        <f t="shared" si="10"/>
        <v>2055</v>
      </c>
      <c r="C167" s="491">
        <f t="shared" ca="1" si="4"/>
        <v>0.19585125456508443</v>
      </c>
      <c r="D167" s="492">
        <f t="shared" ca="1" si="5"/>
        <v>0.34283287735994139</v>
      </c>
      <c r="E167" s="460">
        <f t="shared" ca="1" si="6"/>
        <v>1.856065935432949E-2</v>
      </c>
      <c r="F167" s="460">
        <f t="shared" ca="1" si="7"/>
        <v>8.7680966260752502E-3</v>
      </c>
      <c r="G167" s="460">
        <v>1</v>
      </c>
      <c r="H167" s="460">
        <f ca="1">IF(AND(B167&lt;=$H$121,B167&gt;='2.2 Input_General_Information'!$H$20),$H$123/(1+EXP(-$H$125*(B167-(LN(1/$H$120-1)/$H$125+$H$119)))),1)</f>
        <v>1</v>
      </c>
      <c r="I167" s="493">
        <f ca="1">IF(AND(B167&lt;=$H$121,B167&gt;='2.2 Input_General_Information'!$H$20),B167,)</f>
        <v>0</v>
      </c>
      <c r="J167" s="460">
        <f ca="1">IF(AND(B167&lt;=$J$121,B167&gt;='2.2 Input_General_Information'!$H$20),1-H167,)</f>
        <v>0</v>
      </c>
      <c r="K167" s="460">
        <f t="shared" ca="1" si="8"/>
        <v>0.99960201744038624</v>
      </c>
      <c r="L167" s="460">
        <f t="shared" ca="1" si="9"/>
        <v>3.9798255961376316E-4</v>
      </c>
      <c r="M167" s="460">
        <f ca="1">IF(AND($B167&lt;=$M$121,$B167&gt;='2.2 Input_General_Information'!$M$20),$M$123/(1+EXP(-$M$125*($B167-(LN(1/$M$120-1)/$M$125+$M$119)))),1)</f>
        <v>1</v>
      </c>
      <c r="N167" s="441"/>
      <c r="O167" s="441"/>
      <c r="P167" s="441"/>
      <c r="Q167" s="441"/>
      <c r="R167" s="441"/>
      <c r="S167" s="441"/>
      <c r="T167" s="441"/>
      <c r="U167" s="441"/>
      <c r="V167" s="441"/>
      <c r="W167" s="441"/>
      <c r="X167" s="441"/>
      <c r="Y167" s="441"/>
    </row>
    <row r="168" spans="1:25">
      <c r="A168" s="441"/>
      <c r="B168" s="458">
        <f t="shared" si="10"/>
        <v>2056</v>
      </c>
      <c r="C168" s="491">
        <f t="shared" ca="1" si="4"/>
        <v>0.20203195237977209</v>
      </c>
      <c r="D168" s="492">
        <f t="shared" ca="1" si="5"/>
        <v>0.34283302139870819</v>
      </c>
      <c r="E168" s="460">
        <f t="shared" ca="1" si="6"/>
        <v>1.2379961539641826E-2</v>
      </c>
      <c r="F168" s="460">
        <f t="shared" ca="1" si="7"/>
        <v>2.2783639206532258E-3</v>
      </c>
      <c r="G168" s="460">
        <v>1</v>
      </c>
      <c r="H168" s="460">
        <f ca="1">IF(AND(B168&lt;=$H$121,B168&gt;='2.2 Input_General_Information'!$H$20),$H$123/(1+EXP(-$H$125*(B168-(LN(1/$H$120-1)/$H$125+$H$119)))),1)</f>
        <v>1</v>
      </c>
      <c r="I168" s="493">
        <f ca="1">IF(AND(B168&lt;=$H$121,B168&gt;='2.2 Input_General_Information'!$H$20),B168,)</f>
        <v>0</v>
      </c>
      <c r="J168" s="460">
        <f ca="1">IF(AND(B168&lt;=$J$121,B168&gt;='2.2 Input_General_Information'!$H$20),1-H168,)</f>
        <v>0</v>
      </c>
      <c r="K168" s="460">
        <f t="shared" ca="1" si="8"/>
        <v>0.99974885183896745</v>
      </c>
      <c r="L168" s="460">
        <f t="shared" ca="1" si="9"/>
        <v>2.51148161032555E-4</v>
      </c>
      <c r="M168" s="460">
        <f ca="1">IF(AND($B168&lt;=$M$121,$B168&gt;='2.2 Input_General_Information'!$M$20),$M$123/(1+EXP(-$M$125*($B168-(LN(1/$M$120-1)/$M$125+$M$119)))),1)</f>
        <v>1</v>
      </c>
      <c r="N168" s="441"/>
      <c r="O168" s="441"/>
      <c r="P168" s="441"/>
      <c r="Q168" s="441"/>
      <c r="R168" s="441"/>
      <c r="S168" s="441"/>
      <c r="T168" s="441"/>
      <c r="U168" s="441"/>
      <c r="V168" s="441"/>
      <c r="W168" s="441"/>
      <c r="X168" s="441"/>
      <c r="Y168" s="441"/>
    </row>
    <row r="169" spans="1:25">
      <c r="A169" s="441"/>
      <c r="B169" s="458">
        <f t="shared" si="10"/>
        <v>2057</v>
      </c>
      <c r="C169" s="491">
        <f t="shared" ca="1" si="4"/>
        <v>0.20822007477480683</v>
      </c>
      <c r="D169" s="492">
        <f t="shared" ca="1" si="5"/>
        <v>0.34283311993666032</v>
      </c>
      <c r="E169" s="460">
        <f t="shared" ca="1" si="6"/>
        <v>6.1918391446070808E-3</v>
      </c>
      <c r="F169" s="460">
        <f t="shared" ca="1" si="7"/>
        <v>0</v>
      </c>
      <c r="G169" s="460">
        <v>1</v>
      </c>
      <c r="H169" s="460">
        <f ca="1">IF(AND(B169&lt;=$H$121,B169&gt;='2.2 Input_General_Information'!$H$20),$H$123/(1+EXP(-$H$125*(B169-(LN(1/$H$120-1)/$H$125+$H$119)))),1)</f>
        <v>1</v>
      </c>
      <c r="I169" s="493">
        <f ca="1">IF(AND(B169&lt;=$H$121,B169&gt;='2.2 Input_General_Information'!$H$20),B169,)</f>
        <v>0</v>
      </c>
      <c r="J169" s="460">
        <f ca="1">IF(AND(B169&lt;=$J$121,B169&gt;='2.2 Input_General_Information'!$H$20),1-H169,)</f>
        <v>0</v>
      </c>
      <c r="K169" s="460">
        <f t="shared" ca="1" si="8"/>
        <v>0.99984152074245658</v>
      </c>
      <c r="L169" s="460">
        <f t="shared" ca="1" si="9"/>
        <v>1.5847925754342018E-4</v>
      </c>
      <c r="M169" s="460">
        <f ca="1">IF(AND($B169&lt;=$M$121,$B169&gt;='2.2 Input_General_Information'!$M$20),$M$123/(1+EXP(-$M$125*($B169-(LN(1/$M$120-1)/$M$125+$M$119)))),1)</f>
        <v>1</v>
      </c>
      <c r="N169" s="441"/>
      <c r="O169" s="441"/>
      <c r="P169" s="441"/>
      <c r="Q169" s="441"/>
      <c r="R169" s="441"/>
      <c r="S169" s="441"/>
      <c r="T169" s="441"/>
      <c r="U169" s="441"/>
      <c r="V169" s="441"/>
      <c r="W169" s="441"/>
      <c r="X169" s="441"/>
      <c r="Y169" s="441"/>
    </row>
    <row r="170" spans="1:25">
      <c r="A170" s="441"/>
      <c r="B170" s="458">
        <f t="shared" si="10"/>
        <v>2058</v>
      </c>
      <c r="C170" s="491">
        <f t="shared" ca="1" si="4"/>
        <v>0.21441191391941392</v>
      </c>
      <c r="D170" s="492">
        <f t="shared" ca="1" si="5"/>
        <v>0.34283318734717272</v>
      </c>
      <c r="E170" s="460">
        <f t="shared" ca="1" si="6"/>
        <v>0</v>
      </c>
      <c r="F170" s="460">
        <f t="shared" ca="1" si="7"/>
        <v>0</v>
      </c>
      <c r="G170" s="460">
        <v>1</v>
      </c>
      <c r="H170" s="460">
        <f ca="1">IF(AND(B170&lt;=$H$121,B170&gt;='2.2 Input_General_Information'!$H$20),$H$123/(1+EXP(-$H$125*(B170-(LN(1/$H$120-1)/$H$125+$H$119)))),1)</f>
        <v>1</v>
      </c>
      <c r="I170" s="493">
        <f ca="1">IF(AND(B170&lt;=$H$121,B170&gt;='2.2 Input_General_Information'!$H$20),B170,)</f>
        <v>0</v>
      </c>
      <c r="J170" s="460">
        <f ca="1">IF(AND(B170&lt;=$J$121,B170&gt;='2.2 Input_General_Information'!$H$20),1-H170,)</f>
        <v>0</v>
      </c>
      <c r="K170" s="460">
        <f t="shared" ca="1" si="8"/>
        <v>0.99990000000000012</v>
      </c>
      <c r="L170" s="460">
        <f t="shared" ca="1" si="9"/>
        <v>9.9999999999877964E-5</v>
      </c>
      <c r="M170" s="460">
        <f ca="1">IF(AND($B170&lt;=$M$121,$B170&gt;='2.2 Input_General_Information'!$M$20),$M$123/(1+EXP(-$M$125*($B170-(LN(1/$M$120-1)/$M$125+$M$119)))),1)</f>
        <v>1</v>
      </c>
      <c r="N170" s="441"/>
      <c r="O170" s="441"/>
      <c r="P170" s="441"/>
      <c r="Q170" s="441"/>
      <c r="R170" s="441"/>
      <c r="S170" s="441"/>
      <c r="T170" s="441"/>
      <c r="U170" s="441"/>
      <c r="V170" s="441"/>
      <c r="W170" s="441"/>
      <c r="X170" s="441"/>
      <c r="Y170" s="441"/>
    </row>
    <row r="171" spans="1:25">
      <c r="A171" s="441"/>
      <c r="B171" s="441"/>
      <c r="C171" s="441"/>
      <c r="D171" s="441"/>
      <c r="E171" s="441"/>
      <c r="F171" s="441"/>
      <c r="G171" s="441"/>
      <c r="H171" s="441"/>
      <c r="I171" s="441"/>
      <c r="J171" s="441"/>
      <c r="K171" s="441"/>
      <c r="L171" s="441"/>
      <c r="M171" s="441"/>
      <c r="N171" s="441"/>
      <c r="O171" s="441"/>
      <c r="P171" s="441"/>
      <c r="Q171" s="441"/>
      <c r="R171" s="441"/>
      <c r="S171" s="441"/>
      <c r="T171" s="441"/>
      <c r="U171" s="441"/>
      <c r="V171" s="441"/>
      <c r="W171" s="441"/>
      <c r="X171" s="441"/>
      <c r="Y171" s="441"/>
    </row>
    <row r="172" spans="1:25">
      <c r="A172" s="441"/>
      <c r="B172" s="441"/>
      <c r="C172" s="441"/>
      <c r="D172" s="441"/>
      <c r="E172" s="441"/>
      <c r="F172" s="441"/>
      <c r="G172" s="441"/>
      <c r="H172" s="441"/>
      <c r="I172" s="441"/>
      <c r="J172" s="441"/>
      <c r="K172" s="441"/>
      <c r="L172" s="441"/>
      <c r="M172" s="441"/>
      <c r="N172" s="441"/>
      <c r="O172" s="441"/>
      <c r="P172" s="441"/>
      <c r="Q172" s="441"/>
      <c r="R172" s="441"/>
      <c r="S172" s="441"/>
      <c r="T172" s="441"/>
      <c r="U172" s="441"/>
      <c r="V172" s="441"/>
      <c r="W172" s="441"/>
      <c r="X172" s="441"/>
      <c r="Y172" s="441"/>
    </row>
    <row r="173" spans="1:25">
      <c r="A173" s="466"/>
      <c r="B173" s="466"/>
      <c r="C173" s="441"/>
      <c r="D173" s="441"/>
      <c r="E173" s="441"/>
      <c r="F173" s="466"/>
      <c r="G173" s="441"/>
      <c r="H173" s="441"/>
      <c r="I173" s="441"/>
      <c r="J173" s="441"/>
      <c r="K173" s="441"/>
      <c r="L173" s="441"/>
      <c r="M173" s="441"/>
      <c r="N173" s="441"/>
      <c r="O173" s="441"/>
      <c r="P173" s="441"/>
      <c r="Q173" s="441"/>
      <c r="R173" s="441"/>
      <c r="S173" s="441"/>
      <c r="T173" s="441"/>
      <c r="U173" s="441"/>
      <c r="V173" s="441"/>
      <c r="W173" s="441"/>
      <c r="X173" s="441"/>
      <c r="Y173" s="441"/>
    </row>
    <row r="174" spans="1:25">
      <c r="A174" s="466"/>
      <c r="B174" s="466"/>
      <c r="C174" s="441"/>
      <c r="D174" s="441"/>
      <c r="E174" s="441"/>
      <c r="F174" s="466"/>
      <c r="G174" s="441"/>
      <c r="H174" s="441"/>
      <c r="I174" s="441"/>
      <c r="J174" s="441"/>
      <c r="K174" s="441"/>
      <c r="L174" s="441"/>
      <c r="M174" s="441"/>
      <c r="N174" s="441"/>
      <c r="O174" s="441"/>
      <c r="P174" s="441"/>
      <c r="Q174" s="441"/>
      <c r="R174" s="441"/>
      <c r="S174" s="441"/>
      <c r="T174" s="441"/>
      <c r="U174" s="441"/>
      <c r="V174" s="441"/>
      <c r="W174" s="441"/>
      <c r="X174" s="441"/>
      <c r="Y174" s="441"/>
    </row>
    <row r="175" spans="1:25">
      <c r="A175" s="466"/>
      <c r="B175" s="466"/>
      <c r="C175" s="441"/>
      <c r="D175" s="441"/>
      <c r="E175" s="441"/>
      <c r="F175" s="441"/>
      <c r="G175" s="441"/>
      <c r="H175" s="441"/>
      <c r="I175" s="441"/>
      <c r="J175" s="441"/>
      <c r="K175" s="441"/>
      <c r="L175" s="441"/>
      <c r="M175" s="441"/>
      <c r="N175" s="441"/>
      <c r="O175" s="441"/>
      <c r="P175" s="441"/>
      <c r="Q175" s="441"/>
      <c r="R175" s="441"/>
      <c r="S175" s="441"/>
      <c r="T175" s="441"/>
      <c r="U175" s="441"/>
      <c r="V175" s="441"/>
      <c r="W175" s="441"/>
      <c r="X175" s="441"/>
      <c r="Y175" s="441"/>
    </row>
    <row r="176" spans="1:25">
      <c r="A176" s="466"/>
      <c r="B176" s="466"/>
      <c r="C176" s="441"/>
      <c r="D176" s="441"/>
      <c r="E176" s="441"/>
      <c r="F176" s="441"/>
      <c r="G176" s="441"/>
      <c r="H176" s="441"/>
      <c r="I176" s="441"/>
      <c r="J176" s="441"/>
      <c r="K176" s="441"/>
      <c r="L176" s="441"/>
      <c r="M176" s="441"/>
      <c r="N176" s="441"/>
      <c r="O176" s="441"/>
      <c r="P176" s="441"/>
      <c r="Q176" s="441"/>
      <c r="R176" s="441"/>
      <c r="S176" s="441"/>
      <c r="T176" s="441"/>
      <c r="U176" s="441"/>
      <c r="V176" s="441"/>
      <c r="W176" s="441"/>
      <c r="X176" s="441"/>
      <c r="Y176" s="441"/>
    </row>
    <row r="177" spans="1:25">
      <c r="A177" s="441"/>
      <c r="B177" s="441"/>
      <c r="C177" s="441"/>
      <c r="D177" s="441"/>
      <c r="E177" s="441"/>
      <c r="F177" s="441"/>
      <c r="G177" s="441"/>
      <c r="H177" s="441"/>
      <c r="I177" s="441"/>
      <c r="J177" s="441"/>
      <c r="K177" s="441"/>
      <c r="L177" s="441"/>
      <c r="M177" s="441"/>
      <c r="N177" s="441"/>
      <c r="O177" s="441"/>
      <c r="P177" s="441"/>
      <c r="Q177" s="441"/>
      <c r="R177" s="441"/>
      <c r="S177" s="441"/>
      <c r="T177" s="441"/>
      <c r="U177" s="441"/>
      <c r="V177" s="441"/>
      <c r="W177" s="441"/>
      <c r="X177" s="441"/>
      <c r="Y177" s="441"/>
    </row>
    <row r="178" spans="1:25">
      <c r="A178" s="441"/>
      <c r="B178" s="441"/>
      <c r="C178" s="441"/>
      <c r="D178" s="441"/>
      <c r="E178" s="441"/>
      <c r="F178" s="441"/>
      <c r="G178" s="441"/>
      <c r="H178" s="441"/>
      <c r="I178" s="441"/>
      <c r="J178" s="441"/>
      <c r="K178" s="441"/>
      <c r="L178" s="441"/>
      <c r="M178" s="441"/>
      <c r="N178" s="441"/>
      <c r="O178" s="441"/>
      <c r="P178" s="441"/>
      <c r="Q178" s="441"/>
      <c r="R178" s="441"/>
      <c r="S178" s="441"/>
      <c r="T178" s="441"/>
      <c r="U178" s="441"/>
      <c r="V178" s="441"/>
      <c r="W178" s="441"/>
      <c r="X178" s="441"/>
      <c r="Y178" s="441"/>
    </row>
    <row r="179" spans="1:25">
      <c r="A179" s="441"/>
      <c r="B179" s="441"/>
      <c r="C179" s="441"/>
      <c r="D179" s="441"/>
      <c r="E179" s="441"/>
      <c r="F179" s="441"/>
      <c r="G179" s="441"/>
      <c r="H179" s="441"/>
      <c r="I179" s="441"/>
      <c r="J179" s="441"/>
      <c r="K179" s="441"/>
      <c r="L179" s="441"/>
      <c r="M179" s="441"/>
      <c r="N179" s="441"/>
      <c r="O179" s="441"/>
      <c r="P179" s="441"/>
      <c r="Q179" s="441"/>
      <c r="R179" s="441"/>
      <c r="S179" s="441"/>
      <c r="T179" s="441"/>
      <c r="U179" s="441"/>
      <c r="V179" s="441"/>
      <c r="W179" s="441"/>
      <c r="X179" s="441"/>
      <c r="Y179" s="441"/>
    </row>
    <row r="180" spans="1:25">
      <c r="A180" s="441"/>
      <c r="B180" s="441"/>
      <c r="C180" s="441"/>
      <c r="D180" s="441"/>
      <c r="E180" s="441"/>
      <c r="F180" s="441"/>
      <c r="G180" s="441"/>
      <c r="H180" s="441"/>
      <c r="I180" s="441"/>
      <c r="J180" s="441"/>
      <c r="K180" s="441"/>
      <c r="L180" s="441"/>
      <c r="M180" s="441"/>
      <c r="N180" s="441"/>
      <c r="O180" s="441"/>
      <c r="P180" s="441"/>
      <c r="Q180" s="441"/>
      <c r="R180" s="441"/>
      <c r="S180" s="441"/>
      <c r="T180" s="441"/>
      <c r="U180" s="441"/>
      <c r="V180" s="441"/>
      <c r="W180" s="441"/>
      <c r="X180" s="441"/>
      <c r="Y180" s="441"/>
    </row>
    <row r="181" spans="1:25">
      <c r="A181" s="441"/>
      <c r="B181" s="441"/>
      <c r="C181" s="441"/>
      <c r="D181" s="441"/>
      <c r="E181" s="441"/>
      <c r="F181" s="441"/>
      <c r="G181" s="441"/>
      <c r="H181" s="441"/>
      <c r="I181" s="441"/>
      <c r="J181" s="441"/>
      <c r="K181" s="441"/>
      <c r="L181" s="441"/>
      <c r="M181" s="441"/>
      <c r="N181" s="441"/>
      <c r="O181" s="441"/>
      <c r="P181" s="441"/>
      <c r="Q181" s="441"/>
      <c r="R181" s="441"/>
      <c r="S181" s="441"/>
      <c r="T181" s="441"/>
      <c r="U181" s="441"/>
      <c r="V181" s="441"/>
      <c r="W181" s="441"/>
      <c r="X181" s="441"/>
      <c r="Y181" s="441"/>
    </row>
    <row r="182" spans="1:25">
      <c r="A182" s="441"/>
      <c r="B182" s="441"/>
      <c r="C182" s="441"/>
      <c r="D182" s="441"/>
      <c r="E182" s="441"/>
      <c r="F182" s="441"/>
      <c r="G182" s="441"/>
      <c r="H182" s="441"/>
      <c r="I182" s="441"/>
      <c r="J182" s="441"/>
      <c r="K182" s="441"/>
      <c r="L182" s="441"/>
      <c r="M182" s="441"/>
      <c r="N182" s="441"/>
      <c r="O182" s="441"/>
      <c r="P182" s="441"/>
      <c r="Q182" s="441"/>
      <c r="R182" s="441"/>
      <c r="S182" s="441"/>
      <c r="T182" s="441"/>
      <c r="U182" s="441"/>
      <c r="V182" s="441"/>
      <c r="W182" s="441"/>
      <c r="X182" s="441"/>
      <c r="Y182" s="441"/>
    </row>
    <row r="183" spans="1:25">
      <c r="A183" s="441"/>
      <c r="B183" s="441"/>
      <c r="C183" s="441"/>
      <c r="D183" s="441"/>
      <c r="E183" s="441"/>
      <c r="F183" s="441"/>
      <c r="G183" s="441"/>
      <c r="H183" s="441"/>
      <c r="I183" s="441"/>
      <c r="J183" s="441"/>
      <c r="K183" s="441"/>
      <c r="L183" s="441"/>
      <c r="M183" s="441"/>
      <c r="N183" s="441"/>
      <c r="O183" s="441"/>
      <c r="P183" s="441"/>
      <c r="Q183" s="441"/>
      <c r="R183" s="441"/>
      <c r="S183" s="441"/>
      <c r="T183" s="441"/>
      <c r="U183" s="441"/>
      <c r="V183" s="441"/>
      <c r="W183" s="441"/>
      <c r="X183" s="441"/>
      <c r="Y183" s="441"/>
    </row>
    <row r="184" spans="1:25">
      <c r="A184" s="441"/>
      <c r="B184" s="441"/>
      <c r="C184" s="441"/>
      <c r="D184" s="441"/>
      <c r="E184" s="441"/>
      <c r="F184" s="441"/>
      <c r="G184" s="441"/>
      <c r="H184" s="441"/>
      <c r="I184" s="441"/>
      <c r="J184" s="441"/>
      <c r="K184" s="441"/>
      <c r="L184" s="441"/>
      <c r="M184" s="441"/>
      <c r="N184" s="441"/>
      <c r="O184" s="441"/>
      <c r="P184" s="441"/>
      <c r="Q184" s="441"/>
      <c r="R184" s="441"/>
      <c r="S184" s="441"/>
      <c r="T184" s="441"/>
      <c r="U184" s="441"/>
      <c r="V184" s="441"/>
      <c r="W184" s="441"/>
      <c r="X184" s="441"/>
      <c r="Y184" s="441"/>
    </row>
    <row r="185" spans="1:25">
      <c r="A185" s="441"/>
      <c r="B185" s="441"/>
      <c r="C185" s="441"/>
      <c r="D185" s="441"/>
      <c r="E185" s="441"/>
      <c r="F185" s="441"/>
      <c r="G185" s="441"/>
      <c r="H185" s="441"/>
      <c r="I185" s="441"/>
      <c r="J185" s="441"/>
      <c r="K185" s="441"/>
      <c r="L185" s="441"/>
      <c r="M185" s="441"/>
      <c r="N185" s="441"/>
      <c r="O185" s="441"/>
      <c r="P185" s="441"/>
      <c r="Q185" s="441"/>
      <c r="R185" s="441"/>
      <c r="S185" s="441"/>
      <c r="T185" s="441"/>
      <c r="U185" s="441"/>
      <c r="V185" s="441"/>
      <c r="W185" s="441"/>
      <c r="X185" s="441"/>
      <c r="Y185" s="441"/>
    </row>
    <row r="186" spans="1:25">
      <c r="A186" s="441"/>
      <c r="B186" s="441"/>
      <c r="C186" s="441"/>
      <c r="D186" s="441"/>
      <c r="E186" s="466" t="s">
        <v>1129</v>
      </c>
      <c r="F186" s="466" t="s">
        <v>995</v>
      </c>
      <c r="G186" s="441"/>
      <c r="H186" s="441"/>
      <c r="I186" s="441"/>
      <c r="J186" s="441"/>
      <c r="K186" s="441"/>
      <c r="L186" s="441"/>
      <c r="M186" s="466" t="s">
        <v>996</v>
      </c>
      <c r="N186" s="466" t="s">
        <v>996</v>
      </c>
      <c r="O186" s="466" t="s">
        <v>996</v>
      </c>
      <c r="P186" s="466" t="s">
        <v>996</v>
      </c>
      <c r="Q186" s="466" t="s">
        <v>997</v>
      </c>
      <c r="R186" s="466" t="s">
        <v>998</v>
      </c>
      <c r="S186" s="466" t="s">
        <v>999</v>
      </c>
      <c r="T186" s="466" t="s">
        <v>999</v>
      </c>
      <c r="U186" s="466" t="s">
        <v>1000</v>
      </c>
      <c r="V186" s="466" t="s">
        <v>1001</v>
      </c>
      <c r="W186" s="466"/>
      <c r="X186" s="466"/>
      <c r="Y186" s="466"/>
    </row>
    <row r="187" spans="1:25">
      <c r="A187" s="441"/>
      <c r="B187" s="438" t="s">
        <v>916</v>
      </c>
      <c r="D187" s="441"/>
      <c r="E187" s="464">
        <f ca="1">'2.2 Input_General_Information'!$H$20</f>
        <v>2018</v>
      </c>
      <c r="F187" s="464">
        <f ca="1">'2.2 Input_General_Information'!$H$20</f>
        <v>2018</v>
      </c>
      <c r="G187" s="464">
        <f ca="1">'2.2 Input_General_Information'!$H$20</f>
        <v>2018</v>
      </c>
      <c r="H187" s="464">
        <f ca="1">'2.2 Input_General_Information'!$H$20</f>
        <v>2018</v>
      </c>
      <c r="I187" s="464">
        <f ca="1">'2.2 Input_General_Information'!$H$20</f>
        <v>2018</v>
      </c>
      <c r="J187" s="464">
        <f ca="1">'2.2 Input_General_Information'!$H$20</f>
        <v>2018</v>
      </c>
      <c r="K187" s="464">
        <f ca="1">'2.2 Input_General_Information'!$H$20</f>
        <v>2018</v>
      </c>
      <c r="L187" s="464">
        <f ca="1">'2.2 Input_General_Information'!$H$20</f>
        <v>2018</v>
      </c>
      <c r="M187" s="464">
        <f ca="1">'2.2 Input_General_Information'!$H$20</f>
        <v>2018</v>
      </c>
      <c r="N187" s="464">
        <f ca="1">'2.2 Input_General_Information'!$H$20</f>
        <v>2018</v>
      </c>
      <c r="O187" s="464">
        <f ca="1">'2.2 Input_General_Information'!$H$20</f>
        <v>2018</v>
      </c>
      <c r="P187" s="464">
        <f ca="1">'2.2 Input_General_Information'!$H$20</f>
        <v>2018</v>
      </c>
      <c r="Q187" s="464">
        <f ca="1">'2.2 Input_General_Information'!$H$20</f>
        <v>2018</v>
      </c>
      <c r="R187" s="524"/>
      <c r="S187" s="464">
        <f ca="1">'2.2 Input_General_Information'!$H$20</f>
        <v>2018</v>
      </c>
      <c r="T187" s="524"/>
      <c r="U187" s="464">
        <f ca="1">'2.2 Input_General_Information'!$H$20</f>
        <v>2018</v>
      </c>
      <c r="V187" s="464">
        <f ca="1">'2.2 Input_General_Information'!$H$20</f>
        <v>2018</v>
      </c>
      <c r="W187" s="464">
        <f ca="1">'2.2 Input_General_Information'!$H$20</f>
        <v>2018</v>
      </c>
      <c r="X187" s="464">
        <f ca="1">'2.2 Input_General_Information'!$H$20</f>
        <v>2018</v>
      </c>
      <c r="Y187" s="464">
        <f ca="1">'2.2 Input_General_Information'!$H$20</f>
        <v>2018</v>
      </c>
    </row>
    <row r="188" spans="1:25">
      <c r="A188" s="441"/>
      <c r="B188" s="442" t="s">
        <v>918</v>
      </c>
      <c r="D188" s="441"/>
      <c r="E188" s="525">
        <f>IF(Calc_time!G625=100%,99.99%,Calc_time!G625)</f>
        <v>0.8</v>
      </c>
      <c r="F188" s="526">
        <f>IF(Calc_time!G163=100%,99.99%,Calc_time!G163)</f>
        <v>0.2</v>
      </c>
      <c r="G188" s="526">
        <f>IF(Calc_time!G216=100%,99.99%,Calc_time!G216)</f>
        <v>0.2</v>
      </c>
      <c r="H188" s="526">
        <f>IF(Calc_time!G358=100%,99.99%,Calc_time!G358)</f>
        <v>0.15789473684210525</v>
      </c>
      <c r="I188" s="526">
        <f>IF(Calc_time!G196=100%,99.99%,Calc_time!G196)</f>
        <v>0.25</v>
      </c>
      <c r="J188" s="526">
        <f>IF(Calc_time!G388=100%,99.99%,Calc_time!G388)</f>
        <v>0.15</v>
      </c>
      <c r="K188" s="526">
        <f>IF(Calc_time!G491=100%,99.99%,Calc_time!G491)</f>
        <v>0.27</v>
      </c>
      <c r="L188" s="527">
        <f>IF('2.3 Input_Main_Questionnaire'!H51=100%,99.99%,'2.3 Input_Main_Questionnaire'!H51)</f>
        <v>0.25</v>
      </c>
      <c r="M188" s="526">
        <f>IF(Calc_time!G225=100%,99.99%,Calc_time!G225)</f>
        <v>0.2</v>
      </c>
      <c r="N188" s="526">
        <f>Calc_time!G226</f>
        <v>0.1</v>
      </c>
      <c r="O188" s="526">
        <f>Calc_time!G227</f>
        <v>0.05</v>
      </c>
      <c r="P188" s="526">
        <f>Calc_time!G228</f>
        <v>0.05</v>
      </c>
      <c r="Q188" s="526">
        <f>IF('2.3 Input_Main_Questionnaire'!H132=1,99.99%,'2.3 Input_Main_Questionnaire'!H132)</f>
        <v>0.2</v>
      </c>
      <c r="R188" s="528"/>
      <c r="S188" s="526">
        <f>IF('2.3 Input_Main_Questionnaire'!H132=1,99.99%,'2.3 Input_Main_Questionnaire'!H132)</f>
        <v>0.2</v>
      </c>
      <c r="T188" s="528"/>
      <c r="U188" s="526">
        <f>IF(Calc_time!G164=1,99.99,Calc_time!G164)</f>
        <v>0.15</v>
      </c>
      <c r="V188" s="526">
        <f>IF(Calc_time!G597=100%,99.99%,Calc_time!G597)</f>
        <v>0.7142857142857143</v>
      </c>
      <c r="W188" s="526">
        <f>IF(Calc_time!G269=1,99.99%,Calc_time!G269)</f>
        <v>0.7</v>
      </c>
      <c r="X188" s="526">
        <f>IF(Calc_time!G270=1,99.99%,Calc_time!G270)</f>
        <v>0.2</v>
      </c>
      <c r="Y188" s="526">
        <f>IF(Calc_time!G271=1,99.99%,Calc_time!G271)</f>
        <v>0.1</v>
      </c>
    </row>
    <row r="189" spans="1:25">
      <c r="A189" s="441"/>
      <c r="B189" s="442" t="s">
        <v>919</v>
      </c>
      <c r="D189" s="441"/>
      <c r="E189" s="485">
        <f ca="1">'2.2 Input_General_Information'!$H$20+'2.2 Input_General_Information'!$H$40</f>
        <v>2021</v>
      </c>
      <c r="F189" s="485">
        <f>B60</f>
        <v>2058</v>
      </c>
      <c r="G189" s="485">
        <f>B60</f>
        <v>2058</v>
      </c>
      <c r="H189" s="485">
        <f ca="1">'2.2 Input_General_Information'!$H$20+'2.2 Input_General_Information'!$H$40</f>
        <v>2021</v>
      </c>
      <c r="I189" s="529">
        <f>B60</f>
        <v>2058</v>
      </c>
      <c r="J189" s="485">
        <f ca="1">'2.2 Input_General_Information'!$H$20+'2.2 Input_General_Information'!$H$40</f>
        <v>2021</v>
      </c>
      <c r="K189" s="529">
        <f>B60</f>
        <v>2058</v>
      </c>
      <c r="L189" s="485">
        <f ca="1">'2.2 Input_General_Information'!$H$20+'2.2 Input_General_Information'!$H$40</f>
        <v>2021</v>
      </c>
      <c r="M189" s="529">
        <f>B60</f>
        <v>2058</v>
      </c>
      <c r="N189" s="529">
        <f>B60</f>
        <v>2058</v>
      </c>
      <c r="O189" s="529">
        <f>B60</f>
        <v>2058</v>
      </c>
      <c r="P189" s="529">
        <f>B60</f>
        <v>2058</v>
      </c>
      <c r="Q189" s="529">
        <f>B60</f>
        <v>2058</v>
      </c>
      <c r="R189" s="530"/>
      <c r="S189" s="529">
        <f ca="1">'2.2 Input_General_Information'!$H$20+'2.2 Input_General_Information'!$H$40</f>
        <v>2021</v>
      </c>
      <c r="T189" s="530"/>
      <c r="U189" s="485">
        <f>B60</f>
        <v>2058</v>
      </c>
      <c r="V189" s="485">
        <f>B60</f>
        <v>2058</v>
      </c>
      <c r="W189" s="485">
        <f>B60</f>
        <v>2058</v>
      </c>
      <c r="X189" s="485">
        <f>B60</f>
        <v>2058</v>
      </c>
      <c r="Y189" s="485">
        <f>B60</f>
        <v>2058</v>
      </c>
    </row>
    <row r="190" spans="1:25">
      <c r="A190" s="441"/>
      <c r="B190" s="442" t="s">
        <v>920</v>
      </c>
      <c r="D190" s="441"/>
      <c r="E190" s="484">
        <f>E191-0.01%</f>
        <v>0.99990000000000001</v>
      </c>
      <c r="F190" s="484">
        <f>Calc_time!I163</f>
        <v>0.75</v>
      </c>
      <c r="G190" s="484">
        <f>C13</f>
        <v>0.71470637973137974</v>
      </c>
      <c r="H190" s="531">
        <v>0.99990000000000001</v>
      </c>
      <c r="I190" s="531">
        <v>0.99990000000000001</v>
      </c>
      <c r="J190" s="531">
        <v>0.99990000000000001</v>
      </c>
      <c r="K190" s="531">
        <v>0.99990000000000001</v>
      </c>
      <c r="L190" s="531">
        <v>0.99990000000000001</v>
      </c>
      <c r="M190" s="531">
        <f>Calc_time!I225</f>
        <v>0.4</v>
      </c>
      <c r="N190" s="531">
        <f>Calc_time!I226</f>
        <v>0.3</v>
      </c>
      <c r="O190" s="531">
        <f>Calc_time!I227</f>
        <v>0.25</v>
      </c>
      <c r="P190" s="531">
        <f>Calc_time!I228</f>
        <v>0.05</v>
      </c>
      <c r="Q190" s="531">
        <f>'FAIR_Assumption(s)'!H7</f>
        <v>0.71470637973137974</v>
      </c>
      <c r="R190" s="528"/>
      <c r="S190" s="531">
        <v>0.99990000000000001</v>
      </c>
      <c r="T190" s="528"/>
      <c r="U190" s="484">
        <f>Calc_time!I164</f>
        <v>0.25</v>
      </c>
      <c r="V190" s="484">
        <f t="shared" ref="V190:X190" si="11">0.0001</f>
        <v>1E-4</v>
      </c>
      <c r="W190" s="484">
        <f t="shared" si="11"/>
        <v>1E-4</v>
      </c>
      <c r="X190" s="484">
        <f t="shared" si="11"/>
        <v>1E-4</v>
      </c>
      <c r="Y190" s="484">
        <v>0.99990000000000001</v>
      </c>
    </row>
    <row r="191" spans="1:25">
      <c r="A191" s="441"/>
      <c r="B191" s="447" t="s">
        <v>921</v>
      </c>
      <c r="D191" s="441"/>
      <c r="E191" s="486">
        <v>1</v>
      </c>
      <c r="F191" s="486">
        <v>1</v>
      </c>
      <c r="G191" s="486">
        <v>1</v>
      </c>
      <c r="H191" s="532">
        <v>1</v>
      </c>
      <c r="I191" s="532">
        <v>1</v>
      </c>
      <c r="J191" s="532">
        <v>1</v>
      </c>
      <c r="K191" s="532">
        <v>1</v>
      </c>
      <c r="L191" s="532">
        <v>1</v>
      </c>
      <c r="M191" s="532">
        <v>1</v>
      </c>
      <c r="N191" s="532">
        <v>1</v>
      </c>
      <c r="O191" s="532">
        <v>1</v>
      </c>
      <c r="P191" s="532">
        <v>1</v>
      </c>
      <c r="Q191" s="532">
        <v>1</v>
      </c>
      <c r="R191" s="528"/>
      <c r="S191" s="532">
        <v>1</v>
      </c>
      <c r="T191" s="528"/>
      <c r="U191" s="486">
        <v>1</v>
      </c>
      <c r="V191" s="486">
        <v>1</v>
      </c>
      <c r="W191" s="486">
        <v>1</v>
      </c>
      <c r="X191" s="486">
        <v>1</v>
      </c>
      <c r="Y191" s="486">
        <v>1</v>
      </c>
    </row>
    <row r="192" spans="1:25">
      <c r="A192" s="441"/>
      <c r="B192" s="441"/>
      <c r="D192" s="441"/>
      <c r="E192" s="441"/>
      <c r="F192" s="441"/>
      <c r="G192" s="441"/>
      <c r="H192" s="441"/>
      <c r="I192" s="441"/>
      <c r="J192" s="441"/>
      <c r="K192" s="441"/>
      <c r="L192" s="441"/>
      <c r="M192" s="441"/>
      <c r="N192" s="441"/>
      <c r="O192" s="441"/>
      <c r="P192" s="441"/>
      <c r="Q192" s="441"/>
      <c r="R192" s="441"/>
      <c r="S192" s="441"/>
      <c r="T192" s="441"/>
      <c r="U192" s="441"/>
      <c r="V192" s="441"/>
      <c r="W192" s="441"/>
      <c r="X192" s="441"/>
      <c r="Y192" s="441"/>
    </row>
    <row r="193" spans="1:25">
      <c r="A193" s="441"/>
      <c r="B193" s="429" t="s">
        <v>922</v>
      </c>
      <c r="D193" s="441"/>
      <c r="E193" s="488">
        <f ca="1">(LN(1/E188:G188-1)-LN(1/E190:G190-1))/(E189:G189-E187:G187)</f>
        <v>2.6079820019522626</v>
      </c>
      <c r="F193" s="488">
        <f t="shared" ref="F193:Q193" ca="1" si="12">(LN(1/F188-1)-LN(1/F190-1))/(F189-F187)</f>
        <v>6.2122666244700017E-2</v>
      </c>
      <c r="G193" s="488">
        <f t="shared" ca="1" si="12"/>
        <v>5.7616181631678101E-2</v>
      </c>
      <c r="H193" s="533">
        <f t="shared" ca="1" si="12"/>
        <v>3.6280722668494505</v>
      </c>
      <c r="I193" s="533">
        <f t="shared" ca="1" si="12"/>
        <v>0.25772131639111973</v>
      </c>
      <c r="J193" s="533">
        <f t="shared" ca="1" si="12"/>
        <v>3.6482804741215951</v>
      </c>
      <c r="K193" s="533">
        <f t="shared" ca="1" si="12"/>
        <v>0.25512157355301851</v>
      </c>
      <c r="L193" s="533">
        <f t="shared" ca="1" si="12"/>
        <v>3.4362842185482627</v>
      </c>
      <c r="M193" s="533">
        <f t="shared" ca="1" si="12"/>
        <v>2.4520731325293154E-2</v>
      </c>
      <c r="N193" s="533">
        <f t="shared" ca="1" si="12"/>
        <v>3.3748167923725397E-2</v>
      </c>
      <c r="O193" s="533">
        <f t="shared" ca="1" si="12"/>
        <v>4.6145667262458265E-2</v>
      </c>
      <c r="P193" s="533">
        <f t="shared" ca="1" si="12"/>
        <v>0</v>
      </c>
      <c r="Q193" s="533">
        <f t="shared" ca="1" si="12"/>
        <v>5.7616181631678101E-2</v>
      </c>
      <c r="R193" s="534"/>
      <c r="S193" s="533">
        <f ca="1">(LN(1/S188-1)-LN(1/S190-1))/(S189-S187)</f>
        <v>3.5321782426988566</v>
      </c>
      <c r="T193" s="534"/>
      <c r="U193" s="488">
        <f t="shared" ref="U193:Y193" ca="1" si="13">(LN(1/U188-1)-LN(1/U190-1))/(U189-U187)</f>
        <v>1.5899719167999916E-2</v>
      </c>
      <c r="V193" s="488">
        <f t="shared" ca="1" si="13"/>
        <v>-0.25316327747125011</v>
      </c>
      <c r="W193" s="488">
        <f t="shared" ca="1" si="13"/>
        <v>-0.25143845568407636</v>
      </c>
      <c r="X193" s="488">
        <f t="shared" ca="1" si="13"/>
        <v>-0.19559865014639896</v>
      </c>
      <c r="Y193" s="488">
        <f t="shared" ca="1" si="13"/>
        <v>0.28518662360782249</v>
      </c>
    </row>
    <row r="194" spans="1:25">
      <c r="A194" s="441"/>
      <c r="B194" s="441"/>
      <c r="C194" s="441"/>
      <c r="D194" s="441"/>
      <c r="E194" s="441"/>
      <c r="F194" s="441"/>
      <c r="G194" s="441"/>
      <c r="H194" s="441"/>
      <c r="I194" s="441"/>
      <c r="J194" s="441"/>
      <c r="K194" s="441"/>
      <c r="L194" s="441"/>
      <c r="M194" s="441"/>
      <c r="N194" s="441"/>
      <c r="O194" s="441"/>
      <c r="P194" s="441"/>
      <c r="Q194" s="441"/>
      <c r="R194" s="441"/>
      <c r="S194" s="441"/>
      <c r="T194" s="441"/>
      <c r="U194" s="441"/>
      <c r="V194" s="441"/>
      <c r="W194" s="441"/>
      <c r="X194" s="441"/>
      <c r="Y194" s="441"/>
    </row>
    <row r="195" spans="1:25" ht="15.75" thickBot="1">
      <c r="A195" s="441"/>
      <c r="B195" s="453" t="s">
        <v>181</v>
      </c>
      <c r="C195" s="453" t="str">
        <f>B7</f>
        <v>Global growth</v>
      </c>
      <c r="D195" s="490" t="str">
        <f>B62</f>
        <v>Local Growth</v>
      </c>
      <c r="E195" s="535">
        <f t="shared" ref="E195:F195" si="14">E188:G188</f>
        <v>0.8</v>
      </c>
      <c r="F195" s="535">
        <f t="shared" si="14"/>
        <v>0.2</v>
      </c>
      <c r="G195" s="535">
        <f t="shared" ref="G195:L195" si="15">E188:G188</f>
        <v>0.2</v>
      </c>
      <c r="H195" s="535">
        <f t="shared" si="15"/>
        <v>0.15789473684210525</v>
      </c>
      <c r="I195" s="535">
        <f t="shared" si="15"/>
        <v>0.25</v>
      </c>
      <c r="J195" s="535">
        <f t="shared" si="15"/>
        <v>0.15</v>
      </c>
      <c r="K195" s="535">
        <f t="shared" si="15"/>
        <v>0.27</v>
      </c>
      <c r="L195" s="535">
        <f t="shared" si="15"/>
        <v>0.25</v>
      </c>
      <c r="M195" s="535">
        <f t="shared" ref="M195:Q195" si="16">M188</f>
        <v>0.2</v>
      </c>
      <c r="N195" s="535">
        <f t="shared" si="16"/>
        <v>0.1</v>
      </c>
      <c r="O195" s="535">
        <f t="shared" si="16"/>
        <v>0.05</v>
      </c>
      <c r="P195" s="535">
        <f t="shared" si="16"/>
        <v>0.05</v>
      </c>
      <c r="Q195" s="535">
        <f t="shared" si="16"/>
        <v>0.2</v>
      </c>
      <c r="R195" s="536" t="s">
        <v>925</v>
      </c>
      <c r="S195" s="535">
        <f>S188</f>
        <v>0.2</v>
      </c>
      <c r="T195" s="536" t="s">
        <v>925</v>
      </c>
      <c r="U195" s="535">
        <f t="shared" ref="U195:Y195" si="17">U188:AA188</f>
        <v>0.15</v>
      </c>
      <c r="V195" s="535">
        <f t="shared" si="17"/>
        <v>0.7142857142857143</v>
      </c>
      <c r="W195" s="535">
        <f t="shared" si="17"/>
        <v>0.7</v>
      </c>
      <c r="X195" s="535">
        <f t="shared" si="17"/>
        <v>0.2</v>
      </c>
      <c r="Y195" s="535">
        <f t="shared" si="17"/>
        <v>0.1</v>
      </c>
    </row>
    <row r="196" spans="1:25" ht="5.25" customHeight="1" thickTop="1">
      <c r="A196" s="441"/>
      <c r="B196" s="456"/>
      <c r="C196" s="457"/>
      <c r="D196" s="128"/>
      <c r="E196" s="441"/>
      <c r="F196" s="441"/>
      <c r="G196" s="441"/>
      <c r="H196" s="441"/>
      <c r="I196" s="441"/>
      <c r="J196" s="441"/>
      <c r="K196" s="441"/>
      <c r="L196" s="441"/>
      <c r="M196" s="441"/>
      <c r="N196" s="441"/>
      <c r="O196" s="441"/>
      <c r="P196" s="441"/>
      <c r="Q196" s="441"/>
      <c r="R196" s="441"/>
      <c r="S196" s="441"/>
      <c r="T196" s="441"/>
      <c r="U196" s="441"/>
      <c r="V196" s="441"/>
      <c r="W196" s="441"/>
      <c r="X196" s="441"/>
      <c r="Y196" s="441"/>
    </row>
    <row r="197" spans="1:25">
      <c r="A197" s="441"/>
      <c r="B197" s="458">
        <f>C5</f>
        <v>2018</v>
      </c>
      <c r="C197" s="491">
        <f t="shared" ref="C197:C237" ca="1" si="18">D20</f>
        <v>0</v>
      </c>
      <c r="D197" s="492">
        <f t="shared" ref="D197:D237" ca="1" si="19">D75</f>
        <v>0</v>
      </c>
      <c r="E197" s="460">
        <f ca="1">IF(AND($B197&lt;=$E$189,$B197&gt;='2.2 Input_General_Information'!$H$20),$E$191/(1+EXP(-$E$193*($B197-(LN(1/$E$188-1)/$E$193+$E$187)))),"")</f>
        <v>0.80000000000000737</v>
      </c>
      <c r="F197" s="460">
        <f ca="1">IF(AND(B197&lt;=F189,B197&gt;='2.2 Input_General_Information'!$H$20),F191/(1+EXP(-F193*(B197-(LN(1/F188-1)/F193+F187)))),)</f>
        <v>0.19999999999999982</v>
      </c>
      <c r="G197" s="460">
        <f ca="1">IF(AND($B197&lt;=G$189,$B197&gt;='2.2 Input_General_Information'!$H$20),$G$191/(1+EXP(-$G$193*($B197-(LN(1/$G$188-1)/$G$193+$G$187)))),)</f>
        <v>0.2000000000000007</v>
      </c>
      <c r="H197" s="460">
        <f ca="1">IF(AND($B197&lt;=H$189,$B197&gt;='2.2 Input_General_Information'!$H$20),$H$191/(1+EXP(-$H$193*($B197-(LN(1/$H$188-1)/$H$193+$H$187)))),1)</f>
        <v>0.15789473684208183</v>
      </c>
      <c r="I197" s="460">
        <f ca="1">IF(AND($B197&lt;=I$189,$B197&gt;='2.2 Input_General_Information'!$H$20),$I$191/(1+EXP(-$I$193*($B197-(LN(1/$I$188-1)/$I$193+$I$187)))),)</f>
        <v>0.25000000000000455</v>
      </c>
      <c r="J197" s="460">
        <f ca="1">IF(AND($B197&lt;=J$189,$B197&gt;='2.2 Input_General_Information'!$H$20),$J$191/(1+EXP(-$J$193*($B197-(LN(1/$J$188-1)/$J$193+$J$187)))),"")</f>
        <v>0.150000000000031</v>
      </c>
      <c r="K197" s="460">
        <f ca="1">IF(AND($B197&lt;=K$189,$B197&gt;='2.2 Input_General_Information'!$H$20),$K$191/(1+EXP(-$K$193*($B197-(LN(1/$K$188-1)/$K$193+$K$187)))),)</f>
        <v>0.27000000000000141</v>
      </c>
      <c r="L197" s="460">
        <f ca="1">IF(AND($B197&lt;=L$189,$B197&gt;='2.2 Input_General_Information'!$H$20),$L$191/(1+EXP(-$L$193*($B197-(LN(1/$L$188-1)/$L$193+$L$187)))),1)</f>
        <v>0.25000000000001188</v>
      </c>
      <c r="M197" s="460">
        <f ca="1">IF(M$188=0,0,IF(M$188=1,1,IF(AND($B197&lt;=M$189,$B197&gt;='2.2 Input_General_Information'!$H$20),$M$191/(1+EXP(-$M$193*($B197-(LN(1/$M$188-1)/$M$193+$M$187)))),)))</f>
        <v>0.20000000000000034</v>
      </c>
      <c r="N197" s="460">
        <f ca="1">IF(N$188=0,0,IF(N$188=1,1,IF(AND($B197&lt;=N$189,$B197&gt;='2.2 Input_General_Information'!$H$20),$N$191/(1+EXP(-$N$193*($B197-(LN(1/$N$188-1)/$N$193+$N$187)))),)))</f>
        <v>0.10000000000000049</v>
      </c>
      <c r="O197" s="460">
        <f ca="1">IF(O$188=0,0,IF(O$188=100%,100%,IF(AND($B197&lt;=O$189,$B197&gt;='2.2 Input_General_Information'!$H$20),$O$191/(1+EXP(-$O$193*($B197-(LN(1/$O$188-1)/$O$193+$O$187)))),)))</f>
        <v>5.0000000000000176E-2</v>
      </c>
      <c r="P197" s="460" t="e">
        <f ca="1">IF(P$188=0,0,IF(AND($B197&lt;=P$189,$B197&gt;='2.2 Input_General_Information'!$H$20),$P$191/(1+EXP(-$P$193*($B197-(LN(1/$P$188-1)/$P$193+$P$187)))),))</f>
        <v>#DIV/0!</v>
      </c>
      <c r="Q197" s="460">
        <f ca="1">IF(AND($B197&lt;=Q$189,$B197&gt;='2.2 Input_General_Information'!$H$20),$Q$191/(1+EXP(-$Q$193*($B197-(LN(1/$Q$188-1)/$Q$193+$Q$187)))),)</f>
        <v>0.2000000000000007</v>
      </c>
      <c r="R197" s="460">
        <f ca="1">IF(B197&gt;='2.2 Input_General_Information'!$H$20,Q197-VLOOKUP('2.2 Input_General_Information'!$H$20,$B$197:$Q$237,16),0)</f>
        <v>0</v>
      </c>
      <c r="S197" s="460">
        <f ca="1">IF(AND($B197&lt;=S$189,$B197&gt;='2.2 Input_General_Information'!$H$20),$S$191/(1+EXP(-$S$193*($B197-(LN(1/$S$188-1)/$S$193+$S$187)))),1)</f>
        <v>0.19999999999999196</v>
      </c>
      <c r="T197" s="460">
        <f ca="1">IF(B197&gt;='2.2 Input_General_Information'!$H$20,IF(S197="","",S197-VLOOKUP('2.2 Input_General_Information'!$H$20,$B$197:$S$237,18)),0)</f>
        <v>0</v>
      </c>
      <c r="U197" s="460">
        <f ca="1">IF(AND($B197&lt;=U$189,$B197&gt;='2.2 Input_General_Information'!$H$20),$U$191/(1+EXP(-$U$193*($B197-(LN(1/$U$188-1)/$U$193+$U$187)))),)</f>
        <v>0.15000000000000047</v>
      </c>
      <c r="V197" s="460">
        <f ca="1">IF(AND($B197&lt;=V$189,$B197&gt;='2.2 Input_General_Information'!$H$20),$V$191/(1+EXP(-$V$193*($B197-(LN(1/$V$188-1)/$V$193+$V$187)))),)</f>
        <v>0.71428571428571253</v>
      </c>
      <c r="W197" s="460">
        <f ca="1">IF(AND($B197&lt;=W$189,$B197&gt;='2.2 Input_General_Information'!$H$20),$W$191/(1+EXP(-$W$193*($B197-(LN(1/$W$188-1)/$W$193+$W$187)))),)</f>
        <v>0.70000000000000162</v>
      </c>
      <c r="X197" s="460">
        <f ca="1">IF(AND($B197&lt;=X$189,$B197&gt;='2.2 Input_General_Information'!$H$20),$X$191/(1+EXP(-$X$193*($B197-(LN(1/$X$188-1)/$X$193+$X$187)))),)</f>
        <v>0.19999999999999712</v>
      </c>
      <c r="Y197" s="460">
        <f ca="1">IF(AND($B197&lt;=Y$189,$B197&gt;='2.2 Input_General_Information'!$H$20),$Y$191/(1+EXP(-$Y$193*($B197-(LN(1/$Y$188-1)/$Y$193+$Y$187)))),)</f>
        <v>0.10000000000000255</v>
      </c>
    </row>
    <row r="198" spans="1:25">
      <c r="A198" s="441"/>
      <c r="B198" s="458">
        <f t="shared" ref="B198:B237" si="20">B197+1</f>
        <v>2019</v>
      </c>
      <c r="C198" s="491">
        <f t="shared" ca="1" si="18"/>
        <v>4.0044075426237113E-3</v>
      </c>
      <c r="D198" s="492">
        <f t="shared" ca="1" si="19"/>
        <v>7.405335337177088E-2</v>
      </c>
      <c r="E198" s="460">
        <f ca="1">IF(AND($B198&lt;=$E$189,$B198&gt;='2.2 Input_General_Information'!$H$20),$E$191/(1+EXP(-$E$193*($B198-(LN(1/$E$188-1)/$E$193+$E$187)))),"")</f>
        <v>0.98191241571836851</v>
      </c>
      <c r="F198" s="460">
        <f ca="1">IF(AND($B198&lt;=F$189,$B198&gt;='2.2 Input_General_Information'!$H$20),$F$191/(1+EXP(-$F$193*($B198-(LN(1/$F$188-1)/$F$193+$F$187)))),)</f>
        <v>0.21012506945777501</v>
      </c>
      <c r="G198" s="460">
        <f ca="1">IF(AND($B198&lt;=G$189,$B198&gt;='2.2 Input_General_Information'!$H$20),$G$191/(1+EXP(-$G$193*($B198-(LN(1/$G$188-1)/$G$193+$G$187)))),)</f>
        <v>0.20937809388027495</v>
      </c>
      <c r="H198" s="460">
        <f ca="1">IF(AND($B198&lt;=H$189,$B198&gt;='2.2 Input_General_Information'!$H$20),$H$191/(1+EXP(-$H$193*($B198-(LN(1/$H$188-1)/$H$193+$H$187)))),1)</f>
        <v>0.87589256438410668</v>
      </c>
      <c r="I198" s="460">
        <f ca="1">IF(AND($B198&lt;=I$189,$B198&gt;='2.2 Input_General_Information'!$H$20),$I$191/(1+EXP(-$I$193*($B198-(LN(1/$I$188-1)/$I$193+$I$187)))),)</f>
        <v>0.30134716812600559</v>
      </c>
      <c r="J198" s="460">
        <f ca="1">IF(AND($B198&lt;=J$189,$B198&gt;='2.2 Input_General_Information'!$H$20),$J$191/(1+EXP(-$J$193*($B198-(LN(1/$J$188-1)/$J$193+$J$187)))),"")</f>
        <v>0.87143194739308483</v>
      </c>
      <c r="K198" s="460">
        <f ca="1">IF(AND($B198&lt;=K$189,$B198&gt;='2.2 Input_General_Information'!$H$20),$K$191/(1+EXP(-$K$193*($B198-(LN(1/$K$188-1)/$K$193+$K$187)))),)</f>
        <v>0.32311327061042144</v>
      </c>
      <c r="L198" s="460">
        <f ca="1">IF(AND($B198&lt;=L$189,$B198&gt;='2.2 Input_General_Information'!$H$20),$L$191/(1+EXP(-$L$193*($B198-(LN(1/$L$188-1)/$L$193+$L$187)))),1)</f>
        <v>0.91194932556644281</v>
      </c>
      <c r="M198" s="460">
        <f ca="1">IF(M$188=0,0,IF(M$188=1,1,IF(AND($B198&lt;=M$189,$B198&gt;='2.2 Input_General_Information'!$H$20),$M$191/(1+EXP(-$M$193*($B198-(LN(1/$M$188-1)/$M$193+$M$187)))),)))</f>
        <v>0.20395219218015789</v>
      </c>
      <c r="N198" s="460">
        <f ca="1">IF(N$188=0,0,IF(N$188=1,1,IF(AND($B198&lt;=N$189,$B198&gt;='2.2 Input_General_Information'!$H$20),$N$191/(1+EXP(-$N$193*($B198-(LN(1/$N$188-1)/$N$193+$N$187)))),)))</f>
        <v>0.10307860179184981</v>
      </c>
      <c r="O198" s="460">
        <f ca="1">IF(O$188=0,0,IF(O$188=100%,100%,IF(AND($B198&lt;=O$189,$B198&gt;='2.2 Input_General_Information'!$H$20),$O$191/(1+EXP(-$O$193*($B198-(LN(1/$O$188-1)/$O$193+$O$187)))),)))</f>
        <v>5.2237995275986097E-2</v>
      </c>
      <c r="P198" s="460" t="e">
        <f ca="1">IF(P$188=0,0,IF(AND($B198&lt;=P$189,$B198&gt;='2.2 Input_General_Information'!$H$20),$P$191/(1+EXP(-$P$193*($B198-(LN(1/$P$188-1)/$P$193+$P$187)))),))</f>
        <v>#DIV/0!</v>
      </c>
      <c r="Q198" s="460">
        <f ca="1">IF(AND($B198&lt;=Q$189,$B198&gt;='2.2 Input_General_Information'!$H$20),$Q$191/(1+EXP(-$Q$193*($B198-(LN(1/$Q$188-1)/$Q$193+$Q$187)))),)</f>
        <v>0.20937809388027495</v>
      </c>
      <c r="R198" s="460">
        <f ca="1">IF(B198&gt;='2.2 Input_General_Information'!$H$20,Q198-VLOOKUP('2.2 Input_General_Information'!$H$20,$B$197:$Q$237,16),0)</f>
        <v>9.3780938802742464E-3</v>
      </c>
      <c r="S198" s="460">
        <f ca="1">IF(AND($B198&lt;=S$189,$B198&gt;='2.2 Input_General_Information'!$H$20),$S$191/(1+EXP(-$S$193*($B198-(LN(1/$S$188-1)/$S$193+$S$187)))),1)</f>
        <v>0.89528351427531805</v>
      </c>
      <c r="T198" s="460">
        <f ca="1">IF(B198&gt;='2.2 Input_General_Information'!$H$20,IF(S198="","",S198-VLOOKUP('2.2 Input_General_Information'!$H$20,$B$197:$S$237,18)),0)</f>
        <v>0.69528351427532609</v>
      </c>
      <c r="U198" s="460">
        <f ca="1">IF(AND($B198&lt;=U$189,$B198&gt;='2.2 Input_General_Information'!$H$20),$U$191/(1+EXP(-$U$193*($B198-(LN(1/$U$188-1)/$U$193+$U$187)))),)</f>
        <v>0.15203851538695581</v>
      </c>
      <c r="V198" s="460">
        <f ca="1">IF(AND($B198&lt;=V$189,$B198&gt;='2.2 Input_General_Information'!$H$20),$V$191/(1+EXP(-$V$193*($B198-(LN(1/$V$188-1)/$V$193+$V$187)))),)</f>
        <v>0.65996257738272002</v>
      </c>
      <c r="W198" s="460">
        <f ca="1">IF(AND($B198&lt;=W$189,$B198&gt;='2.2 Input_General_Information'!$H$20),$W$191/(1+EXP(-$W$193*($B198-(LN(1/$W$188-1)/$W$193+$W$187)))),)</f>
        <v>0.64470843296401836</v>
      </c>
      <c r="X198" s="460">
        <f ca="1">IF(AND($B198&lt;=X$189,$B198&gt;='2.2 Input_General_Information'!$H$20),$X$191/(1+EXP(-$X$193*($B198-(LN(1/$X$188-1)/$X$193+$X$187)))),)</f>
        <v>0.1705275525157626</v>
      </c>
      <c r="Y198" s="460">
        <f ca="1">IF(AND($B198&lt;=Y$189,$B198&gt;='2.2 Input_General_Information'!$H$20),$Y$191/(1+EXP(-$Y$193*($B198-(LN(1/$Y$188-1)/$Y$193+$Y$187)))),)</f>
        <v>0.12875207172326991</v>
      </c>
    </row>
    <row r="199" spans="1:25">
      <c r="A199" s="441"/>
      <c r="B199" s="458">
        <f t="shared" si="20"/>
        <v>2020</v>
      </c>
      <c r="C199" s="491">
        <f t="shared" ca="1" si="18"/>
        <v>8.0913632202251062E-3</v>
      </c>
      <c r="D199" s="492">
        <f t="shared" ca="1" si="19"/>
        <v>0.13855377862239082</v>
      </c>
      <c r="E199" s="460">
        <f ca="1">IF(AND($B199&lt;=$E$189,$B199&gt;='2.2 Input_General_Information'!$H$20),$E$191/(1+EXP(-$E$193*($B199-(LN(1/$E$188-1)/$E$193+$E$187)))),"")</f>
        <v>0.99864454046784479</v>
      </c>
      <c r="F199" s="460">
        <f ca="1">IF(AND($B199&lt;=F$189,$B199&gt;='2.2 Input_General_Information'!$H$20),$F$191/(1+EXP(-$F$193*($B199-(LN(1/$F$188-1)/$F$193+$F$187)))),)</f>
        <v>0.22062136502671478</v>
      </c>
      <c r="G199" s="460">
        <f ca="1">IF(AND($B199&lt;=G$189,$B199&gt;='2.2 Input_General_Information'!$H$20),$G$191/(1+EXP(-$G$193*($B199-(LN(1/$G$188-1)/$G$193+$G$187)))),)</f>
        <v>0.2190755097709404</v>
      </c>
      <c r="H199" s="460">
        <f ca="1">IF(AND($B199&lt;=H$189,$B199&gt;='2.2 Input_General_Information'!$H$20),$H$191/(1+EXP(-$H$193*($B199-(LN(1/$H$188-1)/$H$193+$H$187)))),1)</f>
        <v>0.99624972244698928</v>
      </c>
      <c r="I199" s="460">
        <f ca="1">IF(AND($B199&lt;=I$189,$B199&gt;='2.2 Input_General_Information'!$H$20),$I$191/(1+EXP(-$I$193*($B199-(LN(1/$I$188-1)/$I$193+$I$187)))),)</f>
        <v>0.35820358246433642</v>
      </c>
      <c r="J199" s="460">
        <f ca="1">IF(AND($B199&lt;=J$189,$B199&gt;='2.2 Input_General_Information'!$H$20),$J$191/(1+EXP(-$J$193*($B199-(LN(1/$J$188-1)/$J$193+$J$187)))),1)</f>
        <v>0.99617345807284852</v>
      </c>
      <c r="K199" s="460">
        <f ca="1">IF(AND($B199&lt;=K$189,$B199&gt;='2.2 Input_General_Information'!$H$20),$K$191/(1+EXP(-$K$193*($B199-(LN(1/$K$188-1)/$K$193+$K$187)))),)</f>
        <v>0.38121852172145976</v>
      </c>
      <c r="L199" s="460">
        <f ca="1">IF(AND($B199&lt;=L$189,$B199&gt;='2.2 Input_General_Information'!$H$20),$L$191/(1+EXP(-$L$193*($B199-(LN(1/$L$188-1)/$L$193+$L$187)))),1)</f>
        <v>0.99690218659621788</v>
      </c>
      <c r="M199" s="460">
        <f ca="1">IF(M$188=0,0,IF(M$188=1,1,IF(AND($B199&lt;=M$189,$B199&gt;='2.2 Input_General_Information'!$H$20),$M$191/(1+EXP(-$M$193*($B199-(LN(1/$M$188-1)/$M$193+$M$187)))),)))</f>
        <v>0.20796218139752157</v>
      </c>
      <c r="N199" s="460">
        <f ca="1">IF(N$188=0,0,IF(N$188=1,1,IF(AND($B199&lt;=N$189,$B199&gt;='2.2 Input_General_Information'!$H$20),$N$191/(1+EXP(-$N$193*($B199-(LN(1/$N$188-1)/$N$193+$N$187)))),)))</f>
        <v>0.10624079338671422</v>
      </c>
      <c r="O199" s="460">
        <f ca="1">IF(O$188=0,0,IF(O$188=100%,100%,IF(AND($B199&lt;=O$189,$B199&gt;='2.2 Input_General_Information'!$H$20),$O$191/(1+EXP(-$O$193*($B199-(LN(1/$O$188-1)/$O$193+$O$187)))),)))</f>
        <v>5.4570408849142146E-2</v>
      </c>
      <c r="P199" s="460" t="e">
        <f ca="1">IF(P$188=0,0,IF(AND($B199&lt;=P$189,$B199&gt;='2.2 Input_General_Information'!$H$20),$P$191/(1+EXP(-$P$193*($B199-(LN(1/$P$188-1)/$P$193+$P$187)))),))</f>
        <v>#DIV/0!</v>
      </c>
      <c r="Q199" s="460">
        <f ca="1">IF(AND($B199&lt;=Q$189,$B199&gt;='2.2 Input_General_Information'!$H$20),$Q$191/(1+EXP(-$Q$193*($B199-(LN(1/$Q$188-1)/$Q$193+$Q$187)))),)</f>
        <v>0.2190755097709404</v>
      </c>
      <c r="R199" s="460">
        <f ca="1">IF(B199&gt;='2.2 Input_General_Information'!$H$20,Q199-VLOOKUP('2.2 Input_General_Information'!$H$20,$B$197:$Q$237,16),0)</f>
        <v>1.9075509770939691E-2</v>
      </c>
      <c r="S199" s="460">
        <f ca="1">IF(AND($B199&lt;=S$189,$B199&gt;='2.2 Input_General_Information'!$H$20),$S$191/(1+EXP(-$S$193*($B199-(LN(1/$S$188-1)/$S$193+$S$187)))),1)</f>
        <v>0.99659147784983193</v>
      </c>
      <c r="T199" s="460">
        <f ca="1">IF(B199&gt;='2.2 Input_General_Information'!$H$20,IF(S199="","",S199-VLOOKUP('2.2 Input_General_Information'!$H$20,$B$197:$S$237,18)),0)</f>
        <v>0.79659147784983997</v>
      </c>
      <c r="U199" s="460">
        <f ca="1">IF(AND($B199&lt;=U$189,$B199&gt;='2.2 Input_General_Information'!$H$20),$U$191/(1+EXP(-$U$193*($B199-(LN(1/$U$188-1)/$U$193+$U$187)))),)</f>
        <v>0.1540997119107797</v>
      </c>
      <c r="V199" s="460">
        <f ca="1">IF(AND($B199&lt;=V$189,$B199&gt;='2.2 Input_General_Information'!$H$20),$V$191/(1+EXP(-$V$193*($B199-(LN(1/$V$188-1)/$V$193+$V$187)))),)</f>
        <v>0.60107928911748754</v>
      </c>
      <c r="W199" s="460">
        <f ca="1">IF(AND($B199&lt;=W$189,$B199&gt;='2.2 Input_General_Information'!$H$20),$W$191/(1+EXP(-$W$193*($B199-(LN(1/$W$188-1)/$W$193+$W$187)))),)</f>
        <v>0.58526402300100466</v>
      </c>
      <c r="X199" s="460">
        <f ca="1">IF(AND($B199&lt;=X$189,$B199&gt;='2.2 Input_General_Information'!$H$20),$X$191/(1+EXP(-$X$193*($B199-(LN(1/$X$188-1)/$X$193+$X$187)))),)</f>
        <v>0.14461313951289351</v>
      </c>
      <c r="Y199" s="460">
        <f ca="1">IF(AND($B199&lt;=Y$189,$B199&gt;='2.2 Input_General_Information'!$H$20),$Y$191/(1+EXP(-$Y$193*($B199-(LN(1/$Y$188-1)/$Y$193+$Y$187)))),)</f>
        <v>0.16426215411869144</v>
      </c>
    </row>
    <row r="200" spans="1:25">
      <c r="A200" s="441"/>
      <c r="B200" s="458">
        <f t="shared" si="20"/>
        <v>2021</v>
      </c>
      <c r="C200" s="491">
        <f t="shared" ca="1" si="18"/>
        <v>1.2260915701611308E-2</v>
      </c>
      <c r="D200" s="492">
        <f t="shared" ca="1" si="19"/>
        <v>0.19160313956340658</v>
      </c>
      <c r="E200" s="460">
        <f ca="1">IF(AND($B200&lt;=$E$189,$B200&gt;='2.2 Input_General_Information'!$H$20),$E$191/(1+EXP(-$E$193*($B200-(LN(1/$E$188-1)/$E$193+$E$187)))),1)</f>
        <v>0.99990000000000012</v>
      </c>
      <c r="F200" s="460">
        <f ca="1">IF(AND($B200&lt;=F$189,$B200&gt;='2.2 Input_General_Information'!$H$20),$F$191/(1+EXP(-$F$193*($B200-(LN(1/$F$188-1)/$F$193+$F$187)))),)</f>
        <v>0.23148831648219942</v>
      </c>
      <c r="G200" s="460">
        <f ca="1">IF(AND($B200&lt;=G$189,$B200&gt;='2.2 Input_General_Information'!$H$20),$G$191/(1+EXP(-$G$193*($B200-(LN(1/$G$188-1)/$G$193+$G$187)))),)</f>
        <v>0.22909192142087734</v>
      </c>
      <c r="H200" s="460">
        <f ca="1">IF(AND($B200&lt;=H$189,$B200&gt;='2.2 Input_General_Information'!$H$20),$H$191/(1+EXP(-$H$193*($B200-(LN(1/$H$188-1)/$H$193+$H$187)))),1)</f>
        <v>0.99990000000000012</v>
      </c>
      <c r="I200" s="460">
        <f ca="1">IF(AND($B200&lt;=I$189,$B200&gt;='2.2 Input_General_Information'!$H$20),$I$191/(1+EXP(-$I$193*($B200-(LN(1/$I$188-1)/$I$193+$I$187)))),)</f>
        <v>0.41934852265622719</v>
      </c>
      <c r="J200" s="460">
        <f ca="1">IF(AND($B200&lt;=J$189,$B200&gt;='2.2 Input_General_Information'!$H$20),$J$191/(1+EXP(-$J$193*($B200-(LN(1/$J$188-1)/$J$193+$J$187)))),1)</f>
        <v>0.99990000000000012</v>
      </c>
      <c r="K200" s="460">
        <f ca="1">IF(AND($B200&lt;=K$189,$B200&gt;='2.2 Input_General_Information'!$H$20),$K$191/(1+EXP(-$K$193*($B200-(LN(1/$K$188-1)/$K$193+$K$187)))),)</f>
        <v>0.44293525730552008</v>
      </c>
      <c r="L200" s="460">
        <f ca="1">IF(AND($B200&lt;=L$189,$B200&gt;='2.2 Input_General_Information'!$H$20),$L$191/(1+EXP(-$L$193*($B200-(LN(1/$L$188-1)/$L$193+$L$187)))),1)</f>
        <v>0.99990000000000012</v>
      </c>
      <c r="M200" s="460">
        <f ca="1">IF(M$188=0,0,IF(M$188=1,1,IF(AND($B200&lt;=M$189,$B200&gt;='2.2 Input_General_Information'!$H$20),$M$191/(1+EXP(-$M$193*($B200-(LN(1/$M$188-1)/$M$193+$M$187)))),)))</f>
        <v>0.2120300128360231</v>
      </c>
      <c r="N200" s="460">
        <f ca="1">IF(N$188=0,0,IF(N$188=1,1,IF(AND($B200&lt;=N$189,$B200&gt;='2.2 Input_General_Information'!$H$20),$N$191/(1+EXP(-$N$193*($B200-(LN(1/$N$188-1)/$N$193+$N$187)))),)))</f>
        <v>0.10948815116850535</v>
      </c>
      <c r="O200" s="460">
        <f ca="1">IF(O$188=0,0,IF(O$188=100%,100%,IF(AND($B200&lt;=O$189,$B200&gt;='2.2 Input_General_Information'!$H$20),$O$191/(1+EXP(-$O$193*($B200-(LN(1/$O$188-1)/$O$193+$O$187)))),)))</f>
        <v>5.7000700778401497E-2</v>
      </c>
      <c r="P200" s="460" t="e">
        <f ca="1">IF(P$188=0,0,IF(AND($B200&lt;=P$189,$B200&gt;='2.2 Input_General_Information'!$H$20),$P$191/(1+EXP(-$P$193*($B200-(LN(1/$P$188-1)/$P$193+$P$187)))),))</f>
        <v>#DIV/0!</v>
      </c>
      <c r="Q200" s="460">
        <f ca="1">IF(AND($B200&lt;=Q$189,$B200&gt;='2.2 Input_General_Information'!$H$20),$Q$191/(1+EXP(-$Q$193*($B200-(LN(1/$Q$188-1)/$Q$193+$Q$187)))),)</f>
        <v>0.22909192142087734</v>
      </c>
      <c r="R200" s="460">
        <f ca="1">IF(B200&gt;='2.2 Input_General_Information'!$H$20,Q200-VLOOKUP('2.2 Input_General_Information'!$H$20,$B$197:$Q$237,16),0)</f>
        <v>2.9091921420876632E-2</v>
      </c>
      <c r="S200" s="460">
        <f ca="1">IF(AND($B200&lt;=S$189,$B200&gt;='2.2 Input_General_Information'!$H$20),$S$191/(1+EXP(-$S$193*($B200-(LN(1/$S$188-1)/$S$193+$S$187)))),1)</f>
        <v>0.99990000000000012</v>
      </c>
      <c r="T200" s="460">
        <f ca="1">IF(B200&gt;='2.2 Input_General_Information'!$H$20,IF(S200="","",S200-VLOOKUP('2.2 Input_General_Information'!$H$20,$B$197:$S$237,18)),0)</f>
        <v>0.79990000000000816</v>
      </c>
      <c r="U200" s="460">
        <f ca="1">IF(AND($B200&lt;=U$189,$B200&gt;='2.2 Input_General_Information'!$H$20),$U$191/(1+EXP(-$U$193*($B200-(LN(1/$U$188-1)/$U$193+$U$187)))),)</f>
        <v>0.15618370532776168</v>
      </c>
      <c r="V200" s="460">
        <f ca="1">IF(AND($B200&lt;=V$189,$B200&gt;='2.2 Input_General_Information'!$H$20),$V$191/(1+EXP(-$V$193*($B200-(LN(1/$V$188-1)/$V$193+$V$187)))),)</f>
        <v>0.53912010541238276</v>
      </c>
      <c r="W200" s="460">
        <f ca="1">IF(AND($B200&lt;=W$189,$B200&gt;='2.2 Input_General_Information'!$H$20),$W$191/(1+EXP(-$W$193*($B200-(LN(1/$W$188-1)/$W$193+$W$187)))),)</f>
        <v>0.52322888982512528</v>
      </c>
      <c r="X200" s="460">
        <f ca="1">IF(AND($B200&lt;=X$189,$B200&gt;='2.2 Input_General_Information'!$H$20),$X$191/(1+EXP(-$X$193*($B200-(LN(1/$X$188-1)/$X$193+$X$187)))),)</f>
        <v>0.12205734408367623</v>
      </c>
      <c r="Y200" s="460">
        <f ca="1">IF(AND($B200&lt;=Y$189,$B200&gt;='2.2 Input_General_Information'!$H$20),$Y$191/(1+EXP(-$Y$193*($B200-(LN(1/$Y$188-1)/$Y$193+$Y$187)))),)</f>
        <v>0.20723643147756948</v>
      </c>
    </row>
    <row r="201" spans="1:25">
      <c r="A201" s="441"/>
      <c r="B201" s="458">
        <f t="shared" si="20"/>
        <v>2022</v>
      </c>
      <c r="C201" s="491">
        <f t="shared" ca="1" si="18"/>
        <v>1.6513014458312131E-2</v>
      </c>
      <c r="D201" s="492">
        <f t="shared" ca="1" si="19"/>
        <v>0.23321481266855071</v>
      </c>
      <c r="E201" s="460">
        <f ca="1">IF(AND($B201&lt;=$E$189,$B201&gt;='2.2 Input_General_Information'!$H$20),$E$191/(1+EXP(-$E$193*($B201-(LN(1/$E$188-1)/$E$193+$E$187)))),1)</f>
        <v>1</v>
      </c>
      <c r="F201" s="460">
        <f ca="1">IF(AND($B201&lt;=F$189,$B201&gt;='2.2 Input_General_Information'!$H$20),$F$191/(1+EXP(-$F$193*($B201-(LN(1/$F$188-1)/$F$193+$F$187)))),)</f>
        <v>0.24272383320835647</v>
      </c>
      <c r="G201" s="460">
        <f ca="1">IF(AND($B201&lt;=G$189,$B201&gt;='2.2 Input_General_Information'!$H$20),$G$191/(1+EXP(-$G$193*($B201-(LN(1/$G$188-1)/$G$193+$G$187)))),)</f>
        <v>0.23942588795409567</v>
      </c>
      <c r="H201" s="460">
        <f ca="1">IF(AND($B201&lt;=H$189,$B201&gt;='2.2 Input_General_Information'!$H$20),$H$191/(1+EXP(-$H$193*($B201-(LN(1/$H$188-1)/$H$193+$H$187)))),1)</f>
        <v>1</v>
      </c>
      <c r="I201" s="460">
        <f ca="1">IF(AND($B201&lt;=I$189,$B201&gt;='2.2 Input_General_Information'!$H$20),$I$191/(1+EXP(-$I$193*($B201-(LN(1/$I$188-1)/$I$193+$I$187)))),)</f>
        <v>0.4830747133493738</v>
      </c>
      <c r="J201" s="460">
        <f ca="1">IF(AND($B201&lt;=J$189,$B201&gt;='2.2 Input_General_Information'!$H$20),$J$191/(1+EXP(-$J$193*($B201-(LN(1/$J$188-1)/$J$193+$J$187)))),1)</f>
        <v>1</v>
      </c>
      <c r="K201" s="460">
        <f ca="1">IF(AND($B201&lt;=K$189,$B201&gt;='2.2 Input_General_Information'!$H$20),$K$191/(1+EXP(-$K$193*($B201-(LN(1/$K$188-1)/$K$193+$K$187)))),)</f>
        <v>0.50646556935218923</v>
      </c>
      <c r="L201" s="460">
        <f ca="1">IF(AND($B201&lt;=L$189,$B201&gt;='2.2 Input_General_Information'!$H$20),$L$191/(1+EXP(-$L$193*($B201-(LN(1/$L$188-1)/$L$193+$L$187)))),1)</f>
        <v>1</v>
      </c>
      <c r="M201" s="460">
        <f ca="1">IF(M$188=0,0,IF(M$188=1,1,IF(AND($B201&lt;=M$189,$B201&gt;='2.2 Input_General_Information'!$H$20),$M$191/(1+EXP(-$M$193*($B201-(LN(1/$M$188-1)/$M$193+$M$187)))),)))</f>
        <v>0.2161556977174067</v>
      </c>
      <c r="N201" s="460">
        <f ca="1">IF(N$188=0,0,IF(N$188=1,1,IF(AND($B201&lt;=N$189,$B201&gt;='2.2 Input_General_Information'!$H$20),$N$191/(1+EXP(-$N$193*($B201-(LN(1/$N$188-1)/$N$193+$N$187)))),)))</f>
        <v>0.11282223796827656</v>
      </c>
      <c r="O201" s="460">
        <f ca="1">IF(O$188=0,0,IF(O$188=100%,100%,IF(AND($B201&lt;=O$189,$B201&gt;='2.2 Input_General_Information'!$H$20),$O$191/(1+EXP(-$O$193*($B201-(LN(1/$O$188-1)/$O$193+$O$187)))),)))</f>
        <v>5.9532410420010957E-2</v>
      </c>
      <c r="P201" s="460" t="e">
        <f ca="1">IF(P$188=0,0,IF(AND($B201&lt;=P$189,$B201&gt;='2.2 Input_General_Information'!$H$20),$P$191/(1+EXP(-$P$193*($B201-(LN(1/$P$188-1)/$P$193+$P$187)))),))</f>
        <v>#DIV/0!</v>
      </c>
      <c r="Q201" s="460">
        <f ca="1">IF(AND($B201&lt;=Q$189,$B201&gt;='2.2 Input_General_Information'!$H$20),$Q$191/(1+EXP(-$Q$193*($B201-(LN(1/$Q$188-1)/$Q$193+$Q$187)))),)</f>
        <v>0.23942588795409567</v>
      </c>
      <c r="R201" s="460">
        <f ca="1">IF(B201&gt;='2.2 Input_General_Information'!$H$20,Q201-VLOOKUP('2.2 Input_General_Information'!$H$20,$B$197:$Q$237,16),0)</f>
        <v>3.9425887954094962E-2</v>
      </c>
      <c r="S201" s="460">
        <f ca="1">IF(AND($B201&lt;=S$189,$B201&gt;='2.2 Input_General_Information'!$H$20),$S$191/(1+EXP(-$S$193*($B201-(LN(1/$S$188-1)/$S$193+$S$187)))),1)</f>
        <v>1</v>
      </c>
      <c r="T201" s="460">
        <f ca="1">IF(B201&gt;='2.2 Input_General_Information'!$H$20,IF(S201="","",S201-VLOOKUP('2.2 Input_General_Information'!$H$20,$B$197:$S$237,18)),0)</f>
        <v>0.80000000000000804</v>
      </c>
      <c r="U201" s="460">
        <f ca="1">IF(AND($B201&lt;=U$189,$B201&gt;='2.2 Input_General_Information'!$H$20),$U$191/(1+EXP(-$U$193*($B201-(LN(1/$U$188-1)/$U$193+$U$187)))),)</f>
        <v>0.1582906081422458</v>
      </c>
      <c r="V201" s="460">
        <f ca="1">IF(AND($B201&lt;=V$189,$B201&gt;='2.2 Input_General_Information'!$H$20),$V$191/(1+EXP(-$V$193*($B201-(LN(1/$V$188-1)/$V$193+$V$187)))),)</f>
        <v>0.47592802972219905</v>
      </c>
      <c r="W201" s="460">
        <f ca="1">IF(AND($B201&lt;=W$189,$B201&gt;='2.2 Input_General_Information'!$H$20),$W$191/(1+EXP(-$W$193*($B201-(LN(1/$W$188-1)/$W$193+$W$187)))),)</f>
        <v>0.46046868846288208</v>
      </c>
      <c r="X201" s="460">
        <f ca="1">IF(AND($B201&lt;=X$189,$B201&gt;='2.2 Input_General_Information'!$H$20),$X$191/(1+EXP(-$X$193*($B201-(LN(1/$X$188-1)/$X$193+$X$187)))),)</f>
        <v>0.10259767969469692</v>
      </c>
      <c r="Y201" s="460">
        <f ca="1">IF(AND($B201&lt;=Y$189,$B201&gt;='2.2 Input_General_Information'!$H$20),$Y$191/(1+EXP(-$Y$193*($B201-(LN(1/$Y$188-1)/$Y$193+$Y$187)))),)</f>
        <v>0.25798307269918763</v>
      </c>
    </row>
    <row r="202" spans="1:25">
      <c r="A202" s="441"/>
      <c r="B202" s="458">
        <f t="shared" si="20"/>
        <v>2023</v>
      </c>
      <c r="C202" s="491">
        <f t="shared" ca="1" si="18"/>
        <v>2.084750586147191E-2</v>
      </c>
      <c r="D202" s="492">
        <f t="shared" ca="1" si="19"/>
        <v>0.26465778496127657</v>
      </c>
      <c r="E202" s="460">
        <f ca="1">IF(AND($B202&lt;=$E$189,$B202&gt;='2.2 Input_General_Information'!$H$20),$E$191/(1+EXP(-$E$193*($B202-(LN(1/$E$188-1)/$E$193+$E$187)))),1)</f>
        <v>1</v>
      </c>
      <c r="F202" s="460">
        <f ca="1">IF(AND($B202&lt;=F$189,$B202&gt;='2.2 Input_General_Information'!$H$20),$F$191/(1+EXP(-$F$193*($B202-(LN(1/$F$188-1)/$F$193+$F$187)))),)</f>
        <v>0.25432421143632283</v>
      </c>
      <c r="G202" s="460">
        <f ca="1">IF(AND($B202&lt;=G$189,$B202&gt;='2.2 Input_General_Information'!$H$20),$G$191/(1+EXP(-$G$193*($B202-(LN(1/$G$188-1)/$G$193+$G$187)))),)</f>
        <v>0.25007478915114473</v>
      </c>
      <c r="H202" s="460">
        <f ca="1">IF(AND($B202&lt;=H$189,$B202&gt;='2.2 Input_General_Information'!$H$20),$H$191/(1+EXP(-$H$193*($B202-(LN(1/$H$188-1)/$H$193+$H$187)))),1)</f>
        <v>1</v>
      </c>
      <c r="I202" s="460">
        <f ca="1">IF(AND($B202&lt;=I$189,$B202&gt;='2.2 Input_General_Information'!$H$20),$I$191/(1+EXP(-$I$193*($B202-(LN(1/$I$188-1)/$I$193+$I$187)))),)</f>
        <v>0.54735620426328058</v>
      </c>
      <c r="J202" s="460">
        <f ca="1">IF(AND($B202&lt;=J$189,$B202&gt;='2.2 Input_General_Information'!$H$20),$J$191/(1+EXP(-$J$193*($B202-(LN(1/$J$188-1)/$J$193+$J$187)))),1)</f>
        <v>1</v>
      </c>
      <c r="K202" s="460">
        <f ca="1">IF(AND($B202&lt;=K$189,$B202&gt;='2.2 Input_General_Information'!$H$20),$K$191/(1+EXP(-$K$193*($B202-(LN(1/$K$188-1)/$K$193+$K$187)))),)</f>
        <v>0.56978776498132011</v>
      </c>
      <c r="L202" s="460">
        <f ca="1">IF(AND($B202&lt;=L$189,$B202&gt;='2.2 Input_General_Information'!$H$20),$L$191/(1+EXP(-$L$193*($B202-(LN(1/$L$188-1)/$L$193+$L$187)))),1)</f>
        <v>1</v>
      </c>
      <c r="M202" s="460">
        <f ca="1">IF(M$188=0,0,IF(M$188=1,1,IF(AND($B202&lt;=M$189,$B202&gt;='2.2 Input_General_Information'!$H$20),$M$191/(1+EXP(-$M$193*($B202-(LN(1/$M$188-1)/$M$193+$M$187)))),)))</f>
        <v>0.2203392123101727</v>
      </c>
      <c r="N202" s="460">
        <f ca="1">IF(N$188=0,0,IF(N$188=1,1,IF(AND($B202&lt;=N$189,$B202&gt;='2.2 Input_General_Information'!$H$20),$N$191/(1+EXP(-$N$193*($B202-(LN(1/$N$188-1)/$N$193+$N$187)))),)))</f>
        <v>0.11624459979702181</v>
      </c>
      <c r="O202" s="460">
        <f ca="1">IF(O$188=0,0,IF(O$188=100%,100%,IF(AND($B202&lt;=O$189,$B202&gt;='2.2 Input_General_Information'!$H$20),$O$191/(1+EXP(-$O$193*($B202-(LN(1/$O$188-1)/$O$193+$O$187)))),)))</f>
        <v>6.216915369657363E-2</v>
      </c>
      <c r="P202" s="460" t="e">
        <f ca="1">IF(P$188=0,0,IF(AND($B202&lt;=P$189,$B202&gt;='2.2 Input_General_Information'!$H$20),$P$191/(1+EXP(-$P$193*($B202-(LN(1/$P$188-1)/$P$193+$P$187)))),))</f>
        <v>#DIV/0!</v>
      </c>
      <c r="Q202" s="460">
        <f ca="1">IF(AND($B202&lt;=Q$189,$B202&gt;='2.2 Input_General_Information'!$H$20),$Q$191/(1+EXP(-$Q$193*($B202-(LN(1/$Q$188-1)/$Q$193+$Q$187)))),)</f>
        <v>0.25007478915114473</v>
      </c>
      <c r="R202" s="460">
        <f ca="1">IF(B202&gt;='2.2 Input_General_Information'!$H$20,Q202-VLOOKUP('2.2 Input_General_Information'!$H$20,$B$197:$Q$237,16),0)</f>
        <v>5.0074789151144022E-2</v>
      </c>
      <c r="S202" s="460">
        <f ca="1">IF(AND($B202&lt;=S$189,$B202&gt;='2.2 Input_General_Information'!$H$20),$S$191/(1+EXP(-$S$193*($B202-(LN(1/$S$188-1)/$S$193+$S$187)))),1)</f>
        <v>1</v>
      </c>
      <c r="T202" s="460">
        <f ca="1">IF(B202&gt;='2.2 Input_General_Information'!$H$20,IF(S202="","",S202-VLOOKUP('2.2 Input_General_Information'!$H$20,$B$197:$S$237,18)),0)</f>
        <v>0.80000000000000804</v>
      </c>
      <c r="U202" s="460">
        <f ca="1">IF(AND($B202&lt;=U$189,$B202&gt;='2.2 Input_General_Information'!$H$20),$U$191/(1+EXP(-$U$193*($B202-(LN(1/$U$188-1)/$U$193+$U$187)))),)</f>
        <v>0.16042052949069727</v>
      </c>
      <c r="V202" s="460">
        <f ca="1">IF(AND($B202&lt;=V$189,$B202&gt;='2.2 Input_General_Information'!$H$20),$V$191/(1+EXP(-$V$193*($B202-(LN(1/$V$188-1)/$V$193+$V$187)))),)</f>
        <v>0.41349745311671821</v>
      </c>
      <c r="W202" s="460">
        <f ca="1">IF(AND($B202&lt;=W$189,$B202&gt;='2.2 Input_General_Information'!$H$20),$W$191/(1+EXP(-$W$193*($B202-(LN(1/$W$188-1)/$W$193+$W$187)))),)</f>
        <v>0.39893743799682202</v>
      </c>
      <c r="X202" s="460">
        <f ca="1">IF(AND($B202&lt;=X$189,$B202&gt;='2.2 Input_General_Information'!$H$20),$X$191/(1+EXP(-$X$193*($B202-(LN(1/$X$188-1)/$X$193+$X$187)))),)</f>
        <v>8.5936796971587806E-2</v>
      </c>
      <c r="Y202" s="460">
        <f ca="1">IF(AND($B202&lt;=Y$189,$B202&gt;='2.2 Input_General_Information'!$H$20),$Y$191/(1+EXP(-$Y$193*($B202-(LN(1/$Y$188-1)/$Y$193+$Y$187)))),)</f>
        <v>0.31619980391940877</v>
      </c>
    </row>
    <row r="203" spans="1:25">
      <c r="A203" s="441"/>
      <c r="B203" s="458">
        <f t="shared" si="20"/>
        <v>2024</v>
      </c>
      <c r="C203" s="491">
        <f t="shared" ca="1" si="18"/>
        <v>2.5264129422302967E-2</v>
      </c>
      <c r="D203" s="492">
        <f t="shared" ca="1" si="19"/>
        <v>0.28775263254739569</v>
      </c>
      <c r="E203" s="460">
        <f ca="1">IF(AND($B203&lt;=$E$189,$B203&gt;='2.2 Input_General_Information'!$H$20),$E$191/(1+EXP(-$E$193*($B203-(LN(1/$E$188-1)/$E$193+$E$187)))),1)</f>
        <v>1</v>
      </c>
      <c r="F203" s="460">
        <f ca="1">IF(AND($B203&lt;=F$189,$B203&gt;='2.2 Input_General_Information'!$H$20),$F$191/(1+EXP(-$F$193*($B203-(LN(1/$F$188-1)/$F$193+$F$187)))),)</f>
        <v>0.2662840509361889</v>
      </c>
      <c r="G203" s="460">
        <f ca="1">IF(AND($B203&lt;=G$189,$B203&gt;='2.2 Input_General_Information'!$H$20),$G$191/(1+EXP(-$G$193*($B203-(LN(1/$G$188-1)/$G$193+$G$187)))),)</f>
        <v>0.26103476645132245</v>
      </c>
      <c r="H203" s="460">
        <f ca="1">IF(AND($B203&lt;=H$189,$B203&gt;='2.2 Input_General_Information'!$H$20),$H$191/(1+EXP(-$H$193*($B203-(LN(1/$H$188-1)/$H$193+$H$187)))),1)</f>
        <v>1</v>
      </c>
      <c r="I203" s="460">
        <f ca="1">IF(AND($B203&lt;=I$189,$B203&gt;='2.2 Input_General_Information'!$H$20),$I$191/(1+EXP(-$I$193*($B203-(LN(1/$I$188-1)/$I$193+$I$187)))),)</f>
        <v>0.61009596261050103</v>
      </c>
      <c r="J203" s="460">
        <f ca="1">IF(AND($B203&lt;=J$189,$B203&gt;='2.2 Input_General_Information'!$H$20),$J$191/(1+EXP(-$J$193*($B203-(LN(1/$J$188-1)/$J$193+$J$187)))),1)</f>
        <v>1</v>
      </c>
      <c r="K203" s="460">
        <f ca="1">IF(AND($B203&lt;=K$189,$B203&gt;='2.2 Input_General_Information'!$H$20),$K$191/(1+EXP(-$K$193*($B203-(LN(1/$K$188-1)/$K$193+$K$187)))),)</f>
        <v>0.63090631174974887</v>
      </c>
      <c r="L203" s="460">
        <f ca="1">IF(AND($B203&lt;=L$189,$B203&gt;='2.2 Input_General_Information'!$H$20),$L$191/(1+EXP(-$L$193*($B203-(LN(1/$L$188-1)/$L$193+$L$187)))),1)</f>
        <v>1</v>
      </c>
      <c r="M203" s="460">
        <f ca="1">IF(M$188=0,0,IF(M$188=1,1,IF(AND($B203&lt;=M$189,$B203&gt;='2.2 Input_General_Information'!$H$20),$M$191/(1+EXP(-$M$193*($B203-(LN(1/$M$188-1)/$M$193+$M$187)))),)))</f>
        <v>0.22458049695996526</v>
      </c>
      <c r="N203" s="460">
        <f ca="1">IF(N$188=0,0,IF(N$188=1,1,IF(AND($B203&lt;=N$189,$B203&gt;='2.2 Input_General_Information'!$H$20),$N$191/(1+EXP(-$N$193*($B203-(LN(1/$N$188-1)/$N$193+$N$187)))),)))</f>
        <v>0.11975676241802768</v>
      </c>
      <c r="O203" s="460">
        <f ca="1">IF(O$188=0,0,IF(O$188=100%,100%,IF(AND($B203&lt;=O$189,$B203&gt;='2.2 Input_General_Information'!$H$20),$O$191/(1+EXP(-$O$193*($B203-(LN(1/$O$188-1)/$O$193+$O$187)))),)))</f>
        <v>6.4914619820918201E-2</v>
      </c>
      <c r="P203" s="460" t="e">
        <f ca="1">IF(P$188=0,0,IF(AND($B203&lt;=P$189,$B203&gt;='2.2 Input_General_Information'!$H$20),$P$191/(1+EXP(-$P$193*($B203-(LN(1/$P$188-1)/$P$193+$P$187)))),))</f>
        <v>#DIV/0!</v>
      </c>
      <c r="Q203" s="460">
        <f ca="1">IF(AND($B203&lt;=Q$189,$B203&gt;='2.2 Input_General_Information'!$H$20),$Q$191/(1+EXP(-$Q$193*($B203-(LN(1/$Q$188-1)/$Q$193+$Q$187)))),)</f>
        <v>0.26103476645132245</v>
      </c>
      <c r="R203" s="460">
        <f ca="1">IF(B203&gt;='2.2 Input_General_Information'!$H$20,Q203-VLOOKUP('2.2 Input_General_Information'!$H$20,$B$197:$Q$237,16),0)</f>
        <v>6.1034766451321748E-2</v>
      </c>
      <c r="S203" s="460">
        <f ca="1">IF(AND($B203&lt;=S$189,$B203&gt;='2.2 Input_General_Information'!$H$20),$S$191/(1+EXP(-$S$193*($B203-(LN(1/$S$188-1)/$S$193+$S$187)))),1)</f>
        <v>1</v>
      </c>
      <c r="T203" s="460">
        <f ca="1">IF(B203&gt;='2.2 Input_General_Information'!$H$20,IF(S203="","",S203-VLOOKUP('2.2 Input_General_Information'!$H$20,$B$197:$S$237,18)),0)</f>
        <v>0.80000000000000804</v>
      </c>
      <c r="U203" s="460">
        <f ca="1">IF(AND($B203&lt;=U$189,$B203&gt;='2.2 Input_General_Information'!$H$20),$U$191/(1+EXP(-$U$193*($B203-(LN(1/$U$188-1)/$U$193+$U$187)))),)</f>
        <v>0.16257357502481143</v>
      </c>
      <c r="V203" s="460">
        <f ca="1">IF(AND($B203&lt;=V$189,$B203&gt;='2.2 Input_General_Information'!$H$20),$V$191/(1+EXP(-$V$193*($B203-(LN(1/$V$188-1)/$V$193+$V$187)))),)</f>
        <v>0.35372874951045086</v>
      </c>
      <c r="W203" s="460">
        <f ca="1">IF(AND($B203&lt;=W$189,$B203&gt;='2.2 Input_General_Information'!$H$20),$W$191/(1+EXP(-$W$193*($B203-(LN(1/$W$188-1)/$W$193+$W$187)))),)</f>
        <v>0.34044026354487705</v>
      </c>
      <c r="X203" s="460">
        <f ca="1">IF(AND($B203&lt;=X$189,$B203&gt;='2.2 Input_General_Information'!$H$20),$X$191/(1+EXP(-$X$193*($B203-(LN(1/$X$188-1)/$X$193+$X$187)))),)</f>
        <v>7.1765118538779801E-2</v>
      </c>
      <c r="Y203" s="460">
        <f ca="1">IF(AND($B203&lt;=Y$189,$B203&gt;='2.2 Input_General_Information'!$H$20),$Y$191/(1+EXP(-$Y$193*($B203-(LN(1/$Y$188-1)/$Y$193+$Y$187)))),)</f>
        <v>0.38081159715220347</v>
      </c>
    </row>
    <row r="204" spans="1:25">
      <c r="A204" s="441"/>
      <c r="B204" s="458">
        <f t="shared" si="20"/>
        <v>2025</v>
      </c>
      <c r="C204" s="491">
        <f t="shared" ca="1" si="18"/>
        <v>2.9762514200976531E-2</v>
      </c>
      <c r="D204" s="492">
        <f t="shared" ca="1" si="19"/>
        <v>0.30436478609994266</v>
      </c>
      <c r="E204" s="460">
        <f ca="1">IF(AND($B204&lt;=$E$189,$B204&gt;='2.2 Input_General_Information'!$H$20),$E$191/(1+EXP(-$E$193*($B204-(LN(1/$E$188-1)/$E$193+$E$187)))),1)</f>
        <v>1</v>
      </c>
      <c r="F204" s="460">
        <f ca="1">IF(AND($B204&lt;=F$189,$B204&gt;='2.2 Input_General_Information'!$H$20),$F$191/(1+EXP(-$F$193*($B204-(LN(1/$F$188-1)/$F$193+$F$187)))),)</f>
        <v>0.27859618331017777</v>
      </c>
      <c r="G204" s="460">
        <f ca="1">IF(AND($B204&lt;=G$189,$B204&gt;='2.2 Input_General_Information'!$H$20),$G$191/(1+EXP(-$G$193*($B204-(LN(1/$G$188-1)/$G$193+$G$187)))),)</f>
        <v>0.27230067094067667</v>
      </c>
      <c r="H204" s="460">
        <f ca="1">IF(AND($B204&lt;=H$189,$B204&gt;='2.2 Input_General_Information'!$H$20),$H$191/(1+EXP(-$H$193*($B204-(LN(1/$H$188-1)/$H$193+$H$187)))),1)</f>
        <v>1</v>
      </c>
      <c r="I204" s="460">
        <f ca="1">IF(AND($B204&lt;=I$189,$B204&gt;='2.2 Input_General_Information'!$H$20),$I$191/(1+EXP(-$I$193*($B204-(LN(1/$I$188-1)/$I$193+$I$187)))),)</f>
        <v>0.66939210443137886</v>
      </c>
      <c r="J204" s="460">
        <f ca="1">IF(AND($B204&lt;=J$189,$B204&gt;='2.2 Input_General_Information'!$H$20),$J$191/(1+EXP(-$J$193*($B204-(LN(1/$J$188-1)/$J$193+$J$187)))),1)</f>
        <v>1</v>
      </c>
      <c r="K204" s="460">
        <f ca="1">IF(AND($B204&lt;=K$189,$B204&gt;='2.2 Input_General_Information'!$H$20),$K$191/(1+EXP(-$K$193*($B204-(LN(1/$K$188-1)/$K$193+$K$187)))),)</f>
        <v>0.68809503953200146</v>
      </c>
      <c r="L204" s="460">
        <f ca="1">IF(AND($B204&lt;=L$189,$B204&gt;='2.2 Input_General_Information'!$H$20),$L$191/(1+EXP(-$L$193*($B204-(LN(1/$L$188-1)/$L$193+$L$187)))),1)</f>
        <v>1</v>
      </c>
      <c r="M204" s="460">
        <f ca="1">IF(M$188=0,0,IF(M$188=1,1,IF(AND($B204&lt;=M$189,$B204&gt;='2.2 Input_General_Information'!$H$20),$M$191/(1+EXP(-$M$193*($B204-(LN(1/$M$188-1)/$M$193+$M$187)))),)))</f>
        <v>0.22887945514441194</v>
      </c>
      <c r="N204" s="460">
        <f ca="1">IF(N$188=0,0,IF(N$188=1,1,IF(AND($B204&lt;=N$189,$B204&gt;='2.2 Input_General_Information'!$H$20),$N$191/(1+EXP(-$N$193*($B204-(LN(1/$N$188-1)/$N$193+$N$187)))),)))</f>
        <v>0.12336022775923593</v>
      </c>
      <c r="O204" s="460">
        <f ca="1">IF(O$188=0,0,IF(O$188=100%,100%,IF(AND($B204&lt;=O$189,$B204&gt;='2.2 Input_General_Information'!$H$20),$O$191/(1+EXP(-$O$193*($B204-(LN(1/$O$188-1)/$O$193+$O$187)))),)))</f>
        <v>6.7772567433592293E-2</v>
      </c>
      <c r="P204" s="460" t="e">
        <f ca="1">IF(P$188=0,0,IF(AND($B204&lt;=P$189,$B204&gt;='2.2 Input_General_Information'!$H$20),$P$191/(1+EXP(-$P$193*($B204-(LN(1/$P$188-1)/$P$193+$P$187)))),))</f>
        <v>#DIV/0!</v>
      </c>
      <c r="Q204" s="460">
        <f ca="1">IF(AND($B204&lt;=Q$189,$B204&gt;='2.2 Input_General_Information'!$H$20),$Q$191/(1+EXP(-$Q$193*($B204-(LN(1/$Q$188-1)/$Q$193+$Q$187)))),)</f>
        <v>0.27230067094067667</v>
      </c>
      <c r="R204" s="460">
        <f ca="1">IF(B204&gt;='2.2 Input_General_Information'!$H$20,Q204-VLOOKUP('2.2 Input_General_Information'!$H$20,$B$197:$Q$237,16),0)</f>
        <v>7.2300670940675965E-2</v>
      </c>
      <c r="S204" s="460">
        <f ca="1">IF(AND($B204&lt;=S$189,$B204&gt;='2.2 Input_General_Information'!$H$20),$S$191/(1+EXP(-$S$193*($B204-(LN(1/$S$188-1)/$S$193+$S$187)))),1)</f>
        <v>1</v>
      </c>
      <c r="T204" s="460">
        <f ca="1">IF(B204&gt;='2.2 Input_General_Information'!$H$20,IF(S204="","",S204-VLOOKUP('2.2 Input_General_Information'!$H$20,$B$197:$S$237,18)),0)</f>
        <v>0.80000000000000804</v>
      </c>
      <c r="U204" s="460">
        <f ca="1">IF(AND($B204&lt;=U$189,$B204&gt;='2.2 Input_General_Information'!$H$20),$U$191/(1+EXP(-$U$193*($B204-(LN(1/$U$188-1)/$U$193+$U$187)))),)</f>
        <v>0.16474984679373583</v>
      </c>
      <c r="V204" s="460">
        <f ca="1">IF(AND($B204&lt;=V$189,$B204&gt;='2.2 Input_General_Information'!$H$20),$V$191/(1+EXP(-$V$193*($B204-(LN(1/$V$188-1)/$V$193+$V$187)))),)</f>
        <v>0.29820666559007625</v>
      </c>
      <c r="W204" s="460">
        <f ca="1">IF(AND($B204&lt;=W$189,$B204&gt;='2.2 Input_General_Information'!$H$20),$W$191/(1+EXP(-$W$193*($B204-(LN(1/$W$188-1)/$W$193+$W$187)))),)</f>
        <v>0.28643307245351979</v>
      </c>
      <c r="X204" s="460">
        <f ca="1">IF(AND($B204&lt;=X$189,$B204&gt;='2.2 Input_General_Information'!$H$20),$X$191/(1+EXP(-$X$193*($B204-(LN(1/$X$188-1)/$X$193+$X$187)))),)</f>
        <v>5.9777629340655107E-2</v>
      </c>
      <c r="Y204" s="460">
        <f ca="1">IF(AND($B204&lt;=Y$189,$B204&gt;='2.2 Input_General_Information'!$H$20),$Y$191/(1+EXP(-$Y$193*($B204-(LN(1/$Y$188-1)/$Y$193+$Y$187)))),)</f>
        <v>0.44993874039517884</v>
      </c>
    </row>
    <row r="205" spans="1:25">
      <c r="A205" s="441"/>
      <c r="B205" s="458">
        <f t="shared" si="20"/>
        <v>2026</v>
      </c>
      <c r="C205" s="491">
        <f t="shared" ca="1" si="18"/>
        <v>3.4342175409357134E-2</v>
      </c>
      <c r="D205" s="492">
        <f t="shared" ca="1" si="19"/>
        <v>0.31613504255785452</v>
      </c>
      <c r="E205" s="460">
        <f ca="1">IF(AND($B205&lt;=$E$189,$B205&gt;='2.2 Input_General_Information'!$H$20),$E$191/(1+EXP(-$E$193*($B205-(LN(1/$E$188-1)/$E$193+$E$187)))),1)</f>
        <v>1</v>
      </c>
      <c r="F205" s="460">
        <f ca="1">IF(AND($B205&lt;=F$189,$B205&gt;='2.2 Input_General_Information'!$H$20),$F$191/(1+EXP(-$F$193*($B205-(LN(1/$F$188-1)/$F$193+$F$187)))),)</f>
        <v>0.29125161402744271</v>
      </c>
      <c r="G205" s="460">
        <f ca="1">IF(AND($B205&lt;=G$189,$B205&gt;='2.2 Input_General_Information'!$H$20),$G$191/(1+EXP(-$G$193*($B205-(LN(1/$G$188-1)/$G$193+$G$187)))),)</f>
        <v>0.28386601959548186</v>
      </c>
      <c r="H205" s="460">
        <f ca="1">IF(AND($B205&lt;=H$189,$B205&gt;='2.2 Input_General_Information'!$H$20),$H$191/(1+EXP(-$H$193*($B205-(LN(1/$H$188-1)/$H$193+$H$187)))),1)</f>
        <v>1</v>
      </c>
      <c r="I205" s="460">
        <f ca="1">IF(AND($B205&lt;=I$189,$B205&gt;='2.2 Input_General_Information'!$H$20),$I$191/(1+EXP(-$I$193*($B205-(LN(1/$I$188-1)/$I$193+$I$187)))),)</f>
        <v>0.72375369208286655</v>
      </c>
      <c r="J205" s="460">
        <f ca="1">IF(AND($B205&lt;=J$189,$B205&gt;='2.2 Input_General_Information'!$H$20),$J$191/(1+EXP(-$J$193*($B205-(LN(1/$J$188-1)/$J$193+$J$187)))),1)</f>
        <v>1</v>
      </c>
      <c r="K205" s="460">
        <f ca="1">IF(AND($B205&lt;=K$189,$B205&gt;='2.2 Input_General_Information'!$H$20),$K$191/(1+EXP(-$K$193*($B205-(LN(1/$K$188-1)/$K$193+$K$187)))),)</f>
        <v>0.74007338581858351</v>
      </c>
      <c r="L205" s="460">
        <f ca="1">IF(AND($B205&lt;=L$189,$B205&gt;='2.2 Input_General_Information'!$H$20),$L$191/(1+EXP(-$L$193*($B205-(LN(1/$L$188-1)/$L$193+$L$187)))),1)</f>
        <v>1</v>
      </c>
      <c r="M205" s="460">
        <f ca="1">IF(M$188=0,0,IF(M$188=1,1,IF(AND($B205&lt;=M$189,$B205&gt;='2.2 Input_General_Information'!$H$20),$M$191/(1+EXP(-$M$193*($B205-(LN(1/$M$188-1)/$M$193+$M$187)))),)))</f>
        <v>0.23323595255547896</v>
      </c>
      <c r="N205" s="460">
        <f ca="1">IF(N$188=0,0,IF(N$188=1,1,IF(AND($B205&lt;=N$189,$B205&gt;='2.2 Input_General_Information'!$H$20),$N$191/(1+EXP(-$N$193*($B205-(LN(1/$N$188-1)/$N$193+$N$187)))),)))</f>
        <v>0.12705647016686478</v>
      </c>
      <c r="O205" s="460">
        <f ca="1">IF(O$188=0,0,IF(O$188=100%,100%,IF(AND($B205&lt;=O$189,$B205&gt;='2.2 Input_General_Information'!$H$20),$O$191/(1+EXP(-$O$193*($B205-(LN(1/$O$188-1)/$O$193+$O$187)))),)))</f>
        <v>7.0746820111932493E-2</v>
      </c>
      <c r="P205" s="460" t="e">
        <f ca="1">IF(P$188=0,0,IF(AND($B205&lt;=P$189,$B205&gt;='2.2 Input_General_Information'!$H$20),$P$191/(1+EXP(-$P$193*($B205-(LN(1/$P$188-1)/$P$193+$P$187)))),))</f>
        <v>#DIV/0!</v>
      </c>
      <c r="Q205" s="460">
        <f ca="1">IF(AND($B205&lt;=Q$189,$B205&gt;='2.2 Input_General_Information'!$H$20),$Q$191/(1+EXP(-$Q$193*($B205-(LN(1/$Q$188-1)/$Q$193+$Q$187)))),)</f>
        <v>0.28386601959548186</v>
      </c>
      <c r="R205" s="460">
        <f ca="1">IF(B205&gt;='2.2 Input_General_Information'!$H$20,Q205-VLOOKUP('2.2 Input_General_Information'!$H$20,$B$197:$Q$237,16),0)</f>
        <v>8.386601959548115E-2</v>
      </c>
      <c r="S205" s="460">
        <f ca="1">IF(AND($B205&lt;=S$189,$B205&gt;='2.2 Input_General_Information'!$H$20),$S$191/(1+EXP(-$S$193*($B205-(LN(1/$S$188-1)/$S$193+$S$187)))),1)</f>
        <v>1</v>
      </c>
      <c r="T205" s="460">
        <f ca="1">IF(B205&gt;='2.2 Input_General_Information'!$H$20,IF(S205="","",S205-VLOOKUP('2.2 Input_General_Information'!$H$20,$B$197:$S$237,18)),0)</f>
        <v>0.80000000000000804</v>
      </c>
      <c r="U205" s="460">
        <f ca="1">IF(AND($B205&lt;=U$189,$B205&gt;='2.2 Input_General_Information'!$H$20),$U$191/(1+EXP(-$U$193*($B205-(LN(1/$U$188-1)/$U$193+$U$187)))),)</f>
        <v>0.16694944312547944</v>
      </c>
      <c r="V205" s="460">
        <f ca="1">IF(AND($B205&lt;=V$189,$B205&gt;='2.2 Input_General_Information'!$H$20),$V$191/(1+EXP(-$V$193*($B205-(LN(1/$V$188-1)/$V$193+$V$187)))),)</f>
        <v>0.24805447760546639</v>
      </c>
      <c r="W205" s="460">
        <f ca="1">IF(AND($B205&lt;=W$189,$B205&gt;='2.2 Input_General_Information'!$H$20),$W$191/(1+EXP(-$W$193*($B205-(LN(1/$W$188-1)/$W$193+$W$187)))),)</f>
        <v>0.2379031870195473</v>
      </c>
      <c r="X205" s="460">
        <f ca="1">IF(AND($B205&lt;=X$189,$B205&gt;='2.2 Input_General_Information'!$H$20),$X$191/(1+EXP(-$X$193*($B205-(LN(1/$X$188-1)/$X$193+$X$187)))),)</f>
        <v>4.9685324359138514E-2</v>
      </c>
      <c r="Y205" s="460">
        <f ca="1">IF(AND($B205&lt;=Y$189,$B205&gt;='2.2 Input_General_Information'!$H$20),$Y$191/(1+EXP(-$Y$193*($B205-(LN(1/$Y$188-1)/$Y$193+$Y$187)))),)</f>
        <v>0.52105464497996323</v>
      </c>
    </row>
    <row r="206" spans="1:25">
      <c r="A206" s="441"/>
      <c r="B206" s="458">
        <f t="shared" si="20"/>
        <v>2027</v>
      </c>
      <c r="C206" s="491">
        <f t="shared" ca="1" si="18"/>
        <v>3.9002511233355852E-2</v>
      </c>
      <c r="D206" s="492">
        <f t="shared" ca="1" si="19"/>
        <v>0.32438580802488681</v>
      </c>
      <c r="E206" s="460">
        <f ca="1">IF(AND($B206&lt;=$E$189,$B206&gt;='2.2 Input_General_Information'!$H$20),$E$191/(1+EXP(-$E$193*($B206-(LN(1/$E$188-1)/$E$193+$E$187)))),1)</f>
        <v>1</v>
      </c>
      <c r="F206" s="460">
        <f ca="1">IF(AND($B206&lt;=F$189,$B206&gt;='2.2 Input_General_Information'!$H$20),$F$191/(1+EXP(-$F$193*($B206-(LN(1/$F$188-1)/$F$193+$F$187)))),)</f>
        <v>0.30423948027649705</v>
      </c>
      <c r="G206" s="460">
        <f ca="1">IF(AND($B206&lt;=G$189,$B206&gt;='2.2 Input_General_Information'!$H$20),$G$191/(1+EXP(-$G$193*($B206-(LN(1/$G$188-1)/$G$193+$G$187)))),)</f>
        <v>0.29572296102751489</v>
      </c>
      <c r="H206" s="460">
        <f ca="1">IF(AND($B206&lt;=H$189,$B206&gt;='2.2 Input_General_Information'!$H$20),$H$191/(1+EXP(-$H$193*($B206-(LN(1/$H$188-1)/$H$193+$H$187)))),1)</f>
        <v>1</v>
      </c>
      <c r="I206" s="460">
        <f ca="1">IF(AND($B206&lt;=I$189,$B206&gt;='2.2 Input_General_Information'!$H$20),$I$191/(1+EXP(-$I$193*($B206-(LN(1/$I$188-1)/$I$193+$I$187)))),)</f>
        <v>0.77221829840621981</v>
      </c>
      <c r="J206" s="460">
        <f ca="1">IF(AND($B206&lt;=J$189,$B206&gt;='2.2 Input_General_Information'!$H$20),$J$191/(1+EXP(-$J$193*($B206-(LN(1/$J$188-1)/$J$193+$J$187)))),1)</f>
        <v>1</v>
      </c>
      <c r="K206" s="460">
        <f ca="1">IF(AND($B206&lt;=K$189,$B206&gt;='2.2 Input_General_Information'!$H$20),$K$191/(1+EXP(-$K$193*($B206-(LN(1/$K$188-1)/$K$193+$K$187)))),)</f>
        <v>0.78608254452009507</v>
      </c>
      <c r="L206" s="460">
        <f ca="1">IF(AND($B206&lt;=L$189,$B206&gt;='2.2 Input_General_Information'!$H$20),$L$191/(1+EXP(-$L$193*($B206-(LN(1/$L$188-1)/$L$193+$L$187)))),1)</f>
        <v>1</v>
      </c>
      <c r="M206" s="460">
        <f ca="1">IF(M$188=0,0,IF(M$188=1,1,IF(AND($B206&lt;=M$189,$B206&gt;='2.2 Input_General_Information'!$H$20),$M$191/(1+EXP(-$M$193*($B206-(LN(1/$M$188-1)/$M$193+$M$187)))),)))</f>
        <v>0.23764981621246406</v>
      </c>
      <c r="N206" s="460">
        <f ca="1">IF(N$188=0,0,IF(N$188=1,1,IF(AND($B206&lt;=N$189,$B206&gt;='2.2 Input_General_Information'!$H$20),$N$191/(1+EXP(-$N$193*($B206-(LN(1/$N$188-1)/$N$193+$N$187)))),)))</f>
        <v>0.13084693250239218</v>
      </c>
      <c r="O206" s="460">
        <f ca="1">IF(O$188=0,0,IF(O$188=100%,100%,IF(AND($B206&lt;=O$189,$B206&gt;='2.2 Input_General_Information'!$H$20),$O$191/(1+EXP(-$O$193*($B206-(LN(1/$O$188-1)/$O$193+$O$187)))),)))</f>
        <v>7.3841261208097531E-2</v>
      </c>
      <c r="P206" s="460" t="e">
        <f ca="1">IF(P$188=0,0,IF(AND($B206&lt;=P$189,$B206&gt;='2.2 Input_General_Information'!$H$20),$P$191/(1+EXP(-$P$193*($B206-(LN(1/$P$188-1)/$P$193+$P$187)))),))</f>
        <v>#DIV/0!</v>
      </c>
      <c r="Q206" s="460">
        <f ca="1">IF(AND($B206&lt;=Q$189,$B206&gt;='2.2 Input_General_Information'!$H$20),$Q$191/(1+EXP(-$Q$193*($B206-(LN(1/$Q$188-1)/$Q$193+$Q$187)))),)</f>
        <v>0.29572296102751489</v>
      </c>
      <c r="R206" s="460">
        <f ca="1">IF(B206&gt;='2.2 Input_General_Information'!$H$20,Q206-VLOOKUP('2.2 Input_General_Information'!$H$20,$B$197:$Q$237,16),0)</f>
        <v>9.5722961027514181E-2</v>
      </c>
      <c r="S206" s="460">
        <f ca="1">IF(AND($B206&lt;=S$189,$B206&gt;='2.2 Input_General_Information'!$H$20),$S$191/(1+EXP(-$S$193*($B206-(LN(1/$S$188-1)/$S$193+$S$187)))),1)</f>
        <v>1</v>
      </c>
      <c r="T206" s="460">
        <f ca="1">IF(B206&gt;='2.2 Input_General_Information'!$H$20,IF(S206="","",S206-VLOOKUP('2.2 Input_General_Information'!$H$20,$B$197:$S$237,18)),0)</f>
        <v>0.80000000000000804</v>
      </c>
      <c r="U206" s="460">
        <f ca="1">IF(AND($B206&lt;=U$189,$B206&gt;='2.2 Input_General_Information'!$H$20),$U$191/(1+EXP(-$U$193*($B206-(LN(1/$U$188-1)/$U$193+$U$187)))),)</f>
        <v>0.16917245850758608</v>
      </c>
      <c r="V206" s="460">
        <f ca="1">IF(AND($B206&lt;=V$189,$B206&gt;='2.2 Input_General_Information'!$H$20),$V$191/(1+EXP(-$V$193*($B206-(LN(1/$V$188-1)/$V$193+$V$187)))),)</f>
        <v>0.20388642400161927</v>
      </c>
      <c r="W206" s="460">
        <f ca="1">IF(AND($B206&lt;=W$189,$B206&gt;='2.2 Input_General_Information'!$H$20),$W$191/(1+EXP(-$W$193*($B206-(LN(1/$W$188-1)/$W$193+$W$187)))),)</f>
        <v>0.195344708778148</v>
      </c>
      <c r="X206" s="460">
        <f ca="1">IF(AND($B206&lt;=X$189,$B206&gt;='2.2 Input_General_Information'!$H$20),$X$191/(1+EXP(-$X$193*($B206-(LN(1/$X$188-1)/$X$193+$X$187)))),)</f>
        <v>4.122220749847804E-2</v>
      </c>
      <c r="Y206" s="460">
        <f ca="1">IF(AND($B206&lt;=Y$189,$B206&gt;='2.2 Input_General_Information'!$H$20),$Y$191/(1+EXP(-$Y$193*($B206-(LN(1/$Y$188-1)/$Y$193+$Y$187)))),)</f>
        <v>0.59132728914793631</v>
      </c>
    </row>
    <row r="207" spans="1:25">
      <c r="A207" s="441"/>
      <c r="B207" s="458">
        <f t="shared" si="20"/>
        <v>2028</v>
      </c>
      <c r="C207" s="491">
        <f t="shared" ca="1" si="18"/>
        <v>4.3742799900867685E-2</v>
      </c>
      <c r="D207" s="492">
        <f t="shared" ca="1" si="19"/>
        <v>0.33012613452780948</v>
      </c>
      <c r="E207" s="460">
        <f ca="1">IF(AND($B207&lt;=$E$189,$B207&gt;='2.2 Input_General_Information'!$H$20),$E$191/(1+EXP(-$E$193*($B207-(LN(1/$E$188-1)/$E$193+$E$187)))),1)</f>
        <v>1</v>
      </c>
      <c r="F207" s="460">
        <f ca="1">IF(AND($B207&lt;=F$189,$B207&gt;='2.2 Input_General_Information'!$H$20),$F$191/(1+EXP(-$F$193*($B207-(LN(1/$F$188-1)/$F$193+$F$187)))),)</f>
        <v>0.3175470265845477</v>
      </c>
      <c r="G207" s="460">
        <f ca="1">IF(AND($B207&lt;=G$189,$B207&gt;='2.2 Input_General_Information'!$H$20),$G$191/(1+EXP(-$G$193*($B207-(LN(1/$G$188-1)/$G$193+$G$187)))),)</f>
        <v>0.30786225192332534</v>
      </c>
      <c r="H207" s="460">
        <f ca="1">IF(AND($B207&lt;=H$189,$B207&gt;='2.2 Input_General_Information'!$H$20),$H$191/(1+EXP(-$H$193*($B207-(LN(1/$H$188-1)/$H$193+$H$187)))),1)</f>
        <v>1</v>
      </c>
      <c r="I207" s="460">
        <f ca="1">IF(AND($B207&lt;=I$189,$B207&gt;='2.2 Input_General_Information'!$H$20),$I$191/(1+EXP(-$I$193*($B207-(LN(1/$I$188-1)/$I$193+$I$187)))),)</f>
        <v>0.81436115816113352</v>
      </c>
      <c r="J207" s="460">
        <f ca="1">IF(AND($B207&lt;=J$189,$B207&gt;='2.2 Input_General_Information'!$H$20),$J$191/(1+EXP(-$J$193*($B207-(LN(1/$J$188-1)/$J$193+$J$187)))),1)</f>
        <v>1</v>
      </c>
      <c r="K207" s="460">
        <f ca="1">IF(AND($B207&lt;=K$189,$B207&gt;='2.2 Input_General_Information'!$H$20),$K$191/(1+EXP(-$K$193*($B207-(LN(1/$K$188-1)/$K$193+$K$187)))),)</f>
        <v>0.82586395001707535</v>
      </c>
      <c r="L207" s="460">
        <f ca="1">IF(AND($B207&lt;=L$189,$B207&gt;='2.2 Input_General_Information'!$H$20),$L$191/(1+EXP(-$L$193*($B207-(LN(1/$L$188-1)/$L$193+$L$187)))),1)</f>
        <v>1</v>
      </c>
      <c r="M207" s="460">
        <f ca="1">IF(M$188=0,0,IF(M$188=1,1,IF(AND($B207&lt;=M$189,$B207&gt;='2.2 Input_General_Information'!$H$20),$M$191/(1+EXP(-$M$193*($B207-(LN(1/$M$188-1)/$M$193+$M$187)))),)))</f>
        <v>0.24212083360878928</v>
      </c>
      <c r="N207" s="460">
        <f ca="1">IF(N$188=0,0,IF(N$188=1,1,IF(AND($B207&lt;=N$189,$B207&gt;='2.2 Input_General_Information'!$H$20),$N$191/(1+EXP(-$N$193*($B207-(LN(1/$N$188-1)/$N$193+$N$187)))),)))</f>
        <v>0.13473302208592483</v>
      </c>
      <c r="O207" s="460">
        <f ca="1">IF(O$188=0,0,IF(O$188=100%,100%,IF(AND($B207&lt;=O$189,$B207&gt;='2.2 Input_General_Information'!$H$20),$O$191/(1+EXP(-$O$193*($B207-(LN(1/$O$188-1)/$O$193+$O$187)))),)))</f>
        <v>7.7059827973213271E-2</v>
      </c>
      <c r="P207" s="460" t="e">
        <f ca="1">IF(P$188=0,0,IF(AND($B207&lt;=P$189,$B207&gt;='2.2 Input_General_Information'!$H$20),$P$191/(1+EXP(-$P$193*($B207-(LN(1/$P$188-1)/$P$193+$P$187)))),))</f>
        <v>#DIV/0!</v>
      </c>
      <c r="Q207" s="460">
        <f ca="1">IF(AND($B207&lt;=Q$189,$B207&gt;='2.2 Input_General_Information'!$H$20),$Q$191/(1+EXP(-$Q$193*($B207-(LN(1/$Q$188-1)/$Q$193+$Q$187)))),)</f>
        <v>0.30786225192332534</v>
      </c>
      <c r="R207" s="460">
        <f ca="1">IF(B207&gt;='2.2 Input_General_Information'!$H$20,Q207-VLOOKUP('2.2 Input_General_Information'!$H$20,$B$197:$Q$237,16),0)</f>
        <v>0.10786225192332463</v>
      </c>
      <c r="S207" s="460">
        <f ca="1">IF(AND($B207&lt;=S$189,$B207&gt;='2.2 Input_General_Information'!$H$20),$S$191/(1+EXP(-$S$193*($B207-(LN(1/$S$188-1)/$S$193+$S$187)))),1)</f>
        <v>1</v>
      </c>
      <c r="T207" s="460">
        <f ca="1">IF(B207&gt;='2.2 Input_General_Information'!$H$20,IF(S207="","",S207-VLOOKUP('2.2 Input_General_Information'!$H$20,$B$197:$S$237,18)),0)</f>
        <v>0.80000000000000804</v>
      </c>
      <c r="U207" s="460">
        <f ca="1">IF(AND($B207&lt;=U$189,$B207&gt;='2.2 Input_General_Information'!$H$20),$U$191/(1+EXP(-$U$193*($B207-(LN(1/$U$188-1)/$U$193+$U$187)))),)</f>
        <v>0.17141898346715398</v>
      </c>
      <c r="V207" s="460">
        <f ca="1">IF(AND($B207&lt;=V$189,$B207&gt;='2.2 Input_General_Information'!$H$20),$V$191/(1+EXP(-$V$193*($B207-(LN(1/$V$188-1)/$V$193+$V$187)))),)</f>
        <v>0.16584826158911234</v>
      </c>
      <c r="W207" s="460">
        <f ca="1">IF(AND($B207&lt;=W$189,$B207&gt;='2.2 Input_General_Information'!$H$20),$W$191/(1+EXP(-$W$193*($B207-(LN(1/$W$188-1)/$W$193+$W$187)))),)</f>
        <v>0.15881298446334302</v>
      </c>
      <c r="X207" s="460">
        <f ca="1">IF(AND($B207&lt;=X$189,$B207&gt;='2.2 Input_General_Information'!$H$20),$X$191/(1+EXP(-$X$193*($B207-(LN(1/$X$188-1)/$X$193+$X$187)))),)</f>
        <v>3.4148848688686229E-2</v>
      </c>
      <c r="Y207" s="460">
        <f ca="1">IF(AND($B207&lt;=Y$189,$B207&gt;='2.2 Input_General_Information'!$H$20),$Y$191/(1+EXP(-$Y$193*($B207-(LN(1/$Y$188-1)/$Y$193+$Y$187)))),)</f>
        <v>0.65805568623898658</v>
      </c>
    </row>
    <row r="208" spans="1:25">
      <c r="A208" s="441"/>
      <c r="B208" s="458">
        <f t="shared" si="20"/>
        <v>2029</v>
      </c>
      <c r="C208" s="491">
        <f t="shared" ca="1" si="18"/>
        <v>4.8562197021254999E-2</v>
      </c>
      <c r="D208" s="492">
        <f t="shared" ca="1" si="19"/>
        <v>0.33409900232888945</v>
      </c>
      <c r="E208" s="460">
        <f ca="1">IF(AND($B208&lt;=$E$189,$B208&gt;='2.2 Input_General_Information'!$H$20),$E$191/(1+EXP(-$E$193*($B208-(LN(1/$E$188-1)/$E$193+$E$187)))),1)</f>
        <v>1</v>
      </c>
      <c r="F208" s="460">
        <f ca="1">IF(AND($B208&lt;=F$189,$B208&gt;='2.2 Input_General_Information'!$H$20),$F$191/(1+EXP(-$F$193*($B208-(LN(1/$F$188-1)/$F$193+$F$187)))),)</f>
        <v>0.33115959996055777</v>
      </c>
      <c r="G208" s="460">
        <f ca="1">IF(AND($B208&lt;=G$189,$B208&gt;='2.2 Input_General_Information'!$H$20),$G$191/(1+EXP(-$G$193*($B208-(LN(1/$G$188-1)/$G$193+$G$187)))),)</f>
        <v>0.32027324528281997</v>
      </c>
      <c r="H208" s="460">
        <f ca="1">IF(AND($B208&lt;=H$189,$B208&gt;='2.2 Input_General_Information'!$H$20),$H$191/(1+EXP(-$H$193*($B208-(LN(1/$H$188-1)/$H$193+$H$187)))),1)</f>
        <v>1</v>
      </c>
      <c r="I208" s="460">
        <f ca="1">IF(AND($B208&lt;=I$189,$B208&gt;='2.2 Input_General_Information'!$H$20),$I$191/(1+EXP(-$I$193*($B208-(LN(1/$I$188-1)/$I$193+$I$187)))),)</f>
        <v>0.85021931270377626</v>
      </c>
      <c r="J208" s="460">
        <f ca="1">IF(AND($B208&lt;=J$189,$B208&gt;='2.2 Input_General_Information'!$H$20),$J$191/(1+EXP(-$J$193*($B208-(LN(1/$J$188-1)/$J$193+$J$187)))),1)</f>
        <v>1</v>
      </c>
      <c r="K208" s="460">
        <f ca="1">IF(AND($B208&lt;=K$189,$B208&gt;='2.2 Input_General_Information'!$H$20),$K$191/(1+EXP(-$K$193*($B208-(LN(1/$K$188-1)/$K$193+$K$187)))),)</f>
        <v>0.85956898769319301</v>
      </c>
      <c r="L208" s="460">
        <f ca="1">IF(AND($B208&lt;=L$189,$B208&gt;='2.2 Input_General_Information'!$H$20),$L$191/(1+EXP(-$L$193*($B208-(LN(1/$L$188-1)/$L$193+$L$187)))),1)</f>
        <v>1</v>
      </c>
      <c r="M208" s="460">
        <f ca="1">IF(M$188=0,0,IF(M$188=1,1,IF(AND($B208&lt;=M$189,$B208&gt;='2.2 Input_General_Information'!$H$20),$M$191/(1+EXP(-$M$193*($B208-(LN(1/$M$188-1)/$M$193+$M$187)))),)))</f>
        <v>0.24664875189579055</v>
      </c>
      <c r="N208" s="460">
        <f ca="1">IF(N$188=0,0,IF(N$188=1,1,IF(AND($B208&lt;=N$189,$B208&gt;='2.2 Input_General_Information'!$H$20),$N$191/(1+EXP(-$N$193*($B208-(LN(1/$N$188-1)/$N$193+$N$187)))),)))</f>
        <v>0.13871610648996202</v>
      </c>
      <c r="O208" s="460">
        <f ca="1">IF(O$188=0,0,IF(O$188=100%,100%,IF(AND($B208&lt;=O$189,$B208&gt;='2.2 Input_General_Information'!$H$20),$O$191/(1+EXP(-$O$193*($B208-(LN(1/$O$188-1)/$O$193+$O$187)))),)))</f>
        <v>8.0406504924924183E-2</v>
      </c>
      <c r="P208" s="460" t="e">
        <f ca="1">IF(P$188=0,0,IF(AND($B208&lt;=P$189,$B208&gt;='2.2 Input_General_Information'!$H$20),$P$191/(1+EXP(-$P$193*($B208-(LN(1/$P$188-1)/$P$193+$P$187)))),))</f>
        <v>#DIV/0!</v>
      </c>
      <c r="Q208" s="460">
        <f ca="1">IF(AND($B208&lt;=Q$189,$B208&gt;='2.2 Input_General_Information'!$H$20),$Q$191/(1+EXP(-$Q$193*($B208-(LN(1/$Q$188-1)/$Q$193+$Q$187)))),)</f>
        <v>0.32027324528281997</v>
      </c>
      <c r="R208" s="460">
        <f ca="1">IF(B208&gt;='2.2 Input_General_Information'!$H$20,Q208-VLOOKUP('2.2 Input_General_Information'!$H$20,$B$197:$Q$237,16),0)</f>
        <v>0.12027324528281927</v>
      </c>
      <c r="S208" s="460">
        <f ca="1">IF(AND($B208&lt;=S$189,$B208&gt;='2.2 Input_General_Information'!$H$20),$S$191/(1+EXP(-$S$193*($B208-(LN(1/$S$188-1)/$S$193+$S$187)))),1)</f>
        <v>1</v>
      </c>
      <c r="T208" s="460">
        <f ca="1">IF(B208&gt;='2.2 Input_General_Information'!$H$20,IF(S208="","",S208-VLOOKUP('2.2 Input_General_Information'!$H$20,$B$197:$S$237,18)),0)</f>
        <v>0.80000000000000804</v>
      </c>
      <c r="U208" s="460">
        <f ca="1">IF(AND($B208&lt;=U$189,$B208&gt;='2.2 Input_General_Information'!$H$20),$U$191/(1+EXP(-$U$193*($B208-(LN(1/$U$188-1)/$U$193+$U$187)))),)</f>
        <v>0.17368910445028521</v>
      </c>
      <c r="V208" s="460">
        <f ca="1">IF(AND($B208&lt;=V$189,$B208&gt;='2.2 Input_General_Information'!$H$20),$V$191/(1+EXP(-$V$193*($B208-(LN(1/$V$188-1)/$V$193+$V$187)))),)</f>
        <v>0.13371476417460532</v>
      </c>
      <c r="W208" s="460">
        <f ca="1">IF(AND($B208&lt;=W$189,$B208&gt;='2.2 Input_General_Information'!$H$20),$W$191/(1+EXP(-$W$193*($B208-(LN(1/$W$188-1)/$W$193+$W$187)))),)</f>
        <v>0.12802612129414262</v>
      </c>
      <c r="X208" s="460">
        <f ca="1">IF(AND($B208&lt;=X$189,$B208&gt;='2.2 Input_General_Information'!$H$20),$X$191/(1+EXP(-$X$193*($B208-(LN(1/$X$188-1)/$X$193+$X$187)))),)</f>
        <v>2.8253448151445665E-2</v>
      </c>
      <c r="Y208" s="460">
        <f ca="1">IF(AND($B208&lt;=Y$189,$B208&gt;='2.2 Input_General_Information'!$H$20),$Y$191/(1+EXP(-$Y$193*($B208-(LN(1/$Y$188-1)/$Y$193+$Y$187)))),)</f>
        <v>0.71906496994626734</v>
      </c>
    </row>
    <row r="209" spans="1:25">
      <c r="A209" s="441"/>
      <c r="B209" s="458">
        <f t="shared" si="20"/>
        <v>2030</v>
      </c>
      <c r="C209" s="491">
        <f t="shared" ca="1" si="18"/>
        <v>5.3459733222127548E-2</v>
      </c>
      <c r="D209" s="492">
        <f t="shared" ca="1" si="19"/>
        <v>0.33683865783090716</v>
      </c>
      <c r="E209" s="460">
        <f ca="1">IF(AND($B209&lt;=$E$189,$B209&gt;='2.2 Input_General_Information'!$H$20),$E$191/(1+EXP(-$E$193*($B209-(LN(1/$E$188-1)/$E$193+$E$187)))),1)</f>
        <v>1</v>
      </c>
      <c r="F209" s="460">
        <f ca="1">IF(AND($B209&lt;=F$189,$B209&gt;='2.2 Input_General_Information'!$H$20),$F$191/(1+EXP(-$F$193*($B209-(LN(1/$F$188-1)/$F$193+$F$187)))),)</f>
        <v>0.34506066605965807</v>
      </c>
      <c r="G209" s="460">
        <f ca="1">IF(AND($B209&lt;=G$189,$B209&gt;='2.2 Input_General_Information'!$H$20),$G$191/(1+EXP(-$G$193*($B209-(LN(1/$G$188-1)/$G$193+$G$187)))),)</f>
        <v>0.33294389144177655</v>
      </c>
      <c r="H209" s="460">
        <f ca="1">IF(AND($B209&lt;=H$189,$B209&gt;='2.2 Input_General_Information'!$H$20),$H$191/(1+EXP(-$H$193*($B209-(LN(1/$H$188-1)/$H$193+$H$187)))),1)</f>
        <v>1</v>
      </c>
      <c r="I209" s="460">
        <f ca="1">IF(AND($B209&lt;=I$189,$B209&gt;='2.2 Input_General_Information'!$H$20),$I$191/(1+EXP(-$I$193*($B209-(LN(1/$I$188-1)/$I$193+$I$187)))),)</f>
        <v>0.88017026463504044</v>
      </c>
      <c r="J209" s="460">
        <f ca="1">IF(AND($B209&lt;=J$189,$B209&gt;='2.2 Input_General_Information'!$H$20),$J$191/(1+EXP(-$J$193*($B209-(LN(1/$J$188-1)/$J$193+$J$187)))),1)</f>
        <v>1</v>
      </c>
      <c r="K209" s="460">
        <f ca="1">IF(AND($B209&lt;=K$189,$B209&gt;='2.2 Input_General_Information'!$H$20),$K$191/(1+EXP(-$K$193*($B209-(LN(1/$K$188-1)/$K$193+$K$187)))),)</f>
        <v>0.88763781122596708</v>
      </c>
      <c r="L209" s="460">
        <f ca="1">IF(AND($B209&lt;=L$189,$B209&gt;='2.2 Input_General_Information'!$H$20),$L$191/(1+EXP(-$L$193*($B209-(LN(1/$L$188-1)/$L$193+$L$187)))),1)</f>
        <v>1</v>
      </c>
      <c r="M209" s="460">
        <f ca="1">IF(M$188=0,0,IF(M$188=1,1,IF(AND($B209&lt;=M$189,$B209&gt;='2.2 Input_General_Information'!$H$20),$M$191/(1+EXP(-$M$193*($B209-(LN(1/$M$188-1)/$M$193+$M$187)))),)))</f>
        <v>0.25123327710672316</v>
      </c>
      <c r="N209" s="460">
        <f ca="1">IF(N$188=0,0,IF(N$188=1,1,IF(AND($B209&lt;=N$189,$B209&gt;='2.2 Input_General_Information'!$H$20),$N$191/(1+EXP(-$N$193*($B209-(LN(1/$N$188-1)/$N$193+$N$187)))),)))</f>
        <v>0.14279750918861361</v>
      </c>
      <c r="O209" s="460">
        <f ca="1">IF(O$188=0,0,IF(O$188=100%,100%,IF(AND($B209&lt;=O$189,$B209&gt;='2.2 Input_General_Information'!$H$20),$O$191/(1+EXP(-$O$193*($B209-(LN(1/$O$188-1)/$O$193+$O$187)))),)))</f>
        <v>8.3885316416231995E-2</v>
      </c>
      <c r="P209" s="460" t="e">
        <f ca="1">IF(P$188=0,0,IF(AND($B209&lt;=P$189,$B209&gt;='2.2 Input_General_Information'!$H$20),$P$191/(1+EXP(-$P$193*($B209-(LN(1/$P$188-1)/$P$193+$P$187)))),))</f>
        <v>#DIV/0!</v>
      </c>
      <c r="Q209" s="460">
        <f ca="1">IF(AND($B209&lt;=Q$189,$B209&gt;='2.2 Input_General_Information'!$H$20),$Q$191/(1+EXP(-$Q$193*($B209-(LN(1/$Q$188-1)/$Q$193+$Q$187)))),)</f>
        <v>0.33294389144177655</v>
      </c>
      <c r="R209" s="460">
        <f ca="1">IF(B209&gt;='2.2 Input_General_Information'!$H$20,Q209-VLOOKUP('2.2 Input_General_Information'!$H$20,$B$197:$Q$237,16),0)</f>
        <v>0.13294389144177585</v>
      </c>
      <c r="S209" s="460">
        <f ca="1">IF(AND($B209&lt;=S$189,$B209&gt;='2.2 Input_General_Information'!$H$20),$S$191/(1+EXP(-$S$193*($B209-(LN(1/$S$188-1)/$S$193+$S$187)))),1)</f>
        <v>1</v>
      </c>
      <c r="T209" s="460">
        <f ca="1">IF(B209&gt;='2.2 Input_General_Information'!$H$20,IF(S209="","",S209-VLOOKUP('2.2 Input_General_Information'!$H$20,$B$197:$S$237,18)),0)</f>
        <v>0.80000000000000804</v>
      </c>
      <c r="U209" s="460">
        <f ca="1">IF(AND($B209&lt;=U$189,$B209&gt;='2.2 Input_General_Information'!$H$20),$U$191/(1+EXP(-$U$193*($B209-(LN(1/$U$188-1)/$U$193+$U$187)))),)</f>
        <v>0.17598290370105327</v>
      </c>
      <c r="V209" s="460">
        <f ca="1">IF(AND($B209&lt;=V$189,$B209&gt;='2.2 Input_General_Information'!$H$20),$V$191/(1+EXP(-$V$193*($B209-(LN(1/$V$188-1)/$V$193+$V$187)))),)</f>
        <v>0.10700851853954722</v>
      </c>
      <c r="W209" s="460">
        <f ca="1">IF(AND($B209&lt;=W$189,$B209&gt;='2.2 Input_General_Information'!$H$20),$W$191/(1+EXP(-$W$193*($B209-(LN(1/$W$188-1)/$W$193+$W$187)))),)</f>
        <v>0.10248038068098998</v>
      </c>
      <c r="X209" s="460">
        <f ca="1">IF(AND($B209&lt;=X$189,$B209&gt;='2.2 Input_General_Information'!$H$20),$X$191/(1+EXP(-$X$193*($B209-(LN(1/$X$188-1)/$X$193+$X$187)))),)</f>
        <v>2.3351213275929809E-2</v>
      </c>
      <c r="Y209" s="460">
        <f ca="1">IF(AND($B209&lt;=Y$189,$B209&gt;='2.2 Input_General_Information'!$H$20),$Y$191/(1+EXP(-$Y$193*($B209-(LN(1/$Y$188-1)/$Y$193+$Y$187)))),)</f>
        <v>0.77294487541927603</v>
      </c>
    </row>
    <row r="210" spans="1:25">
      <c r="A210" s="441"/>
      <c r="B210" s="458">
        <f t="shared" si="20"/>
        <v>2031</v>
      </c>
      <c r="C210" s="491">
        <f t="shared" ca="1" si="18"/>
        <v>5.8434312108737452E-2</v>
      </c>
      <c r="D210" s="492">
        <f t="shared" ca="1" si="19"/>
        <v>0.33872317723303502</v>
      </c>
      <c r="E210" s="460">
        <f ca="1">IF(AND($B210&lt;=$E$189,$B210&gt;='2.2 Input_General_Information'!$H$20),$E$191/(1+EXP(-$E$193*($B210-(LN(1/$E$188-1)/$E$193+$E$187)))),1)</f>
        <v>1</v>
      </c>
      <c r="F210" s="460">
        <f ca="1">IF(AND($B210&lt;=F$189,$B210&gt;='2.2 Input_General_Information'!$H$20),$F$191/(1+EXP(-$F$193*($B210-(LN(1/$F$188-1)/$F$193+$F$187)))),)</f>
        <v>0.35923184754215542</v>
      </c>
      <c r="G210" s="460">
        <f ca="1">IF(AND($B210&lt;=G$189,$B210&gt;='2.2 Input_General_Information'!$H$20),$G$191/(1+EXP(-$G$193*($B210-(LN(1/$G$188-1)/$G$193+$G$187)))),)</f>
        <v>0.34586075270836852</v>
      </c>
      <c r="H210" s="460">
        <f ca="1">IF(AND($B210&lt;=H$189,$B210&gt;='2.2 Input_General_Information'!$H$20),$H$191/(1+EXP(-$H$193*($B210-(LN(1/$H$188-1)/$H$193+$H$187)))),1)</f>
        <v>1</v>
      </c>
      <c r="I210" s="460">
        <f ca="1">IF(AND($B210&lt;=I$189,$B210&gt;='2.2 Input_General_Information'!$H$20),$I$191/(1+EXP(-$I$193*($B210-(LN(1/$I$188-1)/$I$193+$I$187)))),)</f>
        <v>0.90480265655229508</v>
      </c>
      <c r="J210" s="460">
        <f ca="1">IF(AND($B210&lt;=J$189,$B210&gt;='2.2 Input_General_Information'!$H$20),$J$191/(1+EXP(-$J$193*($B210-(LN(1/$J$188-1)/$J$193+$J$187)))),1)</f>
        <v>1</v>
      </c>
      <c r="K210" s="460">
        <f ca="1">IF(AND($B210&lt;=K$189,$B210&gt;='2.2 Input_General_Information'!$H$20),$K$191/(1+EXP(-$K$193*($B210-(LN(1/$K$188-1)/$K$193+$K$187)))),)</f>
        <v>0.91067932769141891</v>
      </c>
      <c r="L210" s="460">
        <f ca="1">IF(AND($B210&lt;=L$189,$B210&gt;='2.2 Input_General_Information'!$H$20),$L$191/(1+EXP(-$L$193*($B210-(LN(1/$L$188-1)/$L$193+$L$187)))),1)</f>
        <v>1</v>
      </c>
      <c r="M210" s="460">
        <f ca="1">IF(M$188=0,0,IF(M$188=1,1,IF(AND($B210&lt;=M$189,$B210&gt;='2.2 Input_General_Information'!$H$20),$M$191/(1+EXP(-$M$193*($B210-(LN(1/$M$188-1)/$M$193+$M$187)))),)))</f>
        <v>0.25587407342421248</v>
      </c>
      <c r="N210" s="460">
        <f ca="1">IF(N$188=0,0,IF(N$188=1,1,IF(AND($B210&lt;=N$189,$B210&gt;='2.2 Input_General_Information'!$H$20),$N$191/(1+EXP(-$N$193*($B210-(LN(1/$N$188-1)/$N$193+$N$187)))),)))</f>
        <v>0.14697850506844284</v>
      </c>
      <c r="O210" s="460">
        <f ca="1">IF(O$188=0,0,IF(O$188=100%,100%,IF(AND($B210&lt;=O$189,$B210&gt;='2.2 Input_General_Information'!$H$20),$O$191/(1+EXP(-$O$193*($B210-(LN(1/$O$188-1)/$O$193+$O$187)))),)))</f>
        <v>8.7500318364589852E-2</v>
      </c>
      <c r="P210" s="460" t="e">
        <f ca="1">IF(P$188=0,0,IF(AND($B210&lt;=P$189,$B210&gt;='2.2 Input_General_Information'!$H$20),$P$191/(1+EXP(-$P$193*($B210-(LN(1/$P$188-1)/$P$193+$P$187)))),))</f>
        <v>#DIV/0!</v>
      </c>
      <c r="Q210" s="460">
        <f ca="1">IF(AND($B210&lt;=Q$189,$B210&gt;='2.2 Input_General_Information'!$H$20),$Q$191/(1+EXP(-$Q$193*($B210-(LN(1/$Q$188-1)/$Q$193+$Q$187)))),)</f>
        <v>0.34586075270836852</v>
      </c>
      <c r="R210" s="460">
        <f ca="1">IF(B210&gt;='2.2 Input_General_Information'!$H$20,Q210-VLOOKUP('2.2 Input_General_Information'!$H$20,$B$197:$Q$237,16),0)</f>
        <v>0.14586075270836782</v>
      </c>
      <c r="S210" s="460">
        <f ca="1">IF(AND($B210&lt;=S$189,$B210&gt;='2.2 Input_General_Information'!$H$20),$S$191/(1+EXP(-$S$193*($B210-(LN(1/$S$188-1)/$S$193+$S$187)))),1)</f>
        <v>1</v>
      </c>
      <c r="T210" s="460">
        <f ca="1">IF(B210&gt;='2.2 Input_General_Information'!$H$20,IF(S210="","",S210-VLOOKUP('2.2 Input_General_Information'!$H$20,$B$197:$S$237,18)),0)</f>
        <v>0.80000000000000804</v>
      </c>
      <c r="U210" s="460">
        <f ca="1">IF(AND($B210&lt;=U$189,$B210&gt;='2.2 Input_General_Information'!$H$20),$U$191/(1+EXP(-$U$193*($B210-(LN(1/$U$188-1)/$U$193+$U$187)))),)</f>
        <v>0.17830045914008008</v>
      </c>
      <c r="V210" s="460">
        <f ca="1">IF(AND($B210&lt;=V$189,$B210&gt;='2.2 Input_General_Information'!$H$20),$V$191/(1+EXP(-$V$193*($B210-(LN(1/$V$188-1)/$V$193+$V$187)))),)</f>
        <v>8.5112135641837408E-2</v>
      </c>
      <c r="W210" s="460">
        <f ca="1">IF(AND($B210&lt;=W$189,$B210&gt;='2.2 Input_General_Information'!$H$20),$W$191/(1+EXP(-$W$193*($B210-(LN(1/$W$188-1)/$W$193+$W$187)))),)</f>
        <v>8.155517376578153E-2</v>
      </c>
      <c r="X210" s="460">
        <f ca="1">IF(AND($B210&lt;=X$189,$B210&gt;='2.2 Input_General_Information'!$H$20),$X$191/(1+EXP(-$X$193*($B210-(LN(1/$X$188-1)/$X$193+$X$187)))),)</f>
        <v>1.9282683146807249E-2</v>
      </c>
      <c r="Y210" s="460">
        <f ca="1">IF(AND($B210&lt;=Y$189,$B210&gt;='2.2 Input_General_Information'!$H$20),$Y$191/(1+EXP(-$Y$193*($B210-(LN(1/$Y$188-1)/$Y$193+$Y$187)))),)</f>
        <v>0.81909107159822758</v>
      </c>
    </row>
    <row r="211" spans="1:25">
      <c r="A211" s="441"/>
      <c r="B211" s="458">
        <f t="shared" si="20"/>
        <v>2032</v>
      </c>
      <c r="C211" s="491">
        <f t="shared" ca="1" si="18"/>
        <v>6.3484708570643866E-2</v>
      </c>
      <c r="D211" s="492">
        <f t="shared" ca="1" si="19"/>
        <v>0.34001724535641775</v>
      </c>
      <c r="E211" s="460">
        <f ca="1">IF(AND($B211&lt;=$E$189,$B211&gt;='2.2 Input_General_Information'!$H$20),$E$191/(1+EXP(-$E$193*($B211-(LN(1/$E$188-1)/$E$193+$E$187)))),1)</f>
        <v>1</v>
      </c>
      <c r="F211" s="460">
        <f ca="1">IF(AND($B211&lt;=F$189,$B211&gt;='2.2 Input_General_Information'!$H$20),$F$191/(1+EXP(-$F$193*($B211-(LN(1/$F$188-1)/$F$193+$F$187)))),)</f>
        <v>0.37365298541535741</v>
      </c>
      <c r="G211" s="460">
        <f ca="1">IF(AND($B211&lt;=G$189,$B211&gt;='2.2 Input_General_Information'!$H$20),$G$191/(1+EXP(-$G$193*($B211-(LN(1/$G$188-1)/$G$193+$G$187)))),)</f>
        <v>0.359009032256634</v>
      </c>
      <c r="H211" s="460">
        <f ca="1">IF(AND($B211&lt;=H$189,$B211&gt;='2.2 Input_General_Information'!$H$20),$H$191/(1+EXP(-$H$193*($B211-(LN(1/$H$188-1)/$H$193+$H$187)))),1)</f>
        <v>1</v>
      </c>
      <c r="I211" s="460">
        <f ca="1">IF(AND($B211&lt;=I$189,$B211&gt;='2.2 Input_General_Information'!$H$20),$I$191/(1+EXP(-$I$193*($B211-(LN(1/$I$188-1)/$I$193+$I$187)))),)</f>
        <v>0.92480416381826902</v>
      </c>
      <c r="J211" s="460">
        <f ca="1">IF(AND($B211&lt;=J$189,$B211&gt;='2.2 Input_General_Information'!$H$20),$J$191/(1+EXP(-$J$193*($B211-(LN(1/$J$188-1)/$J$193+$J$187)))),1)</f>
        <v>1</v>
      </c>
      <c r="K211" s="460">
        <f ca="1">IF(AND($B211&lt;=K$189,$B211&gt;='2.2 Input_General_Information'!$H$20),$K$191/(1+EXP(-$K$193*($B211-(LN(1/$K$188-1)/$K$193+$K$187)))),)</f>
        <v>0.92937180516838702</v>
      </c>
      <c r="L211" s="460">
        <f ca="1">IF(AND($B211&lt;=L$189,$B211&gt;='2.2 Input_General_Information'!$H$20),$L$191/(1+EXP(-$L$193*($B211-(LN(1/$L$188-1)/$L$193+$L$187)))),1)</f>
        <v>1</v>
      </c>
      <c r="M211" s="460">
        <f ca="1">IF(M$188=0,0,IF(M$188=1,1,IF(AND($B211&lt;=M$189,$B211&gt;='2.2 Input_General_Information'!$H$20),$M$191/(1+EXP(-$M$193*($B211-(LN(1/$M$188-1)/$M$193+$M$187)))),)))</f>
        <v>0.26057076249437966</v>
      </c>
      <c r="N211" s="460">
        <f ca="1">IF(N$188=0,0,IF(N$188=1,1,IF(AND($B211&lt;=N$189,$B211&gt;='2.2 Input_General_Information'!$H$20),$N$191/(1+EXP(-$N$193*($B211-(LN(1/$N$188-1)/$N$193+$N$187)))),)))</f>
        <v>0.15126031580827412</v>
      </c>
      <c r="O211" s="460">
        <f ca="1">IF(O$188=0,0,IF(O$188=100%,100%,IF(AND($B211&lt;=O$189,$B211&gt;='2.2 Input_General_Information'!$H$20),$O$191/(1+EXP(-$O$193*($B211-(LN(1/$O$188-1)/$O$193+$O$187)))),)))</f>
        <v>9.1255589101873841E-2</v>
      </c>
      <c r="P211" s="460" t="e">
        <f ca="1">IF(P$188=0,0,IF(AND($B211&lt;=P$189,$B211&gt;='2.2 Input_General_Information'!$H$20),$P$191/(1+EXP(-$P$193*($B211-(LN(1/$P$188-1)/$P$193+$P$187)))),))</f>
        <v>#DIV/0!</v>
      </c>
      <c r="Q211" s="460">
        <f ca="1">IF(AND($B211&lt;=Q$189,$B211&gt;='2.2 Input_General_Information'!$H$20),$Q$191/(1+EXP(-$Q$193*($B211-(LN(1/$Q$188-1)/$Q$193+$Q$187)))),)</f>
        <v>0.359009032256634</v>
      </c>
      <c r="R211" s="460">
        <f ca="1">IF(B211&gt;='2.2 Input_General_Information'!$H$20,Q211-VLOOKUP('2.2 Input_General_Information'!$H$20,$B$197:$Q$237,16),0)</f>
        <v>0.15900903225663329</v>
      </c>
      <c r="S211" s="460">
        <f ca="1">IF(AND($B211&lt;=S$189,$B211&gt;='2.2 Input_General_Information'!$H$20),$S$191/(1+EXP(-$S$193*($B211-(LN(1/$S$188-1)/$S$193+$S$187)))),1)</f>
        <v>1</v>
      </c>
      <c r="T211" s="460">
        <f ca="1">IF(B211&gt;='2.2 Input_General_Information'!$H$20,IF(S211="","",S211-VLOOKUP('2.2 Input_General_Information'!$H$20,$B$197:$S$237,18)),0)</f>
        <v>0.80000000000000804</v>
      </c>
      <c r="U211" s="460">
        <f ca="1">IF(AND($B211&lt;=U$189,$B211&gt;='2.2 Input_General_Information'!$H$20),$U$191/(1+EXP(-$U$193*($B211-(LN(1/$U$188-1)/$U$193+$U$187)))),)</f>
        <v>0.18064184424281779</v>
      </c>
      <c r="V211" s="460">
        <f ca="1">IF(AND($B211&lt;=V$189,$B211&gt;='2.2 Input_General_Information'!$H$20),$V$191/(1+EXP(-$V$193*($B211-(LN(1/$V$188-1)/$V$193+$V$187)))),)</f>
        <v>6.7358288206518957E-2</v>
      </c>
      <c r="W211" s="460">
        <f ca="1">IF(AND($B211&lt;=W$189,$B211&gt;='2.2 Input_General_Information'!$H$20),$W$191/(1+EXP(-$W$193*($B211-(LN(1/$W$188-1)/$W$193+$W$187)))),)</f>
        <v>6.4595124650624891E-2</v>
      </c>
      <c r="X211" s="460">
        <f ca="1">IF(AND($B211&lt;=X$189,$B211&gt;='2.2 Input_General_Information'!$H$20),$X$191/(1+EXP(-$X$193*($B211-(LN(1/$X$188-1)/$X$193+$X$187)))),)</f>
        <v>1.5911472607827774E-2</v>
      </c>
      <c r="Y211" s="460">
        <f ca="1">IF(AND($B211&lt;=Y$189,$B211&gt;='2.2 Input_General_Information'!$H$20),$Y$191/(1+EXP(-$Y$193*($B211-(LN(1/$Y$188-1)/$Y$193+$Y$187)))),)</f>
        <v>0.85758661021670479</v>
      </c>
    </row>
    <row r="212" spans="1:25">
      <c r="A212" s="441"/>
      <c r="B212" s="458">
        <f t="shared" si="20"/>
        <v>2033</v>
      </c>
      <c r="C212" s="491">
        <f t="shared" ca="1" si="18"/>
        <v>6.8609567459397391E-2</v>
      </c>
      <c r="D212" s="492">
        <f t="shared" ca="1" si="19"/>
        <v>0.34090480960033498</v>
      </c>
      <c r="E212" s="460">
        <f ca="1">IF(AND($B212&lt;=$E$189,$B212&gt;='2.2 Input_General_Information'!$H$20),$E$191/(1+EXP(-$E$193*($B212-(LN(1/$E$188-1)/$E$193+$E$187)))),1)</f>
        <v>1</v>
      </c>
      <c r="F212" s="460">
        <f ca="1">IF(AND($B212&lt;=F$189,$B212&gt;='2.2 Input_General_Information'!$H$20),$F$191/(1+EXP(-$F$193*($B212-(LN(1/$F$188-1)/$F$193+$F$187)))),)</f>
        <v>0.38830222370829032</v>
      </c>
      <c r="G212" s="460">
        <f ca="1">IF(AND($B212&lt;=G$189,$B212&gt;='2.2 Input_General_Information'!$H$20),$G$191/(1+EXP(-$G$193*($B212-(LN(1/$G$188-1)/$G$193+$G$187)))),)</f>
        <v>0.37237261770255958</v>
      </c>
      <c r="H212" s="460">
        <f ca="1">IF(AND($B212&lt;=H$189,$B212&gt;='2.2 Input_General_Information'!$H$20),$H$191/(1+EXP(-$H$193*($B212-(LN(1/$H$188-1)/$H$193+$H$187)))),1)</f>
        <v>1</v>
      </c>
      <c r="I212" s="460">
        <f ca="1">IF(AND($B212&lt;=I$189,$B212&gt;='2.2 Input_General_Information'!$H$20),$I$191/(1+EXP(-$I$193*($B212-(LN(1/$I$188-1)/$I$193+$I$187)))),)</f>
        <v>0.9408778376199276</v>
      </c>
      <c r="J212" s="460">
        <f ca="1">IF(AND($B212&lt;=J$189,$B212&gt;='2.2 Input_General_Information'!$H$20),$J$191/(1+EXP(-$J$193*($B212-(LN(1/$J$188-1)/$J$193+$J$187)))),1)</f>
        <v>1</v>
      </c>
      <c r="K212" s="460">
        <f ca="1">IF(AND($B212&lt;=K$189,$B212&gt;='2.2 Input_General_Information'!$H$20),$K$191/(1+EXP(-$K$193*($B212-(LN(1/$K$188-1)/$K$193+$K$187)))),)</f>
        <v>0.94439130519997627</v>
      </c>
      <c r="L212" s="460">
        <f ca="1">IF(AND($B212&lt;=L$189,$B212&gt;='2.2 Input_General_Information'!$H$20),$L$191/(1+EXP(-$L$193*($B212-(LN(1/$L$188-1)/$L$193+$L$187)))),1)</f>
        <v>1</v>
      </c>
      <c r="M212" s="460">
        <f ca="1">IF(M$188=0,0,IF(M$188=1,1,IF(AND($B212&lt;=M$189,$B212&gt;='2.2 Input_General_Information'!$H$20),$M$191/(1+EXP(-$M$193*($B212-(LN(1/$M$188-1)/$M$193+$M$187)))),)))</f>
        <v>0.26532292279085518</v>
      </c>
      <c r="N212" s="460">
        <f ca="1">IF(N$188=0,0,IF(N$188=1,1,IF(AND($B212&lt;=N$189,$B212&gt;='2.2 Input_General_Information'!$H$20),$N$191/(1+EXP(-$N$193*($B212-(LN(1/$N$188-1)/$N$193+$N$187)))),)))</f>
        <v>0.15564410513653479</v>
      </c>
      <c r="O212" s="460">
        <f ca="1">IF(O$188=0,0,IF(O$188=100%,100%,IF(AND($B212&lt;=O$189,$B212&gt;='2.2 Input_General_Information'!$H$20),$O$191/(1+EXP(-$O$193*($B212-(LN(1/$O$188-1)/$O$193+$O$187)))),)))</f>
        <v>9.515521930813603E-2</v>
      </c>
      <c r="P212" s="460" t="e">
        <f ca="1">IF(P$188=0,0,IF(AND($B212&lt;=P$189,$B212&gt;='2.2 Input_General_Information'!$H$20),$P$191/(1+EXP(-$P$193*($B212-(LN(1/$P$188-1)/$P$193+$P$187)))),))</f>
        <v>#DIV/0!</v>
      </c>
      <c r="Q212" s="460">
        <f ca="1">IF(AND($B212&lt;=Q$189,$B212&gt;='2.2 Input_General_Information'!$H$20),$Q$191/(1+EXP(-$Q$193*($B212-(LN(1/$Q$188-1)/$Q$193+$Q$187)))),)</f>
        <v>0.37237261770255958</v>
      </c>
      <c r="R212" s="460">
        <f ca="1">IF(B212&gt;='2.2 Input_General_Information'!$H$20,Q212-VLOOKUP('2.2 Input_General_Information'!$H$20,$B$197:$Q$237,16),0)</f>
        <v>0.17237261770255888</v>
      </c>
      <c r="S212" s="460">
        <f ca="1">IF(AND($B212&lt;=S$189,$B212&gt;='2.2 Input_General_Information'!$H$20),$S$191/(1+EXP(-$S$193*($B212-(LN(1/$S$188-1)/$S$193+$S$187)))),1)</f>
        <v>1</v>
      </c>
      <c r="T212" s="460">
        <f ca="1">IF(B212&gt;='2.2 Input_General_Information'!$H$20,IF(S212="","",S212-VLOOKUP('2.2 Input_General_Information'!$H$20,$B$197:$S$237,18)),0)</f>
        <v>0.80000000000000804</v>
      </c>
      <c r="U212" s="460">
        <f ca="1">IF(AND($B212&lt;=U$189,$B212&gt;='2.2 Input_General_Information'!$H$20),$U$191/(1+EXP(-$U$193*($B212-(LN(1/$U$188-1)/$U$193+$U$187)))),)</f>
        <v>0.18300712791763285</v>
      </c>
      <c r="V212" s="460">
        <f ca="1">IF(AND($B212&lt;=V$189,$B212&gt;='2.2 Input_General_Information'!$H$20),$V$191/(1+EXP(-$V$193*($B212-(LN(1/$V$188-1)/$V$193+$V$187)))),)</f>
        <v>5.3092867301361715E-2</v>
      </c>
      <c r="W212" s="460">
        <f ca="1">IF(AND($B212&lt;=W$189,$B212&gt;='2.2 Input_General_Information'!$H$20),$W$191/(1+EXP(-$W$193*($B212-(LN(1/$W$188-1)/$W$193+$W$187)))),)</f>
        <v>5.0966334059985581E-2</v>
      </c>
      <c r="X212" s="460">
        <f ca="1">IF(AND($B212&lt;=X$189,$B212&gt;='2.2 Input_General_Information'!$H$20),$X$191/(1+EXP(-$X$193*($B212-(LN(1/$X$188-1)/$X$193+$X$187)))),)</f>
        <v>1.3121768208981751E-2</v>
      </c>
      <c r="Y212" s="460">
        <f ca="1">IF(AND($B212&lt;=Y$189,$B212&gt;='2.2 Input_General_Information'!$H$20),$Y$191/(1+EXP(-$Y$193*($B212-(LN(1/$Y$188-1)/$Y$193+$Y$187)))),)</f>
        <v>0.88900076402770878</v>
      </c>
    </row>
    <row r="213" spans="1:25">
      <c r="A213" s="441"/>
      <c r="B213" s="458">
        <f t="shared" si="20"/>
        <v>2034</v>
      </c>
      <c r="C213" s="491">
        <f t="shared" ca="1" si="18"/>
        <v>7.3807402659843341E-2</v>
      </c>
      <c r="D213" s="492">
        <f t="shared" ca="1" si="19"/>
        <v>0.34151307056191682</v>
      </c>
      <c r="E213" s="460">
        <f ca="1">IF(AND($B213&lt;=$E$189,$B213&gt;='2.2 Input_General_Information'!$H$20),$E$191/(1+EXP(-$E$193*($B213-(LN(1/$E$188-1)/$E$193+$E$187)))),1)</f>
        <v>1</v>
      </c>
      <c r="F213" s="460">
        <f ca="1">IF(AND($B213&lt;=F$189,$B213&gt;='2.2 Input_General_Information'!$H$20),$F$191/(1+EXP(-$F$193*($B213-(LN(1/$F$188-1)/$F$193+$F$187)))),)</f>
        <v>0.40315611734869766</v>
      </c>
      <c r="G213" s="460">
        <f ca="1">IF(AND($B213&lt;=G$189,$B213&gt;='2.2 Input_General_Information'!$H$20),$G$191/(1+EXP(-$G$193*($B213-(LN(1/$G$188-1)/$G$193+$G$187)))),)</f>
        <v>0.38593413954492789</v>
      </c>
      <c r="H213" s="460">
        <f ca="1">IF(AND($B213&lt;=H$189,$B213&gt;='2.2 Input_General_Information'!$H$20),$H$191/(1+EXP(-$H$193*($B213-(LN(1/$H$188-1)/$H$193+$H$187)))),1)</f>
        <v>1</v>
      </c>
      <c r="I213" s="460">
        <f ca="1">IF(AND($B213&lt;=I$189,$B213&gt;='2.2 Input_General_Information'!$H$20),$I$191/(1+EXP(-$I$193*($B213-(LN(1/$I$188-1)/$I$193+$I$187)))),)</f>
        <v>0.95368770436304129</v>
      </c>
      <c r="J213" s="460">
        <f ca="1">IF(AND($B213&lt;=J$189,$B213&gt;='2.2 Input_General_Information'!$H$20),$J$191/(1+EXP(-$J$193*($B213-(LN(1/$J$188-1)/$J$193+$J$187)))),1)</f>
        <v>1</v>
      </c>
      <c r="K213" s="460">
        <f ca="1">IF(AND($B213&lt;=K$189,$B213&gt;='2.2 Input_General_Information'!$H$20),$K$191/(1+EXP(-$K$193*($B213-(LN(1/$K$188-1)/$K$193+$K$187)))),)</f>
        <v>0.95636677532572056</v>
      </c>
      <c r="L213" s="460">
        <f ca="1">IF(AND($B213&lt;=L$189,$B213&gt;='2.2 Input_General_Information'!$H$20),$L$191/(1+EXP(-$L$193*($B213-(LN(1/$L$188-1)/$L$193+$L$187)))),1)</f>
        <v>1</v>
      </c>
      <c r="M213" s="460">
        <f ca="1">IF(M$188=0,0,IF(M$188=1,1,IF(AND($B213&lt;=M$189,$B213&gt;='2.2 Input_General_Information'!$H$20),$M$191/(1+EXP(-$M$193*($B213-(LN(1/$M$188-1)/$M$193+$M$187)))),)))</f>
        <v>0.27013008903186675</v>
      </c>
      <c r="N213" s="460">
        <f ca="1">IF(N$188=0,0,IF(N$188=1,1,IF(AND($B213&lt;=N$189,$B213&gt;='2.2 Input_General_Information'!$H$20),$N$191/(1+EXP(-$N$193*($B213-(LN(1/$N$188-1)/$N$193+$N$187)))),)))</f>
        <v>0.1601309739759752</v>
      </c>
      <c r="O213" s="460">
        <f ca="1">IF(O$188=0,0,IF(O$188=100%,100%,IF(AND($B213&lt;=O$189,$B213&gt;='2.2 Input_General_Information'!$H$20),$O$191/(1+EXP(-$O$193*($B213-(LN(1/$O$188-1)/$O$193+$O$187)))),)))</f>
        <v>9.9203300995024044E-2</v>
      </c>
      <c r="P213" s="460" t="e">
        <f ca="1">IF(P$188=0,0,IF(AND($B213&lt;=P$189,$B213&gt;='2.2 Input_General_Information'!$H$20),$P$191/(1+EXP(-$P$193*($B213-(LN(1/$P$188-1)/$P$193+$P$187)))),))</f>
        <v>#DIV/0!</v>
      </c>
      <c r="Q213" s="460">
        <f ca="1">IF(AND($B213&lt;=Q$189,$B213&gt;='2.2 Input_General_Information'!$H$20),$Q$191/(1+EXP(-$Q$193*($B213-(LN(1/$Q$188-1)/$Q$193+$Q$187)))),)</f>
        <v>0.38593413954492789</v>
      </c>
      <c r="R213" s="460">
        <f ca="1">IF(B213&gt;='2.2 Input_General_Information'!$H$20,Q213-VLOOKUP('2.2 Input_General_Information'!$H$20,$B$197:$Q$237,16),0)</f>
        <v>0.18593413954492718</v>
      </c>
      <c r="S213" s="460">
        <f ca="1">IF(AND($B213&lt;=S$189,$B213&gt;='2.2 Input_General_Information'!$H$20),$S$191/(1+EXP(-$S$193*($B213-(LN(1/$S$188-1)/$S$193+$S$187)))),1)</f>
        <v>1</v>
      </c>
      <c r="T213" s="460">
        <f ca="1">IF(B213&gt;='2.2 Input_General_Information'!$H$20,IF(S213="","",S213-VLOOKUP('2.2 Input_General_Information'!$H$20,$B$197:$S$237,18)),0)</f>
        <v>0.80000000000000804</v>
      </c>
      <c r="U213" s="460">
        <f ca="1">IF(AND($B213&lt;=U$189,$B213&gt;='2.2 Input_General_Information'!$H$20),$U$191/(1+EXP(-$U$193*($B213-(LN(1/$U$188-1)/$U$193+$U$187)))),)</f>
        <v>0.18539637438379539</v>
      </c>
      <c r="V213" s="460">
        <f ca="1">IF(AND($B213&lt;=V$189,$B213&gt;='2.2 Input_General_Information'!$H$20),$V$191/(1+EXP(-$V$193*($B213-(LN(1/$V$188-1)/$V$193+$V$187)))),)</f>
        <v>4.1713510741634943E-2</v>
      </c>
      <c r="W213" s="460">
        <f ca="1">IF(AND($B213&lt;=W$189,$B213&gt;='2.2 Input_General_Information'!$H$20),$W$191/(1+EXP(-$W$193*($B213-(LN(1/$W$188-1)/$W$193+$W$187)))),)</f>
        <v>4.0089814238382426E-2</v>
      </c>
      <c r="X213" s="460">
        <f ca="1">IF(AND($B213&lt;=X$189,$B213&gt;='2.2 Input_General_Information'!$H$20),$X$191/(1+EXP(-$X$193*($B213-(LN(1/$X$188-1)/$X$193+$X$187)))),)</f>
        <v>1.081579755584439E-2</v>
      </c>
      <c r="Y213" s="460">
        <f ca="1">IF(AND($B213&lt;=Y$189,$B213&gt;='2.2 Input_General_Information'!$H$20),$Y$191/(1+EXP(-$Y$193*($B213-(LN(1/$Y$188-1)/$Y$193+$Y$187)))),)</f>
        <v>0.91417890094560805</v>
      </c>
    </row>
    <row r="214" spans="1:25">
      <c r="A214" s="441"/>
      <c r="B214" s="458">
        <f t="shared" si="20"/>
        <v>2035</v>
      </c>
      <c r="C214" s="491">
        <f t="shared" ca="1" si="18"/>
        <v>7.9076596576238584E-2</v>
      </c>
      <c r="D214" s="492">
        <f t="shared" ca="1" si="19"/>
        <v>0.34192968899127052</v>
      </c>
      <c r="E214" s="460">
        <f ca="1">IF(AND($B214&lt;=$E$189,$B214&gt;='2.2 Input_General_Information'!$H$20),$E$191/(1+EXP(-$E$193*($B214-(LN(1/$E$188-1)/$E$193+$E$187)))),1)</f>
        <v>1</v>
      </c>
      <c r="F214" s="460">
        <f ca="1">IF(AND($B214&lt;=F$189,$B214&gt;='2.2 Input_General_Information'!$H$20),$F$191/(1+EXP(-$F$193*($B214-(LN(1/$F$188-1)/$F$193+$F$187)))),)</f>
        <v>0.41818976260178198</v>
      </c>
      <c r="G214" s="460">
        <f ca="1">IF(AND($B214&lt;=G$189,$B214&gt;='2.2 Input_General_Information'!$H$20),$G$191/(1+EXP(-$G$193*($B214-(LN(1/$G$188-1)/$G$193+$G$187)))),)</f>
        <v>0.39967504438845153</v>
      </c>
      <c r="H214" s="460">
        <f ca="1">IF(AND($B214&lt;=H$189,$B214&gt;='2.2 Input_General_Information'!$H$20),$H$191/(1+EXP(-$H$193*($B214-(LN(1/$H$188-1)/$H$193+$H$187)))),1)</f>
        <v>1</v>
      </c>
      <c r="I214" s="460">
        <f ca="1">IF(AND($B214&lt;=I$189,$B214&gt;='2.2 Input_General_Information'!$H$20),$I$191/(1+EXP(-$I$193*($B214-(LN(1/$I$188-1)/$I$193+$I$187)))),)</f>
        <v>0.96382878698159757</v>
      </c>
      <c r="J214" s="460">
        <f ca="1">IF(AND($B214&lt;=J$189,$B214&gt;='2.2 Input_General_Information'!$H$20),$J$191/(1+EXP(-$J$193*($B214-(LN(1/$J$188-1)/$J$193+$J$187)))),1)</f>
        <v>1</v>
      </c>
      <c r="K214" s="460">
        <f ca="1">IF(AND($B214&lt;=K$189,$B214&gt;='2.2 Input_General_Information'!$H$20),$K$191/(1+EXP(-$K$193*($B214-(LN(1/$K$188-1)/$K$193+$K$187)))),)</f>
        <v>0.96585653739523092</v>
      </c>
      <c r="L214" s="460">
        <f ca="1">IF(AND($B214&lt;=L$189,$B214&gt;='2.2 Input_General_Information'!$H$20),$L$191/(1+EXP(-$L$193*($B214-(LN(1/$L$188-1)/$L$193+$L$187)))),1)</f>
        <v>1</v>
      </c>
      <c r="M214" s="460">
        <f ca="1">IF(M$188=0,0,IF(M$188=1,1,IF(AND($B214&lt;=M$189,$B214&gt;='2.2 Input_General_Information'!$H$20),$M$191/(1+EXP(-$M$193*($B214-(LN(1/$M$188-1)/$M$193+$M$187)))),)))</f>
        <v>0.27499175165354733</v>
      </c>
      <c r="N214" s="460">
        <f ca="1">IF(N$188=0,0,IF(N$188=1,1,IF(AND($B214&lt;=N$189,$B214&gt;='2.2 Input_General_Information'!$H$20),$N$191/(1+EXP(-$N$193*($B214-(LN(1/$N$188-1)/$N$193+$N$187)))),)))</f>
        <v>0.16472195548693566</v>
      </c>
      <c r="O214" s="460">
        <f ca="1">IF(O$188=0,0,IF(O$188=100%,100%,IF(AND($B214&lt;=O$189,$B214&gt;='2.2 Input_General_Information'!$H$20),$O$191/(1+EXP(-$O$193*($B214-(LN(1/$O$188-1)/$O$193+$O$187)))),)))</f>
        <v>0.10340391550849573</v>
      </c>
      <c r="P214" s="460" t="e">
        <f ca="1">IF(P$188=0,0,IF(AND($B214&lt;=P$189,$B214&gt;='2.2 Input_General_Information'!$H$20),$P$191/(1+EXP(-$P$193*($B214-(LN(1/$P$188-1)/$P$193+$P$187)))),))</f>
        <v>#DIV/0!</v>
      </c>
      <c r="Q214" s="460">
        <f ca="1">IF(AND($B214&lt;=Q$189,$B214&gt;='2.2 Input_General_Information'!$H$20),$Q$191/(1+EXP(-$Q$193*($B214-(LN(1/$Q$188-1)/$Q$193+$Q$187)))),)</f>
        <v>0.39967504438845153</v>
      </c>
      <c r="R214" s="460">
        <f ca="1">IF(B214&gt;='2.2 Input_General_Information'!$H$20,Q214-VLOOKUP('2.2 Input_General_Information'!$H$20,$B$197:$Q$237,16),0)</f>
        <v>0.19967504438845082</v>
      </c>
      <c r="S214" s="460">
        <f ca="1">IF(AND($B214&lt;=S$189,$B214&gt;='2.2 Input_General_Information'!$H$20),$S$191/(1+EXP(-$S$193*($B214-(LN(1/$S$188-1)/$S$193+$S$187)))),1)</f>
        <v>1</v>
      </c>
      <c r="T214" s="460">
        <f ca="1">IF(B214&gt;='2.2 Input_General_Information'!$H$20,IF(S214="","",S214-VLOOKUP('2.2 Input_General_Information'!$H$20,$B$197:$S$237,18)),0)</f>
        <v>0.80000000000000804</v>
      </c>
      <c r="U214" s="460">
        <f ca="1">IF(AND($B214&lt;=U$189,$B214&gt;='2.2 Input_General_Information'!$H$20),$U$191/(1+EXP(-$U$193*($B214-(LN(1/$U$188-1)/$U$193+$U$187)))),)</f>
        <v>0.187809643049478</v>
      </c>
      <c r="V214" s="460">
        <f ca="1">IF(AND($B214&lt;=V$189,$B214&gt;='2.2 Input_General_Information'!$H$20),$V$191/(1+EXP(-$V$193*($B214-(LN(1/$V$188-1)/$V$193+$V$187)))),)</f>
        <v>3.2688887493844208E-2</v>
      </c>
      <c r="W214" s="460">
        <f ca="1">IF(AND($B214&lt;=W$189,$B214&gt;='2.2 Input_General_Information'!$H$20),$W$191/(1+EXP(-$W$193*($B214-(LN(1/$W$188-1)/$W$193+$W$187)))),)</f>
        <v>3.1457471038737791E-2</v>
      </c>
      <c r="X214" s="460">
        <f ca="1">IF(AND($B214&lt;=X$189,$B214&gt;='2.2 Input_General_Information'!$H$20),$X$191/(1+EXP(-$X$193*($B214-(LN(1/$X$188-1)/$X$193+$X$187)))),)</f>
        <v>8.9114102928329053E-3</v>
      </c>
      <c r="Y214" s="460">
        <f ca="1">IF(AND($B214&lt;=Y$189,$B214&gt;='2.2 Input_General_Information'!$H$20),$Y$191/(1+EXP(-$Y$193*($B214-(LN(1/$Y$188-1)/$Y$193+$Y$187)))),)</f>
        <v>0.93406939741993855</v>
      </c>
    </row>
    <row r="215" spans="1:25">
      <c r="A215" s="441"/>
      <c r="B215" s="458">
        <f t="shared" si="20"/>
        <v>2036</v>
      </c>
      <c r="C215" s="491">
        <f t="shared" ca="1" si="18"/>
        <v>8.4415400052723744E-2</v>
      </c>
      <c r="D215" s="492">
        <f t="shared" ca="1" si="19"/>
        <v>0.34221493626812394</v>
      </c>
      <c r="E215" s="460">
        <f ca="1">IF(AND($B215&lt;=$E$189,$B215&gt;='2.2 Input_General_Information'!$H$20),$E$191/(1+EXP(-$E$193*($B215-(LN(1/$E$188-1)/$E$193+$E$187)))),1)</f>
        <v>1</v>
      </c>
      <c r="F215" s="460">
        <f ca="1">IF(AND($B215&lt;=F$189,$B215&gt;='2.2 Input_General_Information'!$H$20),$F$191/(1+EXP(-$F$193*($B215-(LN(1/$F$188-1)/$F$193+$F$187)))),)</f>
        <v>0.43337694890672873</v>
      </c>
      <c r="G215" s="460">
        <f ca="1">IF(AND($B215&lt;=G$189,$B215&gt;='2.2 Input_General_Information'!$H$20),$G$191/(1+EXP(-$G$193*($B215-(LN(1/$G$188-1)/$G$193+$G$187)))),)</f>
        <v>0.41357568258733612</v>
      </c>
      <c r="H215" s="460">
        <f ca="1">IF(AND($B215&lt;=H$189,$B215&gt;='2.2 Input_General_Information'!$H$20),$H$191/(1+EXP(-$H$193*($B215-(LN(1/$H$188-1)/$H$193+$H$187)))),1)</f>
        <v>1</v>
      </c>
      <c r="I215" s="460">
        <f ca="1">IF(AND($B215&lt;=I$189,$B215&gt;='2.2 Input_General_Information'!$H$20),$I$191/(1+EXP(-$I$193*($B215-(LN(1/$I$188-1)/$I$193+$I$187)))),)</f>
        <v>0.97181488689789264</v>
      </c>
      <c r="J215" s="460">
        <f ca="1">IF(AND($B215&lt;=J$189,$B215&gt;='2.2 Input_General_Information'!$H$20),$J$191/(1+EXP(-$J$193*($B215-(LN(1/$J$188-1)/$J$193+$J$187)))),1)</f>
        <v>1</v>
      </c>
      <c r="K215" s="460">
        <f ca="1">IF(AND($B215&lt;=K$189,$B215&gt;='2.2 Input_General_Information'!$H$20),$K$191/(1+EXP(-$K$193*($B215-(LN(1/$K$188-1)/$K$193+$K$187)))),)</f>
        <v>0.97333991197158831</v>
      </c>
      <c r="L215" s="460">
        <f ca="1">IF(AND($B215&lt;=L$189,$B215&gt;='2.2 Input_General_Information'!$H$20),$L$191/(1+EXP(-$L$193*($B215-(LN(1/$L$188-1)/$L$193+$L$187)))),1)</f>
        <v>1</v>
      </c>
      <c r="M215" s="460">
        <f ca="1">IF(M$188=0,0,IF(M$188=1,1,IF(AND($B215&lt;=M$189,$B215&gt;='2.2 Input_General_Information'!$H$20),$M$191/(1+EXP(-$M$193*($B215-(LN(1/$M$188-1)/$M$193+$M$187)))),)))</f>
        <v>0.27990735634255021</v>
      </c>
      <c r="N215" s="460">
        <f ca="1">IF(N$188=0,0,IF(N$188=1,1,IF(AND($B215&lt;=N$189,$B215&gt;='2.2 Input_General_Information'!$H$20),$N$191/(1+EXP(-$N$193*($B215-(LN(1/$N$188-1)/$N$193+$N$187)))),)))</f>
        <v>0.16941801002169155</v>
      </c>
      <c r="O215" s="460">
        <f ca="1">IF(O$188=0,0,IF(O$188=100%,100%,IF(AND($B215&lt;=O$189,$B215&gt;='2.2 Input_General_Information'!$H$20),$O$191/(1+EXP(-$O$193*($B215-(LN(1/$O$188-1)/$O$193+$O$187)))),)))</f>
        <v>0.10776112052502977</v>
      </c>
      <c r="P215" s="460" t="e">
        <f ca="1">IF(P$188=0,0,IF(AND($B215&lt;=P$189,$B215&gt;='2.2 Input_General_Information'!$H$20),$P$191/(1+EXP(-$P$193*($B215-(LN(1/$P$188-1)/$P$193+$P$187)))),))</f>
        <v>#DIV/0!</v>
      </c>
      <c r="Q215" s="460">
        <f ca="1">IF(AND($B215&lt;=Q$189,$B215&gt;='2.2 Input_General_Information'!$H$20),$Q$191/(1+EXP(-$Q$193*($B215-(LN(1/$Q$188-1)/$Q$193+$Q$187)))),)</f>
        <v>0.41357568258733612</v>
      </c>
      <c r="R215" s="460">
        <f ca="1">IF(B215&gt;='2.2 Input_General_Information'!$H$20,Q215-VLOOKUP('2.2 Input_General_Information'!$H$20,$B$197:$Q$237,16),0)</f>
        <v>0.21357568258733542</v>
      </c>
      <c r="S215" s="460">
        <f ca="1">IF(AND($B215&lt;=S$189,$B215&gt;='2.2 Input_General_Information'!$H$20),$S$191/(1+EXP(-$S$193*($B215-(LN(1/$S$188-1)/$S$193+$S$187)))),1)</f>
        <v>1</v>
      </c>
      <c r="T215" s="460">
        <f ca="1">IF(B215&gt;='2.2 Input_General_Information'!$H$20,IF(S215="","",S215-VLOOKUP('2.2 Input_General_Information'!$H$20,$B$197:$S$237,18)),0)</f>
        <v>0.80000000000000804</v>
      </c>
      <c r="U215" s="460">
        <f ca="1">IF(AND($B215&lt;=U$189,$B215&gt;='2.2 Input_General_Information'!$H$20),$U$191/(1+EXP(-$U$193*($B215-(LN(1/$U$188-1)/$U$193+$U$187)))),)</f>
        <v>0.19024698838987322</v>
      </c>
      <c r="V215" s="460">
        <f ca="1">IF(AND($B215&lt;=V$189,$B215&gt;='2.2 Input_General_Information'!$H$20),$V$191/(1+EXP(-$V$193*($B215-(LN(1/$V$188-1)/$V$193+$V$187)))),)</f>
        <v>2.5564634420085695E-2</v>
      </c>
      <c r="W215" s="460">
        <f ca="1">IF(AND($B215&lt;=W$189,$B215&gt;='2.2 Input_General_Information'!$H$20),$W$191/(1+EXP(-$W$193*($B215-(LN(1/$W$188-1)/$W$193+$W$187)))),)</f>
        <v>2.4636182739524452E-2</v>
      </c>
      <c r="X215" s="460">
        <f ca="1">IF(AND($B215&lt;=X$189,$B215&gt;='2.2 Input_General_Information'!$H$20),$X$191/(1+EXP(-$X$193*($B215-(LN(1/$X$188-1)/$X$193+$X$187)))),)</f>
        <v>7.3398491951932911E-3</v>
      </c>
      <c r="Y215" s="460">
        <f ca="1">IF(AND($B215&lt;=Y$189,$B215&gt;='2.2 Input_General_Information'!$H$20),$Y$191/(1+EXP(-$Y$193*($B215-(LN(1/$Y$188-1)/$Y$193+$Y$187)))),)</f>
        <v>0.9496040669444531</v>
      </c>
    </row>
    <row r="216" spans="1:25">
      <c r="A216" s="441"/>
      <c r="B216" s="458">
        <f t="shared" si="20"/>
        <v>2037</v>
      </c>
      <c r="C216" s="491">
        <f t="shared" ca="1" si="18"/>
        <v>8.9821932745783845E-2</v>
      </c>
      <c r="D216" s="492">
        <f t="shared" ca="1" si="19"/>
        <v>0.34241018634537912</v>
      </c>
      <c r="E216" s="460">
        <f ca="1">IF(AND($B216&lt;=$E$189,$B216&gt;='2.2 Input_General_Information'!$H$20),$E$191/(1+EXP(-$E$193*($B216-(LN(1/$E$188-1)/$E$193+$E$187)))),1)</f>
        <v>1</v>
      </c>
      <c r="F216" s="460">
        <f ca="1">IF(AND($B216&lt;=F$189,$B216&gt;='2.2 Input_General_Information'!$H$20),$F$191/(1+EXP(-$F$193*($B216-(LN(1/$F$188-1)/$F$193+$F$187)))),)</f>
        <v>0.44869033042755441</v>
      </c>
      <c r="G216" s="460">
        <f ca="1">IF(AND($B216&lt;=G$189,$B216&gt;='2.2 Input_General_Information'!$H$20),$G$191/(1+EXP(-$G$193*($B216-(LN(1/$G$188-1)/$G$193+$G$187)))),)</f>
        <v>0.42761540966069295</v>
      </c>
      <c r="H216" s="460">
        <f ca="1">IF(AND($B216&lt;=H$189,$B216&gt;='2.2 Input_General_Information'!$H$20),$H$191/(1+EXP(-$H$193*($B216-(LN(1/$H$188-1)/$H$193+$H$187)))),1)</f>
        <v>1</v>
      </c>
      <c r="I216" s="460">
        <f ca="1">IF(AND($B216&lt;=I$189,$B216&gt;='2.2 Input_General_Information'!$H$20),$I$191/(1+EXP(-$I$193*($B216-(LN(1/$I$188-1)/$I$193+$I$187)))),)</f>
        <v>0.97807787135323898</v>
      </c>
      <c r="J216" s="460">
        <f ca="1">IF(AND($B216&lt;=J$189,$B216&gt;='2.2 Input_General_Information'!$H$20),$J$191/(1+EXP(-$J$193*($B216-(LN(1/$J$188-1)/$J$193+$J$187)))),1)</f>
        <v>1</v>
      </c>
      <c r="K216" s="460">
        <f ca="1">IF(AND($B216&lt;=K$189,$B216&gt;='2.2 Input_General_Information'!$H$20),$K$191/(1+EXP(-$K$193*($B216-(LN(1/$K$188-1)/$K$193+$K$187)))),)</f>
        <v>0.97921841220477812</v>
      </c>
      <c r="L216" s="460">
        <f ca="1">IF(AND($B216&lt;=L$189,$B216&gt;='2.2 Input_General_Information'!$H$20),$L$191/(1+EXP(-$L$193*($B216-(LN(1/$L$188-1)/$L$193+$L$187)))),1)</f>
        <v>1</v>
      </c>
      <c r="M216" s="460">
        <f ca="1">IF(M$188=0,0,IF(M$188=1,1,IF(AND($B216&lt;=M$189,$B216&gt;='2.2 Input_General_Information'!$H$20),$M$191/(1+EXP(-$M$193*($B216-(LN(1/$M$188-1)/$M$193+$M$187)))),)))</f>
        <v>0.28487630363098937</v>
      </c>
      <c r="N216" s="460">
        <f ca="1">IF(N$188=0,0,IF(N$188=1,1,IF(AND($B216&lt;=N$189,$B216&gt;='2.2 Input_General_Information'!$H$20),$N$191/(1+EXP(-$N$193*($B216-(LN(1/$N$188-1)/$N$193+$N$187)))),)))</f>
        <v>0.17422002000380052</v>
      </c>
      <c r="O216" s="460">
        <f ca="1">IF(O$188=0,0,IF(O$188=100%,100%,IF(AND($B216&lt;=O$189,$B216&gt;='2.2 Input_General_Information'!$H$20),$O$191/(1+EXP(-$O$193*($B216-(LN(1/$O$188-1)/$O$193+$O$187)))),)))</f>
        <v>0.11227893602099634</v>
      </c>
      <c r="P216" s="460" t="e">
        <f ca="1">IF(P$188=0,0,IF(AND($B216&lt;=P$189,$B216&gt;='2.2 Input_General_Information'!$H$20),$P$191/(1+EXP(-$P$193*($B216-(LN(1/$P$188-1)/$P$193+$P$187)))),))</f>
        <v>#DIV/0!</v>
      </c>
      <c r="Q216" s="460">
        <f ca="1">IF(AND($B216&lt;=Q$189,$B216&gt;='2.2 Input_General_Information'!$H$20),$Q$191/(1+EXP(-$Q$193*($B216-(LN(1/$Q$188-1)/$Q$193+$Q$187)))),)</f>
        <v>0.42761540966069295</v>
      </c>
      <c r="R216" s="460">
        <f ca="1">IF(B216&gt;='2.2 Input_General_Information'!$H$20,Q216-VLOOKUP('2.2 Input_General_Information'!$H$20,$B$197:$Q$237,16),0)</f>
        <v>0.22761540966069224</v>
      </c>
      <c r="S216" s="460">
        <f ca="1">IF(AND($B216&lt;=S$189,$B216&gt;='2.2 Input_General_Information'!$H$20),$S$191/(1+EXP(-$S$193*($B216-(LN(1/$S$188-1)/$S$193+$S$187)))),1)</f>
        <v>1</v>
      </c>
      <c r="T216" s="460">
        <f ca="1">IF(B216&gt;='2.2 Input_General_Information'!$H$20,IF(S216="","",S216-VLOOKUP('2.2 Input_General_Information'!$H$20,$B$197:$S$237,18)),0)</f>
        <v>0.80000000000000804</v>
      </c>
      <c r="U216" s="460">
        <f ca="1">IF(AND($B216&lt;=U$189,$B216&gt;='2.2 Input_General_Information'!$H$20),$U$191/(1+EXP(-$U$193*($B216-(LN(1/$U$188-1)/$U$193+$U$187)))),)</f>
        <v>0.19270845982554141</v>
      </c>
      <c r="V216" s="460">
        <f ca="1">IF(AND($B216&lt;=V$189,$B216&gt;='2.2 Input_General_Information'!$H$20),$V$191/(1+EXP(-$V$193*($B216-(LN(1/$V$188-1)/$V$193+$V$187)))),)</f>
        <v>1.9961008937798397E-2</v>
      </c>
      <c r="W216" s="460">
        <f ca="1">IF(AND($B216&lt;=W$189,$B216&gt;='2.2 Input_General_Information'!$H$20),$W$191/(1+EXP(-$W$193*($B216-(LN(1/$W$188-1)/$W$193+$W$187)))),)</f>
        <v>1.9264612960577455E-2</v>
      </c>
      <c r="X216" s="460">
        <f ca="1">IF(AND($B216&lt;=X$189,$B216&gt;='2.2 Input_General_Information'!$H$20),$X$191/(1+EXP(-$X$193*($B216-(LN(1/$X$188-1)/$X$193+$X$187)))),)</f>
        <v>6.0437487834320968E-3</v>
      </c>
      <c r="Y216" s="460">
        <f ca="1">IF(AND($B216&lt;=Y$189,$B216&gt;='2.2 Input_General_Information'!$H$20),$Y$191/(1+EXP(-$Y$193*($B216-(LN(1/$Y$188-1)/$Y$193+$Y$187)))),)</f>
        <v>0.96162879763846498</v>
      </c>
    </row>
    <row r="217" spans="1:25">
      <c r="A217" s="441"/>
      <c r="B217" s="458">
        <f t="shared" si="20"/>
        <v>2038</v>
      </c>
      <c r="C217" s="491">
        <f t="shared" ca="1" si="18"/>
        <v>9.5294183964183959E-2</v>
      </c>
      <c r="D217" s="492">
        <f t="shared" ca="1" si="19"/>
        <v>0.34254381000135092</v>
      </c>
      <c r="E217" s="460">
        <f ca="1">IF(AND($B217&lt;=$E$189,$B217&gt;='2.2 Input_General_Information'!$H$20),$E$191/(1+EXP(-$E$193*($B217-(LN(1/$E$188-1)/$E$193+$E$187)))),1)</f>
        <v>1</v>
      </c>
      <c r="F217" s="460">
        <f ca="1">IF(AND($B217&lt;=F$189,$B217&gt;='2.2 Input_General_Information'!$H$20),$F$191/(1+EXP(-$F$193*($B217-(LN(1/$F$188-1)/$F$193+$F$187)))),)</f>
        <v>0.46410161513775439</v>
      </c>
      <c r="G217" s="460">
        <f ca="1">IF(AND($B217&lt;=G$189,$B217&gt;='2.2 Input_General_Information'!$H$20),$G$191/(1+EXP(-$G$193*($B217-(LN(1/$G$188-1)/$G$193+$G$187)))),)</f>
        <v>0.44177270054532597</v>
      </c>
      <c r="H217" s="460">
        <f ca="1">IF(AND($B217&lt;=H$189,$B217&gt;='2.2 Input_General_Information'!$H$20),$H$191/(1+EXP(-$H$193*($B217-(LN(1/$H$188-1)/$H$193+$H$187)))),1)</f>
        <v>1</v>
      </c>
      <c r="I217" s="460">
        <f ca="1">IF(AND($B217&lt;=I$189,$B217&gt;='2.2 Input_General_Information'!$H$20),$I$191/(1+EXP(-$I$193*($B217-(LN(1/$I$188-1)/$I$193+$I$187)))),)</f>
        <v>0.98297354739033016</v>
      </c>
      <c r="J217" s="460">
        <f ca="1">IF(AND($B217&lt;=J$189,$B217&gt;='2.2 Input_General_Information'!$H$20),$J$191/(1+EXP(-$J$193*($B217-(LN(1/$J$188-1)/$J$193+$J$187)))),1)</f>
        <v>1</v>
      </c>
      <c r="K217" s="460">
        <f ca="1">IF(AND($B217&lt;=K$189,$B217&gt;='2.2 Input_General_Information'!$H$20),$K$191/(1+EXP(-$K$193*($B217-(LN(1/$K$188-1)/$K$193+$K$187)))),)</f>
        <v>0.98382225790735756</v>
      </c>
      <c r="L217" s="460">
        <f ca="1">IF(AND($B217&lt;=L$189,$B217&gt;='2.2 Input_General_Information'!$H$20),$L$191/(1+EXP(-$L$193*($B217-(LN(1/$L$188-1)/$L$193+$L$187)))),1)</f>
        <v>1</v>
      </c>
      <c r="M217" s="460">
        <f ca="1">IF(M$188=0,0,IF(M$188=1,1,IF(AND($B217&lt;=M$189,$B217&gt;='2.2 Input_General_Information'!$H$20),$M$191/(1+EXP(-$M$193*($B217-(LN(1/$M$188-1)/$M$193+$M$187)))),)))</f>
        <v>0.28989794855663609</v>
      </c>
      <c r="N217" s="460">
        <f ca="1">IF(N$188=0,0,IF(N$188=1,1,IF(AND($B217&lt;=N$189,$B217&gt;='2.2 Input_General_Information'!$H$20),$N$191/(1+EXP(-$N$193*($B217-(LN(1/$N$188-1)/$N$193+$N$187)))),)))</f>
        <v>0.17912878474779281</v>
      </c>
      <c r="O217" s="460">
        <f ca="1">IF(O$188=0,0,IF(O$188=100%,100%,IF(AND($B217&lt;=O$189,$B217&gt;='2.2 Input_General_Information'!$H$20),$O$191/(1+EXP(-$O$193*($B217-(LN(1/$O$188-1)/$O$193+$O$187)))),)))</f>
        <v>0.11696132920126374</v>
      </c>
      <c r="P217" s="460" t="e">
        <f ca="1">IF(P$188=0,0,IF(AND($B217&lt;=P$189,$B217&gt;='2.2 Input_General_Information'!$H$20),$P$191/(1+EXP(-$P$193*($B217-(LN(1/$P$188-1)/$P$193+$P$187)))),))</f>
        <v>#DIV/0!</v>
      </c>
      <c r="Q217" s="460">
        <f ca="1">IF(AND($B217&lt;=Q$189,$B217&gt;='2.2 Input_General_Information'!$H$20),$Q$191/(1+EXP(-$Q$193*($B217-(LN(1/$Q$188-1)/$Q$193+$Q$187)))),)</f>
        <v>0.44177270054532597</v>
      </c>
      <c r="R217" s="460">
        <f ca="1">IF(B217&gt;='2.2 Input_General_Information'!$H$20,Q217-VLOOKUP('2.2 Input_General_Information'!$H$20,$B$197:$Q$237,16),0)</f>
        <v>0.24177270054532526</v>
      </c>
      <c r="S217" s="460">
        <f ca="1">IF(AND($B217&lt;=S$189,$B217&gt;='2.2 Input_General_Information'!$H$20),$S$191/(1+EXP(-$S$193*($B217-(LN(1/$S$188-1)/$S$193+$S$187)))),1)</f>
        <v>1</v>
      </c>
      <c r="T217" s="460">
        <f ca="1">IF(B217&gt;='2.2 Input_General_Information'!$H$20,IF(S217="","",S217-VLOOKUP('2.2 Input_General_Information'!$H$20,$B$197:$S$237,18)),0)</f>
        <v>0.80000000000000804</v>
      </c>
      <c r="U217" s="460">
        <f ca="1">IF(AND($B217&lt;=U$189,$B217&gt;='2.2 Input_General_Information'!$H$20),$U$191/(1+EXP(-$U$193*($B217-(LN(1/$U$188-1)/$U$193+$U$187)))),)</f>
        <v>0.19519410160110431</v>
      </c>
      <c r="V217" s="460">
        <f ca="1">IF(AND($B217&lt;=V$189,$B217&gt;='2.2 Input_General_Information'!$H$20),$V$191/(1+EXP(-$V$193*($B217-(LN(1/$V$188-1)/$V$193+$V$187)))),)</f>
        <v>1.5566045827701198E-2</v>
      </c>
      <c r="W217" s="460">
        <f ca="1">IF(AND($B217&lt;=W$189,$B217&gt;='2.2 Input_General_Information'!$H$20),$W$191/(1+EXP(-$W$193*($B217-(LN(1/$W$188-1)/$W$193+$W$187)))),)</f>
        <v>1.5046170591672623E-2</v>
      </c>
      <c r="X217" s="460">
        <f ca="1">IF(AND($B217&lt;=X$189,$B217&gt;='2.2 Input_General_Information'!$H$20),$X$191/(1+EXP(-$X$193*($B217-(LN(1/$X$188-1)/$X$193+$X$187)))),)</f>
        <v>4.9753719152390036E-3</v>
      </c>
      <c r="Y217" s="460">
        <f ca="1">IF(AND($B217&lt;=Y$189,$B217&gt;='2.2 Input_General_Information'!$H$20),$Y$191/(1+EXP(-$Y$193*($B217-(LN(1/$Y$188-1)/$Y$193+$Y$187)))),)</f>
        <v>0.97087237240992441</v>
      </c>
    </row>
    <row r="218" spans="1:25">
      <c r="A218" s="441"/>
      <c r="B218" s="458">
        <f t="shared" si="20"/>
        <v>2039</v>
      </c>
      <c r="C218" s="491">
        <f t="shared" ca="1" si="18"/>
        <v>0.10083001398947566</v>
      </c>
      <c r="D218" s="492">
        <f t="shared" ca="1" si="19"/>
        <v>0.34263524709135662</v>
      </c>
      <c r="E218" s="460">
        <f ca="1">IF(AND($B218&lt;=$E$189,$B218&gt;='2.2 Input_General_Information'!$H$20),$E$191/(1+EXP(-$E$193*($B218-(LN(1/$E$188-1)/$E$193+$E$187)))),1)</f>
        <v>1</v>
      </c>
      <c r="F218" s="460">
        <f ca="1">IF(AND($B218&lt;=F$189,$B218&gt;='2.2 Input_General_Information'!$H$20),$F$191/(1+EXP(-$F$193*($B218-(LN(1/$F$188-1)/$F$193+$F$187)))),)</f>
        <v>0.47958176880215514</v>
      </c>
      <c r="G218" s="460">
        <f ca="1">IF(AND($B218&lt;=G$189,$B218&gt;='2.2 Input_General_Information'!$H$20),$G$191/(1+EXP(-$G$193*($B218-(LN(1/$G$188-1)/$G$193+$G$187)))),)</f>
        <v>0.45602527547503763</v>
      </c>
      <c r="H218" s="460">
        <f ca="1">IF(AND($B218&lt;=H$189,$B218&gt;='2.2 Input_General_Information'!$H$20),$H$191/(1+EXP(-$H$193*($B218-(LN(1/$H$188-1)/$H$193+$H$187)))),1)</f>
        <v>1</v>
      </c>
      <c r="I218" s="460">
        <f ca="1">IF(AND($B218&lt;=I$189,$B218&gt;='2.2 Input_General_Information'!$H$20),$I$191/(1+EXP(-$I$193*($B218-(LN(1/$I$188-1)/$I$193+$I$187)))),)</f>
        <v>0.98679068073854503</v>
      </c>
      <c r="J218" s="460">
        <f ca="1">IF(AND($B218&lt;=J$189,$B218&gt;='2.2 Input_General_Information'!$H$20),$J$191/(1+EXP(-$J$193*($B218-(LN(1/$J$188-1)/$J$193+$J$187)))),1)</f>
        <v>1</v>
      </c>
      <c r="K218" s="460">
        <f ca="1">IF(AND($B218&lt;=K$189,$B218&gt;='2.2 Input_General_Information'!$H$20),$K$191/(1+EXP(-$K$193*($B218-(LN(1/$K$188-1)/$K$193+$K$187)))),)</f>
        <v>0.98741929492116254</v>
      </c>
      <c r="L218" s="460">
        <f ca="1">IF(AND($B218&lt;=L$189,$B218&gt;='2.2 Input_General_Information'!$H$20),$L$191/(1+EXP(-$L$193*($B218-(LN(1/$L$188-1)/$L$193+$L$187)))),1)</f>
        <v>1</v>
      </c>
      <c r="M218" s="460">
        <f ca="1">IF(M$188=0,0,IF(M$188=1,1,IF(AND($B218&lt;=M$189,$B218&gt;='2.2 Input_General_Information'!$H$20),$M$191/(1+EXP(-$M$193*($B218-(LN(1/$M$188-1)/$M$193+$M$187)))),)))</f>
        <v>0.29497160039120046</v>
      </c>
      <c r="N218" s="460">
        <f ca="1">IF(N$188=0,0,IF(N$188=1,1,IF(AND($B218&lt;=N$189,$B218&gt;='2.2 Input_General_Information'!$H$20),$N$191/(1+EXP(-$N$193*($B218-(LN(1/$N$188-1)/$N$193+$N$187)))),)))</f>
        <v>0.18414501523597451</v>
      </c>
      <c r="O218" s="460">
        <f ca="1">IF(O$188=0,0,IF(O$188=100%,100%,IF(AND($B218&lt;=O$189,$B218&gt;='2.2 Input_General_Information'!$H$20),$O$191/(1+EXP(-$O$193*($B218-(LN(1/$O$188-1)/$O$193+$O$187)))),)))</f>
        <v>0.1218121983805287</v>
      </c>
      <c r="P218" s="460" t="e">
        <f ca="1">IF(P$188=0,0,IF(AND($B218&lt;=P$189,$B218&gt;='2.2 Input_General_Information'!$H$20),$P$191/(1+EXP(-$P$193*($B218-(LN(1/$P$188-1)/$P$193+$P$187)))),))</f>
        <v>#DIV/0!</v>
      </c>
      <c r="Q218" s="460">
        <f ca="1">IF(AND($B218&lt;=Q$189,$B218&gt;='2.2 Input_General_Information'!$H$20),$Q$191/(1+EXP(-$Q$193*($B218-(LN(1/$Q$188-1)/$Q$193+$Q$187)))),)</f>
        <v>0.45602527547503763</v>
      </c>
      <c r="R218" s="460">
        <f ca="1">IF(B218&gt;='2.2 Input_General_Information'!$H$20,Q218-VLOOKUP('2.2 Input_General_Information'!$H$20,$B$197:$Q$237,16),0)</f>
        <v>0.25602527547503695</v>
      </c>
      <c r="S218" s="460">
        <f ca="1">IF(AND($B218&lt;=S$189,$B218&gt;='2.2 Input_General_Information'!$H$20),$S$191/(1+EXP(-$S$193*($B218-(LN(1/$S$188-1)/$S$193+$S$187)))),1)</f>
        <v>1</v>
      </c>
      <c r="T218" s="460">
        <f ca="1">IF(B218&gt;='2.2 Input_General_Information'!$H$20,IF(S218="","",S218-VLOOKUP('2.2 Input_General_Information'!$H$20,$B$197:$S$237,18)),0)</f>
        <v>0.80000000000000804</v>
      </c>
      <c r="U218" s="460">
        <f ca="1">IF(AND($B218&lt;=U$189,$B218&gt;='2.2 Input_General_Information'!$H$20),$U$191/(1+EXP(-$U$193*($B218-(LN(1/$U$188-1)/$U$193+$U$187)))),)</f>
        <v>0.19770395266440269</v>
      </c>
      <c r="V218" s="460">
        <f ca="1">IF(AND($B218&lt;=V$189,$B218&gt;='2.2 Input_General_Information'!$H$20),$V$191/(1+EXP(-$V$193*($B218-(LN(1/$V$188-1)/$V$193+$V$187)))),)</f>
        <v>1.212678053287506E-2</v>
      </c>
      <c r="W218" s="460">
        <f ca="1">IF(AND($B218&lt;=W$189,$B218&gt;='2.2 Input_General_Information'!$H$20),$W$191/(1+EXP(-$W$193*($B218-(LN(1/$W$188-1)/$W$193+$W$187)))),)</f>
        <v>1.1740397933845877E-2</v>
      </c>
      <c r="X218" s="460">
        <f ca="1">IF(AND($B218&lt;=X$189,$B218&gt;='2.2 Input_General_Information'!$H$20),$X$191/(1+EXP(-$X$193*($B218-(LN(1/$X$188-1)/$X$193+$X$187)))),)</f>
        <v>4.0950780581228158E-3</v>
      </c>
      <c r="Y218" s="460">
        <f ca="1">IF(AND($B218&lt;=Y$189,$B218&gt;='2.2 Input_General_Information'!$H$20),$Y$191/(1+EXP(-$Y$193*($B218-(LN(1/$Y$188-1)/$Y$193+$Y$187)))),)</f>
        <v>0.9779402634909895</v>
      </c>
    </row>
    <row r="219" spans="1:25">
      <c r="A219" s="441"/>
      <c r="B219" s="458">
        <f t="shared" si="20"/>
        <v>2040</v>
      </c>
      <c r="C219" s="491">
        <f t="shared" ca="1" si="18"/>
        <v>0.10642715588756382</v>
      </c>
      <c r="D219" s="492">
        <f t="shared" ca="1" si="19"/>
        <v>0.34269781117862841</v>
      </c>
      <c r="E219" s="460">
        <f ca="1">IF(AND($B219&lt;=$E$189,$B219&gt;='2.2 Input_General_Information'!$H$20),$E$191/(1+EXP(-$E$193*($B219-(LN(1/$E$188-1)/$E$193+$E$187)))),1)</f>
        <v>1</v>
      </c>
      <c r="F219" s="460">
        <f ca="1">IF(AND($B219&lt;=F$189,$B219&gt;='2.2 Input_General_Information'!$H$20),$F$191/(1+EXP(-$F$193*($B219-(LN(1/$F$188-1)/$F$193+$F$187)))),)</f>
        <v>0.49510123082206059</v>
      </c>
      <c r="G219" s="460">
        <f ca="1">IF(AND($B219&lt;=G$189,$B219&gt;='2.2 Input_General_Information'!$H$20),$G$191/(1+EXP(-$G$193*($B219-(LN(1/$G$188-1)/$G$193+$G$187)))),)</f>
        <v>0.4703502360175188</v>
      </c>
      <c r="H219" s="460">
        <f ca="1">IF(AND($B219&lt;=H$189,$B219&gt;='2.2 Input_General_Information'!$H$20),$H$191/(1+EXP(-$H$193*($B219-(LN(1/$H$188-1)/$H$193+$H$187)))),1)</f>
        <v>1</v>
      </c>
      <c r="I219" s="460">
        <f ca="1">IF(AND($B219&lt;=I$189,$B219&gt;='2.2 Input_General_Information'!$H$20),$I$191/(1+EXP(-$I$193*($B219-(LN(1/$I$188-1)/$I$193+$I$187)))),)</f>
        <v>0.98976097092187487</v>
      </c>
      <c r="J219" s="460">
        <f ca="1">IF(AND($B219&lt;=J$189,$B219&gt;='2.2 Input_General_Information'!$H$20),$J$191/(1+EXP(-$J$193*($B219-(LN(1/$J$188-1)/$J$193+$J$187)))),1)</f>
        <v>1</v>
      </c>
      <c r="K219" s="460">
        <f ca="1">IF(AND($B219&lt;=K$189,$B219&gt;='2.2 Input_General_Information'!$H$20),$K$191/(1+EXP(-$K$193*($B219-(LN(1/$K$188-1)/$K$193+$K$187)))),)</f>
        <v>0.99022449625757269</v>
      </c>
      <c r="L219" s="460">
        <f ca="1">IF(AND($B219&lt;=L$189,$B219&gt;='2.2 Input_General_Information'!$H$20),$L$191/(1+EXP(-$L$193*($B219-(LN(1/$L$188-1)/$L$193+$L$187)))),1)</f>
        <v>1</v>
      </c>
      <c r="M219" s="460">
        <f ca="1">IF(M$188=0,0,IF(M$188=1,1,IF(AND($B219&lt;=M$189,$B219&gt;='2.2 Input_General_Information'!$H$20),$M$191/(1+EXP(-$M$193*($B219-(LN(1/$M$188-1)/$M$193+$M$187)))),)))</f>
        <v>0.30009652243941076</v>
      </c>
      <c r="N219" s="460">
        <f ca="1">IF(N$188=0,0,IF(N$188=1,1,IF(AND($B219&lt;=N$189,$B219&gt;='2.2 Input_General_Information'!$H$20),$N$191/(1+EXP(-$N$193*($B219-(LN(1/$N$188-1)/$N$193+$N$187)))),)))</f>
        <v>0.18926932887054376</v>
      </c>
      <c r="O219" s="460">
        <f ca="1">IF(O$188=0,0,IF(O$188=100%,100%,IF(AND($B219&lt;=O$189,$B219&gt;='2.2 Input_General_Information'!$H$20),$O$191/(1+EXP(-$O$193*($B219-(LN(1/$O$188-1)/$O$193+$O$187)))),)))</f>
        <v>0.12683535581931035</v>
      </c>
      <c r="P219" s="460" t="e">
        <f ca="1">IF(P$188=0,0,IF(AND($B219&lt;=P$189,$B219&gt;='2.2 Input_General_Information'!$H$20),$P$191/(1+EXP(-$P$193*($B219-(LN(1/$P$188-1)/$P$193+$P$187)))),))</f>
        <v>#DIV/0!</v>
      </c>
      <c r="Q219" s="460">
        <f ca="1">IF(AND($B219&lt;=Q$189,$B219&gt;='2.2 Input_General_Information'!$H$20),$Q$191/(1+EXP(-$Q$193*($B219-(LN(1/$Q$188-1)/$Q$193+$Q$187)))),)</f>
        <v>0.4703502360175188</v>
      </c>
      <c r="R219" s="460">
        <f ca="1">IF(B219&gt;='2.2 Input_General_Information'!$H$20,Q219-VLOOKUP('2.2 Input_General_Information'!$H$20,$B$197:$Q$237,16),0)</f>
        <v>0.27035023601751806</v>
      </c>
      <c r="S219" s="460">
        <f ca="1">IF(AND($B219&lt;=S$189,$B219&gt;='2.2 Input_General_Information'!$H$20),$S$191/(1+EXP(-$S$193*($B219-(LN(1/$S$188-1)/$S$193+$S$187)))),1)</f>
        <v>1</v>
      </c>
      <c r="T219" s="460">
        <f ca="1">IF(B219&gt;='2.2 Input_General_Information'!$H$20,IF(S219="","",S219-VLOOKUP('2.2 Input_General_Information'!$H$20,$B$197:$S$237,18)),0)</f>
        <v>0.80000000000000804</v>
      </c>
      <c r="U219" s="460">
        <f ca="1">IF(AND($B219&lt;=U$189,$B219&gt;='2.2 Input_General_Information'!$H$20),$U$191/(1+EXP(-$U$193*($B219-(LN(1/$U$188-1)/$U$193+$U$187)))),)</f>
        <v>0.2002380465462392</v>
      </c>
      <c r="V219" s="460">
        <f ca="1">IF(AND($B219&lt;=V$189,$B219&gt;='2.2 Input_General_Information'!$H$20),$V$191/(1+EXP(-$V$193*($B219-(LN(1/$V$188-1)/$V$193+$V$187)))),)</f>
        <v>9.4401223769595474E-3</v>
      </c>
      <c r="W219" s="460">
        <f ca="1">IF(AND($B219&lt;=W$189,$B219&gt;='2.2 Input_General_Information'!$H$20),$W$191/(1+EXP(-$W$193*($B219-(LN(1/$W$188-1)/$W$193+$W$187)))),)</f>
        <v>9.1541815580056061E-3</v>
      </c>
      <c r="X219" s="460">
        <f ca="1">IF(AND($B219&lt;=X$189,$B219&gt;='2.2 Input_General_Information'!$H$20),$X$191/(1+EXP(-$X$193*($B219-(LN(1/$X$188-1)/$X$193+$X$187)))),)</f>
        <v>3.3700073186163941E-3</v>
      </c>
      <c r="Y219" s="460">
        <f ca="1">IF(AND($B219&lt;=Y$189,$B219&gt;='2.2 Input_General_Information'!$H$20),$Y$191/(1+EXP(-$Y$193*($B219-(LN(1/$Y$188-1)/$Y$193+$Y$187)))),)</f>
        <v>0.98332257386225796</v>
      </c>
    </row>
    <row r="220" spans="1:25">
      <c r="A220" s="441"/>
      <c r="B220" s="458">
        <f t="shared" si="20"/>
        <v>2041</v>
      </c>
      <c r="C220" s="491">
        <f t="shared" ca="1" si="18"/>
        <v>0.11208321781900296</v>
      </c>
      <c r="D220" s="492">
        <f t="shared" ca="1" si="19"/>
        <v>0.34274061701354908</v>
      </c>
      <c r="E220" s="460">
        <f ca="1">IF(AND($B220&lt;=$E$189,$B220&gt;='2.2 Input_General_Information'!$H$20),$E$191/(1+EXP(-$E$193*($B220-(LN(1/$E$188-1)/$E$193+$E$187)))),1)</f>
        <v>1</v>
      </c>
      <c r="F220" s="460">
        <f ca="1">IF(AND($B220&lt;=F$189,$B220&gt;='2.2 Input_General_Information'!$H$20),$F$191/(1+EXP(-$F$193*($B220-(LN(1/$F$188-1)/$F$193+$F$187)))),)</f>
        <v>0.51063013858718731</v>
      </c>
      <c r="G220" s="460">
        <f ca="1">IF(AND($B220&lt;=G$189,$B220&gt;='2.2 Input_General_Information'!$H$20),$G$191/(1+EXP(-$G$193*($B220-(LN(1/$G$188-1)/$G$193+$G$187)))),)</f>
        <v>0.48472420956868956</v>
      </c>
      <c r="H220" s="460">
        <f ca="1">IF(AND($B220&lt;=H$189,$B220&gt;='2.2 Input_General_Information'!$H$20),$H$191/(1+EXP(-$H$193*($B220-(LN(1/$H$188-1)/$H$193+$H$187)))),1)</f>
        <v>1</v>
      </c>
      <c r="I220" s="460">
        <f ca="1">IF(AND($B220&lt;=I$189,$B220&gt;='2.2 Input_General_Information'!$H$20),$I$191/(1+EXP(-$I$193*($B220-(LN(1/$I$188-1)/$I$193+$I$187)))),)</f>
        <v>0.99206872034800186</v>
      </c>
      <c r="J220" s="460">
        <f ca="1">IF(AND($B220&lt;=J$189,$B220&gt;='2.2 Input_General_Information'!$H$20),$J$191/(1+EXP(-$J$193*($B220-(LN(1/$J$188-1)/$J$193+$J$187)))),1)</f>
        <v>1</v>
      </c>
      <c r="K220" s="460">
        <f ca="1">IF(AND($B220&lt;=K$189,$B220&gt;='2.2 Input_General_Information'!$H$20),$K$191/(1+EXP(-$K$193*($B220-(LN(1/$K$188-1)/$K$193+$K$187)))),)</f>
        <v>0.99240901228624701</v>
      </c>
      <c r="L220" s="460">
        <f ca="1">IF(AND($B220&lt;=L$189,$B220&gt;='2.2 Input_General_Information'!$H$20),$L$191/(1+EXP(-$L$193*($B220-(LN(1/$L$188-1)/$L$193+$L$187)))),1)</f>
        <v>1</v>
      </c>
      <c r="M220" s="460">
        <f ca="1">IF(M$188=0,0,IF(M$188=1,1,IF(AND($B220&lt;=M$189,$B220&gt;='2.2 Input_General_Information'!$H$20),$M$191/(1+EXP(-$M$193*($B220-(LN(1/$M$188-1)/$M$193+$M$187)))),)))</f>
        <v>0.30527193191146879</v>
      </c>
      <c r="N220" s="460">
        <f ca="1">IF(N$188=0,0,IF(N$188=1,1,IF(AND($B220&lt;=N$189,$B220&gt;='2.2 Input_General_Information'!$H$20),$N$191/(1+EXP(-$N$193*($B220-(LN(1/$N$188-1)/$N$193+$N$187)))),)))</f>
        <v>0.19450224422064114</v>
      </c>
      <c r="O220" s="460">
        <f ca="1">IF(O$188=0,0,IF(O$188=100%,100%,IF(AND($B220&lt;=O$189,$B220&gt;='2.2 Input_General_Information'!$H$20),$O$191/(1+EXP(-$O$193*($B220-(LN(1/$O$188-1)/$O$193+$O$187)))),)))</f>
        <v>0.13203450952607476</v>
      </c>
      <c r="P220" s="460" t="e">
        <f ca="1">IF(P$188=0,0,IF(AND($B220&lt;=P$189,$B220&gt;='2.2 Input_General_Information'!$H$20),$P$191/(1+EXP(-$P$193*($B220-(LN(1/$P$188-1)/$P$193+$P$187)))),))</f>
        <v>#DIV/0!</v>
      </c>
      <c r="Q220" s="460">
        <f ca="1">IF(AND($B220&lt;=Q$189,$B220&gt;='2.2 Input_General_Information'!$H$20),$Q$191/(1+EXP(-$Q$193*($B220-(LN(1/$Q$188-1)/$Q$193+$Q$187)))),)</f>
        <v>0.48472420956868956</v>
      </c>
      <c r="R220" s="460">
        <f ca="1">IF(B220&gt;='2.2 Input_General_Information'!$H$20,Q220-VLOOKUP('2.2 Input_General_Information'!$H$20,$B$197:$Q$237,16),0)</f>
        <v>0.28472420956868882</v>
      </c>
      <c r="S220" s="460">
        <f ca="1">IF(AND($B220&lt;=S$189,$B220&gt;='2.2 Input_General_Information'!$H$20),$S$191/(1+EXP(-$S$193*($B220-(LN(1/$S$188-1)/$S$193+$S$187)))),1)</f>
        <v>1</v>
      </c>
      <c r="T220" s="460">
        <f ca="1">IF(B220&gt;='2.2 Input_General_Information'!$H$20,IF(S220="","",S220-VLOOKUP('2.2 Input_General_Information'!$H$20,$B$197:$S$237,18)),0)</f>
        <v>0.80000000000000804</v>
      </c>
      <c r="U220" s="460">
        <f ca="1">IF(AND($B220&lt;=U$189,$B220&gt;='2.2 Input_General_Information'!$H$20),$U$191/(1+EXP(-$U$193*($B220-(LN(1/$U$188-1)/$U$193+$U$187)))),)</f>
        <v>0.20279641124083245</v>
      </c>
      <c r="V220" s="460">
        <f ca="1">IF(AND($B220&lt;=V$189,$B220&gt;='2.2 Input_General_Information'!$H$20),$V$191/(1+EXP(-$V$193*($B220-(LN(1/$V$188-1)/$V$193+$V$187)))),)</f>
        <v>7.3442615413311088E-3</v>
      </c>
      <c r="W220" s="460">
        <f ca="1">IF(AND($B220&lt;=W$189,$B220&gt;='2.2 Input_General_Information'!$H$20),$W$191/(1+EXP(-$W$193*($B220-(LN(1/$W$188-1)/$W$193+$W$187)))),)</f>
        <v>7.1335537997330211E-3</v>
      </c>
      <c r="X220" s="460">
        <f ca="1">IF(AND($B220&lt;=X$189,$B220&gt;='2.2 Input_General_Information'!$H$20),$X$191/(1+EXP(-$X$193*($B220-(LN(1/$X$188-1)/$X$193+$X$187)))),)</f>
        <v>2.7729594773648523E-3</v>
      </c>
      <c r="Y220" s="460">
        <f ca="1">IF(AND($B220&lt;=Y$189,$B220&gt;='2.2 Input_General_Information'!$H$20),$Y$191/(1+EXP(-$Y$193*($B220-(LN(1/$Y$188-1)/$Y$193+$Y$187)))),)</f>
        <v>0.98740857353480671</v>
      </c>
    </row>
    <row r="221" spans="1:25">
      <c r="A221" s="441"/>
      <c r="B221" s="458">
        <f t="shared" si="20"/>
        <v>2042</v>
      </c>
      <c r="C221" s="491">
        <f t="shared" ca="1" si="18"/>
        <v>0.11779568585268788</v>
      </c>
      <c r="D221" s="492">
        <f t="shared" ca="1" si="19"/>
        <v>0.34276990326748613</v>
      </c>
      <c r="E221" s="460">
        <f ca="1">IF(AND($B221&lt;=$E$189,$B221&gt;='2.2 Input_General_Information'!$H$20),$E$191/(1+EXP(-$E$193*($B221-(LN(1/$E$188-1)/$E$193+$E$187)))),1)</f>
        <v>1</v>
      </c>
      <c r="F221" s="460">
        <f ca="1">IF(AND($B221&lt;=F$189,$B221&gt;='2.2 Input_General_Information'!$H$20),$F$191/(1+EXP(-$F$193*($B221-(LN(1/$F$188-1)/$F$193+$F$187)))),)</f>
        <v>0.52613855674327925</v>
      </c>
      <c r="G221" s="460">
        <f ca="1">IF(AND($B221&lt;=G$189,$B221&gt;='2.2 Input_General_Information'!$H$20),$G$191/(1+EXP(-$G$193*($B221-(LN(1/$G$188-1)/$G$193+$G$187)))),)</f>
        <v>0.4991235004079283</v>
      </c>
      <c r="H221" s="460">
        <f ca="1">IF(AND($B221&lt;=H$189,$B221&gt;='2.2 Input_General_Information'!$H$20),$H$191/(1+EXP(-$H$193*($B221-(LN(1/$H$188-1)/$H$193+$H$187)))),1)</f>
        <v>1</v>
      </c>
      <c r="I221" s="460">
        <f ca="1">IF(AND($B221&lt;=I$189,$B221&gt;='2.2 Input_General_Information'!$H$20),$I$191/(1+EXP(-$I$193*($B221-(LN(1/$I$188-1)/$I$193+$I$187)))),)</f>
        <v>0.99385955875870302</v>
      </c>
      <c r="J221" s="460">
        <f ca="1">IF(AND($B221&lt;=J$189,$B221&gt;='2.2 Input_General_Information'!$H$20),$J$191/(1+EXP(-$J$193*($B221-(LN(1/$J$188-1)/$J$193+$J$187)))),1)</f>
        <v>1</v>
      </c>
      <c r="K221" s="460">
        <f ca="1">IF(AND($B221&lt;=K$189,$B221&gt;='2.2 Input_General_Information'!$H$20),$K$191/(1+EXP(-$K$193*($B221-(LN(1/$K$188-1)/$K$193+$K$187)))),)</f>
        <v>0.99410826261175123</v>
      </c>
      <c r="L221" s="460">
        <f ca="1">IF(AND($B221&lt;=L$189,$B221&gt;='2.2 Input_General_Information'!$H$20),$L$191/(1+EXP(-$L$193*($B221-(LN(1/$L$188-1)/$L$193+$L$187)))),1)</f>
        <v>1</v>
      </c>
      <c r="M221" s="460">
        <f ca="1">IF(M$188=0,0,IF(M$188=1,1,IF(AND($B221&lt;=M$189,$B221&gt;='2.2 Input_General_Information'!$H$20),$M$191/(1+EXP(-$M$193*($B221-(LN(1/$M$188-1)/$M$193+$M$187)))),)))</f>
        <v>0.3104969998713113</v>
      </c>
      <c r="N221" s="460">
        <f ca="1">IF(N$188=0,0,IF(N$188=1,1,IF(AND($B221&lt;=N$189,$B221&gt;='2.2 Input_General_Information'!$H$20),$N$191/(1+EXP(-$N$193*($B221-(LN(1/$N$188-1)/$N$193+$N$187)))),)))</f>
        <v>0.19984417578535013</v>
      </c>
      <c r="O221" s="460">
        <f ca="1">IF(O$188=0,0,IF(O$188=100%,100%,IF(AND($B221&lt;=O$189,$B221&gt;='2.2 Input_General_Information'!$H$20),$O$191/(1+EXP(-$O$193*($B221-(LN(1/$O$188-1)/$O$193+$O$187)))),)))</f>
        <v>0.13741324404756994</v>
      </c>
      <c r="P221" s="460" t="e">
        <f ca="1">IF(P$188=0,0,IF(AND($B221&lt;=P$189,$B221&gt;='2.2 Input_General_Information'!$H$20),$P$191/(1+EXP(-$P$193*($B221-(LN(1/$P$188-1)/$P$193+$P$187)))),))</f>
        <v>#DIV/0!</v>
      </c>
      <c r="Q221" s="460">
        <f ca="1">IF(AND($B221&lt;=Q$189,$B221&gt;='2.2 Input_General_Information'!$H$20),$Q$191/(1+EXP(-$Q$193*($B221-(LN(1/$Q$188-1)/$Q$193+$Q$187)))),)</f>
        <v>0.4991235004079283</v>
      </c>
      <c r="R221" s="460">
        <f ca="1">IF(B221&gt;='2.2 Input_General_Information'!$H$20,Q221-VLOOKUP('2.2 Input_General_Information'!$H$20,$B$197:$Q$237,16),0)</f>
        <v>0.29912350040792757</v>
      </c>
      <c r="S221" s="460">
        <f ca="1">IF(AND($B221&lt;=S$189,$B221&gt;='2.2 Input_General_Information'!$H$20),$S$191/(1+EXP(-$S$193*($B221-(LN(1/$S$188-1)/$S$193+$S$187)))),1)</f>
        <v>1</v>
      </c>
      <c r="T221" s="460">
        <f ca="1">IF(B221&gt;='2.2 Input_General_Information'!$H$20,IF(S221="","",S221-VLOOKUP('2.2 Input_General_Information'!$H$20,$B$197:$S$237,18)),0)</f>
        <v>0.80000000000000804</v>
      </c>
      <c r="U221" s="460">
        <f ca="1">IF(AND($B221&lt;=U$189,$B221&gt;='2.2 Input_General_Information'!$H$20),$U$191/(1+EXP(-$U$193*($B221-(LN(1/$U$188-1)/$U$193+$U$187)))),)</f>
        <v>0.20537906908710787</v>
      </c>
      <c r="V221" s="460">
        <f ca="1">IF(AND($B221&lt;=V$189,$B221&gt;='2.2 Input_General_Information'!$H$20),$V$191/(1+EXP(-$V$193*($B221-(LN(1/$V$188-1)/$V$193+$V$187)))),)</f>
        <v>5.7110331717802037E-3</v>
      </c>
      <c r="W221" s="460">
        <f ca="1">IF(AND($B221&lt;=W$189,$B221&gt;='2.2 Input_General_Information'!$H$20),$W$191/(1+EXP(-$W$193*($B221-(LN(1/$W$188-1)/$W$193+$W$187)))),)</f>
        <v>5.5564436087219915E-3</v>
      </c>
      <c r="X221" s="460">
        <f ca="1">IF(AND($B221&lt;=X$189,$B221&gt;='2.2 Input_General_Information'!$H$20),$X$191/(1+EXP(-$X$193*($B221-(LN(1/$X$188-1)/$X$193+$X$187)))),)</f>
        <v>2.28144556619284E-3</v>
      </c>
      <c r="Y221" s="460">
        <f ca="1">IF(AND($B221&lt;=Y$189,$B221&gt;='2.2 Input_General_Information'!$H$20),$Y$191/(1+EXP(-$Y$193*($B221-(LN(1/$Y$188-1)/$Y$193+$Y$187)))),)</f>
        <v>0.99050316418128792</v>
      </c>
    </row>
    <row r="222" spans="1:25">
      <c r="A222" s="441"/>
      <c r="B222" s="458">
        <f t="shared" si="20"/>
        <v>2043</v>
      </c>
      <c r="C222" s="491">
        <f t="shared" ca="1" si="18"/>
        <v>0.12356192728443308</v>
      </c>
      <c r="D222" s="492">
        <f t="shared" ca="1" si="19"/>
        <v>0.34278993936049651</v>
      </c>
      <c r="E222" s="460">
        <f ca="1">IF(AND($B222&lt;=$E$189,$B222&gt;='2.2 Input_General_Information'!$H$20),$E$191/(1+EXP(-$E$193*($B222-(LN(1/$E$188-1)/$E$193+$E$187)))),1)</f>
        <v>1</v>
      </c>
      <c r="F222" s="460">
        <f ca="1">IF(AND($B222&lt;=F$189,$B222&gt;='2.2 Input_General_Information'!$H$20),$F$191/(1+EXP(-$F$193*($B222-(LN(1/$F$188-1)/$F$193+$F$187)))),)</f>
        <v>0.54159670764750423</v>
      </c>
      <c r="G222" s="460">
        <f ca="1">IF(AND($B222&lt;=G$189,$B222&gt;='2.2 Input_General_Information'!$H$20),$G$191/(1+EXP(-$G$193*($B222-(LN(1/$G$188-1)/$G$193+$G$187)))),)</f>
        <v>0.51352424526287899</v>
      </c>
      <c r="H222" s="460">
        <f ca="1">IF(AND($B222&lt;=H$189,$B222&gt;='2.2 Input_General_Information'!$H$20),$H$191/(1+EXP(-$H$193*($B222-(LN(1/$H$188-1)/$H$193+$H$187)))),1)</f>
        <v>1</v>
      </c>
      <c r="I222" s="460">
        <f ca="1">IF(AND($B222&lt;=I$189,$B222&gt;='2.2 Input_General_Information'!$H$20),$I$191/(1+EXP(-$I$193*($B222-(LN(1/$I$188-1)/$I$193+$I$187)))),)</f>
        <v>0.99524797280972555</v>
      </c>
      <c r="J222" s="460">
        <f ca="1">IF(AND($B222&lt;=J$189,$B222&gt;='2.2 Input_General_Information'!$H$20),$J$191/(1+EXP(-$J$193*($B222-(LN(1/$J$188-1)/$J$193+$J$187)))),1)</f>
        <v>1</v>
      </c>
      <c r="K222" s="460">
        <f ca="1">IF(AND($B222&lt;=K$189,$B222&gt;='2.2 Input_General_Information'!$H$20),$K$191/(1+EXP(-$K$193*($B222-(LN(1/$K$188-1)/$K$193+$K$187)))),)</f>
        <v>0.9954288860776499</v>
      </c>
      <c r="L222" s="460">
        <f ca="1">IF(AND($B222&lt;=L$189,$B222&gt;='2.2 Input_General_Information'!$H$20),$L$191/(1+EXP(-$L$193*($B222-(LN(1/$L$188-1)/$L$193+$L$187)))),1)</f>
        <v>1</v>
      </c>
      <c r="M222" s="460">
        <f ca="1">IF(M$188=0,0,IF(M$188=1,1,IF(AND($B222&lt;=M$189,$B222&gt;='2.2 Input_General_Information'!$H$20),$M$191/(1+EXP(-$M$193*($B222-(LN(1/$M$188-1)/$M$193+$M$187)))),)))</f>
        <v>0.3157708512629438</v>
      </c>
      <c r="N222" s="460">
        <f ca="1">IF(N$188=0,0,IF(N$188=1,1,IF(AND($B222&lt;=N$189,$B222&gt;='2.2 Input_General_Information'!$H$20),$N$191/(1+EXP(-$N$193*($B222-(LN(1/$N$188-1)/$N$193+$N$187)))),)))</f>
        <v>0.20529542879502266</v>
      </c>
      <c r="O222" s="460">
        <f ca="1">IF(O$188=0,0,IF(O$188=100%,100%,IF(AND($B222&lt;=O$189,$B222&gt;='2.2 Input_General_Information'!$H$20),$O$191/(1+EXP(-$O$193*($B222-(LN(1/$O$188-1)/$O$193+$O$187)))),)))</f>
        <v>0.14297500028115562</v>
      </c>
      <c r="P222" s="460" t="e">
        <f ca="1">IF(P$188=0,0,IF(AND($B222&lt;=P$189,$B222&gt;='2.2 Input_General_Information'!$H$20),$P$191/(1+EXP(-$P$193*($B222-(LN(1/$P$188-1)/$P$193+$P$187)))),))</f>
        <v>#DIV/0!</v>
      </c>
      <c r="Q222" s="460">
        <f ca="1">IF(AND($B222&lt;=Q$189,$B222&gt;='2.2 Input_General_Information'!$H$20),$Q$191/(1+EXP(-$Q$193*($B222-(LN(1/$Q$188-1)/$Q$193+$Q$187)))),)</f>
        <v>0.51352424526287899</v>
      </c>
      <c r="R222" s="460">
        <f ca="1">IF(B222&gt;='2.2 Input_General_Information'!$H$20,Q222-VLOOKUP('2.2 Input_General_Information'!$H$20,$B$197:$Q$237,16),0)</f>
        <v>0.31352424526287825</v>
      </c>
      <c r="S222" s="460">
        <f ca="1">IF(AND($B222&lt;=S$189,$B222&gt;='2.2 Input_General_Information'!$H$20),$S$191/(1+EXP(-$S$193*($B222-(LN(1/$S$188-1)/$S$193+$S$187)))),1)</f>
        <v>1</v>
      </c>
      <c r="T222" s="460">
        <f ca="1">IF(B222&gt;='2.2 Input_General_Information'!$H$20,IF(S222="","",S222-VLOOKUP('2.2 Input_General_Information'!$H$20,$B$197:$S$237,18)),0)</f>
        <v>0.80000000000000804</v>
      </c>
      <c r="U222" s="460">
        <f ca="1">IF(AND($B222&lt;=U$189,$B222&gt;='2.2 Input_General_Information'!$H$20),$U$191/(1+EXP(-$U$193*($B222-(LN(1/$U$188-1)/$U$193+$U$187)))),)</f>
        <v>0.20798603665095805</v>
      </c>
      <c r="V222" s="460">
        <f ca="1">IF(AND($B222&lt;=V$189,$B222&gt;='2.2 Input_General_Information'!$H$20),$V$191/(1+EXP(-$V$193*($B222-(LN(1/$V$188-1)/$V$193+$V$187)))),)</f>
        <v>4.439380369980964E-3</v>
      </c>
      <c r="W222" s="460">
        <f ca="1">IF(AND($B222&lt;=W$189,$B222&gt;='2.2 Input_General_Information'!$H$20),$W$191/(1+EXP(-$W$193*($B222-(LN(1/$W$188-1)/$W$193+$W$187)))),)</f>
        <v>4.3264869035820469E-3</v>
      </c>
      <c r="X222" s="460">
        <f ca="1">IF(AND($B222&lt;=X$189,$B222&gt;='2.2 Input_General_Information'!$H$20),$X$191/(1+EXP(-$X$193*($B222-(LN(1/$X$188-1)/$X$193+$X$187)))),)</f>
        <v>1.8768897356785366E-3</v>
      </c>
      <c r="Y222" s="460">
        <f ca="1">IF(AND($B222&lt;=Y$189,$B222&gt;='2.2 Input_General_Information'!$H$20),$Y$191/(1+EXP(-$Y$193*($B222-(LN(1/$Y$188-1)/$Y$193+$Y$187)))),)</f>
        <v>0.99284271126387413</v>
      </c>
    </row>
    <row r="223" spans="1:25">
      <c r="A223" s="441"/>
      <c r="B223" s="458">
        <f t="shared" si="20"/>
        <v>2044</v>
      </c>
      <c r="C223" s="491">
        <f t="shared" ca="1" si="18"/>
        <v>0.12937919445862603</v>
      </c>
      <c r="D223" s="492">
        <f t="shared" ca="1" si="19"/>
        <v>0.34280364673547614</v>
      </c>
      <c r="E223" s="460">
        <f ca="1">IF(AND($B223&lt;=$E$189,$B223&gt;='2.2 Input_General_Information'!$H$20),$E$191/(1+EXP(-$E$193*($B223-(LN(1/$E$188-1)/$E$193+$E$187)))),1)</f>
        <v>1</v>
      </c>
      <c r="F223" s="460">
        <f ca="1">IF(AND($B223&lt;=F$189,$B223&gt;='2.2 Input_General_Information'!$H$20),$F$191/(1+EXP(-$F$193*($B223-(LN(1/$F$188-1)/$F$193+$F$187)))),)</f>
        <v>0.55697519925054861</v>
      </c>
      <c r="G223" s="460">
        <f ca="1">IF(AND($B223&lt;=G$189,$B223&gt;='2.2 Input_General_Information'!$H$20),$G$191/(1+EXP(-$G$193*($B223-(LN(1/$G$188-1)/$G$193+$G$187)))),)</f>
        <v>0.52790257122498707</v>
      </c>
      <c r="H223" s="460">
        <f ca="1">IF(AND($B223&lt;=H$189,$B223&gt;='2.2 Input_General_Information'!$H$20),$H$191/(1+EXP(-$H$193*($B223-(LN(1/$H$188-1)/$H$193+$H$187)))),1)</f>
        <v>1</v>
      </c>
      <c r="I223" s="460">
        <f ca="1">IF(AND($B223&lt;=I$189,$B223&gt;='2.2 Input_General_Information'!$H$20),$I$191/(1+EXP(-$I$193*($B223-(LN(1/$I$188-1)/$I$193+$I$187)))),)</f>
        <v>0.9963236140859173</v>
      </c>
      <c r="J223" s="460">
        <f ca="1">IF(AND($B223&lt;=J$189,$B223&gt;='2.2 Input_General_Information'!$H$20),$J$191/(1+EXP(-$J$193*($B223-(LN(1/$J$188-1)/$J$193+$J$187)))),1)</f>
        <v>1</v>
      </c>
      <c r="K223" s="460">
        <f ca="1">IF(AND($B223&lt;=K$189,$B223&gt;='2.2 Input_General_Information'!$H$20),$K$191/(1+EXP(-$K$193*($B223-(LN(1/$K$188-1)/$K$193+$K$187)))),)</f>
        <v>0.99645454964506774</v>
      </c>
      <c r="L223" s="460">
        <f ca="1">IF(AND($B223&lt;=L$189,$B223&gt;='2.2 Input_General_Information'!$H$20),$L$191/(1+EXP(-$L$193*($B223-(LN(1/$L$188-1)/$L$193+$L$187)))),1)</f>
        <v>1</v>
      </c>
      <c r="M223" s="460">
        <f ca="1">IF(M$188=0,0,IF(M$188=1,1,IF(AND($B223&lt;=M$189,$B223&gt;='2.2 Input_General_Information'!$H$20),$M$191/(1+EXP(-$M$193*($B223-(LN(1/$M$188-1)/$M$193+$M$187)))),)))</f>
        <v>0.32109256501693195</v>
      </c>
      <c r="N223" s="460">
        <f ca="1">IF(N$188=0,0,IF(N$188=1,1,IF(AND($B223&lt;=N$189,$B223&gt;='2.2 Input_General_Information'!$H$20),$N$191/(1+EXP(-$N$193*($B223-(LN(1/$N$188-1)/$N$193+$N$187)))),)))</f>
        <v>0.21085619407460965</v>
      </c>
      <c r="O223" s="460">
        <f ca="1">IF(O$188=0,0,IF(O$188=100%,100%,IF(AND($B223&lt;=O$189,$B223&gt;='2.2 Input_General_Information'!$H$20),$O$191/(1+EXP(-$O$193*($B223-(LN(1/$O$188-1)/$O$193+$O$187)))),)))</f>
        <v>0.14872305435568439</v>
      </c>
      <c r="P223" s="460" t="e">
        <f ca="1">IF(P$188=0,0,IF(AND($B223&lt;=P$189,$B223&gt;='2.2 Input_General_Information'!$H$20),$P$191/(1+EXP(-$P$193*($B223-(LN(1/$P$188-1)/$P$193+$P$187)))),))</f>
        <v>#DIV/0!</v>
      </c>
      <c r="Q223" s="460">
        <f ca="1">IF(AND($B223&lt;=Q$189,$B223&gt;='2.2 Input_General_Information'!$H$20),$Q$191/(1+EXP(-$Q$193*($B223-(LN(1/$Q$188-1)/$Q$193+$Q$187)))),)</f>
        <v>0.52790257122498707</v>
      </c>
      <c r="R223" s="460">
        <f ca="1">IF(B223&gt;='2.2 Input_General_Information'!$H$20,Q223-VLOOKUP('2.2 Input_General_Information'!$H$20,$B$197:$Q$237,16),0)</f>
        <v>0.32790257122498634</v>
      </c>
      <c r="S223" s="460">
        <f ca="1">IF(AND($B223&lt;=S$189,$B223&gt;='2.2 Input_General_Information'!$H$20),$S$191/(1+EXP(-$S$193*($B223-(LN(1/$S$188-1)/$S$193+$S$187)))),1)</f>
        <v>1</v>
      </c>
      <c r="T223" s="460">
        <f ca="1">IF(B223&gt;='2.2 Input_General_Information'!$H$20,IF(S223="","",S223-VLOOKUP('2.2 Input_General_Information'!$H$20,$B$197:$S$237,18)),0)</f>
        <v>0.80000000000000804</v>
      </c>
      <c r="U223" s="460">
        <f ca="1">IF(AND($B223&lt;=U$189,$B223&gt;='2.2 Input_General_Information'!$H$20),$U$191/(1+EXP(-$U$193*($B223-(LN(1/$U$188-1)/$U$193+$U$187)))),)</f>
        <v>0.21061732460860394</v>
      </c>
      <c r="V223" s="460">
        <f ca="1">IF(AND($B223&lt;=V$189,$B223&gt;='2.2 Input_General_Information'!$H$20),$V$191/(1+EXP(-$V$193*($B223-(LN(1/$V$188-1)/$V$193+$V$187)))),)</f>
        <v>3.4498989234276341E-3</v>
      </c>
      <c r="W223" s="460">
        <f ca="1">IF(AND($B223&lt;=W$189,$B223&gt;='2.2 Input_General_Information'!$H$20),$W$191/(1+EXP(-$W$193*($B223-(LN(1/$W$188-1)/$W$193+$W$187)))),)</f>
        <v>3.3678674506620429E-3</v>
      </c>
      <c r="X223" s="460">
        <f ca="1">IF(AND($B223&lt;=X$189,$B223&gt;='2.2 Input_General_Information'!$H$20),$X$191/(1+EXP(-$X$193*($B223-(LN(1/$X$188-1)/$X$193+$X$187)))),)</f>
        <v>1.543960487739533E-3</v>
      </c>
      <c r="Y223" s="460">
        <f ca="1">IF(AND($B223&lt;=Y$189,$B223&gt;='2.2 Input_General_Information'!$H$20),$Y$191/(1+EXP(-$Y$193*($B223-(LN(1/$Y$188-1)/$Y$193+$Y$187)))),)</f>
        <v>0.99460904738769851</v>
      </c>
    </row>
    <row r="224" spans="1:25">
      <c r="A224" s="441"/>
      <c r="B224" s="458">
        <f t="shared" si="20"/>
        <v>2045</v>
      </c>
      <c r="C224" s="491">
        <f t="shared" ca="1" si="18"/>
        <v>0.13524462908772236</v>
      </c>
      <c r="D224" s="492">
        <f t="shared" ca="1" si="19"/>
        <v>0.34281302430087646</v>
      </c>
      <c r="E224" s="460">
        <f ca="1">IF(AND($B224&lt;=$E$189,$B224&gt;='2.2 Input_General_Information'!$H$20),$E$191/(1+EXP(-$E$193*($B224-(LN(1/$E$188-1)/$E$193+$E$187)))),1)</f>
        <v>1</v>
      </c>
      <c r="F224" s="460">
        <f ca="1">IF(AND($B224&lt;=F$189,$B224&gt;='2.2 Input_General_Information'!$H$20),$F$191/(1+EXP(-$F$193*($B224-(LN(1/$F$188-1)/$F$193+$F$187)))),)</f>
        <v>0.57224524671615684</v>
      </c>
      <c r="G224" s="460">
        <f ca="1">IF(AND($B224&lt;=G$189,$B224&gt;='2.2 Input_General_Information'!$H$20),$G$191/(1+EXP(-$G$193*($B224-(LN(1/$G$188-1)/$G$193+$G$187)))),)</f>
        <v>0.5422347538004848</v>
      </c>
      <c r="H224" s="460">
        <f ca="1">IF(AND($B224&lt;=H$189,$B224&gt;='2.2 Input_General_Information'!$H$20),$H$191/(1+EXP(-$H$193*($B224-(LN(1/$H$188-1)/$H$193+$H$187)))),1)</f>
        <v>1</v>
      </c>
      <c r="I224" s="460">
        <f ca="1">IF(AND($B224&lt;=I$189,$B224&gt;='2.2 Input_General_Information'!$H$20),$I$191/(1+EXP(-$I$193*($B224-(LN(1/$I$188-1)/$I$193+$I$187)))),)</f>
        <v>0.99715647508539018</v>
      </c>
      <c r="J224" s="460">
        <f ca="1">IF(AND($B224&lt;=J$189,$B224&gt;='2.2 Input_General_Information'!$H$20),$J$191/(1+EXP(-$J$193*($B224-(LN(1/$J$188-1)/$J$193+$J$187)))),1)</f>
        <v>1</v>
      </c>
      <c r="K224" s="460">
        <f ca="1">IF(AND($B224&lt;=K$189,$B224&gt;='2.2 Input_General_Information'!$H$20),$K$191/(1+EXP(-$K$193*($B224-(LN(1/$K$188-1)/$K$193+$K$187)))),)</f>
        <v>0.99725071110922192</v>
      </c>
      <c r="L224" s="460">
        <f ca="1">IF(AND($B224&lt;=L$189,$B224&gt;='2.2 Input_General_Information'!$H$20),$L$191/(1+EXP(-$L$193*($B224-(LN(1/$L$188-1)/$L$193+$L$187)))),1)</f>
        <v>1</v>
      </c>
      <c r="M224" s="460">
        <f ca="1">IF(M$188=0,0,IF(M$188=1,1,IF(AND($B224&lt;=M$189,$B224&gt;='2.2 Input_General_Information'!$H$20),$M$191/(1+EXP(-$M$193*($B224-(LN(1/$M$188-1)/$M$193+$M$187)))),)))</f>
        <v>0.32646117423894178</v>
      </c>
      <c r="N224" s="460">
        <f ca="1">IF(N$188=0,0,IF(N$188=1,1,IF(AND($B224&lt;=N$189,$B224&gt;='2.2 Input_General_Information'!$H$20),$N$191/(1+EXP(-$N$193*($B224-(LN(1/$N$188-1)/$N$193+$N$187)))),)))</f>
        <v>0.21652654299390964</v>
      </c>
      <c r="O224" s="460">
        <f ca="1">IF(O$188=0,0,IF(O$188=100%,100%,IF(AND($B224&lt;=O$189,$B224&gt;='2.2 Input_General_Information'!$H$20),$O$191/(1+EXP(-$O$193*($B224-(LN(1/$O$188-1)/$O$193+$O$187)))),)))</f>
        <v>0.15466049564128831</v>
      </c>
      <c r="P224" s="460" t="e">
        <f ca="1">IF(P$188=0,0,IF(AND($B224&lt;=P$189,$B224&gt;='2.2 Input_General_Information'!$H$20),$P$191/(1+EXP(-$P$193*($B224-(LN(1/$P$188-1)/$P$193+$P$187)))),))</f>
        <v>#DIV/0!</v>
      </c>
      <c r="Q224" s="460">
        <f ca="1">IF(AND($B224&lt;=Q$189,$B224&gt;='2.2 Input_General_Information'!$H$20),$Q$191/(1+EXP(-$Q$193*($B224-(LN(1/$Q$188-1)/$Q$193+$Q$187)))),)</f>
        <v>0.5422347538004848</v>
      </c>
      <c r="R224" s="460">
        <f ca="1">IF(B224&gt;='2.2 Input_General_Information'!$H$20,Q224-VLOOKUP('2.2 Input_General_Information'!$H$20,$B$197:$Q$237,16),0)</f>
        <v>0.34223475380048407</v>
      </c>
      <c r="S224" s="460">
        <f ca="1">IF(AND($B224&lt;=S$189,$B224&gt;='2.2 Input_General_Information'!$H$20),$S$191/(1+EXP(-$S$193*($B224-(LN(1/$S$188-1)/$S$193+$S$187)))),1)</f>
        <v>1</v>
      </c>
      <c r="T224" s="460">
        <f ca="1">IF(B224&gt;='2.2 Input_General_Information'!$H$20,IF(S224="","",S224-VLOOKUP('2.2 Input_General_Information'!$H$20,$B$197:$S$237,18)),0)</f>
        <v>0.80000000000000804</v>
      </c>
      <c r="U224" s="460">
        <f ca="1">IF(AND($B224&lt;=U$189,$B224&gt;='2.2 Input_General_Information'!$H$20),$U$191/(1+EXP(-$U$193*($B224-(LN(1/$U$188-1)/$U$193+$U$187)))),)</f>
        <v>0.21327293763119437</v>
      </c>
      <c r="V224" s="460">
        <f ca="1">IF(AND($B224&lt;=V$189,$B224&gt;='2.2 Input_General_Information'!$H$20),$V$191/(1+EXP(-$V$193*($B224-(LN(1/$V$188-1)/$V$193+$V$187)))),)</f>
        <v>2.6803665404030968E-3</v>
      </c>
      <c r="W224" s="460">
        <f ca="1">IF(AND($B224&lt;=W$189,$B224&gt;='2.2 Input_General_Information'!$H$20),$W$191/(1+EXP(-$W$193*($B224-(LN(1/$W$188-1)/$W$193+$W$187)))),)</f>
        <v>2.621090112510863E-3</v>
      </c>
      <c r="X224" s="460">
        <f ca="1">IF(AND($B224&lt;=X$189,$B224&gt;='2.2 Input_General_Information'!$H$20),$X$191/(1+EXP(-$X$193*($B224-(LN(1/$X$188-1)/$X$193+$X$187)))),)</f>
        <v>1.270012247992329E-3</v>
      </c>
      <c r="Y224" s="460">
        <f ca="1">IF(AND($B224&lt;=Y$189,$B224&gt;='2.2 Input_General_Information'!$H$20),$Y$191/(1+EXP(-$Y$193*($B224-(LN(1/$Y$188-1)/$Y$193+$Y$187)))),)</f>
        <v>0.99594125418217305</v>
      </c>
    </row>
    <row r="225" spans="1:25">
      <c r="A225" s="441"/>
      <c r="B225" s="458">
        <f t="shared" si="20"/>
        <v>2046</v>
      </c>
      <c r="C225" s="491">
        <f t="shared" ca="1" si="18"/>
        <v>0.14115526706085765</v>
      </c>
      <c r="D225" s="492">
        <f t="shared" ca="1" si="19"/>
        <v>0.34281943967789152</v>
      </c>
      <c r="E225" s="460">
        <f ca="1">IF(AND($B225&lt;=$E$189,$B225&gt;='2.2 Input_General_Information'!$H$20),$E$191/(1+EXP(-$E$193*($B225-(LN(1/$E$188-1)/$E$193+$E$187)))),1)</f>
        <v>1</v>
      </c>
      <c r="F225" s="460">
        <f ca="1">IF(AND($B225&lt;=F$189,$B225&gt;='2.2 Input_General_Information'!$H$20),$F$191/(1+EXP(-$F$193*($B225-(LN(1/$F$188-1)/$F$193+$F$187)))),)</f>
        <v>0.58737888426265772</v>
      </c>
      <c r="G225" s="460">
        <f ca="1">IF(AND($B225&lt;=G$189,$B225&gt;='2.2 Input_General_Information'!$H$20),$G$191/(1+EXP(-$G$193*($B225-(LN(1/$G$188-1)/$G$193+$G$187)))),)</f>
        <v>0.55649737287828616</v>
      </c>
      <c r="H225" s="460">
        <f ca="1">IF(AND($B225&lt;=H$189,$B225&gt;='2.2 Input_General_Information'!$H$20),$H$191/(1+EXP(-$H$193*($B225-(LN(1/$H$188-1)/$H$193+$H$187)))),1)</f>
        <v>1</v>
      </c>
      <c r="I225" s="460">
        <f ca="1">IF(AND($B225&lt;=I$189,$B225&gt;='2.2 Input_General_Information'!$H$20),$I$191/(1+EXP(-$I$193*($B225-(LN(1/$I$188-1)/$I$193+$I$187)))),)</f>
        <v>0.9978010733370235</v>
      </c>
      <c r="J225" s="460">
        <f ca="1">IF(AND($B225&lt;=J$189,$B225&gt;='2.2 Input_General_Information'!$H$20),$J$191/(1+EXP(-$J$193*($B225-(LN(1/$J$188-1)/$J$193+$J$187)))),1)</f>
        <v>1</v>
      </c>
      <c r="K225" s="460">
        <f ca="1">IF(AND($B225&lt;=K$189,$B225&gt;='2.2 Input_General_Information'!$H$20),$K$191/(1+EXP(-$K$193*($B225-(LN(1/$K$188-1)/$K$193+$K$187)))),)</f>
        <v>0.99786847008937851</v>
      </c>
      <c r="L225" s="460">
        <f ca="1">IF(AND($B225&lt;=L$189,$B225&gt;='2.2 Input_General_Information'!$H$20),$L$191/(1+EXP(-$L$193*($B225-(LN(1/$L$188-1)/$L$193+$L$187)))),1)</f>
        <v>1</v>
      </c>
      <c r="M225" s="460">
        <f ca="1">IF(M$188=0,0,IF(M$188=1,1,IF(AND($B225&lt;=M$189,$B225&gt;='2.2 Input_General_Information'!$H$20),$M$191/(1+EXP(-$M$193*($B225-(LN(1/$M$188-1)/$M$193+$M$187)))),)))</f>
        <v>0.33187566648201133</v>
      </c>
      <c r="N225" s="460">
        <f ca="1">IF(N$188=0,0,IF(N$188=1,1,IF(AND($B225&lt;=N$189,$B225&gt;='2.2 Input_General_Information'!$H$20),$N$191/(1+EXP(-$N$193*($B225-(LN(1/$N$188-1)/$N$193+$N$187)))),)))</f>
        <v>0.22230642253079974</v>
      </c>
      <c r="O225" s="460">
        <f ca="1">IF(O$188=0,0,IF(O$188=100%,100%,IF(AND($B225&lt;=O$189,$B225&gt;='2.2 Input_General_Information'!$H$20),$O$191/(1+EXP(-$O$193*($B225-(LN(1/$O$188-1)/$O$193+$O$187)))),)))</f>
        <v>0.16079020396318189</v>
      </c>
      <c r="P225" s="460" t="e">
        <f ca="1">IF(P$188=0,0,IF(AND($B225&lt;=P$189,$B225&gt;='2.2 Input_General_Information'!$H$20),$P$191/(1+EXP(-$P$193*($B225-(LN(1/$P$188-1)/$P$193+$P$187)))),))</f>
        <v>#DIV/0!</v>
      </c>
      <c r="Q225" s="460">
        <f ca="1">IF(AND($B225&lt;=Q$189,$B225&gt;='2.2 Input_General_Information'!$H$20),$Q$191/(1+EXP(-$Q$193*($B225-(LN(1/$Q$188-1)/$Q$193+$Q$187)))),)</f>
        <v>0.55649737287828616</v>
      </c>
      <c r="R225" s="460">
        <f ca="1">IF(B225&gt;='2.2 Input_General_Information'!$H$20,Q225-VLOOKUP('2.2 Input_General_Information'!$H$20,$B$197:$Q$237,16),0)</f>
        <v>0.35649737287828542</v>
      </c>
      <c r="S225" s="460">
        <f ca="1">IF(AND($B225&lt;=S$189,$B225&gt;='2.2 Input_General_Information'!$H$20),$S$191/(1+EXP(-$S$193*($B225-(LN(1/$S$188-1)/$S$193+$S$187)))),1)</f>
        <v>1</v>
      </c>
      <c r="T225" s="460">
        <f ca="1">IF(B225&gt;='2.2 Input_General_Information'!$H$20,IF(S225="","",S225-VLOOKUP('2.2 Input_General_Information'!$H$20,$B$197:$S$237,18)),0)</f>
        <v>0.80000000000000804</v>
      </c>
      <c r="U225" s="460">
        <f ca="1">IF(AND($B225&lt;=U$189,$B225&gt;='2.2 Input_General_Information'!$H$20),$U$191/(1+EXP(-$U$193*($B225-(LN(1/$U$188-1)/$U$193+$U$187)))),)</f>
        <v>0.21595287427078147</v>
      </c>
      <c r="V225" s="460">
        <f ca="1">IF(AND($B225&lt;=V$189,$B225&gt;='2.2 Input_General_Information'!$H$20),$V$191/(1+EXP(-$V$193*($B225-(LN(1/$V$188-1)/$V$193+$V$187)))),)</f>
        <v>2.0821269514825378E-3</v>
      </c>
      <c r="W225" s="460">
        <f ca="1">IF(AND($B225&lt;=W$189,$B225&gt;='2.2 Input_General_Information'!$H$20),$W$191/(1+EXP(-$W$193*($B225-(LN(1/$W$188-1)/$W$193+$W$187)))),)</f>
        <v>2.0395613009515606E-3</v>
      </c>
      <c r="X225" s="460">
        <f ca="1">IF(AND($B225&lt;=X$189,$B225&gt;='2.2 Input_General_Information'!$H$20),$X$191/(1+EXP(-$X$193*($B225-(LN(1/$X$188-1)/$X$193+$X$187)))),)</f>
        <v>1.0446203807272729E-3</v>
      </c>
      <c r="Y225" s="460">
        <f ca="1">IF(AND($B225&lt;=Y$189,$B225&gt;='2.2 Input_General_Information'!$H$20),$Y$191/(1+EXP(-$Y$193*($B225-(LN(1/$Y$188-1)/$Y$193+$Y$187)))),)</f>
        <v>0.99694525848509541</v>
      </c>
    </row>
    <row r="226" spans="1:25">
      <c r="A226" s="441"/>
      <c r="B226" s="458">
        <f t="shared" si="20"/>
        <v>2047</v>
      </c>
      <c r="C226" s="491">
        <f t="shared" ca="1" si="18"/>
        <v>0.14710804372931338</v>
      </c>
      <c r="D226" s="492">
        <f t="shared" ca="1" si="19"/>
        <v>0.3428238285377847</v>
      </c>
      <c r="E226" s="460">
        <f ca="1">IF(AND($B226&lt;=$E$189,$B226&gt;='2.2 Input_General_Information'!$H$20),$E$191/(1+EXP(-$E$193*($B226-(LN(1/$E$188-1)/$E$193+$E$187)))),1)</f>
        <v>1</v>
      </c>
      <c r="F226" s="460">
        <f ca="1">IF(AND($B226&lt;=F$189,$B226&gt;='2.2 Input_General_Information'!$H$20),$F$191/(1+EXP(-$F$193*($B226-(LN(1/$F$188-1)/$F$193+$F$187)))),)</f>
        <v>0.60234916397943927</v>
      </c>
      <c r="G226" s="460">
        <f ca="1">IF(AND($B226&lt;=G$189,$B226&gt;='2.2 Input_General_Information'!$H$20),$G$191/(1+EXP(-$G$193*($B226-(LN(1/$G$188-1)/$G$193+$G$187)))),)</f>
        <v>0.57066746444628424</v>
      </c>
      <c r="H226" s="460">
        <f ca="1">IF(AND($B226&lt;=H$189,$B226&gt;='2.2 Input_General_Information'!$H$20),$H$191/(1+EXP(-$H$193*($B226-(LN(1/$H$188-1)/$H$193+$H$187)))),1)</f>
        <v>1</v>
      </c>
      <c r="I226" s="460">
        <f ca="1">IF(AND($B226&lt;=I$189,$B226&gt;='2.2 Input_General_Information'!$H$20),$I$191/(1+EXP(-$I$193*($B226-(LN(1/$I$188-1)/$I$193+$I$187)))),)</f>
        <v>0.99829979685297132</v>
      </c>
      <c r="J226" s="460">
        <f ca="1">IF(AND($B226&lt;=J$189,$B226&gt;='2.2 Input_General_Information'!$H$20),$J$191/(1+EXP(-$J$193*($B226-(LN(1/$J$188-1)/$J$193+$J$187)))),1)</f>
        <v>1</v>
      </c>
      <c r="K226" s="460">
        <f ca="1">IF(AND($B226&lt;=K$189,$B226&gt;='2.2 Input_General_Information'!$H$20),$K$191/(1+EXP(-$K$193*($B226-(LN(1/$K$188-1)/$K$193+$K$187)))),)</f>
        <v>0.99834765002080617</v>
      </c>
      <c r="L226" s="460">
        <f ca="1">IF(AND($B226&lt;=L$189,$B226&gt;='2.2 Input_General_Information'!$H$20),$L$191/(1+EXP(-$L$193*($B226-(LN(1/$L$188-1)/$L$193+$L$187)))),1)</f>
        <v>1</v>
      </c>
      <c r="M226" s="460">
        <f ca="1">IF(M$188=0,0,IF(M$188=1,1,IF(AND($B226&lt;=M$189,$B226&gt;='2.2 Input_General_Information'!$H$20),$M$191/(1+EXP(-$M$193*($B226-(LN(1/$M$188-1)/$M$193+$M$187)))),)))</f>
        <v>0.33733498410400981</v>
      </c>
      <c r="N226" s="460">
        <f ca="1">IF(N$188=0,0,IF(N$188=1,1,IF(AND($B226&lt;=N$189,$B226&gt;='2.2 Input_General_Information'!$H$20),$N$191/(1+EXP(-$N$193*($B226-(LN(1/$N$188-1)/$N$193+$N$187)))),)))</f>
        <v>0.22819565047455503</v>
      </c>
      <c r="O226" s="460">
        <f ca="1">IF(O$188=0,0,IF(O$188=100%,100%,IF(AND($B226&lt;=O$189,$B226&gt;='2.2 Input_General_Information'!$H$20),$O$191/(1+EXP(-$O$193*($B226-(LN(1/$O$188-1)/$O$193+$O$187)))),)))</f>
        <v>0.16711482611020964</v>
      </c>
      <c r="P226" s="460" t="e">
        <f ca="1">IF(P$188=0,0,IF(AND($B226&lt;=P$189,$B226&gt;='2.2 Input_General_Information'!$H$20),$P$191/(1+EXP(-$P$193*($B226-(LN(1/$P$188-1)/$P$193+$P$187)))),))</f>
        <v>#DIV/0!</v>
      </c>
      <c r="Q226" s="460">
        <f ca="1">IF(AND($B226&lt;=Q$189,$B226&gt;='2.2 Input_General_Information'!$H$20),$Q$191/(1+EXP(-$Q$193*($B226-(LN(1/$Q$188-1)/$Q$193+$Q$187)))),)</f>
        <v>0.57066746444628424</v>
      </c>
      <c r="R226" s="460">
        <f ca="1">IF(B226&gt;='2.2 Input_General_Information'!$H$20,Q226-VLOOKUP('2.2 Input_General_Information'!$H$20,$B$197:$Q$237,16),0)</f>
        <v>0.37066746444628351</v>
      </c>
      <c r="S226" s="460">
        <f ca="1">IF(AND($B226&lt;=S$189,$B226&gt;='2.2 Input_General_Information'!$H$20),$S$191/(1+EXP(-$S$193*($B226-(LN(1/$S$188-1)/$S$193+$S$187)))),1)</f>
        <v>1</v>
      </c>
      <c r="T226" s="460">
        <f ca="1">IF(B226&gt;='2.2 Input_General_Information'!$H$20,IF(S226="","",S226-VLOOKUP('2.2 Input_General_Information'!$H$20,$B$197:$S$237,18)),0)</f>
        <v>0.80000000000000804</v>
      </c>
      <c r="U226" s="460">
        <f ca="1">IF(AND($B226&lt;=U$189,$B226&gt;='2.2 Input_General_Information'!$H$20),$U$191/(1+EXP(-$U$193*($B226-(LN(1/$U$188-1)/$U$193+$U$187)))),)</f>
        <v>0.21865712684781333</v>
      </c>
      <c r="V226" s="460">
        <f ca="1">IF(AND($B226&lt;=V$189,$B226&gt;='2.2 Input_General_Information'!$H$20),$V$191/(1+EXP(-$V$193*($B226-(LN(1/$V$188-1)/$V$193+$V$187)))),)</f>
        <v>1.6171938586580618E-3</v>
      </c>
      <c r="W226" s="460">
        <f ca="1">IF(AND($B226&lt;=W$189,$B226&gt;='2.2 Input_General_Information'!$H$20),$W$191/(1+EXP(-$W$193*($B226-(LN(1/$W$188-1)/$W$193+$W$187)))),)</f>
        <v>1.5868482493655136E-3</v>
      </c>
      <c r="X226" s="460">
        <f ca="1">IF(AND($B226&lt;=X$189,$B226&gt;='2.2 Input_General_Information'!$H$20),$X$191/(1+EXP(-$X$193*($B226-(LN(1/$X$188-1)/$X$193+$X$187)))),)</f>
        <v>8.5919489175581478E-4</v>
      </c>
      <c r="Y226" s="460">
        <f ca="1">IF(AND($B226&lt;=Y$189,$B226&gt;='2.2 Input_General_Information'!$H$20),$Y$191/(1+EXP(-$Y$193*($B226-(LN(1/$Y$188-1)/$Y$193+$Y$187)))),)</f>
        <v>0.99770147732038261</v>
      </c>
    </row>
    <row r="227" spans="1:25">
      <c r="A227" s="441"/>
      <c r="B227" s="458">
        <f t="shared" si="20"/>
        <v>2048</v>
      </c>
      <c r="C227" s="491">
        <f t="shared" ca="1" si="18"/>
        <v>0.15309979965303686</v>
      </c>
      <c r="D227" s="492">
        <f t="shared" ca="1" si="19"/>
        <v>0.34282683101351996</v>
      </c>
      <c r="E227" s="460">
        <f ca="1">IF(AND($B227&lt;=$E$189,$B227&gt;='2.2 Input_General_Information'!$H$20),$E$191/(1+EXP(-$E$193*($B227-(LN(1/$E$188-1)/$E$193+$E$187)))),1)</f>
        <v>1</v>
      </c>
      <c r="F227" s="460">
        <f ca="1">IF(AND($B227&lt;=F$189,$B227&gt;='2.2 Input_General_Information'!$H$20),$F$191/(1+EXP(-$F$193*($B227-(LN(1/$F$188-1)/$F$193+$F$187)))),)</f>
        <v>0.61713033872322676</v>
      </c>
      <c r="G227" s="460">
        <f ca="1">IF(AND($B227&lt;=G$189,$B227&gt;='2.2 Input_General_Information'!$H$20),$G$191/(1+EXP(-$G$193*($B227-(LN(1/$G$188-1)/$G$193+$G$187)))),)</f>
        <v>0.58472266598903588</v>
      </c>
      <c r="H227" s="460">
        <f ca="1">IF(AND($B227&lt;=H$189,$B227&gt;='2.2 Input_General_Information'!$H$20),$H$191/(1+EXP(-$H$193*($B227-(LN(1/$H$188-1)/$H$193+$H$187)))),1)</f>
        <v>1</v>
      </c>
      <c r="I227" s="460">
        <f ca="1">IF(AND($B227&lt;=I$189,$B227&gt;='2.2 Input_General_Information'!$H$20),$I$191/(1+EXP(-$I$193*($B227-(LN(1/$I$188-1)/$I$193+$I$187)))),)</f>
        <v>0.99868555730648434</v>
      </c>
      <c r="J227" s="460">
        <f ca="1">IF(AND($B227&lt;=J$189,$B227&gt;='2.2 Input_General_Information'!$H$20),$J$191/(1+EXP(-$J$193*($B227-(LN(1/$J$188-1)/$J$193+$J$187)))),1)</f>
        <v>1</v>
      </c>
      <c r="K227" s="460">
        <f ca="1">IF(AND($B227&lt;=K$189,$B227&gt;='2.2 Input_General_Information'!$H$20),$K$191/(1+EXP(-$K$193*($B227-(LN(1/$K$188-1)/$K$193+$K$187)))),)</f>
        <v>0.99871924586483996</v>
      </c>
      <c r="L227" s="460">
        <f ca="1">IF(AND($B227&lt;=L$189,$B227&gt;='2.2 Input_General_Information'!$H$20),$L$191/(1+EXP(-$L$193*($B227-(LN(1/$L$188-1)/$L$193+$L$187)))),1)</f>
        <v>1</v>
      </c>
      <c r="M227" s="460">
        <f ca="1">IF(M$188=0,0,IF(M$188=1,1,IF(AND($B227&lt;=M$189,$B227&gt;='2.2 Input_General_Information'!$H$20),$M$191/(1+EXP(-$M$193*($B227-(LN(1/$M$188-1)/$M$193+$M$187)))),)))</f>
        <v>0.34283802471150793</v>
      </c>
      <c r="N227" s="460">
        <f ca="1">IF(N$188=0,0,IF(N$188=1,1,IF(AND($B227&lt;=N$189,$B227&gt;='2.2 Input_General_Information'!$H$20),$N$191/(1+EXP(-$N$193*($B227-(LN(1/$N$188-1)/$N$193+$N$187)))),)))</f>
        <v>0.23419391079728596</v>
      </c>
      <c r="O227" s="460">
        <f ca="1">IF(O$188=0,0,IF(O$188=100%,100%,IF(AND($B227&lt;=O$189,$B227&gt;='2.2 Input_General_Information'!$H$20),$O$191/(1+EXP(-$O$193*($B227-(LN(1/$O$188-1)/$O$193+$O$187)))),)))</f>
        <v>0.17363675174521578</v>
      </c>
      <c r="P227" s="460" t="e">
        <f ca="1">IF(P$188=0,0,IF(AND($B227&lt;=P$189,$B227&gt;='2.2 Input_General_Information'!$H$20),$P$191/(1+EXP(-$P$193*($B227-(LN(1/$P$188-1)/$P$193+$P$187)))),))</f>
        <v>#DIV/0!</v>
      </c>
      <c r="Q227" s="460">
        <f ca="1">IF(AND($B227&lt;=Q$189,$B227&gt;='2.2 Input_General_Information'!$H$20),$Q$191/(1+EXP(-$Q$193*($B227-(LN(1/$Q$188-1)/$Q$193+$Q$187)))),)</f>
        <v>0.58472266598903588</v>
      </c>
      <c r="R227" s="460">
        <f ca="1">IF(B227&gt;='2.2 Input_General_Information'!$H$20,Q227-VLOOKUP('2.2 Input_General_Information'!$H$20,$B$197:$Q$237,16),0)</f>
        <v>0.38472266598903515</v>
      </c>
      <c r="S227" s="460">
        <f ca="1">IF(AND($B227&lt;=S$189,$B227&gt;='2.2 Input_General_Information'!$H$20),$S$191/(1+EXP(-$S$193*($B227-(LN(1/$S$188-1)/$S$193+$S$187)))),1)</f>
        <v>1</v>
      </c>
      <c r="T227" s="460">
        <f ca="1">IF(B227&gt;='2.2 Input_General_Information'!$H$20,IF(S227="","",S227-VLOOKUP('2.2 Input_General_Information'!$H$20,$B$197:$S$237,18)),0)</f>
        <v>0.80000000000000804</v>
      </c>
      <c r="U227" s="460">
        <f ca="1">IF(AND($B227&lt;=U$189,$B227&gt;='2.2 Input_General_Information'!$H$20),$U$191/(1+EXP(-$U$193*($B227-(LN(1/$U$188-1)/$U$193+$U$187)))),)</f>
        <v>0.22138568134028672</v>
      </c>
      <c r="V227" s="460">
        <f ca="1">IF(AND($B227&lt;=V$189,$B227&gt;='2.2 Input_General_Information'!$H$20),$V$191/(1+EXP(-$V$193*($B227-(LN(1/$V$188-1)/$V$193+$V$187)))),)</f>
        <v>1.2559483555388807E-3</v>
      </c>
      <c r="W227" s="460">
        <f ca="1">IF(AND($B227&lt;=W$189,$B227&gt;='2.2 Input_General_Information'!$H$20),$W$191/(1+EXP(-$W$193*($B227-(LN(1/$W$188-1)/$W$193+$W$187)))),)</f>
        <v>1.2344977515730488E-3</v>
      </c>
      <c r="X227" s="460">
        <f ca="1">IF(AND($B227&lt;=X$189,$B227&gt;='2.2 Input_General_Information'!$H$20),$X$191/(1+EXP(-$X$193*($B227-(LN(1/$X$188-1)/$X$193+$X$187)))),)</f>
        <v>7.0666009720961613E-4</v>
      </c>
      <c r="Y227" s="460">
        <f ca="1">IF(AND($B227&lt;=Y$189,$B227&gt;='2.2 Input_General_Information'!$H$20),$Y$191/(1+EXP(-$Y$193*($B227-(LN(1/$Y$188-1)/$Y$193+$Y$187)))),)</f>
        <v>0.9982708145389757</v>
      </c>
    </row>
    <row r="228" spans="1:25">
      <c r="A228" s="441"/>
      <c r="B228" s="458">
        <f t="shared" si="20"/>
        <v>2049</v>
      </c>
      <c r="C228" s="491">
        <f t="shared" ca="1" si="18"/>
        <v>0.15912728678890539</v>
      </c>
      <c r="D228" s="492">
        <f t="shared" ca="1" si="19"/>
        <v>0.34282888504030506</v>
      </c>
      <c r="E228" s="460">
        <f ca="1">IF(AND($B228&lt;=$E$189,$B228&gt;='2.2 Input_General_Information'!$H$20),$E$191/(1+EXP(-$E$193*($B228-(LN(1/$E$188-1)/$E$193+$E$187)))),1)</f>
        <v>1</v>
      </c>
      <c r="F228" s="460">
        <f ca="1">IF(AND($B228&lt;=F$189,$B228&gt;='2.2 Input_General_Information'!$H$20),$F$191/(1+EXP(-$F$193*($B228-(LN(1/$F$188-1)/$F$193+$F$187)))),)</f>
        <v>0.63169802661998498</v>
      </c>
      <c r="G228" s="460">
        <f ca="1">IF(AND($B228&lt;=G$189,$B228&gt;='2.2 Input_General_Information'!$H$20),$G$191/(1+EXP(-$G$193*($B228-(LN(1/$G$188-1)/$G$193+$G$187)))),)</f>
        <v>0.59864135364908599</v>
      </c>
      <c r="H228" s="460">
        <f ca="1">IF(AND($B228&lt;=H$189,$B228&gt;='2.2 Input_General_Information'!$H$20),$H$191/(1+EXP(-$H$193*($B228-(LN(1/$H$188-1)/$H$193+$H$187)))),1)</f>
        <v>1</v>
      </c>
      <c r="I228" s="460">
        <f ca="1">IF(AND($B228&lt;=I$189,$B228&gt;='2.2 Input_General_Information'!$H$20),$I$191/(1+EXP(-$I$193*($B228-(LN(1/$I$188-1)/$I$193+$I$187)))),)</f>
        <v>0.9989838813495503</v>
      </c>
      <c r="J228" s="460">
        <f ca="1">IF(AND($B228&lt;=J$189,$B228&gt;='2.2 Input_General_Information'!$H$20),$J$191/(1+EXP(-$J$193*($B228-(LN(1/$J$188-1)/$J$193+$J$187)))),1)</f>
        <v>1</v>
      </c>
      <c r="K228" s="460">
        <f ca="1">IF(AND($B228&lt;=K$189,$B228&gt;='2.2 Input_General_Information'!$H$20),$K$191/(1+EXP(-$K$193*($B228-(LN(1/$K$188-1)/$K$193+$K$187)))),)</f>
        <v>0.99900735686693831</v>
      </c>
      <c r="L228" s="460">
        <f ca="1">IF(AND($B228&lt;=L$189,$B228&gt;='2.2 Input_General_Information'!$H$20),$L$191/(1+EXP(-$L$193*($B228-(LN(1/$L$188-1)/$L$193+$L$187)))),1)</f>
        <v>1</v>
      </c>
      <c r="M228" s="460">
        <f ca="1">IF(M$188=0,0,IF(M$188=1,1,IF(AND($B228&lt;=M$189,$B228&gt;='2.2 Input_General_Information'!$H$20),$M$191/(1+EXP(-$M$193*($B228-(LN(1/$M$188-1)/$M$193+$M$187)))),)))</f>
        <v>0.3483836416910287</v>
      </c>
      <c r="N228" s="460">
        <f ca="1">IF(N$188=0,0,IF(N$188=1,1,IF(AND($B228&lt;=N$189,$B228&gt;='2.2 Input_General_Information'!$H$20),$N$191/(1+EXP(-$N$193*($B228-(LN(1/$N$188-1)/$N$193+$N$187)))),)))</f>
        <v>0.2403007492223066</v>
      </c>
      <c r="O228" s="460">
        <f ca="1">IF(O$188=0,0,IF(O$188=100%,100%,IF(AND($B228&lt;=O$189,$B228&gt;='2.2 Input_General_Information'!$H$20),$O$191/(1+EXP(-$O$193*($B228-(LN(1/$O$188-1)/$O$193+$O$187)))),)))</f>
        <v>0.18035808884123791</v>
      </c>
      <c r="P228" s="460" t="e">
        <f ca="1">IF(P$188=0,0,IF(AND($B228&lt;=P$189,$B228&gt;='2.2 Input_General_Information'!$H$20),$P$191/(1+EXP(-$P$193*($B228-(LN(1/$P$188-1)/$P$193+$P$187)))),))</f>
        <v>#DIV/0!</v>
      </c>
      <c r="Q228" s="460">
        <f ca="1">IF(AND($B228&lt;=Q$189,$B228&gt;='2.2 Input_General_Information'!$H$20),$Q$191/(1+EXP(-$Q$193*($B228-(LN(1/$Q$188-1)/$Q$193+$Q$187)))),)</f>
        <v>0.59864135364908599</v>
      </c>
      <c r="R228" s="460">
        <f ca="1">IF(B228&gt;='2.2 Input_General_Information'!$H$20,Q228-VLOOKUP('2.2 Input_General_Information'!$H$20,$B$197:$Q$237,16),0)</f>
        <v>0.39864135364908526</v>
      </c>
      <c r="S228" s="460">
        <f ca="1">IF(AND($B228&lt;=S$189,$B228&gt;='2.2 Input_General_Information'!$H$20),$S$191/(1+EXP(-$S$193*($B228-(LN(1/$S$188-1)/$S$193+$S$187)))),1)</f>
        <v>1</v>
      </c>
      <c r="T228" s="460">
        <f ca="1">IF(B228&gt;='2.2 Input_General_Information'!$H$20,IF(S228="","",S228-VLOOKUP('2.2 Input_General_Information'!$H$20,$B$197:$S$237,18)),0)</f>
        <v>0.80000000000000804</v>
      </c>
      <c r="U228" s="460">
        <f ca="1">IF(AND($B228&lt;=U$189,$B228&gt;='2.2 Input_General_Information'!$H$20),$U$191/(1+EXP(-$U$193*($B228-(LN(1/$U$188-1)/$U$193+$U$187)))),)</f>
        <v>0.22413851727470577</v>
      </c>
      <c r="V228" s="460">
        <f ca="1">IF(AND($B228&lt;=V$189,$B228&gt;='2.2 Input_General_Information'!$H$20),$V$191/(1+EXP(-$V$193*($B228-(LN(1/$V$188-1)/$V$193+$V$187)))),)</f>
        <v>9.7531831436017881E-4</v>
      </c>
      <c r="W228" s="460">
        <f ca="1">IF(AND($B228&lt;=W$189,$B228&gt;='2.2 Input_General_Information'!$H$20),$W$191/(1+EXP(-$W$193*($B228-(LN(1/$W$188-1)/$W$193+$W$187)))),)</f>
        <v>9.6030939726468264E-4</v>
      </c>
      <c r="X228" s="460">
        <f ca="1">IF(AND($B228&lt;=X$189,$B228&gt;='2.2 Input_General_Information'!$H$20),$X$191/(1+EXP(-$X$193*($B228-(LN(1/$X$188-1)/$X$193+$X$187)))),)</f>
        <v>5.8118939450989033E-4</v>
      </c>
      <c r="Y228" s="460">
        <f ca="1">IF(AND($B228&lt;=Y$189,$B228&gt;='2.2 Input_General_Information'!$H$20),$Y$191/(1+EXP(-$Y$193*($B228-(LN(1/$Y$188-1)/$Y$193+$Y$187)))),)</f>
        <v>0.9986993124746486</v>
      </c>
    </row>
    <row r="229" spans="1:25">
      <c r="A229" s="441"/>
      <c r="B229" s="458">
        <f t="shared" si="20"/>
        <v>2050</v>
      </c>
      <c r="C229" s="491">
        <f t="shared" ca="1" si="18"/>
        <v>0.16518717509799277</v>
      </c>
      <c r="D229" s="492">
        <f t="shared" ca="1" si="19"/>
        <v>0.34283029022005629</v>
      </c>
      <c r="E229" s="460">
        <f ca="1">IF(AND($B229&lt;=$E$189,$B229&gt;='2.2 Input_General_Information'!$H$20),$E$191/(1+EXP(-$E$193*($B229-(LN(1/$E$188-1)/$E$193+$E$187)))),1)</f>
        <v>1</v>
      </c>
      <c r="F229" s="460">
        <f ca="1">IF(AND($B229&lt;=F$189,$B229&gt;='2.2 Input_General_Information'!$H$20),$F$191/(1+EXP(-$F$193*($B229-(LN(1/$F$188-1)/$F$193+$F$187)))),)</f>
        <v>0.64602935517161042</v>
      </c>
      <c r="G229" s="460">
        <f ca="1">IF(AND($B229&lt;=G$189,$B229&gt;='2.2 Input_General_Information'!$H$20),$G$191/(1+EXP(-$G$193*($B229-(LN(1/$G$188-1)/$G$193+$G$187)))),)</f>
        <v>0.61240276942588423</v>
      </c>
      <c r="H229" s="460">
        <f ca="1">IF(AND($B229&lt;=H$189,$B229&gt;='2.2 Input_General_Information'!$H$20),$H$191/(1+EXP(-$H$193*($B229-(LN(1/$H$188-1)/$H$193+$H$187)))),1)</f>
        <v>1</v>
      </c>
      <c r="I229" s="460">
        <f ca="1">IF(AND($B229&lt;=I$189,$B229&gt;='2.2 Input_General_Information'!$H$20),$I$191/(1+EXP(-$I$193*($B229-(LN(1/$I$188-1)/$I$193+$I$187)))),)</f>
        <v>0.99921455144288041</v>
      </c>
      <c r="J229" s="460">
        <f ca="1">IF(AND($B229&lt;=J$189,$B229&gt;='2.2 Input_General_Information'!$H$20),$J$191/(1+EXP(-$J$193*($B229-(LN(1/$J$188-1)/$J$193+$J$187)))),1)</f>
        <v>1</v>
      </c>
      <c r="K229" s="460">
        <f ca="1">IF(AND($B229&lt;=K$189,$B229&gt;='2.2 Input_General_Information'!$H$20),$K$191/(1+EXP(-$K$193*($B229-(LN(1/$K$188-1)/$K$193+$K$187)))),)</f>
        <v>0.99923070601674469</v>
      </c>
      <c r="L229" s="460">
        <f ca="1">IF(AND($B229&lt;=L$189,$B229&gt;='2.2 Input_General_Information'!$H$20),$L$191/(1+EXP(-$L$193*($B229-(LN(1/$L$188-1)/$L$193+$L$187)))),1)</f>
        <v>1</v>
      </c>
      <c r="M229" s="460">
        <f ca="1">IF(M$188=0,0,IF(M$188=1,1,IF(AND($B229&lt;=M$189,$B229&gt;='2.2 Input_General_Information'!$H$20),$M$191/(1+EXP(-$M$193*($B229-(LN(1/$M$188-1)/$M$193+$M$187)))),)))</f>
        <v>0.35397064482839002</v>
      </c>
      <c r="N229" s="460">
        <f ca="1">IF(N$188=0,0,IF(N$188=1,1,IF(AND($B229&lt;=N$189,$B229&gt;='2.2 Input_General_Information'!$H$20),$N$191/(1+EXP(-$N$193*($B229-(LN(1/$N$188-1)/$N$193+$N$187)))),)))</f>
        <v>0.24651556901886934</v>
      </c>
      <c r="O229" s="460">
        <f ca="1">IF(O$188=0,0,IF(O$188=100%,100%,IF(AND($B229&lt;=O$189,$B229&gt;='2.2 Input_General_Information'!$H$20),$O$191/(1+EXP(-$O$193*($B229-(LN(1/$O$188-1)/$O$193+$O$187)))),)))</f>
        <v>0.18728063878482704</v>
      </c>
      <c r="P229" s="460" t="e">
        <f ca="1">IF(P$188=0,0,IF(AND($B229&lt;=P$189,$B229&gt;='2.2 Input_General_Information'!$H$20),$P$191/(1+EXP(-$P$193*($B229-(LN(1/$P$188-1)/$P$193+$P$187)))),))</f>
        <v>#DIV/0!</v>
      </c>
      <c r="Q229" s="460">
        <f ca="1">IF(AND($B229&lt;=Q$189,$B229&gt;='2.2 Input_General_Information'!$H$20),$Q$191/(1+EXP(-$Q$193*($B229-(LN(1/$Q$188-1)/$Q$193+$Q$187)))),)</f>
        <v>0.61240276942588423</v>
      </c>
      <c r="R229" s="460">
        <f ca="1">IF(B229&gt;='2.2 Input_General_Information'!$H$20,Q229-VLOOKUP('2.2 Input_General_Information'!$H$20,$B$197:$Q$237,16),0)</f>
        <v>0.4124027694258835</v>
      </c>
      <c r="S229" s="460">
        <f ca="1">IF(AND($B229&lt;=S$189,$B229&gt;='2.2 Input_General_Information'!$H$20),$S$191/(1+EXP(-$S$193*($B229-(LN(1/$S$188-1)/$S$193+$S$187)))),1)</f>
        <v>1</v>
      </c>
      <c r="T229" s="460">
        <f ca="1">IF(B229&gt;='2.2 Input_General_Information'!$H$20,IF(S229="","",S229-VLOOKUP('2.2 Input_General_Information'!$H$20,$B$197:$S$237,18)),0)</f>
        <v>0.80000000000000804</v>
      </c>
      <c r="U229" s="460">
        <f ca="1">IF(AND($B229&lt;=U$189,$B229&gt;='2.2 Input_General_Information'!$H$20),$U$191/(1+EXP(-$U$193*($B229-(LN(1/$U$188-1)/$U$193+$U$187)))),)</f>
        <v>0.22691560761899329</v>
      </c>
      <c r="V229" s="460">
        <f ca="1">IF(AND($B229&lt;=V$189,$B229&gt;='2.2 Input_General_Information'!$H$20),$V$191/(1+EXP(-$V$193*($B229-(LN(1/$V$188-1)/$V$193+$V$187)))),)</f>
        <v>7.5734491133965973E-4</v>
      </c>
      <c r="W229" s="460">
        <f ca="1">IF(AND($B229&lt;=W$189,$B229&gt;='2.2 Input_General_Information'!$H$20),$W$191/(1+EXP(-$W$193*($B229-(LN(1/$W$188-1)/$W$193+$W$187)))),)</f>
        <v>7.4697415279145567E-4</v>
      </c>
      <c r="X229" s="460">
        <f ca="1">IF(AND($B229&lt;=X$189,$B229&gt;='2.2 Input_General_Information'!$H$20),$X$191/(1+EXP(-$X$193*($B229-(LN(1/$X$188-1)/$X$193+$X$187)))),)</f>
        <v>4.7798592763324647E-4</v>
      </c>
      <c r="Y229" s="460">
        <f ca="1">IF(AND($B229&lt;=Y$189,$B229&gt;='2.2 Input_General_Information'!$H$20),$Y$191/(1+EXP(-$Y$193*($B229-(LN(1/$Y$188-1)/$Y$193+$Y$187)))),)</f>
        <v>0.99902173124560556</v>
      </c>
    </row>
    <row r="230" spans="1:25">
      <c r="A230" s="441"/>
      <c r="B230" s="458">
        <f t="shared" si="20"/>
        <v>2051</v>
      </c>
      <c r="C230" s="491">
        <f t="shared" ca="1" si="18"/>
        <v>0.17127605954577205</v>
      </c>
      <c r="D230" s="492">
        <f t="shared" ca="1" si="19"/>
        <v>0.34283125151598892</v>
      </c>
      <c r="E230" s="460">
        <f ca="1">IF(AND($B230&lt;=$E$189,$B230&gt;='2.2 Input_General_Information'!$H$20),$E$191/(1+EXP(-$E$193*($B230-(LN(1/$E$188-1)/$E$193+$E$187)))),1)</f>
        <v>1</v>
      </c>
      <c r="F230" s="460">
        <f ca="1">IF(AND($B230&lt;=F$189,$B230&gt;='2.2 Input_General_Information'!$H$20),$F$191/(1+EXP(-$F$193*($B230-(LN(1/$F$188-1)/$F$193+$F$187)))),)</f>
        <v>0.66010308347410052</v>
      </c>
      <c r="G230" s="460">
        <f ca="1">IF(AND($B230&lt;=G$189,$B230&gt;='2.2 Input_General_Information'!$H$20),$G$191/(1+EXP(-$G$193*($B230-(LN(1/$G$188-1)/$G$193+$G$187)))),)</f>
        <v>0.62598713691362107</v>
      </c>
      <c r="H230" s="460">
        <f ca="1">IF(AND($B230&lt;=H$189,$B230&gt;='2.2 Input_General_Information'!$H$20),$H$191/(1+EXP(-$H$193*($B230-(LN(1/$H$188-1)/$H$193+$H$187)))),1)</f>
        <v>1</v>
      </c>
      <c r="I230" s="460">
        <f ca="1">IF(AND($B230&lt;=I$189,$B230&gt;='2.2 Input_General_Information'!$H$20),$I$191/(1+EXP(-$I$193*($B230-(LN(1/$I$188-1)/$I$193+$I$187)))),)</f>
        <v>0.99939288871515819</v>
      </c>
      <c r="J230" s="460">
        <f ca="1">IF(AND($B230&lt;=J$189,$B230&gt;='2.2 Input_General_Information'!$H$20),$J$191/(1+EXP(-$J$193*($B230-(LN(1/$J$188-1)/$J$193+$J$187)))),1)</f>
        <v>1</v>
      </c>
      <c r="K230" s="460">
        <f ca="1">IF(AND($B230&lt;=K$189,$B230&gt;='2.2 Input_General_Information'!$H$20),$K$191/(1+EXP(-$K$193*($B230-(LN(1/$K$188-1)/$K$193+$K$187)))),)</f>
        <v>0.9994038305977293</v>
      </c>
      <c r="L230" s="460">
        <f ca="1">IF(AND($B230&lt;=L$189,$B230&gt;='2.2 Input_General_Information'!$H$20),$L$191/(1+EXP(-$L$193*($B230-(LN(1/$L$188-1)/$L$193+$L$187)))),1)</f>
        <v>1</v>
      </c>
      <c r="M230" s="460">
        <f ca="1">IF(M$188=0,0,IF(M$188=1,1,IF(AND($B230&lt;=M$189,$B230&gt;='2.2 Input_General_Information'!$H$20),$M$191/(1+EXP(-$M$193*($B230-(LN(1/$M$188-1)/$M$193+$M$187)))),)))</f>
        <v>0.35959780101657668</v>
      </c>
      <c r="N230" s="460">
        <f ca="1">IF(N$188=0,0,IF(N$188=1,1,IF(AND($B230&lt;=N$189,$B230&gt;='2.2 Input_General_Information'!$H$20),$N$191/(1+EXP(-$N$193*($B230-(LN(1/$N$188-1)/$N$193+$N$187)))),)))</f>
        <v>0.25283762705314849</v>
      </c>
      <c r="O230" s="460">
        <f ca="1">IF(O$188=0,0,IF(O$188=100%,100%,IF(AND($B230&lt;=O$189,$B230&gt;='2.2 Input_General_Information'!$H$20),$O$191/(1+EXP(-$O$193*($B230-(LN(1/$O$188-1)/$O$193+$O$187)))),)))</f>
        <v>0.19440587130524359</v>
      </c>
      <c r="P230" s="460" t="e">
        <f ca="1">IF(P$188=0,0,IF(AND($B230&lt;=P$189,$B230&gt;='2.2 Input_General_Information'!$H$20),$P$191/(1+EXP(-$P$193*($B230-(LN(1/$P$188-1)/$P$193+$P$187)))),))</f>
        <v>#DIV/0!</v>
      </c>
      <c r="Q230" s="460">
        <f ca="1">IF(AND($B230&lt;=Q$189,$B230&gt;='2.2 Input_General_Information'!$H$20),$Q$191/(1+EXP(-$Q$193*($B230-(LN(1/$Q$188-1)/$Q$193+$Q$187)))),)</f>
        <v>0.62598713691362107</v>
      </c>
      <c r="R230" s="460">
        <f ca="1">IF(B230&gt;='2.2 Input_General_Information'!$H$20,Q230-VLOOKUP('2.2 Input_General_Information'!$H$20,$B$197:$Q$237,16),0)</f>
        <v>0.42598713691362033</v>
      </c>
      <c r="S230" s="460">
        <f ca="1">IF(AND($B230&lt;=S$189,$B230&gt;='2.2 Input_General_Information'!$H$20),$S$191/(1+EXP(-$S$193*($B230-(LN(1/$S$188-1)/$S$193+$S$187)))),1)</f>
        <v>1</v>
      </c>
      <c r="T230" s="460">
        <f ca="1">IF(B230&gt;='2.2 Input_General_Information'!$H$20,IF(S230="","",S230-VLOOKUP('2.2 Input_General_Information'!$H$20,$B$197:$S$237,18)),0)</f>
        <v>0.80000000000000804</v>
      </c>
      <c r="U230" s="460">
        <f ca="1">IF(AND($B230&lt;=U$189,$B230&gt;='2.2 Input_General_Information'!$H$20),$U$191/(1+EXP(-$U$193*($B230-(LN(1/$U$188-1)/$U$193+$U$187)))),)</f>
        <v>0.22971691867750366</v>
      </c>
      <c r="V230" s="460">
        <f ca="1">IF(AND($B230&lt;=V$189,$B230&gt;='2.2 Input_General_Information'!$H$20),$V$191/(1+EXP(-$V$193*($B230-(LN(1/$V$188-1)/$V$193+$V$187)))),)</f>
        <v>5.8805760025205044E-4</v>
      </c>
      <c r="W230" s="460">
        <f ca="1">IF(AND($B230&lt;=W$189,$B230&gt;='2.2 Input_General_Information'!$H$20),$W$191/(1+EXP(-$W$193*($B230-(LN(1/$W$188-1)/$W$193+$W$187)))),)</f>
        <v>5.8100432890056052E-4</v>
      </c>
      <c r="X230" s="460">
        <f ca="1">IF(AND($B230&lt;=X$189,$B230&gt;='2.2 Input_General_Information'!$H$20),$X$191/(1+EXP(-$X$193*($B230-(LN(1/$X$188-1)/$X$193+$X$187)))),)</f>
        <v>3.9310138800426286E-4</v>
      </c>
      <c r="Y230" s="460">
        <f ca="1">IF(AND($B230&lt;=Y$189,$B230&gt;='2.2 Input_General_Information'!$H$20),$Y$191/(1+EXP(-$Y$193*($B230-(LN(1/$Y$188-1)/$Y$193+$Y$187)))),)</f>
        <v>0.99926428665046663</v>
      </c>
    </row>
    <row r="231" spans="1:25">
      <c r="A231" s="441"/>
      <c r="B231" s="458">
        <f t="shared" si="20"/>
        <v>2052</v>
      </c>
      <c r="C231" s="491">
        <f t="shared" ca="1" si="18"/>
        <v>0.1773904674660193</v>
      </c>
      <c r="D231" s="492">
        <f t="shared" ca="1" si="19"/>
        <v>0.34283190914648554</v>
      </c>
      <c r="E231" s="460">
        <f ca="1">IF(AND($B231&lt;=$E$189,$B231&gt;='2.2 Input_General_Information'!$H$20),$E$191/(1+EXP(-$E$193*($B231-(LN(1/$E$188-1)/$E$193+$E$187)))),1)</f>
        <v>1</v>
      </c>
      <c r="F231" s="460">
        <f ca="1">IF(AND($B231&lt;=F$189,$B231&gt;='2.2 Input_General_Information'!$H$20),$F$191/(1+EXP(-$F$193*($B231-(LN(1/$F$188-1)/$F$193+$F$187)))),)</f>
        <v>0.67389970157694479</v>
      </c>
      <c r="G231" s="460">
        <f ca="1">IF(AND($B231&lt;=G$189,$B231&gt;='2.2 Input_General_Information'!$H$20),$G$191/(1+EXP(-$G$193*($B231-(LN(1/$G$188-1)/$G$193+$G$187)))),)</f>
        <v>0.63937576433456511</v>
      </c>
      <c r="H231" s="460">
        <f ca="1">IF(AND($B231&lt;=H$189,$B231&gt;='2.2 Input_General_Information'!$H$20),$H$191/(1+EXP(-$H$193*($B231-(LN(1/$H$188-1)/$H$193+$H$187)))),1)</f>
        <v>1</v>
      </c>
      <c r="I231" s="460">
        <f ca="1">IF(AND($B231&lt;=I$189,$B231&gt;='2.2 Input_General_Information'!$H$20),$I$191/(1+EXP(-$I$193*($B231-(LN(1/$I$188-1)/$I$193+$I$187)))),)</f>
        <v>0.99953075325799379</v>
      </c>
      <c r="J231" s="460">
        <f ca="1">IF(AND($B231&lt;=J$189,$B231&gt;='2.2 Input_General_Information'!$H$20),$J$191/(1+EXP(-$J$193*($B231-(LN(1/$J$188-1)/$J$193+$J$187)))),1)</f>
        <v>1</v>
      </c>
      <c r="K231" s="460">
        <f ca="1">IF(AND($B231&lt;=K$189,$B231&gt;='2.2 Input_General_Information'!$H$20),$K$191/(1+EXP(-$K$193*($B231-(LN(1/$K$188-1)/$K$193+$K$187)))),)</f>
        <v>0.99953801263686148</v>
      </c>
      <c r="L231" s="460">
        <f ca="1">IF(AND($B231&lt;=L$189,$B231&gt;='2.2 Input_General_Information'!$H$20),$L$191/(1+EXP(-$L$193*($B231-(LN(1/$L$188-1)/$L$193+$L$187)))),1)</f>
        <v>1</v>
      </c>
      <c r="M231" s="460">
        <f ca="1">IF(M$188=0,0,IF(M$188=1,1,IF(AND($B231&lt;=M$189,$B231&gt;='2.2 Input_General_Information'!$H$20),$M$191/(1+EXP(-$M$193*($B231-(LN(1/$M$188-1)/$M$193+$M$187)))),)))</f>
        <v>0.36526383505229781</v>
      </c>
      <c r="N231" s="460">
        <f ca="1">IF(N$188=0,0,IF(N$188=1,1,IF(AND($B231&lt;=N$189,$B231&gt;='2.2 Input_General_Information'!$H$20),$N$191/(1+EXP(-$N$193*($B231-(LN(1/$N$188-1)/$N$193+$N$187)))),)))</f>
        <v>0.2592660301256135</v>
      </c>
      <c r="O231" s="460">
        <f ca="1">IF(O$188=0,0,IF(O$188=100%,100%,IF(AND($B231&lt;=O$189,$B231&gt;='2.2 Input_General_Information'!$H$20),$O$191/(1+EXP(-$O$193*($B231-(LN(1/$O$188-1)/$O$193+$O$187)))),)))</f>
        <v>0.20173489940561035</v>
      </c>
      <c r="P231" s="460" t="e">
        <f ca="1">IF(P$188=0,0,IF(AND($B231&lt;=P$189,$B231&gt;='2.2 Input_General_Information'!$H$20),$P$191/(1+EXP(-$P$193*($B231-(LN(1/$P$188-1)/$P$193+$P$187)))),))</f>
        <v>#DIV/0!</v>
      </c>
      <c r="Q231" s="460">
        <f ca="1">IF(AND($B231&lt;=Q$189,$B231&gt;='2.2 Input_General_Information'!$H$20),$Q$191/(1+EXP(-$Q$193*($B231-(LN(1/$Q$188-1)/$Q$193+$Q$187)))),)</f>
        <v>0.63937576433456511</v>
      </c>
      <c r="R231" s="460">
        <f ca="1">IF(B231&gt;='2.2 Input_General_Information'!$H$20,Q231-VLOOKUP('2.2 Input_General_Information'!$H$20,$B$197:$Q$237,16),0)</f>
        <v>0.43937576433456438</v>
      </c>
      <c r="S231" s="460">
        <f ca="1">IF(AND($B231&lt;=S$189,$B231&gt;='2.2 Input_General_Information'!$H$20),$S$191/(1+EXP(-$S$193*($B231-(LN(1/$S$188-1)/$S$193+$S$187)))),1)</f>
        <v>1</v>
      </c>
      <c r="T231" s="460">
        <f ca="1">IF(B231&gt;='2.2 Input_General_Information'!$H$20,IF(S231="","",S231-VLOOKUP('2.2 Input_General_Information'!$H$20,$B$197:$S$237,18)),0)</f>
        <v>0.80000000000000804</v>
      </c>
      <c r="U231" s="460">
        <f ca="1">IF(AND($B231&lt;=U$189,$B231&gt;='2.2 Input_General_Information'!$H$20),$U$191/(1+EXP(-$U$193*($B231-(LN(1/$U$188-1)/$U$193+$U$187)))),)</f>
        <v>0.23254240998828876</v>
      </c>
      <c r="V231" s="460">
        <f ca="1">IF(AND($B231&lt;=V$189,$B231&gt;='2.2 Input_General_Information'!$H$20),$V$191/(1+EXP(-$V$193*($B231-(LN(1/$V$188-1)/$V$193+$V$187)))),)</f>
        <v>4.5659334469486731E-4</v>
      </c>
      <c r="W231" s="460">
        <f ca="1">IF(AND($B231&lt;=W$189,$B231&gt;='2.2 Input_General_Information'!$H$20),$W$191/(1+EXP(-$W$193*($B231-(LN(1/$W$188-1)/$W$193+$W$187)))),)</f>
        <v>4.518945826362429E-4</v>
      </c>
      <c r="X231" s="460">
        <f ca="1">IF(AND($B231&lt;=X$189,$B231&gt;='2.2 Input_General_Information'!$H$20),$X$191/(1+EXP(-$X$193*($B231-(LN(1/$X$188-1)/$X$193+$X$187)))),)</f>
        <v>3.2328644380546487E-4</v>
      </c>
      <c r="Y231" s="460">
        <f ca="1">IF(AND($B231&lt;=Y$189,$B231&gt;='2.2 Input_General_Information'!$H$20),$Y$191/(1+EXP(-$Y$193*($B231-(LN(1/$Y$188-1)/$Y$193+$Y$187)))),)</f>
        <v>0.99944673531881023</v>
      </c>
    </row>
    <row r="232" spans="1:25">
      <c r="A232" s="441"/>
      <c r="B232" s="458">
        <f t="shared" si="20"/>
        <v>2053</v>
      </c>
      <c r="C232" s="491">
        <f t="shared" ca="1" si="18"/>
        <v>0.18352686625619971</v>
      </c>
      <c r="D232" s="492">
        <f t="shared" ca="1" si="19"/>
        <v>0.34283235903667575</v>
      </c>
      <c r="E232" s="460">
        <f ca="1">IF(AND($B232&lt;=$E$189,$B232&gt;='2.2 Input_General_Information'!$H$20),$E$191/(1+EXP(-$E$193*($B232-(LN(1/$E$188-1)/$E$193+$E$187)))),1)</f>
        <v>1</v>
      </c>
      <c r="F232" s="460">
        <f ca="1">IF(AND($B232&lt;=F$189,$B232&gt;='2.2 Input_General_Information'!$H$20),$F$191/(1+EXP(-$F$193*($B232-(LN(1/$F$188-1)/$F$193+$F$187)))),)</f>
        <v>0.68740150653388643</v>
      </c>
      <c r="G232" s="460">
        <f ca="1">IF(AND($B232&lt;=G$189,$B232&gt;='2.2 Input_General_Information'!$H$20),$G$191/(1+EXP(-$G$193*($B232-(LN(1/$G$188-1)/$G$193+$G$187)))),)</f>
        <v>0.65255113389910602</v>
      </c>
      <c r="H232" s="460">
        <f ca="1">IF(AND($B232&lt;=H$189,$B232&gt;='2.2 Input_General_Information'!$H$20),$H$191/(1+EXP(-$H$193*($B232-(LN(1/$H$188-1)/$H$193+$H$187)))),1)</f>
        <v>1</v>
      </c>
      <c r="I232" s="460">
        <f ca="1">IF(AND($B232&lt;=I$189,$B232&gt;='2.2 Input_General_Information'!$H$20),$I$191/(1+EXP(-$I$193*($B232-(LN(1/$I$188-1)/$I$193+$I$187)))),)</f>
        <v>0.99963732249273651</v>
      </c>
      <c r="J232" s="460">
        <f ca="1">IF(AND($B232&lt;=J$189,$B232&gt;='2.2 Input_General_Information'!$H$20),$J$191/(1+EXP(-$J$193*($B232-(LN(1/$J$188-1)/$J$193+$J$187)))),1)</f>
        <v>1</v>
      </c>
      <c r="K232" s="460">
        <f ca="1">IF(AND($B232&lt;=K$189,$B232&gt;='2.2 Input_General_Information'!$H$20),$K$191/(1+EXP(-$K$193*($B232-(LN(1/$K$188-1)/$K$193+$K$187)))),)</f>
        <v>0.99964200464934949</v>
      </c>
      <c r="L232" s="460">
        <f ca="1">IF(AND($B232&lt;=L$189,$B232&gt;='2.2 Input_General_Information'!$H$20),$L$191/(1+EXP(-$L$193*($B232-(LN(1/$L$188-1)/$L$193+$L$187)))),1)</f>
        <v>1</v>
      </c>
      <c r="M232" s="460">
        <f ca="1">IF(M$188=0,0,IF(M$188=1,1,IF(AND($B232&lt;=M$189,$B232&gt;='2.2 Input_General_Information'!$H$20),$M$191/(1+EXP(-$M$193*($B232-(LN(1/$M$188-1)/$M$193+$M$187)))),)))</f>
        <v>0.37096743052109538</v>
      </c>
      <c r="N232" s="460">
        <f ca="1">IF(N$188=0,0,IF(N$188=1,1,IF(AND($B232&lt;=N$189,$B232&gt;='2.2 Input_General_Information'!$H$20),$N$191/(1+EXP(-$N$193*($B232-(LN(1/$N$188-1)/$N$193+$N$187)))),)))</f>
        <v>0.265799731624972</v>
      </c>
      <c r="O232" s="460">
        <f ca="1">IF(O$188=0,0,IF(O$188=100%,100%,IF(AND($B232&lt;=O$189,$B232&gt;='2.2 Input_General_Information'!$H$20),$O$191/(1+EXP(-$O$193*($B232-(LN(1/$O$188-1)/$O$193+$O$187)))),)))</f>
        <v>0.20926845448901163</v>
      </c>
      <c r="P232" s="460" t="e">
        <f ca="1">IF(P$188=0,0,IF(AND($B232&lt;=P$189,$B232&gt;='2.2 Input_General_Information'!$H$20),$P$191/(1+EXP(-$P$193*($B232-(LN(1/$P$188-1)/$P$193+$P$187)))),))</f>
        <v>#DIV/0!</v>
      </c>
      <c r="Q232" s="460">
        <f ca="1">IF(AND($B232&lt;=Q$189,$B232&gt;='2.2 Input_General_Information'!$H$20),$Q$191/(1+EXP(-$Q$193*($B232-(LN(1/$Q$188-1)/$Q$193+$Q$187)))),)</f>
        <v>0.65255113389910602</v>
      </c>
      <c r="R232" s="460">
        <f ca="1">IF(B232&gt;='2.2 Input_General_Information'!$H$20,Q232-VLOOKUP('2.2 Input_General_Information'!$H$20,$B$197:$Q$237,16),0)</f>
        <v>0.45255113389910528</v>
      </c>
      <c r="S232" s="460">
        <f ca="1">IF(AND($B232&lt;=S$189,$B232&gt;='2.2 Input_General_Information'!$H$20),$S$191/(1+EXP(-$S$193*($B232-(LN(1/$S$188-1)/$S$193+$S$187)))),1)</f>
        <v>1</v>
      </c>
      <c r="T232" s="460">
        <f ca="1">IF(B232&gt;='2.2 Input_General_Information'!$H$20,IF(S232="","",S232-VLOOKUP('2.2 Input_General_Information'!$H$20,$B$197:$S$237,18)),0)</f>
        <v>0.80000000000000804</v>
      </c>
      <c r="U232" s="460">
        <f ca="1">IF(AND($B232&lt;=U$189,$B232&gt;='2.2 Input_General_Information'!$H$20),$U$191/(1+EXP(-$U$193*($B232-(LN(1/$U$188-1)/$U$193+$U$187)))),)</f>
        <v>0.23539203422276769</v>
      </c>
      <c r="V232" s="460">
        <f ca="1">IF(AND($B232&lt;=V$189,$B232&gt;='2.2 Input_General_Information'!$H$20),$V$191/(1+EXP(-$V$193*($B232-(LN(1/$V$188-1)/$V$193+$V$187)))),)</f>
        <v>3.5450838797037231E-4</v>
      </c>
      <c r="W232" s="460">
        <f ca="1">IF(AND($B232&lt;=W$189,$B232&gt;='2.2 Input_General_Information'!$H$20),$W$191/(1+EXP(-$W$193*($B232-(LN(1/$W$188-1)/$W$193+$W$187)))),)</f>
        <v>3.5146528444441721E-4</v>
      </c>
      <c r="X232" s="460">
        <f ca="1">IF(AND($B232&lt;=X$189,$B232&gt;='2.2 Input_General_Information'!$H$20),$X$191/(1+EXP(-$X$193*($B232-(LN(1/$X$188-1)/$X$193+$X$187)))),)</f>
        <v>2.6586736032209788E-4</v>
      </c>
      <c r="Y232" s="460">
        <f ca="1">IF(AND($B232&lt;=Y$189,$B232&gt;='2.2 Input_General_Information'!$H$20),$Y$191/(1+EXP(-$Y$193*($B232-(LN(1/$Y$188-1)/$Y$193+$Y$187)))),)</f>
        <v>0.99958395759920471</v>
      </c>
    </row>
    <row r="233" spans="1:25">
      <c r="A233" s="441"/>
      <c r="B233" s="458">
        <f t="shared" si="20"/>
        <v>2054</v>
      </c>
      <c r="C233" s="491">
        <f t="shared" ca="1" si="18"/>
        <v>0.18968167136936345</v>
      </c>
      <c r="D233" s="492">
        <f t="shared" ca="1" si="19"/>
        <v>0.34283266680996305</v>
      </c>
      <c r="E233" s="460">
        <f ca="1">IF(AND($B233&lt;=$E$189,$B233&gt;='2.2 Input_General_Information'!$H$20),$E$191/(1+EXP(-$E$193*($B233-(LN(1/$E$188-1)/$E$193+$E$187)))),1)</f>
        <v>1</v>
      </c>
      <c r="F233" s="460">
        <f ca="1">IF(AND($B233&lt;=F$189,$B233&gt;='2.2 Input_General_Information'!$H$20),$F$191/(1+EXP(-$F$193*($B233-(LN(1/$F$188-1)/$F$193+$F$187)))),)</f>
        <v>0.70059265519604197</v>
      </c>
      <c r="G233" s="460">
        <f ca="1">IF(AND($B233&lt;=G$189,$B233&gt;='2.2 Input_General_Information'!$H$20),$G$191/(1+EXP(-$G$193*($B233-(LN(1/$G$188-1)/$G$193+$G$187)))),)</f>
        <v>0.66549697680891462</v>
      </c>
      <c r="H233" s="460">
        <f ca="1">IF(AND($B233&lt;=H$189,$B233&gt;='2.2 Input_General_Information'!$H$20),$H$191/(1+EXP(-$H$193*($B233-(LN(1/$H$188-1)/$H$193+$H$187)))),1)</f>
        <v>1</v>
      </c>
      <c r="I233" s="460">
        <f ca="1">IF(AND($B233&lt;=I$189,$B233&gt;='2.2 Input_General_Information'!$H$20),$I$191/(1+EXP(-$I$193*($B233-(LN(1/$I$188-1)/$I$193+$I$187)))),)</f>
        <v>0.99971969589217868</v>
      </c>
      <c r="J233" s="460">
        <f ca="1">IF(AND($B233&lt;=J$189,$B233&gt;='2.2 Input_General_Information'!$H$20),$J$191/(1+EXP(-$J$193*($B233-(LN(1/$J$188-1)/$J$193+$J$187)))),1)</f>
        <v>1</v>
      </c>
      <c r="K233" s="460">
        <f ca="1">IF(AND($B233&lt;=K$189,$B233&gt;='2.2 Input_General_Information'!$H$20),$K$191/(1+EXP(-$K$193*($B233-(LN(1/$K$188-1)/$K$193+$K$187)))),)</f>
        <v>0.99972259485870574</v>
      </c>
      <c r="L233" s="460">
        <f ca="1">IF(AND($B233&lt;=L$189,$B233&gt;='2.2 Input_General_Information'!$H$20),$L$191/(1+EXP(-$L$193*($B233-(LN(1/$L$188-1)/$L$193+$L$187)))),1)</f>
        <v>1</v>
      </c>
      <c r="M233" s="460">
        <f ca="1">IF(M$188=0,0,IF(M$188=1,1,IF(AND($B233&lt;=M$189,$B233&gt;='2.2 Input_General_Information'!$H$20),$M$191/(1+EXP(-$M$193*($B233-(LN(1/$M$188-1)/$M$193+$M$187)))),)))</f>
        <v>0.37670723077057094</v>
      </c>
      <c r="N233" s="460">
        <f ca="1">IF(N$188=0,0,IF(N$188=1,1,IF(AND($B233&lt;=N$189,$B233&gt;='2.2 Input_General_Information'!$H$20),$N$191/(1+EXP(-$N$193*($B233-(LN(1/$N$188-1)/$N$193+$N$187)))),)))</f>
        <v>0.27243752852868408</v>
      </c>
      <c r="O233" s="460">
        <f ca="1">IF(O$188=0,0,IF(O$188=100%,100%,IF(AND($B233&lt;=O$189,$B233&gt;='2.2 Input_General_Information'!$H$20),$O$191/(1+EXP(-$O$193*($B233-(LN(1/$O$188-1)/$O$193+$O$187)))),)))</f>
        <v>0.21700686188869028</v>
      </c>
      <c r="P233" s="460" t="e">
        <f ca="1">IF(P$188=0,0,IF(AND($B233&lt;=P$189,$B233&gt;='2.2 Input_General_Information'!$H$20),$P$191/(1+EXP(-$P$193*($B233-(LN(1/$P$188-1)/$P$193+$P$187)))),))</f>
        <v>#DIV/0!</v>
      </c>
      <c r="Q233" s="460">
        <f ca="1">IF(AND($B233&lt;=Q$189,$B233&gt;='2.2 Input_General_Information'!$H$20),$Q$191/(1+EXP(-$Q$193*($B233-(LN(1/$Q$188-1)/$Q$193+$Q$187)))),)</f>
        <v>0.66549697680891462</v>
      </c>
      <c r="R233" s="460">
        <f ca="1">IF(B233&gt;='2.2 Input_General_Information'!$H$20,Q233-VLOOKUP('2.2 Input_General_Information'!$H$20,$B$197:$Q$237,16),0)</f>
        <v>0.46549697680891389</v>
      </c>
      <c r="S233" s="460">
        <f ca="1">IF(AND($B233&lt;=S$189,$B233&gt;='2.2 Input_General_Information'!$H$20),$S$191/(1+EXP(-$S$193*($B233-(LN(1/$S$188-1)/$S$193+$S$187)))),1)</f>
        <v>1</v>
      </c>
      <c r="T233" s="460">
        <f ca="1">IF(B233&gt;='2.2 Input_General_Information'!$H$20,IF(S233="","",S233-VLOOKUP('2.2 Input_General_Information'!$H$20,$B$197:$S$237,18)),0)</f>
        <v>0.80000000000000804</v>
      </c>
      <c r="U233" s="460">
        <f ca="1">IF(AND($B233&lt;=U$189,$B233&gt;='2.2 Input_General_Information'!$H$20),$U$191/(1+EXP(-$U$193*($B233-(LN(1/$U$188-1)/$U$193+$U$187)))),)</f>
        <v>0.23826573708795448</v>
      </c>
      <c r="V233" s="460">
        <f ca="1">IF(AND($B233&lt;=V$189,$B233&gt;='2.2 Input_General_Information'!$H$20),$V$191/(1+EXP(-$V$193*($B233-(LN(1/$V$188-1)/$V$193+$V$187)))),)</f>
        <v>2.752412598846499E-4</v>
      </c>
      <c r="W233" s="460">
        <f ca="1">IF(AND($B233&lt;=W$189,$B233&gt;='2.2 Input_General_Information'!$H$20),$W$191/(1+EXP(-$W$193*($B233-(LN(1/$W$188-1)/$W$193+$W$187)))),)</f>
        <v>2.7334934441798267E-4</v>
      </c>
      <c r="X233" s="460">
        <f ca="1">IF(AND($B233&lt;=X$189,$B233&gt;='2.2 Input_General_Information'!$H$20),$X$191/(1+EXP(-$X$193*($B233-(LN(1/$X$188-1)/$X$193+$X$187)))),)</f>
        <v>2.1864428139937777E-4</v>
      </c>
      <c r="Y233" s="460">
        <f ca="1">IF(AND($B233&lt;=Y$189,$B233&gt;='2.2 Input_General_Information'!$H$20),$Y$191/(1+EXP(-$Y$193*($B233-(LN(1/$Y$188-1)/$Y$193+$Y$187)))),)</f>
        <v>0.9996871562724855</v>
      </c>
    </row>
    <row r="234" spans="1:25">
      <c r="A234" s="441"/>
      <c r="B234" s="458">
        <f t="shared" si="20"/>
        <v>2055</v>
      </c>
      <c r="C234" s="491">
        <f t="shared" ca="1" si="18"/>
        <v>0.19585125456508443</v>
      </c>
      <c r="D234" s="492">
        <f t="shared" ca="1" si="19"/>
        <v>0.34283287735994139</v>
      </c>
      <c r="E234" s="460">
        <f ca="1">IF(AND($B234&lt;=$E$189,$B234&gt;='2.2 Input_General_Information'!$H$20),$E$191/(1+EXP(-$E$193*($B234-(LN(1/$E$188-1)/$E$193+$E$187)))),1)</f>
        <v>1</v>
      </c>
      <c r="F234" s="460">
        <f ca="1">IF(AND($B234&lt;=F$189,$B234&gt;='2.2 Input_General_Information'!$H$20),$F$191/(1+EXP(-$F$193*($B234-(LN(1/$F$188-1)/$F$193+$F$187)))),)</f>
        <v>0.71345919426476767</v>
      </c>
      <c r="G234" s="460">
        <f ca="1">IF(AND($B234&lt;=G$189,$B234&gt;='2.2 Input_General_Information'!$H$20),$G$191/(1+EXP(-$G$193*($B234-(LN(1/$G$188-1)/$G$193+$G$187)))),)</f>
        <v>0.67819833350670489</v>
      </c>
      <c r="H234" s="460">
        <f ca="1">IF(AND($B234&lt;=H$189,$B234&gt;='2.2 Input_General_Information'!$H$20),$H$191/(1+EXP(-$H$193*($B234-(LN(1/$H$188-1)/$H$193+$H$187)))),1)</f>
        <v>1</v>
      </c>
      <c r="I234" s="460">
        <f ca="1">IF(AND($B234&lt;=I$189,$B234&gt;='2.2 Input_General_Information'!$H$20),$I$191/(1+EXP(-$I$193*($B234-(LN(1/$I$188-1)/$I$193+$I$187)))),)</f>
        <v>0.9997833642263465</v>
      </c>
      <c r="J234" s="460">
        <f ca="1">IF(AND($B234&lt;=J$189,$B234&gt;='2.2 Input_General_Information'!$H$20),$J$191/(1+EXP(-$J$193*($B234-(LN(1/$J$188-1)/$J$193+$J$187)))),1)</f>
        <v>1</v>
      </c>
      <c r="K234" s="460">
        <f ca="1">IF(AND($B234&lt;=K$189,$B234&gt;='2.2 Input_General_Information'!$H$20),$K$191/(1+EXP(-$K$193*($B234-(LN(1/$K$188-1)/$K$193+$K$187)))),)</f>
        <v>0.99978504688481817</v>
      </c>
      <c r="L234" s="460">
        <f ca="1">IF(AND($B234&lt;=L$189,$B234&gt;='2.2 Input_General_Information'!$H$20),$L$191/(1+EXP(-$L$193*($B234-(LN(1/$L$188-1)/$L$193+$L$187)))),1)</f>
        <v>1</v>
      </c>
      <c r="M234" s="460">
        <f ca="1">IF(M$188=0,0,IF(M$188=1,1,IF(AND($B234&lt;=M$189,$B234&gt;='2.2 Input_General_Information'!$H$20),$M$191/(1+EXP(-$M$193*($B234-(LN(1/$M$188-1)/$M$193+$M$187)))),)))</f>
        <v>0.38248183997099749</v>
      </c>
      <c r="N234" s="460">
        <f ca="1">IF(N$188=0,0,IF(N$188=1,1,IF(AND($B234&lt;=N$189,$B234&gt;='2.2 Input_General_Information'!$H$20),$N$191/(1+EXP(-$N$193*($B234-(LN(1/$N$188-1)/$N$193+$N$187)))),)))</f>
        <v>0.27917805877962742</v>
      </c>
      <c r="O234" s="460">
        <f ca="1">IF(O$188=0,0,IF(O$188=100%,100%,IF(AND($B234&lt;=O$189,$B234&gt;='2.2 Input_General_Information'!$H$20),$O$191/(1+EXP(-$O$193*($B234-(LN(1/$O$188-1)/$O$193+$O$187)))),)))</f>
        <v>0.22495001702654011</v>
      </c>
      <c r="P234" s="460" t="e">
        <f ca="1">IF(P$188=0,0,IF(AND($B234&lt;=P$189,$B234&gt;='2.2 Input_General_Information'!$H$20),$P$191/(1+EXP(-$P$193*($B234-(LN(1/$P$188-1)/$P$193+$P$187)))),))</f>
        <v>#DIV/0!</v>
      </c>
      <c r="Q234" s="460">
        <f ca="1">IF(AND($B234&lt;=Q$189,$B234&gt;='2.2 Input_General_Information'!$H$20),$Q$191/(1+EXP(-$Q$193*($B234-(LN(1/$Q$188-1)/$Q$193+$Q$187)))),)</f>
        <v>0.67819833350670489</v>
      </c>
      <c r="R234" s="460">
        <f ca="1">IF(B234&gt;='2.2 Input_General_Information'!$H$20,Q234-VLOOKUP('2.2 Input_General_Information'!$H$20,$B$197:$Q$237,16),0)</f>
        <v>0.47819833350670415</v>
      </c>
      <c r="S234" s="460">
        <f ca="1">IF(AND($B234&lt;=S$189,$B234&gt;='2.2 Input_General_Information'!$H$20),$S$191/(1+EXP(-$S$193*($B234-(LN(1/$S$188-1)/$S$193+$S$187)))),1)</f>
        <v>1</v>
      </c>
      <c r="T234" s="460">
        <f ca="1">IF(B234&gt;='2.2 Input_General_Information'!$H$20,IF(S234="","",S234-VLOOKUP('2.2 Input_General_Information'!$H$20,$B$197:$S$237,18)),0)</f>
        <v>0.80000000000000804</v>
      </c>
      <c r="U234" s="460">
        <f ca="1">IF(AND($B234&lt;=U$189,$B234&gt;='2.2 Input_General_Information'!$H$20),$U$191/(1+EXP(-$U$193*($B234-(LN(1/$U$188-1)/$U$193+$U$187)))),)</f>
        <v>0.24116345723139745</v>
      </c>
      <c r="V234" s="460">
        <f ca="1">IF(AND($B234&lt;=V$189,$B234&gt;='2.2 Input_General_Information'!$H$20),$V$191/(1+EXP(-$V$193*($B234-(LN(1/$V$188-1)/$V$193+$V$187)))),)</f>
        <v>2.1369426094564319E-4</v>
      </c>
      <c r="W234" s="460">
        <f ca="1">IF(AND($B234&lt;=W$189,$B234&gt;='2.2 Input_General_Information'!$H$20),$W$191/(1+EXP(-$W$193*($B234-(LN(1/$W$188-1)/$W$193+$W$187)))),)</f>
        <v>2.125915977748574E-4</v>
      </c>
      <c r="X234" s="460">
        <f ca="1">IF(AND($B234&lt;=X$189,$B234&gt;='2.2 Input_General_Information'!$H$20),$X$191/(1+EXP(-$X$193*($B234-(LN(1/$X$188-1)/$X$193+$X$187)))),)</f>
        <v>1.798074071602221E-4</v>
      </c>
      <c r="Y234" s="460">
        <f ca="1">IF(AND($B234&lt;=Y$189,$B234&gt;='2.2 Input_General_Information'!$H$20),$Y$191/(1+EXP(-$Y$193*($B234-(LN(1/$Y$188-1)/$Y$193+$Y$187)))),)</f>
        <v>0.99976476269883519</v>
      </c>
    </row>
    <row r="235" spans="1:25">
      <c r="A235" s="441"/>
      <c r="B235" s="458">
        <f t="shared" si="20"/>
        <v>2056</v>
      </c>
      <c r="C235" s="491">
        <f t="shared" ca="1" si="18"/>
        <v>0.20203195237977209</v>
      </c>
      <c r="D235" s="492">
        <f t="shared" ca="1" si="19"/>
        <v>0.34283302139870819</v>
      </c>
      <c r="E235" s="460">
        <f ca="1">IF(AND($B235&lt;=$E$189,$B235&gt;='2.2 Input_General_Information'!$H$20),$E$191/(1+EXP(-$E$193*($B235-(LN(1/$E$188-1)/$E$193+$E$187)))),1)</f>
        <v>1</v>
      </c>
      <c r="F235" s="460">
        <f ca="1">IF(AND($B235&lt;=F$189,$B235&gt;='2.2 Input_General_Information'!$H$20),$F$191/(1+EXP(-$F$193*($B235-(LN(1/$F$188-1)/$F$193+$F$187)))),)</f>
        <v>0.72598906854126899</v>
      </c>
      <c r="G235" s="460">
        <f ca="1">IF(AND($B235&lt;=G$189,$B235&gt;='2.2 Input_General_Information'!$H$20),$G$191/(1+EXP(-$G$193*($B235-(LN(1/$G$188-1)/$G$193+$G$187)))),)</f>
        <v>0.69064159905676681</v>
      </c>
      <c r="H235" s="460">
        <f ca="1">IF(AND($B235&lt;=H$189,$B235&gt;='2.2 Input_General_Information'!$H$20),$H$191/(1+EXP(-$H$193*($B235-(LN(1/$H$188-1)/$H$193+$H$187)))),1)</f>
        <v>1</v>
      </c>
      <c r="I235" s="460">
        <f ca="1">IF(AND($B235&lt;=I$189,$B235&gt;='2.2 Input_General_Information'!$H$20),$I$191/(1+EXP(-$I$193*($B235-(LN(1/$I$188-1)/$I$193+$I$187)))),)</f>
        <v>0.99983257334360609</v>
      </c>
      <c r="J235" s="460">
        <f ca="1">IF(AND($B235&lt;=J$189,$B235&gt;='2.2 Input_General_Information'!$H$20),$J$191/(1+EXP(-$J$193*($B235-(LN(1/$J$188-1)/$J$193+$J$187)))),1)</f>
        <v>1</v>
      </c>
      <c r="K235" s="460">
        <f ca="1">IF(AND($B235&lt;=K$189,$B235&gt;='2.2 Input_General_Information'!$H$20),$K$191/(1+EXP(-$K$193*($B235-(LN(1/$K$188-1)/$K$193+$K$187)))),)</f>
        <v>0.99983344147224607</v>
      </c>
      <c r="L235" s="460">
        <f ca="1">IF(AND($B235&lt;=L$189,$B235&gt;='2.2 Input_General_Information'!$H$20),$L$191/(1+EXP(-$L$193*($B235-(LN(1/$L$188-1)/$L$193+$L$187)))),1)</f>
        <v>1</v>
      </c>
      <c r="M235" s="460">
        <f ca="1">IF(M$188=0,0,IF(M$188=1,1,IF(AND($B235&lt;=M$189,$B235&gt;='2.2 Input_General_Information'!$H$20),$M$191/(1+EXP(-$M$193*($B235-(LN(1/$M$188-1)/$M$193+$M$187)))),)))</f>
        <v>0.38828982426227038</v>
      </c>
      <c r="N235" s="460">
        <f ca="1">IF(N$188=0,0,IF(N$188=1,1,IF(AND($B235&lt;=N$189,$B235&gt;='2.2 Input_General_Information'!$H$20),$N$191/(1+EXP(-$N$193*($B235-(LN(1/$N$188-1)/$N$193+$N$187)))),)))</f>
        <v>0.28601979906781916</v>
      </c>
      <c r="O235" s="460">
        <f ca="1">IF(O$188=0,0,IF(O$188=100%,100%,IF(AND($B235&lt;=O$189,$B235&gt;='2.2 Input_General_Information'!$H$20),$O$191/(1+EXP(-$O$193*($B235-(LN(1/$O$188-1)/$O$193+$O$187)))),)))</f>
        <v>0.23309736243764415</v>
      </c>
      <c r="P235" s="460" t="e">
        <f ca="1">IF(P$188=0,0,IF(AND($B235&lt;=P$189,$B235&gt;='2.2 Input_General_Information'!$H$20),$P$191/(1+EXP(-$P$193*($B235-(LN(1/$P$188-1)/$P$193+$P$187)))),))</f>
        <v>#DIV/0!</v>
      </c>
      <c r="Q235" s="460">
        <f ca="1">IF(AND($B235&lt;=Q$189,$B235&gt;='2.2 Input_General_Information'!$H$20),$Q$191/(1+EXP(-$Q$193*($B235-(LN(1/$Q$188-1)/$Q$193+$Q$187)))),)</f>
        <v>0.69064159905676681</v>
      </c>
      <c r="R235" s="460">
        <f ca="1">IF(B235&gt;='2.2 Input_General_Information'!$H$20,Q235-VLOOKUP('2.2 Input_General_Information'!$H$20,$B$197:$Q$237,16),0)</f>
        <v>0.49064159905676608</v>
      </c>
      <c r="S235" s="460">
        <f ca="1">IF(AND($B235&lt;=S$189,$B235&gt;='2.2 Input_General_Information'!$H$20),$S$191/(1+EXP(-$S$193*($B235-(LN(1/$S$188-1)/$S$193+$S$187)))),1)</f>
        <v>1</v>
      </c>
      <c r="T235" s="460">
        <f ca="1">IF(B235&gt;='2.2 Input_General_Information'!$H$20,IF(S235="","",S235-VLOOKUP('2.2 Input_General_Information'!$H$20,$B$197:$S$237,18)),0)</f>
        <v>0.80000000000000804</v>
      </c>
      <c r="U235" s="460">
        <f ca="1">IF(AND($B235&lt;=U$189,$B235&gt;='2.2 Input_General_Information'!$H$20),$U$191/(1+EXP(-$U$193*($B235-(LN(1/$U$188-1)/$U$193+$U$187)))),)</f>
        <v>0.24408512614898537</v>
      </c>
      <c r="V235" s="460">
        <f ca="1">IF(AND($B235&lt;=V$189,$B235&gt;='2.2 Input_General_Information'!$H$20),$V$191/(1+EXP(-$V$193*($B235-(LN(1/$V$188-1)/$V$193+$V$187)))),)</f>
        <v>1.659075697584484E-4</v>
      </c>
      <c r="W235" s="460">
        <f ca="1">IF(AND($B235&lt;=W$189,$B235&gt;='2.2 Input_General_Information'!$H$20),$W$191/(1+EXP(-$W$193*($B235-(LN(1/$W$188-1)/$W$193+$W$187)))),)</f>
        <v>1.6533632825838104E-4</v>
      </c>
      <c r="X235" s="460">
        <f ca="1">IF(AND($B235&lt;=X$189,$B235&gt;='2.2 Input_General_Information'!$H$20),$X$191/(1+EXP(-$X$193*($B235-(LN(1/$X$188-1)/$X$193+$X$187)))),)</f>
        <v>1.4786794506743201E-4</v>
      </c>
      <c r="Y235" s="460">
        <f ca="1">IF(AND($B235&lt;=Y$189,$B235&gt;='2.2 Input_General_Information'!$H$20),$Y$191/(1+EXP(-$Y$193*($B235-(LN(1/$Y$188-1)/$Y$193+$Y$187)))),)</f>
        <v>0.99982312088317882</v>
      </c>
    </row>
    <row r="236" spans="1:25">
      <c r="A236" s="441"/>
      <c r="B236" s="458">
        <f t="shared" si="20"/>
        <v>2057</v>
      </c>
      <c r="C236" s="491">
        <f t="shared" ca="1" si="18"/>
        <v>0.20822007477480683</v>
      </c>
      <c r="D236" s="492">
        <f t="shared" ca="1" si="19"/>
        <v>0.34283311993666032</v>
      </c>
      <c r="E236" s="460">
        <f ca="1">IF(AND($B236&lt;=$E$189,$B236&gt;='2.2 Input_General_Information'!$H$20),$E$191/(1+EXP(-$E$193*($B236-(LN(1/$E$188-1)/$E$193+$E$187)))),1)</f>
        <v>1</v>
      </c>
      <c r="F236" s="460">
        <f ca="1">IF(AND($B236&lt;=F$189,$B236&gt;='2.2 Input_General_Information'!$H$20),$F$191/(1+EXP(-$F$193*($B236-(LN(1/$F$188-1)/$F$193+$F$187)))),)</f>
        <v>0.73817210867330141</v>
      </c>
      <c r="G236" s="460">
        <f ca="1">IF(AND($B236&lt;=G$189,$B236&gt;='2.2 Input_General_Information'!$H$20),$G$191/(1+EXP(-$G$193*($B236-(LN(1/$G$188-1)/$G$193+$G$187)))),)</f>
        <v>0.70281455380722657</v>
      </c>
      <c r="H236" s="460">
        <f ca="1">IF(AND($B236&lt;=H$189,$B236&gt;='2.2 Input_General_Information'!$H$20),$H$191/(1+EXP(-$H$193*($B236-(LN(1/$H$188-1)/$H$193+$H$187)))),1)</f>
        <v>1</v>
      </c>
      <c r="I236" s="460">
        <f ca="1">IF(AND($B236&lt;=I$189,$B236&gt;='2.2 Input_General_Information'!$H$20),$I$191/(1+EXP(-$I$193*($B236-(LN(1/$I$188-1)/$I$193+$I$187)))),)</f>
        <v>0.99987060598811461</v>
      </c>
      <c r="J236" s="460">
        <f ca="1">IF(AND($B236&lt;=J$189,$B236&gt;='2.2 Input_General_Information'!$H$20),$J$191/(1+EXP(-$J$193*($B236-(LN(1/$J$188-1)/$J$193+$J$187)))),1)</f>
        <v>1</v>
      </c>
      <c r="K236" s="460">
        <f ca="1">IF(AND($B236&lt;=K$189,$B236&gt;='2.2 Input_General_Information'!$H$20),$K$191/(1+EXP(-$K$193*($B236-(LN(1/$K$188-1)/$K$193+$K$187)))),)</f>
        <v>0.99987094189902614</v>
      </c>
      <c r="L236" s="460">
        <f ca="1">IF(AND($B236&lt;=L$189,$B236&gt;='2.2 Input_General_Information'!$H$20),$L$191/(1+EXP(-$L$193*($B236-(LN(1/$L$188-1)/$L$193+$L$187)))),1)</f>
        <v>1</v>
      </c>
      <c r="M236" s="460">
        <f ca="1">IF(M$188=0,0,IF(M$188=1,1,IF(AND($B236&lt;=M$189,$B236&gt;='2.2 Input_General_Information'!$H$20),$M$191/(1+EXP(-$M$193*($B236-(LN(1/$M$188-1)/$M$193+$M$187)))),)))</f>
        <v>0.39412971298584576</v>
      </c>
      <c r="N236" s="460">
        <f ca="1">IF(N$188=0,0,IF(N$188=1,1,IF(AND($B236&lt;=N$189,$B236&gt;='2.2 Input_General_Information'!$H$20),$N$191/(1+EXP(-$N$193*($B236-(LN(1/$N$188-1)/$N$193+$N$187)))),)))</f>
        <v>0.29296106304516528</v>
      </c>
      <c r="O236" s="460">
        <f ca="1">IF(O$188=0,0,IF(O$188=100%,100%,IF(AND($B236&lt;=O$189,$B236&gt;='2.2 Input_General_Information'!$H$20),$O$191/(1+EXP(-$O$193*($B236-(LN(1/$O$188-1)/$O$193+$O$187)))),)))</f>
        <v>0.24144786591026057</v>
      </c>
      <c r="P236" s="460" t="e">
        <f ca="1">IF(P$188=0,0,IF(AND($B236&lt;=P$189,$B236&gt;='2.2 Input_General_Information'!$H$20),$P$191/(1+EXP(-$P$193*($B236-(LN(1/$P$188-1)/$P$193+$P$187)))),))</f>
        <v>#DIV/0!</v>
      </c>
      <c r="Q236" s="460">
        <f ca="1">IF(AND($B236&lt;=Q$189,$B236&gt;='2.2 Input_General_Information'!$H$20),$Q$191/(1+EXP(-$Q$193*($B236-(LN(1/$Q$188-1)/$Q$193+$Q$187)))),)</f>
        <v>0.70281455380722657</v>
      </c>
      <c r="R236" s="460">
        <f ca="1">IF(B236&gt;='2.2 Input_General_Information'!$H$20,Q236-VLOOKUP('2.2 Input_General_Information'!$H$20,$B$197:$Q$237,16),0)</f>
        <v>0.50281455380722584</v>
      </c>
      <c r="S236" s="460">
        <f ca="1">IF(AND($B236&lt;=S$189,$B236&gt;='2.2 Input_General_Information'!$H$20),$S$191/(1+EXP(-$S$193*($B236-(LN(1/$S$188-1)/$S$193+$S$187)))),1)</f>
        <v>1</v>
      </c>
      <c r="T236" s="460">
        <f ca="1">IF(B236&gt;='2.2 Input_General_Information'!$H$20,IF(S236="","",S236-VLOOKUP('2.2 Input_General_Information'!$H$20,$B$197:$S$237,18)),0)</f>
        <v>0.80000000000000804</v>
      </c>
      <c r="U236" s="460">
        <f ca="1">IF(AND($B236&lt;=U$189,$B236&gt;='2.2 Input_General_Information'!$H$20),$U$191/(1+EXP(-$U$193*($B236-(LN(1/$U$188-1)/$U$193+$U$187)))),)</f>
        <v>0.24703066809577567</v>
      </c>
      <c r="V236" s="460">
        <f ca="1">IF(AND($B236&lt;=V$189,$B236&gt;='2.2 Input_General_Information'!$H$20),$V$191/(1+EXP(-$V$193*($B236-(LN(1/$V$188-1)/$V$193+$V$187)))),)</f>
        <v>1.2880564682479984E-4</v>
      </c>
      <c r="W236" s="460">
        <f ca="1">IF(AND($B236&lt;=W$189,$B236&gt;='2.2 Input_General_Information'!$H$20),$W$191/(1+EXP(-$W$193*($B236-(LN(1/$W$188-1)/$W$193+$W$187)))),)</f>
        <v>1.2858370007019819E-4</v>
      </c>
      <c r="X236" s="460">
        <f ca="1">IF(AND($B236&lt;=X$189,$B236&gt;='2.2 Input_General_Information'!$H$20),$X$191/(1+EXP(-$X$193*($B236-(LN(1/$X$188-1)/$X$193+$X$187)))),)</f>
        <v>1.2160124798242826E-4</v>
      </c>
      <c r="Y236" s="460">
        <f ca="1">IF(AND($B236&lt;=Y$189,$B236&gt;='2.2 Input_General_Information'!$H$20),$Y$191/(1+EXP(-$Y$193*($B236-(LN(1/$Y$188-1)/$Y$193+$Y$187)))),)</f>
        <v>0.9998670033673982</v>
      </c>
    </row>
    <row r="237" spans="1:25">
      <c r="A237" s="441"/>
      <c r="B237" s="458">
        <f t="shared" si="20"/>
        <v>2058</v>
      </c>
      <c r="C237" s="491">
        <f t="shared" ca="1" si="18"/>
        <v>0.21441191391941392</v>
      </c>
      <c r="D237" s="492">
        <f t="shared" ca="1" si="19"/>
        <v>0.34283318734717272</v>
      </c>
      <c r="E237" s="460">
        <f ca="1">IF(AND($B237&lt;=$E$189,$B237&gt;='2.2 Input_General_Information'!$H$20),$E$191/(1+EXP(-$E$193*($B237-(LN(1/$E$188-1)/$E$193+$E$187)))),1)</f>
        <v>1</v>
      </c>
      <c r="F237" s="460">
        <f ca="1">IF(AND($B237&lt;=F$189,$B237&gt;='2.2 Input_General_Information'!$H$20),$F$191/(1+EXP(-$F$193*($B237-(LN(1/$F$188-1)/$F$193+$F$187)))),)</f>
        <v>0.74999999999999989</v>
      </c>
      <c r="G237" s="460">
        <f ca="1">IF(AND($B237&lt;=G$189,$B237&gt;='2.2 Input_General_Information'!$H$20),$G$191/(1+EXP(-$G$193*($B237-(LN(1/$G$188-1)/$G$193+$G$187)))),)</f>
        <v>0.71470637973138063</v>
      </c>
      <c r="H237" s="460">
        <f ca="1">IF(AND($B237&lt;=H$189,$B237&gt;='2.2 Input_General_Information'!$H$20),$H$191/(1+EXP(-$H$193*($B237-(LN(1/$H$188-1)/$H$193+$H$187)))),1)</f>
        <v>1</v>
      </c>
      <c r="I237" s="460">
        <f ca="1">IF(AND($B237&lt;=I$189,$B237&gt;='2.2 Input_General_Information'!$H$20),$I$191/(1+EXP(-$I$193*($B237-(LN(1/$I$188-1)/$I$193+$I$187)))),)</f>
        <v>0.99990000000000012</v>
      </c>
      <c r="J237" s="460">
        <f ca="1">IF(AND($B237&lt;=J$189,$B237&gt;='2.2 Input_General_Information'!$H$20),$J$191/(1+EXP(-$J$193*($B237-(LN(1/$J$188-1)/$J$193+$J$187)))),1)</f>
        <v>1</v>
      </c>
      <c r="K237" s="460">
        <f ca="1">IF(AND($B237&lt;=K$189,$B237&gt;='2.2 Input_General_Information'!$H$20),$K$191/(1+EXP(-$K$193*($B237-(LN(1/$K$188-1)/$K$193+$K$187)))),)</f>
        <v>0.99990000000000012</v>
      </c>
      <c r="L237" s="460">
        <f ca="1">IF(AND($B237&lt;=L$189,$B237&gt;='2.2 Input_General_Information'!$H$20),$L$191/(1+EXP(-$L$193*($B237-(LN(1/$L$188-1)/$L$193+$L$187)))),1)</f>
        <v>1</v>
      </c>
      <c r="M237" s="460">
        <f ca="1">IF(M$188=0,0,IF(M$188=1,1,IF(AND($B237&lt;=M$189,$B237&gt;='2.2 Input_General_Information'!$H$20),$M$191/(1+EXP(-$M$193*($B237-(LN(1/$M$188-1)/$M$193+$M$187)))),)))</f>
        <v>0.40000000000000058</v>
      </c>
      <c r="N237" s="460">
        <f ca="1">IF(N$188=0,0,IF(N$188=1,1,IF(AND($B237&lt;=N$189,$B237&gt;='2.2 Input_General_Information'!$H$20),$N$191/(1+EXP(-$N$193*($B237-(LN(1/$N$188-1)/$N$193+$N$187)))),)))</f>
        <v>0.30000000000000121</v>
      </c>
      <c r="O237" s="460">
        <f ca="1">IF(O$188=0,0,IF(O$188=100%,100%,IF(AND($B237&lt;=O$189,$B237&gt;='2.2 Input_General_Information'!$H$20),$O$191/(1+EXP(-$O$193*($B237-(LN(1/$O$188-1)/$O$193+$O$187)))),)))</f>
        <v>0.25000000000000067</v>
      </c>
      <c r="P237" s="460" t="e">
        <f ca="1">IF(P$188=0,0,IF(AND($B237&lt;=P$189,$B237&gt;='2.2 Input_General_Information'!$H$20),$P$191/(1+EXP(-$P$193*($B237-(LN(1/$P$188-1)/$P$193+$P$187)))),))</f>
        <v>#DIV/0!</v>
      </c>
      <c r="Q237" s="460">
        <f ca="1">IF(AND($B237&lt;=Q$189,$B237&gt;='2.2 Input_General_Information'!$H$20),$Q$191/(1+EXP(-$Q$193*($B237-(LN(1/$Q$188-1)/$Q$193+$Q$187)))),)</f>
        <v>0.71470637973138063</v>
      </c>
      <c r="R237" s="460">
        <f ca="1">IF(B237&gt;='2.2 Input_General_Information'!$H$20,Q237-VLOOKUP('2.2 Input_General_Information'!$H$20,$B$197:$Q$237,16),0)</f>
        <v>0.51470637973137989</v>
      </c>
      <c r="S237" s="460">
        <f ca="1">IF(AND($B237&lt;=S$189,$B237&gt;='2.2 Input_General_Information'!$H$20),$S$191/(1+EXP(-$S$193*($B237-(LN(1/$S$188-1)/$S$193+$S$187)))),1)</f>
        <v>1</v>
      </c>
      <c r="T237" s="460">
        <f ca="1">IF(B237&gt;='2.2 Input_General_Information'!$H$20,IF(S237="","",S237-VLOOKUP('2.2 Input_General_Information'!$H$20,$B$197:$S$237,18)),0)</f>
        <v>0.80000000000000804</v>
      </c>
      <c r="U237" s="460">
        <f ca="1">IF(AND($B237&lt;=U$189,$B237&gt;='2.2 Input_General_Information'!$H$20),$U$191/(1+EXP(-$U$193*($B237-(LN(1/$U$188-1)/$U$193+$U$187)))),)</f>
        <v>0.25000000000000067</v>
      </c>
      <c r="V237" s="460">
        <f ca="1">IF(AND($B237&lt;=V$189,$B237&gt;='2.2 Input_General_Information'!$H$20),$V$191/(1+EXP(-$V$193*($B237-(LN(1/$V$188-1)/$V$193+$V$187)))),)</f>
        <v>9.999999999999911E-5</v>
      </c>
      <c r="W237" s="460">
        <f ca="1">IF(AND($B237&lt;=W$189,$B237&gt;='2.2 Input_General_Information'!$H$20),$W$191/(1+EXP(-$W$193*($B237-(LN(1/$W$188-1)/$W$193+$W$187)))),)</f>
        <v>1.0000000000000071E-4</v>
      </c>
      <c r="X237" s="460">
        <f ca="1">IF(AND($B237&lt;=X$189,$B237&gt;='2.2 Input_General_Information'!$H$20),$X$191/(1+EXP(-$X$193*($B237-(LN(1/$X$188-1)/$X$193+$X$187)))),)</f>
        <v>9.9999999999998216E-5</v>
      </c>
      <c r="Y237" s="460">
        <f ca="1">IF(AND($B237&lt;=Y$189,$B237&gt;='2.2 Input_General_Information'!$H$20),$Y$191/(1+EXP(-$Y$193*($B237-(LN(1/$Y$188-1)/$Y$193+$Y$187)))),)</f>
        <v>0.99990000000000012</v>
      </c>
    </row>
    <row r="238" spans="1:25">
      <c r="A238" s="441"/>
      <c r="B238" s="441"/>
      <c r="C238" s="441"/>
      <c r="D238" s="441"/>
      <c r="E238" s="441"/>
      <c r="F238" s="441"/>
      <c r="G238" s="441"/>
      <c r="H238" s="441"/>
      <c r="I238" s="441"/>
      <c r="J238" s="441"/>
      <c r="K238" s="441"/>
      <c r="L238" s="441"/>
      <c r="M238" s="441"/>
      <c r="N238" s="441"/>
      <c r="O238" s="441"/>
      <c r="P238" s="441"/>
      <c r="Q238" s="441"/>
      <c r="R238" s="441"/>
      <c r="S238" s="441"/>
      <c r="T238" s="441"/>
      <c r="U238" s="441"/>
      <c r="V238" s="441"/>
      <c r="W238" s="441"/>
      <c r="X238" s="441"/>
      <c r="Y238" s="441"/>
    </row>
    <row r="239" spans="1:25">
      <c r="A239" s="441"/>
      <c r="B239" s="441"/>
      <c r="C239" s="441"/>
      <c r="D239" s="441"/>
      <c r="E239" s="441"/>
      <c r="F239" s="441"/>
      <c r="G239" s="441"/>
      <c r="H239" s="441"/>
      <c r="I239" s="441"/>
      <c r="J239" s="441"/>
      <c r="K239" s="441"/>
      <c r="L239" s="441"/>
      <c r="M239" s="441"/>
      <c r="N239" s="441"/>
      <c r="O239" s="441"/>
      <c r="P239" s="441"/>
      <c r="Q239" s="441"/>
      <c r="R239" s="441"/>
      <c r="S239" s="441"/>
      <c r="T239" s="441"/>
      <c r="U239" s="441"/>
      <c r="V239" s="441"/>
      <c r="W239" s="441"/>
      <c r="X239" s="441"/>
      <c r="Y239" s="441"/>
    </row>
  </sheetData>
  <hyperlinks>
    <hyperlink ref="E3" r:id="rId1"/>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D966"/>
    <outlinePr summaryBelow="0" summaryRight="0"/>
  </sheetPr>
  <dimension ref="B1:G1000"/>
  <sheetViews>
    <sheetView showGridLines="0" workbookViewId="0">
      <selection activeCell="N38" sqref="N38"/>
    </sheetView>
  </sheetViews>
  <sheetFormatPr defaultColWidth="14.42578125" defaultRowHeight="15" customHeight="1"/>
  <cols>
    <col min="2" max="3" width="7.28515625" customWidth="1"/>
    <col min="4" max="4" width="14.42578125" customWidth="1"/>
    <col min="5" max="7" width="7.28515625" customWidth="1"/>
  </cols>
  <sheetData>
    <row r="1" spans="2:7">
      <c r="B1" s="48"/>
      <c r="C1" s="470"/>
      <c r="D1" s="69"/>
      <c r="E1" s="69"/>
      <c r="F1" s="69"/>
      <c r="G1" s="69"/>
    </row>
    <row r="2" spans="2:7">
      <c r="B2" s="471" t="s">
        <v>930</v>
      </c>
      <c r="C2" s="470"/>
      <c r="D2" s="472"/>
      <c r="E2" s="69"/>
      <c r="F2" s="69"/>
      <c r="G2" s="69"/>
    </row>
    <row r="3" spans="2:7">
      <c r="B3" s="48"/>
      <c r="C3" s="470"/>
      <c r="D3" s="473" t="s">
        <v>931</v>
      </c>
      <c r="E3" s="69"/>
      <c r="F3" s="69"/>
      <c r="G3" s="69"/>
    </row>
    <row r="4" spans="2:7">
      <c r="B4" s="474">
        <v>2018</v>
      </c>
      <c r="C4" s="475">
        <v>1.72E-2</v>
      </c>
      <c r="D4" s="476">
        <v>1</v>
      </c>
      <c r="E4" s="477"/>
      <c r="F4" s="477"/>
      <c r="G4" s="477"/>
    </row>
    <row r="5" spans="2:7">
      <c r="B5" s="477">
        <f t="shared" ref="B5:B44" si="0">B4+1</f>
        <v>2019</v>
      </c>
      <c r="C5" s="475">
        <v>1.89E-2</v>
      </c>
      <c r="D5" s="476">
        <v>2</v>
      </c>
      <c r="E5" s="479"/>
      <c r="F5" s="479"/>
      <c r="G5" s="479"/>
    </row>
    <row r="6" spans="2:7">
      <c r="B6" s="477">
        <f t="shared" si="0"/>
        <v>2020</v>
      </c>
      <c r="C6" s="475">
        <v>1.9400000000000001E-2</v>
      </c>
      <c r="D6" s="476">
        <v>3</v>
      </c>
      <c r="E6" s="69"/>
      <c r="F6" s="69"/>
      <c r="G6" s="69"/>
    </row>
    <row r="7" spans="2:7">
      <c r="B7" s="477">
        <f t="shared" si="0"/>
        <v>2021</v>
      </c>
      <c r="C7" s="475">
        <v>1.9900000000000001E-2</v>
      </c>
      <c r="D7" s="476">
        <v>4</v>
      </c>
      <c r="E7" s="69"/>
      <c r="F7" s="69"/>
      <c r="G7" s="69"/>
    </row>
    <row r="8" spans="2:7">
      <c r="B8" s="477">
        <f t="shared" si="0"/>
        <v>2022</v>
      </c>
      <c r="C8" s="481">
        <f>AVERAGE(C4:C7)</f>
        <v>1.8849999999999999E-2</v>
      </c>
      <c r="D8" s="476">
        <v>5</v>
      </c>
      <c r="E8" s="69"/>
      <c r="F8" s="69"/>
      <c r="G8" s="69"/>
    </row>
    <row r="9" spans="2:7">
      <c r="B9" s="477">
        <f t="shared" si="0"/>
        <v>2023</v>
      </c>
      <c r="C9" s="481">
        <f t="shared" ref="C9:C44" si="1">$C$8</f>
        <v>1.8849999999999999E-2</v>
      </c>
      <c r="D9" s="476">
        <v>6</v>
      </c>
      <c r="E9" s="69"/>
      <c r="F9" s="69"/>
      <c r="G9" s="69"/>
    </row>
    <row r="10" spans="2:7">
      <c r="B10" s="477">
        <f t="shared" si="0"/>
        <v>2024</v>
      </c>
      <c r="C10" s="481">
        <f t="shared" si="1"/>
        <v>1.8849999999999999E-2</v>
      </c>
      <c r="D10" s="476">
        <v>7</v>
      </c>
      <c r="E10" s="69"/>
      <c r="F10" s="69"/>
      <c r="G10" s="69"/>
    </row>
    <row r="11" spans="2:7">
      <c r="B11" s="477">
        <f t="shared" si="0"/>
        <v>2025</v>
      </c>
      <c r="C11" s="481">
        <f t="shared" si="1"/>
        <v>1.8849999999999999E-2</v>
      </c>
      <c r="D11" s="476">
        <v>8</v>
      </c>
      <c r="E11" s="69"/>
      <c r="F11" s="69"/>
      <c r="G11" s="69"/>
    </row>
    <row r="12" spans="2:7">
      <c r="B12" s="477">
        <f t="shared" si="0"/>
        <v>2026</v>
      </c>
      <c r="C12" s="481">
        <f t="shared" si="1"/>
        <v>1.8849999999999999E-2</v>
      </c>
      <c r="D12" s="476">
        <v>9</v>
      </c>
      <c r="E12" s="69"/>
      <c r="F12" s="69"/>
      <c r="G12" s="69"/>
    </row>
    <row r="13" spans="2:7">
      <c r="B13" s="477">
        <f t="shared" si="0"/>
        <v>2027</v>
      </c>
      <c r="C13" s="481">
        <f t="shared" si="1"/>
        <v>1.8849999999999999E-2</v>
      </c>
      <c r="D13" s="476">
        <v>10</v>
      </c>
      <c r="E13" s="69"/>
      <c r="F13" s="69"/>
      <c r="G13" s="69"/>
    </row>
    <row r="14" spans="2:7">
      <c r="B14" s="477">
        <f t="shared" si="0"/>
        <v>2028</v>
      </c>
      <c r="C14" s="481">
        <f t="shared" si="1"/>
        <v>1.8849999999999999E-2</v>
      </c>
      <c r="D14" s="476">
        <v>11</v>
      </c>
      <c r="E14" s="69"/>
      <c r="F14" s="69"/>
      <c r="G14" s="69"/>
    </row>
    <row r="15" spans="2:7">
      <c r="B15" s="477">
        <f t="shared" si="0"/>
        <v>2029</v>
      </c>
      <c r="C15" s="481">
        <f t="shared" si="1"/>
        <v>1.8849999999999999E-2</v>
      </c>
      <c r="D15" s="476">
        <v>12</v>
      </c>
      <c r="E15" s="69"/>
      <c r="F15" s="69"/>
      <c r="G15" s="69"/>
    </row>
    <row r="16" spans="2:7">
      <c r="B16" s="477">
        <f t="shared" si="0"/>
        <v>2030</v>
      </c>
      <c r="C16" s="481">
        <f t="shared" si="1"/>
        <v>1.8849999999999999E-2</v>
      </c>
      <c r="D16" s="476">
        <v>13</v>
      </c>
      <c r="E16" s="69"/>
      <c r="F16" s="69"/>
      <c r="G16" s="69"/>
    </row>
    <row r="17" spans="2:7">
      <c r="B17" s="477">
        <f t="shared" si="0"/>
        <v>2031</v>
      </c>
      <c r="C17" s="481">
        <f t="shared" si="1"/>
        <v>1.8849999999999999E-2</v>
      </c>
      <c r="D17" s="476">
        <v>14</v>
      </c>
      <c r="E17" s="69"/>
      <c r="F17" s="69"/>
      <c r="G17" s="69"/>
    </row>
    <row r="18" spans="2:7">
      <c r="B18" s="477">
        <f t="shared" si="0"/>
        <v>2032</v>
      </c>
      <c r="C18" s="481">
        <f t="shared" si="1"/>
        <v>1.8849999999999999E-2</v>
      </c>
      <c r="D18" s="476">
        <v>15</v>
      </c>
      <c r="E18" s="69"/>
      <c r="F18" s="69"/>
      <c r="G18" s="69"/>
    </row>
    <row r="19" spans="2:7">
      <c r="B19" s="477">
        <f t="shared" si="0"/>
        <v>2033</v>
      </c>
      <c r="C19" s="481">
        <f t="shared" si="1"/>
        <v>1.8849999999999999E-2</v>
      </c>
      <c r="D19" s="476">
        <v>16</v>
      </c>
      <c r="E19" s="69"/>
      <c r="F19" s="69"/>
      <c r="G19" s="69"/>
    </row>
    <row r="20" spans="2:7">
      <c r="B20" s="477">
        <f t="shared" si="0"/>
        <v>2034</v>
      </c>
      <c r="C20" s="481">
        <f t="shared" si="1"/>
        <v>1.8849999999999999E-2</v>
      </c>
      <c r="D20" s="476">
        <v>17</v>
      </c>
      <c r="E20" s="69"/>
      <c r="F20" s="69"/>
      <c r="G20" s="69"/>
    </row>
    <row r="21" spans="2:7">
      <c r="B21" s="477">
        <f t="shared" si="0"/>
        <v>2035</v>
      </c>
      <c r="C21" s="481">
        <f t="shared" si="1"/>
        <v>1.8849999999999999E-2</v>
      </c>
      <c r="D21" s="476">
        <v>18</v>
      </c>
      <c r="E21" s="69"/>
      <c r="F21" s="69"/>
      <c r="G21" s="69"/>
    </row>
    <row r="22" spans="2:7">
      <c r="B22" s="477">
        <f t="shared" si="0"/>
        <v>2036</v>
      </c>
      <c r="C22" s="481">
        <f t="shared" si="1"/>
        <v>1.8849999999999999E-2</v>
      </c>
      <c r="D22" s="476">
        <v>19</v>
      </c>
      <c r="E22" s="69"/>
      <c r="F22" s="69"/>
      <c r="G22" s="69"/>
    </row>
    <row r="23" spans="2:7">
      <c r="B23" s="477">
        <f t="shared" si="0"/>
        <v>2037</v>
      </c>
      <c r="C23" s="481">
        <f t="shared" si="1"/>
        <v>1.8849999999999999E-2</v>
      </c>
      <c r="D23" s="476">
        <v>20</v>
      </c>
      <c r="E23" s="69"/>
      <c r="F23" s="69"/>
      <c r="G23" s="69"/>
    </row>
    <row r="24" spans="2:7">
      <c r="B24" s="477">
        <f t="shared" si="0"/>
        <v>2038</v>
      </c>
      <c r="C24" s="481">
        <f t="shared" si="1"/>
        <v>1.8849999999999999E-2</v>
      </c>
      <c r="D24" s="476">
        <v>21</v>
      </c>
      <c r="E24" s="69"/>
      <c r="F24" s="69"/>
      <c r="G24" s="69"/>
    </row>
    <row r="25" spans="2:7">
      <c r="B25" s="477">
        <f t="shared" si="0"/>
        <v>2039</v>
      </c>
      <c r="C25" s="481">
        <f t="shared" si="1"/>
        <v>1.8849999999999999E-2</v>
      </c>
      <c r="D25" s="476">
        <v>22</v>
      </c>
      <c r="E25" s="69"/>
      <c r="F25" s="69"/>
      <c r="G25" s="69"/>
    </row>
    <row r="26" spans="2:7">
      <c r="B26" s="477">
        <f t="shared" si="0"/>
        <v>2040</v>
      </c>
      <c r="C26" s="481">
        <f t="shared" si="1"/>
        <v>1.8849999999999999E-2</v>
      </c>
      <c r="D26" s="476">
        <v>23</v>
      </c>
      <c r="E26" s="69"/>
      <c r="F26" s="69"/>
      <c r="G26" s="69"/>
    </row>
    <row r="27" spans="2:7">
      <c r="B27" s="477">
        <f t="shared" si="0"/>
        <v>2041</v>
      </c>
      <c r="C27" s="481">
        <f t="shared" si="1"/>
        <v>1.8849999999999999E-2</v>
      </c>
      <c r="D27" s="476">
        <v>24</v>
      </c>
      <c r="E27" s="69"/>
      <c r="F27" s="69"/>
      <c r="G27" s="69"/>
    </row>
    <row r="28" spans="2:7">
      <c r="B28" s="477">
        <f t="shared" si="0"/>
        <v>2042</v>
      </c>
      <c r="C28" s="481">
        <f t="shared" si="1"/>
        <v>1.8849999999999999E-2</v>
      </c>
      <c r="D28" s="476">
        <v>25</v>
      </c>
      <c r="E28" s="69"/>
      <c r="F28" s="69"/>
      <c r="G28" s="69"/>
    </row>
    <row r="29" spans="2:7">
      <c r="B29" s="477">
        <f t="shared" si="0"/>
        <v>2043</v>
      </c>
      <c r="C29" s="481">
        <f t="shared" si="1"/>
        <v>1.8849999999999999E-2</v>
      </c>
      <c r="D29" s="476">
        <v>26</v>
      </c>
      <c r="E29" s="69"/>
      <c r="F29" s="69"/>
      <c r="G29" s="69"/>
    </row>
    <row r="30" spans="2:7">
      <c r="B30" s="477">
        <f t="shared" si="0"/>
        <v>2044</v>
      </c>
      <c r="C30" s="481">
        <f t="shared" si="1"/>
        <v>1.8849999999999999E-2</v>
      </c>
      <c r="D30" s="476">
        <v>27</v>
      </c>
      <c r="E30" s="69"/>
      <c r="F30" s="69"/>
      <c r="G30" s="69"/>
    </row>
    <row r="31" spans="2:7">
      <c r="B31" s="477">
        <f t="shared" si="0"/>
        <v>2045</v>
      </c>
      <c r="C31" s="481">
        <f t="shared" si="1"/>
        <v>1.8849999999999999E-2</v>
      </c>
      <c r="D31" s="476">
        <v>28</v>
      </c>
      <c r="E31" s="69"/>
      <c r="F31" s="69"/>
      <c r="G31" s="69"/>
    </row>
    <row r="32" spans="2:7">
      <c r="B32" s="477">
        <f t="shared" si="0"/>
        <v>2046</v>
      </c>
      <c r="C32" s="481">
        <f t="shared" si="1"/>
        <v>1.8849999999999999E-2</v>
      </c>
      <c r="D32" s="476">
        <v>29</v>
      </c>
      <c r="E32" s="69"/>
      <c r="F32" s="69"/>
      <c r="G32" s="69"/>
    </row>
    <row r="33" spans="2:7">
      <c r="B33" s="477">
        <f t="shared" si="0"/>
        <v>2047</v>
      </c>
      <c r="C33" s="481">
        <f t="shared" si="1"/>
        <v>1.8849999999999999E-2</v>
      </c>
      <c r="D33" s="476">
        <v>30</v>
      </c>
      <c r="E33" s="69"/>
      <c r="F33" s="69"/>
      <c r="G33" s="69"/>
    </row>
    <row r="34" spans="2:7">
      <c r="B34" s="477">
        <f t="shared" si="0"/>
        <v>2048</v>
      </c>
      <c r="C34" s="481">
        <f t="shared" si="1"/>
        <v>1.8849999999999999E-2</v>
      </c>
      <c r="D34" s="476">
        <v>31</v>
      </c>
      <c r="E34" s="69"/>
      <c r="F34" s="69"/>
      <c r="G34" s="69"/>
    </row>
    <row r="35" spans="2:7">
      <c r="B35" s="477">
        <f t="shared" si="0"/>
        <v>2049</v>
      </c>
      <c r="C35" s="481">
        <f t="shared" si="1"/>
        <v>1.8849999999999999E-2</v>
      </c>
      <c r="D35" s="476">
        <v>32</v>
      </c>
      <c r="E35" s="69"/>
      <c r="F35" s="69"/>
      <c r="G35" s="69"/>
    </row>
    <row r="36" spans="2:7">
      <c r="B36" s="477">
        <f t="shared" si="0"/>
        <v>2050</v>
      </c>
      <c r="C36" s="481">
        <f t="shared" si="1"/>
        <v>1.8849999999999999E-2</v>
      </c>
      <c r="D36" s="476">
        <v>33</v>
      </c>
      <c r="E36" s="69"/>
      <c r="F36" s="69"/>
      <c r="G36" s="69"/>
    </row>
    <row r="37" spans="2:7">
      <c r="B37" s="477">
        <f t="shared" si="0"/>
        <v>2051</v>
      </c>
      <c r="C37" s="481">
        <f t="shared" si="1"/>
        <v>1.8849999999999999E-2</v>
      </c>
      <c r="D37" s="476">
        <v>34</v>
      </c>
      <c r="E37" s="69"/>
      <c r="F37" s="69"/>
      <c r="G37" s="69"/>
    </row>
    <row r="38" spans="2:7">
      <c r="B38" s="477">
        <f t="shared" si="0"/>
        <v>2052</v>
      </c>
      <c r="C38" s="481">
        <f t="shared" si="1"/>
        <v>1.8849999999999999E-2</v>
      </c>
      <c r="D38" s="476">
        <v>35</v>
      </c>
      <c r="E38" s="69"/>
      <c r="F38" s="69"/>
      <c r="G38" s="69"/>
    </row>
    <row r="39" spans="2:7">
      <c r="B39" s="477">
        <f t="shared" si="0"/>
        <v>2053</v>
      </c>
      <c r="C39" s="481">
        <f t="shared" si="1"/>
        <v>1.8849999999999999E-2</v>
      </c>
      <c r="D39" s="476">
        <v>36</v>
      </c>
      <c r="E39" s="69"/>
      <c r="F39" s="69"/>
      <c r="G39" s="69"/>
    </row>
    <row r="40" spans="2:7">
      <c r="B40" s="477">
        <f t="shared" si="0"/>
        <v>2054</v>
      </c>
      <c r="C40" s="481">
        <f t="shared" si="1"/>
        <v>1.8849999999999999E-2</v>
      </c>
      <c r="D40" s="476">
        <v>37</v>
      </c>
      <c r="E40" s="69"/>
      <c r="F40" s="69"/>
      <c r="G40" s="69"/>
    </row>
    <row r="41" spans="2:7">
      <c r="B41" s="477">
        <f t="shared" si="0"/>
        <v>2055</v>
      </c>
      <c r="C41" s="481">
        <f t="shared" si="1"/>
        <v>1.8849999999999999E-2</v>
      </c>
      <c r="D41" s="476">
        <v>38</v>
      </c>
      <c r="E41" s="69"/>
      <c r="F41" s="69"/>
      <c r="G41" s="69"/>
    </row>
    <row r="42" spans="2:7">
      <c r="B42" s="477">
        <f t="shared" si="0"/>
        <v>2056</v>
      </c>
      <c r="C42" s="481">
        <f t="shared" si="1"/>
        <v>1.8849999999999999E-2</v>
      </c>
      <c r="D42" s="476">
        <v>39</v>
      </c>
      <c r="E42" s="69"/>
      <c r="F42" s="69"/>
      <c r="G42" s="69"/>
    </row>
    <row r="43" spans="2:7">
      <c r="B43" s="477">
        <f t="shared" si="0"/>
        <v>2057</v>
      </c>
      <c r="C43" s="481">
        <f t="shared" si="1"/>
        <v>1.8849999999999999E-2</v>
      </c>
      <c r="D43" s="476">
        <v>40</v>
      </c>
      <c r="E43" s="69"/>
      <c r="F43" s="69"/>
      <c r="G43" s="69"/>
    </row>
    <row r="44" spans="2:7">
      <c r="B44" s="477">
        <f t="shared" si="0"/>
        <v>2058</v>
      </c>
      <c r="C44" s="481">
        <f t="shared" si="1"/>
        <v>1.8849999999999999E-2</v>
      </c>
      <c r="D44" s="476">
        <v>41</v>
      </c>
      <c r="E44" s="69"/>
      <c r="F44" s="69"/>
      <c r="G44" s="69"/>
    </row>
    <row r="45" spans="2:7">
      <c r="B45" s="48"/>
      <c r="C45" s="470"/>
      <c r="D45" s="69"/>
      <c r="E45" s="69"/>
      <c r="F45" s="69"/>
      <c r="G45" s="69"/>
    </row>
    <row r="46" spans="2:7">
      <c r="B46" s="48"/>
      <c r="C46" s="470"/>
      <c r="D46" s="69"/>
      <c r="E46" s="69"/>
      <c r="F46" s="69"/>
      <c r="G46" s="69"/>
    </row>
    <row r="47" spans="2:7">
      <c r="B47" s="48"/>
      <c r="C47" s="470"/>
      <c r="D47" s="69"/>
      <c r="E47" s="69"/>
      <c r="F47" s="69"/>
      <c r="G47" s="69"/>
    </row>
    <row r="48" spans="2:7">
      <c r="B48" s="48"/>
      <c r="C48" s="470"/>
      <c r="D48" s="69"/>
      <c r="E48" s="69"/>
      <c r="F48" s="69"/>
      <c r="G48" s="69"/>
    </row>
    <row r="49" spans="2:7">
      <c r="B49" s="48"/>
      <c r="C49" s="470"/>
      <c r="D49" s="69"/>
      <c r="E49" s="69"/>
      <c r="F49" s="69"/>
      <c r="G49" s="69"/>
    </row>
    <row r="50" spans="2:7">
      <c r="B50" s="48"/>
      <c r="C50" s="470"/>
      <c r="D50" s="69"/>
      <c r="E50" s="69"/>
      <c r="F50" s="69"/>
      <c r="G50" s="69"/>
    </row>
    <row r="51" spans="2:7">
      <c r="B51" s="48"/>
      <c r="C51" s="470"/>
      <c r="D51" s="69"/>
      <c r="E51" s="69"/>
      <c r="F51" s="69"/>
      <c r="G51" s="69"/>
    </row>
    <row r="52" spans="2:7">
      <c r="B52" s="48"/>
      <c r="C52" s="470"/>
      <c r="D52" s="69"/>
      <c r="E52" s="69"/>
      <c r="F52" s="69"/>
      <c r="G52" s="69"/>
    </row>
    <row r="53" spans="2:7">
      <c r="B53" s="48"/>
      <c r="C53" s="470"/>
      <c r="D53" s="69"/>
      <c r="E53" s="69"/>
      <c r="F53" s="69"/>
      <c r="G53" s="69"/>
    </row>
    <row r="54" spans="2:7">
      <c r="B54" s="48"/>
      <c r="C54" s="470"/>
      <c r="D54" s="69"/>
      <c r="E54" s="69"/>
      <c r="F54" s="69"/>
      <c r="G54" s="69"/>
    </row>
    <row r="55" spans="2:7">
      <c r="B55" s="48"/>
      <c r="C55" s="470"/>
      <c r="D55" s="69"/>
      <c r="E55" s="69"/>
      <c r="F55" s="69"/>
      <c r="G55" s="69"/>
    </row>
    <row r="56" spans="2:7">
      <c r="B56" s="48"/>
      <c r="C56" s="470"/>
      <c r="D56" s="69"/>
      <c r="E56" s="69"/>
      <c r="F56" s="69"/>
      <c r="G56" s="69"/>
    </row>
    <row r="57" spans="2:7">
      <c r="B57" s="48"/>
      <c r="C57" s="470"/>
      <c r="D57" s="69"/>
      <c r="E57" s="69"/>
      <c r="F57" s="69"/>
      <c r="G57" s="69"/>
    </row>
    <row r="58" spans="2:7">
      <c r="B58" s="48"/>
      <c r="C58" s="470"/>
      <c r="D58" s="69"/>
      <c r="E58" s="69"/>
      <c r="F58" s="69"/>
      <c r="G58" s="69"/>
    </row>
    <row r="59" spans="2:7">
      <c r="B59" s="48"/>
      <c r="C59" s="470"/>
      <c r="D59" s="69"/>
      <c r="E59" s="69"/>
      <c r="F59" s="69"/>
      <c r="G59" s="69"/>
    </row>
    <row r="60" spans="2:7">
      <c r="B60" s="48"/>
      <c r="C60" s="470"/>
      <c r="D60" s="69"/>
      <c r="E60" s="69"/>
      <c r="F60" s="69"/>
      <c r="G60" s="69"/>
    </row>
    <row r="61" spans="2:7">
      <c r="B61" s="48"/>
      <c r="C61" s="470"/>
      <c r="D61" s="69"/>
      <c r="E61" s="69"/>
      <c r="F61" s="69"/>
      <c r="G61" s="69"/>
    </row>
    <row r="62" spans="2:7">
      <c r="B62" s="48"/>
      <c r="C62" s="470"/>
      <c r="D62" s="69"/>
      <c r="E62" s="69"/>
      <c r="F62" s="69"/>
      <c r="G62" s="69"/>
    </row>
    <row r="63" spans="2:7">
      <c r="B63" s="48"/>
      <c r="C63" s="470"/>
      <c r="D63" s="69"/>
      <c r="E63" s="69"/>
      <c r="F63" s="69"/>
      <c r="G63" s="69"/>
    </row>
    <row r="64" spans="2:7">
      <c r="B64" s="48"/>
      <c r="C64" s="470"/>
      <c r="D64" s="69"/>
      <c r="E64" s="69"/>
      <c r="F64" s="69"/>
      <c r="G64" s="69"/>
    </row>
    <row r="65" spans="2:7">
      <c r="B65" s="48"/>
      <c r="C65" s="470"/>
      <c r="D65" s="69"/>
      <c r="E65" s="69"/>
      <c r="F65" s="69"/>
      <c r="G65" s="69"/>
    </row>
    <row r="66" spans="2:7">
      <c r="B66" s="48"/>
      <c r="C66" s="470"/>
      <c r="D66" s="69"/>
      <c r="E66" s="69"/>
      <c r="F66" s="69"/>
      <c r="G66" s="69"/>
    </row>
    <row r="67" spans="2:7">
      <c r="B67" s="48"/>
      <c r="C67" s="470"/>
      <c r="D67" s="69"/>
      <c r="E67" s="69"/>
      <c r="F67" s="69"/>
      <c r="G67" s="69"/>
    </row>
    <row r="68" spans="2:7">
      <c r="B68" s="48"/>
      <c r="C68" s="470"/>
      <c r="D68" s="69"/>
      <c r="E68" s="69"/>
      <c r="F68" s="69"/>
      <c r="G68" s="69"/>
    </row>
    <row r="69" spans="2:7">
      <c r="B69" s="48"/>
      <c r="C69" s="470"/>
      <c r="D69" s="69"/>
      <c r="E69" s="69"/>
      <c r="F69" s="69"/>
      <c r="G69" s="69"/>
    </row>
    <row r="70" spans="2:7">
      <c r="B70" s="48"/>
      <c r="C70" s="470"/>
      <c r="D70" s="69"/>
      <c r="E70" s="69"/>
      <c r="F70" s="69"/>
      <c r="G70" s="69"/>
    </row>
    <row r="71" spans="2:7">
      <c r="B71" s="48"/>
      <c r="C71" s="470"/>
      <c r="D71" s="69"/>
      <c r="E71" s="69"/>
      <c r="F71" s="69"/>
      <c r="G71" s="69"/>
    </row>
    <row r="72" spans="2:7">
      <c r="B72" s="48"/>
      <c r="C72" s="470"/>
      <c r="D72" s="69"/>
      <c r="E72" s="69"/>
      <c r="F72" s="69"/>
      <c r="G72" s="69"/>
    </row>
    <row r="73" spans="2:7">
      <c r="B73" s="48"/>
      <c r="C73" s="470"/>
      <c r="D73" s="69"/>
      <c r="E73" s="69"/>
      <c r="F73" s="69"/>
      <c r="G73" s="69"/>
    </row>
    <row r="74" spans="2:7">
      <c r="B74" s="48"/>
      <c r="C74" s="470"/>
      <c r="D74" s="69"/>
      <c r="E74" s="69"/>
      <c r="F74" s="69"/>
      <c r="G74" s="69"/>
    </row>
    <row r="75" spans="2:7">
      <c r="B75" s="48"/>
      <c r="C75" s="470"/>
      <c r="D75" s="69"/>
      <c r="E75" s="69"/>
      <c r="F75" s="69"/>
      <c r="G75" s="69"/>
    </row>
    <row r="76" spans="2:7">
      <c r="B76" s="48"/>
      <c r="C76" s="470"/>
      <c r="D76" s="69"/>
      <c r="E76" s="69"/>
      <c r="F76" s="69"/>
      <c r="G76" s="69"/>
    </row>
    <row r="77" spans="2:7">
      <c r="B77" s="48"/>
      <c r="C77" s="470"/>
      <c r="D77" s="69"/>
      <c r="E77" s="69"/>
      <c r="F77" s="69"/>
      <c r="G77" s="69"/>
    </row>
    <row r="78" spans="2:7">
      <c r="B78" s="48"/>
      <c r="C78" s="470"/>
      <c r="D78" s="69"/>
      <c r="E78" s="69"/>
      <c r="F78" s="69"/>
      <c r="G78" s="69"/>
    </row>
    <row r="79" spans="2:7">
      <c r="B79" s="48"/>
      <c r="C79" s="470"/>
      <c r="D79" s="69"/>
      <c r="E79" s="69"/>
      <c r="F79" s="69"/>
      <c r="G79" s="69"/>
    </row>
    <row r="80" spans="2:7">
      <c r="B80" s="48"/>
      <c r="C80" s="470"/>
      <c r="D80" s="69"/>
      <c r="E80" s="69"/>
      <c r="F80" s="69"/>
      <c r="G80" s="69"/>
    </row>
    <row r="81" spans="2:7">
      <c r="B81" s="48"/>
      <c r="C81" s="470"/>
      <c r="D81" s="69"/>
      <c r="E81" s="69"/>
      <c r="F81" s="69"/>
      <c r="G81" s="69"/>
    </row>
    <row r="82" spans="2:7">
      <c r="B82" s="48"/>
      <c r="C82" s="470"/>
      <c r="D82" s="69"/>
      <c r="E82" s="69"/>
      <c r="F82" s="69"/>
      <c r="G82" s="69"/>
    </row>
    <row r="83" spans="2:7">
      <c r="B83" s="48"/>
      <c r="C83" s="470"/>
      <c r="D83" s="69"/>
      <c r="E83" s="69"/>
      <c r="F83" s="69"/>
      <c r="G83" s="69"/>
    </row>
    <row r="84" spans="2:7">
      <c r="B84" s="48"/>
      <c r="C84" s="470"/>
      <c r="D84" s="69"/>
      <c r="E84" s="69"/>
      <c r="F84" s="69"/>
      <c r="G84" s="69"/>
    </row>
    <row r="85" spans="2:7">
      <c r="B85" s="48"/>
      <c r="C85" s="470"/>
      <c r="D85" s="69"/>
      <c r="E85" s="69"/>
      <c r="F85" s="69"/>
      <c r="G85" s="69"/>
    </row>
    <row r="86" spans="2:7">
      <c r="B86" s="48"/>
      <c r="C86" s="470"/>
      <c r="D86" s="69"/>
      <c r="E86" s="69"/>
      <c r="F86" s="69"/>
      <c r="G86" s="69"/>
    </row>
    <row r="87" spans="2:7">
      <c r="B87" s="48"/>
      <c r="C87" s="470"/>
      <c r="D87" s="69"/>
      <c r="E87" s="69"/>
      <c r="F87" s="69"/>
      <c r="G87" s="69"/>
    </row>
    <row r="88" spans="2:7">
      <c r="B88" s="48"/>
      <c r="C88" s="470"/>
      <c r="D88" s="69"/>
      <c r="E88" s="69"/>
      <c r="F88" s="69"/>
      <c r="G88" s="69"/>
    </row>
    <row r="89" spans="2:7">
      <c r="B89" s="48"/>
      <c r="C89" s="470"/>
      <c r="D89" s="69"/>
      <c r="E89" s="69"/>
      <c r="F89" s="69"/>
      <c r="G89" s="69"/>
    </row>
    <row r="90" spans="2:7">
      <c r="B90" s="48"/>
      <c r="C90" s="470"/>
      <c r="D90" s="69"/>
      <c r="E90" s="69"/>
      <c r="F90" s="69"/>
      <c r="G90" s="69"/>
    </row>
    <row r="91" spans="2:7">
      <c r="B91" s="48"/>
      <c r="C91" s="470"/>
      <c r="D91" s="69"/>
      <c r="E91" s="69"/>
      <c r="F91" s="69"/>
      <c r="G91" s="69"/>
    </row>
    <row r="92" spans="2:7">
      <c r="B92" s="48"/>
      <c r="C92" s="470"/>
      <c r="D92" s="69"/>
      <c r="E92" s="69"/>
      <c r="F92" s="69"/>
      <c r="G92" s="69"/>
    </row>
    <row r="93" spans="2:7">
      <c r="B93" s="48"/>
      <c r="C93" s="470"/>
      <c r="D93" s="69"/>
      <c r="E93" s="69"/>
      <c r="F93" s="69"/>
      <c r="G93" s="69"/>
    </row>
    <row r="94" spans="2:7">
      <c r="B94" s="48"/>
      <c r="C94" s="470"/>
      <c r="D94" s="69"/>
      <c r="E94" s="69"/>
      <c r="F94" s="69"/>
      <c r="G94" s="69"/>
    </row>
    <row r="95" spans="2:7">
      <c r="B95" s="48"/>
      <c r="C95" s="470"/>
      <c r="D95" s="69"/>
      <c r="E95" s="69"/>
      <c r="F95" s="69"/>
      <c r="G95" s="69"/>
    </row>
    <row r="96" spans="2:7">
      <c r="B96" s="48"/>
      <c r="C96" s="470"/>
      <c r="D96" s="69"/>
      <c r="E96" s="69"/>
      <c r="F96" s="69"/>
      <c r="G96" s="69"/>
    </row>
    <row r="97" spans="2:7">
      <c r="B97" s="48"/>
      <c r="C97" s="470"/>
      <c r="D97" s="69"/>
      <c r="E97" s="69"/>
      <c r="F97" s="69"/>
      <c r="G97" s="69"/>
    </row>
    <row r="98" spans="2:7">
      <c r="B98" s="48"/>
      <c r="C98" s="470"/>
      <c r="D98" s="69"/>
      <c r="E98" s="69"/>
      <c r="F98" s="69"/>
      <c r="G98" s="69"/>
    </row>
    <row r="99" spans="2:7">
      <c r="B99" s="48"/>
      <c r="C99" s="470"/>
      <c r="D99" s="69"/>
      <c r="E99" s="69"/>
      <c r="F99" s="69"/>
      <c r="G99" s="69"/>
    </row>
    <row r="100" spans="2:7">
      <c r="B100" s="48"/>
      <c r="C100" s="470"/>
      <c r="D100" s="69"/>
      <c r="E100" s="69"/>
      <c r="F100" s="69"/>
      <c r="G100" s="69"/>
    </row>
    <row r="101" spans="2:7">
      <c r="B101" s="48"/>
      <c r="C101" s="470"/>
      <c r="D101" s="69"/>
      <c r="E101" s="69"/>
      <c r="F101" s="69"/>
      <c r="G101" s="69"/>
    </row>
    <row r="102" spans="2:7">
      <c r="B102" s="48"/>
      <c r="C102" s="470"/>
      <c r="D102" s="69"/>
      <c r="E102" s="69"/>
      <c r="F102" s="69"/>
      <c r="G102" s="69"/>
    </row>
    <row r="103" spans="2:7">
      <c r="B103" s="48"/>
      <c r="C103" s="470"/>
      <c r="D103" s="69"/>
      <c r="E103" s="69"/>
      <c r="F103" s="69"/>
      <c r="G103" s="69"/>
    </row>
    <row r="104" spans="2:7">
      <c r="B104" s="48"/>
      <c r="C104" s="470"/>
      <c r="D104" s="69"/>
      <c r="E104" s="69"/>
      <c r="F104" s="69"/>
      <c r="G104" s="69"/>
    </row>
    <row r="105" spans="2:7">
      <c r="B105" s="48"/>
      <c r="C105" s="470"/>
      <c r="D105" s="69"/>
      <c r="E105" s="69"/>
      <c r="F105" s="69"/>
      <c r="G105" s="69"/>
    </row>
    <row r="106" spans="2:7">
      <c r="B106" s="48"/>
      <c r="C106" s="470"/>
      <c r="D106" s="69"/>
      <c r="E106" s="69"/>
      <c r="F106" s="69"/>
      <c r="G106" s="69"/>
    </row>
    <row r="107" spans="2:7">
      <c r="B107" s="48"/>
      <c r="C107" s="470"/>
      <c r="D107" s="69"/>
      <c r="E107" s="69"/>
      <c r="F107" s="69"/>
      <c r="G107" s="69"/>
    </row>
    <row r="108" spans="2:7">
      <c r="B108" s="48"/>
      <c r="C108" s="470"/>
      <c r="D108" s="69"/>
      <c r="E108" s="69"/>
      <c r="F108" s="69"/>
      <c r="G108" s="69"/>
    </row>
    <row r="109" spans="2:7">
      <c r="B109" s="48"/>
      <c r="C109" s="470"/>
      <c r="D109" s="69"/>
      <c r="E109" s="69"/>
      <c r="F109" s="69"/>
      <c r="G109" s="69"/>
    </row>
    <row r="110" spans="2:7">
      <c r="B110" s="48"/>
      <c r="C110" s="470"/>
      <c r="D110" s="69"/>
      <c r="E110" s="69"/>
      <c r="F110" s="69"/>
      <c r="G110" s="69"/>
    </row>
    <row r="111" spans="2:7">
      <c r="B111" s="48"/>
      <c r="C111" s="470"/>
      <c r="D111" s="69"/>
      <c r="E111" s="69"/>
      <c r="F111" s="69"/>
      <c r="G111" s="69"/>
    </row>
    <row r="112" spans="2:7">
      <c r="B112" s="48"/>
      <c r="C112" s="470"/>
      <c r="D112" s="69"/>
      <c r="E112" s="69"/>
      <c r="F112" s="69"/>
      <c r="G112" s="69"/>
    </row>
    <row r="113" spans="2:7">
      <c r="B113" s="48"/>
      <c r="C113" s="470"/>
      <c r="D113" s="69"/>
      <c r="E113" s="69"/>
      <c r="F113" s="69"/>
      <c r="G113" s="69"/>
    </row>
    <row r="114" spans="2:7">
      <c r="B114" s="48"/>
      <c r="C114" s="470"/>
      <c r="D114" s="69"/>
      <c r="E114" s="69"/>
      <c r="F114" s="69"/>
      <c r="G114" s="69"/>
    </row>
    <row r="115" spans="2:7">
      <c r="B115" s="48"/>
      <c r="C115" s="470"/>
      <c r="D115" s="69"/>
      <c r="E115" s="69"/>
      <c r="F115" s="69"/>
      <c r="G115" s="69"/>
    </row>
    <row r="116" spans="2:7">
      <c r="B116" s="48"/>
      <c r="C116" s="470"/>
      <c r="D116" s="69"/>
      <c r="E116" s="69"/>
      <c r="F116" s="69"/>
      <c r="G116" s="69"/>
    </row>
    <row r="117" spans="2:7">
      <c r="B117" s="48"/>
      <c r="C117" s="470"/>
      <c r="D117" s="69"/>
      <c r="E117" s="69"/>
      <c r="F117" s="69"/>
      <c r="G117" s="69"/>
    </row>
    <row r="118" spans="2:7">
      <c r="B118" s="48"/>
      <c r="C118" s="470"/>
      <c r="D118" s="69"/>
      <c r="E118" s="69"/>
      <c r="F118" s="69"/>
      <c r="G118" s="69"/>
    </row>
    <row r="119" spans="2:7">
      <c r="B119" s="48"/>
      <c r="C119" s="470"/>
      <c r="D119" s="69"/>
      <c r="E119" s="69"/>
      <c r="F119" s="69"/>
      <c r="G119" s="69"/>
    </row>
    <row r="120" spans="2:7">
      <c r="B120" s="48"/>
      <c r="C120" s="470"/>
      <c r="D120" s="69"/>
      <c r="E120" s="69"/>
      <c r="F120" s="69"/>
      <c r="G120" s="69"/>
    </row>
    <row r="121" spans="2:7">
      <c r="B121" s="48"/>
      <c r="C121" s="470"/>
      <c r="D121" s="69"/>
      <c r="E121" s="69"/>
      <c r="F121" s="69"/>
      <c r="G121" s="69"/>
    </row>
    <row r="122" spans="2:7">
      <c r="B122" s="48"/>
      <c r="C122" s="470"/>
      <c r="D122" s="69"/>
      <c r="E122" s="69"/>
      <c r="F122" s="69"/>
      <c r="G122" s="69"/>
    </row>
    <row r="123" spans="2:7">
      <c r="B123" s="48"/>
      <c r="C123" s="470"/>
      <c r="D123" s="69"/>
      <c r="E123" s="69"/>
      <c r="F123" s="69"/>
      <c r="G123" s="69"/>
    </row>
    <row r="124" spans="2:7">
      <c r="B124" s="48"/>
      <c r="C124" s="470"/>
      <c r="D124" s="69"/>
      <c r="E124" s="69"/>
      <c r="F124" s="69"/>
      <c r="G124" s="69"/>
    </row>
    <row r="125" spans="2:7">
      <c r="B125" s="48"/>
      <c r="C125" s="470"/>
      <c r="D125" s="69"/>
      <c r="E125" s="69"/>
      <c r="F125" s="69"/>
      <c r="G125" s="69"/>
    </row>
    <row r="126" spans="2:7">
      <c r="B126" s="48"/>
      <c r="C126" s="470"/>
      <c r="D126" s="69"/>
      <c r="E126" s="69"/>
      <c r="F126" s="69"/>
      <c r="G126" s="69"/>
    </row>
    <row r="127" spans="2:7">
      <c r="B127" s="48"/>
      <c r="C127" s="470"/>
      <c r="D127" s="69"/>
      <c r="E127" s="69"/>
      <c r="F127" s="69"/>
      <c r="G127" s="69"/>
    </row>
    <row r="128" spans="2:7">
      <c r="B128" s="48"/>
      <c r="C128" s="470"/>
      <c r="D128" s="69"/>
      <c r="E128" s="69"/>
      <c r="F128" s="69"/>
      <c r="G128" s="69"/>
    </row>
    <row r="129" spans="2:7">
      <c r="B129" s="48"/>
      <c r="C129" s="470"/>
      <c r="D129" s="69"/>
      <c r="E129" s="69"/>
      <c r="F129" s="69"/>
      <c r="G129" s="69"/>
    </row>
    <row r="130" spans="2:7">
      <c r="B130" s="48"/>
      <c r="C130" s="470"/>
      <c r="D130" s="69"/>
      <c r="E130" s="69"/>
      <c r="F130" s="69"/>
      <c r="G130" s="69"/>
    </row>
    <row r="131" spans="2:7">
      <c r="B131" s="48"/>
      <c r="C131" s="470"/>
      <c r="D131" s="69"/>
      <c r="E131" s="69"/>
      <c r="F131" s="69"/>
      <c r="G131" s="69"/>
    </row>
    <row r="132" spans="2:7">
      <c r="B132" s="48"/>
      <c r="C132" s="470"/>
      <c r="D132" s="69"/>
      <c r="E132" s="69"/>
      <c r="F132" s="69"/>
      <c r="G132" s="69"/>
    </row>
    <row r="133" spans="2:7">
      <c r="B133" s="48"/>
      <c r="C133" s="470"/>
      <c r="D133" s="69"/>
      <c r="E133" s="69"/>
      <c r="F133" s="69"/>
      <c r="G133" s="69"/>
    </row>
    <row r="134" spans="2:7">
      <c r="B134" s="48"/>
      <c r="C134" s="470"/>
      <c r="D134" s="69"/>
      <c r="E134" s="69"/>
      <c r="F134" s="69"/>
      <c r="G134" s="69"/>
    </row>
    <row r="135" spans="2:7">
      <c r="B135" s="48"/>
      <c r="C135" s="470"/>
      <c r="D135" s="69"/>
      <c r="E135" s="69"/>
      <c r="F135" s="69"/>
      <c r="G135" s="69"/>
    </row>
    <row r="136" spans="2:7">
      <c r="B136" s="48"/>
      <c r="C136" s="470"/>
      <c r="D136" s="69"/>
      <c r="E136" s="69"/>
      <c r="F136" s="69"/>
      <c r="G136" s="69"/>
    </row>
    <row r="137" spans="2:7">
      <c r="B137" s="48"/>
      <c r="C137" s="470"/>
      <c r="D137" s="69"/>
      <c r="E137" s="69"/>
      <c r="F137" s="69"/>
      <c r="G137" s="69"/>
    </row>
    <row r="138" spans="2:7">
      <c r="B138" s="48"/>
      <c r="C138" s="470"/>
      <c r="D138" s="69"/>
      <c r="E138" s="69"/>
      <c r="F138" s="69"/>
      <c r="G138" s="69"/>
    </row>
    <row r="139" spans="2:7">
      <c r="B139" s="48"/>
      <c r="C139" s="470"/>
      <c r="D139" s="69"/>
      <c r="E139" s="69"/>
      <c r="F139" s="69"/>
      <c r="G139" s="69"/>
    </row>
    <row r="140" spans="2:7">
      <c r="B140" s="48"/>
      <c r="C140" s="470"/>
      <c r="D140" s="69"/>
      <c r="E140" s="69"/>
      <c r="F140" s="69"/>
      <c r="G140" s="69"/>
    </row>
    <row r="141" spans="2:7">
      <c r="B141" s="48"/>
      <c r="C141" s="470"/>
      <c r="D141" s="69"/>
      <c r="E141" s="69"/>
      <c r="F141" s="69"/>
      <c r="G141" s="69"/>
    </row>
    <row r="142" spans="2:7">
      <c r="B142" s="48"/>
      <c r="C142" s="470"/>
      <c r="D142" s="69"/>
      <c r="E142" s="69"/>
      <c r="F142" s="69"/>
      <c r="G142" s="69"/>
    </row>
    <row r="143" spans="2:7">
      <c r="B143" s="48"/>
      <c r="C143" s="470"/>
      <c r="D143" s="69"/>
      <c r="E143" s="69"/>
      <c r="F143" s="69"/>
      <c r="G143" s="69"/>
    </row>
    <row r="144" spans="2:7">
      <c r="B144" s="48"/>
      <c r="C144" s="470"/>
      <c r="D144" s="69"/>
      <c r="E144" s="69"/>
      <c r="F144" s="69"/>
      <c r="G144" s="69"/>
    </row>
    <row r="145" spans="2:7">
      <c r="B145" s="48"/>
      <c r="C145" s="470"/>
      <c r="D145" s="69"/>
      <c r="E145" s="69"/>
      <c r="F145" s="69"/>
      <c r="G145" s="69"/>
    </row>
    <row r="146" spans="2:7">
      <c r="B146" s="48"/>
      <c r="C146" s="470"/>
      <c r="D146" s="69"/>
      <c r="E146" s="69"/>
      <c r="F146" s="69"/>
      <c r="G146" s="69"/>
    </row>
    <row r="147" spans="2:7">
      <c r="B147" s="48"/>
      <c r="C147" s="470"/>
      <c r="D147" s="69"/>
      <c r="E147" s="69"/>
      <c r="F147" s="69"/>
      <c r="G147" s="69"/>
    </row>
    <row r="148" spans="2:7">
      <c r="B148" s="48"/>
      <c r="C148" s="470"/>
      <c r="D148" s="69"/>
      <c r="E148" s="69"/>
      <c r="F148" s="69"/>
      <c r="G148" s="69"/>
    </row>
    <row r="149" spans="2:7">
      <c r="B149" s="48"/>
      <c r="C149" s="470"/>
      <c r="D149" s="69"/>
      <c r="E149" s="69"/>
      <c r="F149" s="69"/>
      <c r="G149" s="69"/>
    </row>
    <row r="150" spans="2:7">
      <c r="B150" s="48"/>
      <c r="C150" s="470"/>
      <c r="D150" s="69"/>
      <c r="E150" s="69"/>
      <c r="F150" s="69"/>
      <c r="G150" s="69"/>
    </row>
    <row r="151" spans="2:7">
      <c r="B151" s="48"/>
      <c r="C151" s="470"/>
      <c r="D151" s="69"/>
      <c r="E151" s="69"/>
      <c r="F151" s="69"/>
      <c r="G151" s="69"/>
    </row>
    <row r="152" spans="2:7">
      <c r="B152" s="48"/>
      <c r="C152" s="470"/>
      <c r="D152" s="69"/>
      <c r="E152" s="69"/>
      <c r="F152" s="69"/>
      <c r="G152" s="69"/>
    </row>
    <row r="153" spans="2:7">
      <c r="B153" s="48"/>
      <c r="C153" s="470"/>
      <c r="D153" s="69"/>
      <c r="E153" s="69"/>
      <c r="F153" s="69"/>
      <c r="G153" s="69"/>
    </row>
    <row r="154" spans="2:7">
      <c r="B154" s="48"/>
      <c r="C154" s="470"/>
      <c r="D154" s="69"/>
      <c r="E154" s="69"/>
      <c r="F154" s="69"/>
      <c r="G154" s="69"/>
    </row>
    <row r="155" spans="2:7">
      <c r="B155" s="48"/>
      <c r="C155" s="470"/>
      <c r="D155" s="69"/>
      <c r="E155" s="69"/>
      <c r="F155" s="69"/>
      <c r="G155" s="69"/>
    </row>
    <row r="156" spans="2:7">
      <c r="B156" s="48"/>
      <c r="C156" s="470"/>
      <c r="D156" s="69"/>
      <c r="E156" s="69"/>
      <c r="F156" s="69"/>
      <c r="G156" s="69"/>
    </row>
    <row r="157" spans="2:7">
      <c r="B157" s="48"/>
      <c r="C157" s="470"/>
      <c r="D157" s="69"/>
      <c r="E157" s="69"/>
      <c r="F157" s="69"/>
      <c r="G157" s="69"/>
    </row>
    <row r="158" spans="2:7">
      <c r="B158" s="48"/>
      <c r="C158" s="470"/>
      <c r="D158" s="69"/>
      <c r="E158" s="69"/>
      <c r="F158" s="69"/>
      <c r="G158" s="69"/>
    </row>
    <row r="159" spans="2:7">
      <c r="B159" s="48"/>
      <c r="C159" s="470"/>
      <c r="D159" s="69"/>
      <c r="E159" s="69"/>
      <c r="F159" s="69"/>
      <c r="G159" s="69"/>
    </row>
    <row r="160" spans="2:7">
      <c r="B160" s="48"/>
      <c r="C160" s="470"/>
      <c r="D160" s="69"/>
      <c r="E160" s="69"/>
      <c r="F160" s="69"/>
      <c r="G160" s="69"/>
    </row>
    <row r="161" spans="2:7">
      <c r="B161" s="48"/>
      <c r="C161" s="470"/>
      <c r="D161" s="69"/>
      <c r="E161" s="69"/>
      <c r="F161" s="69"/>
      <c r="G161" s="69"/>
    </row>
    <row r="162" spans="2:7">
      <c r="B162" s="48"/>
      <c r="C162" s="470"/>
      <c r="D162" s="69"/>
      <c r="E162" s="69"/>
      <c r="F162" s="69"/>
      <c r="G162" s="69"/>
    </row>
    <row r="163" spans="2:7">
      <c r="B163" s="48"/>
      <c r="C163" s="470"/>
      <c r="D163" s="69"/>
      <c r="E163" s="69"/>
      <c r="F163" s="69"/>
      <c r="G163" s="69"/>
    </row>
    <row r="164" spans="2:7">
      <c r="B164" s="48"/>
      <c r="C164" s="470"/>
      <c r="D164" s="69"/>
      <c r="E164" s="69"/>
      <c r="F164" s="69"/>
      <c r="G164" s="69"/>
    </row>
    <row r="165" spans="2:7">
      <c r="B165" s="48"/>
      <c r="C165" s="470"/>
      <c r="D165" s="69"/>
      <c r="E165" s="69"/>
      <c r="F165" s="69"/>
      <c r="G165" s="69"/>
    </row>
    <row r="166" spans="2:7">
      <c r="B166" s="48"/>
      <c r="C166" s="470"/>
      <c r="D166" s="69"/>
      <c r="E166" s="69"/>
      <c r="F166" s="69"/>
      <c r="G166" s="69"/>
    </row>
    <row r="167" spans="2:7">
      <c r="B167" s="48"/>
      <c r="C167" s="470"/>
      <c r="D167" s="69"/>
      <c r="E167" s="69"/>
      <c r="F167" s="69"/>
      <c r="G167" s="69"/>
    </row>
    <row r="168" spans="2:7">
      <c r="B168" s="48"/>
      <c r="C168" s="470"/>
      <c r="D168" s="69"/>
      <c r="E168" s="69"/>
      <c r="F168" s="69"/>
      <c r="G168" s="69"/>
    </row>
    <row r="169" spans="2:7">
      <c r="B169" s="48"/>
      <c r="C169" s="470"/>
      <c r="D169" s="69"/>
      <c r="E169" s="69"/>
      <c r="F169" s="69"/>
      <c r="G169" s="69"/>
    </row>
    <row r="170" spans="2:7">
      <c r="B170" s="48"/>
      <c r="C170" s="470"/>
      <c r="D170" s="69"/>
      <c r="E170" s="69"/>
      <c r="F170" s="69"/>
      <c r="G170" s="69"/>
    </row>
    <row r="171" spans="2:7">
      <c r="B171" s="48"/>
      <c r="C171" s="470"/>
      <c r="D171" s="69"/>
      <c r="E171" s="69"/>
      <c r="F171" s="69"/>
      <c r="G171" s="69"/>
    </row>
    <row r="172" spans="2:7">
      <c r="B172" s="48"/>
      <c r="C172" s="470"/>
      <c r="D172" s="69"/>
      <c r="E172" s="69"/>
      <c r="F172" s="69"/>
      <c r="G172" s="69"/>
    </row>
    <row r="173" spans="2:7">
      <c r="B173" s="48"/>
      <c r="C173" s="470"/>
      <c r="D173" s="69"/>
      <c r="E173" s="69"/>
      <c r="F173" s="69"/>
      <c r="G173" s="69"/>
    </row>
    <row r="174" spans="2:7">
      <c r="B174" s="48"/>
      <c r="C174" s="470"/>
      <c r="D174" s="69"/>
      <c r="E174" s="69"/>
      <c r="F174" s="69"/>
      <c r="G174" s="69"/>
    </row>
    <row r="175" spans="2:7">
      <c r="B175" s="48"/>
      <c r="C175" s="470"/>
      <c r="D175" s="69"/>
      <c r="E175" s="69"/>
      <c r="F175" s="69"/>
      <c r="G175" s="69"/>
    </row>
    <row r="176" spans="2:7">
      <c r="B176" s="48"/>
      <c r="C176" s="470"/>
      <c r="D176" s="69"/>
      <c r="E176" s="69"/>
      <c r="F176" s="69"/>
      <c r="G176" s="69"/>
    </row>
    <row r="177" spans="2:7">
      <c r="B177" s="48"/>
      <c r="C177" s="470"/>
      <c r="D177" s="69"/>
      <c r="E177" s="69"/>
      <c r="F177" s="69"/>
      <c r="G177" s="69"/>
    </row>
    <row r="178" spans="2:7">
      <c r="B178" s="48"/>
      <c r="C178" s="470"/>
      <c r="D178" s="69"/>
      <c r="E178" s="69"/>
      <c r="F178" s="69"/>
      <c r="G178" s="69"/>
    </row>
    <row r="179" spans="2:7">
      <c r="B179" s="48"/>
      <c r="C179" s="470"/>
      <c r="D179" s="69"/>
      <c r="E179" s="69"/>
      <c r="F179" s="69"/>
      <c r="G179" s="69"/>
    </row>
    <row r="180" spans="2:7">
      <c r="B180" s="48"/>
      <c r="C180" s="470"/>
      <c r="D180" s="69"/>
      <c r="E180" s="69"/>
      <c r="F180" s="69"/>
      <c r="G180" s="69"/>
    </row>
    <row r="181" spans="2:7">
      <c r="B181" s="48"/>
      <c r="C181" s="470"/>
      <c r="D181" s="69"/>
      <c r="E181" s="69"/>
      <c r="F181" s="69"/>
      <c r="G181" s="69"/>
    </row>
    <row r="182" spans="2:7">
      <c r="B182" s="48"/>
      <c r="C182" s="470"/>
      <c r="D182" s="69"/>
      <c r="E182" s="69"/>
      <c r="F182" s="69"/>
      <c r="G182" s="69"/>
    </row>
    <row r="183" spans="2:7">
      <c r="B183" s="48"/>
      <c r="C183" s="470"/>
      <c r="D183" s="69"/>
      <c r="E183" s="69"/>
      <c r="F183" s="69"/>
      <c r="G183" s="69"/>
    </row>
    <row r="184" spans="2:7">
      <c r="B184" s="48"/>
      <c r="C184" s="470"/>
      <c r="D184" s="69"/>
      <c r="E184" s="69"/>
      <c r="F184" s="69"/>
      <c r="G184" s="69"/>
    </row>
    <row r="185" spans="2:7">
      <c r="B185" s="48"/>
      <c r="C185" s="470"/>
      <c r="D185" s="69"/>
      <c r="E185" s="69"/>
      <c r="F185" s="69"/>
      <c r="G185" s="69"/>
    </row>
    <row r="186" spans="2:7">
      <c r="B186" s="48"/>
      <c r="C186" s="470"/>
      <c r="D186" s="69"/>
      <c r="E186" s="69"/>
      <c r="F186" s="69"/>
      <c r="G186" s="69"/>
    </row>
    <row r="187" spans="2:7">
      <c r="B187" s="48"/>
      <c r="C187" s="470"/>
      <c r="D187" s="69"/>
      <c r="E187" s="69"/>
      <c r="F187" s="69"/>
      <c r="G187" s="69"/>
    </row>
    <row r="188" spans="2:7">
      <c r="B188" s="48"/>
      <c r="C188" s="470"/>
      <c r="D188" s="69"/>
      <c r="E188" s="69"/>
      <c r="F188" s="69"/>
      <c r="G188" s="69"/>
    </row>
    <row r="189" spans="2:7">
      <c r="B189" s="48"/>
      <c r="C189" s="470"/>
      <c r="D189" s="69"/>
      <c r="E189" s="69"/>
      <c r="F189" s="69"/>
      <c r="G189" s="69"/>
    </row>
    <row r="190" spans="2:7">
      <c r="B190" s="48"/>
      <c r="C190" s="470"/>
      <c r="D190" s="69"/>
      <c r="E190" s="69"/>
      <c r="F190" s="69"/>
      <c r="G190" s="69"/>
    </row>
    <row r="191" spans="2:7">
      <c r="B191" s="48"/>
      <c r="C191" s="470"/>
      <c r="D191" s="69"/>
      <c r="E191" s="69"/>
      <c r="F191" s="69"/>
      <c r="G191" s="69"/>
    </row>
    <row r="192" spans="2:7">
      <c r="B192" s="48"/>
      <c r="C192" s="470"/>
      <c r="D192" s="69"/>
      <c r="E192" s="69"/>
      <c r="F192" s="69"/>
      <c r="G192" s="69"/>
    </row>
    <row r="193" spans="2:7">
      <c r="B193" s="48"/>
      <c r="C193" s="470"/>
      <c r="D193" s="69"/>
      <c r="E193" s="69"/>
      <c r="F193" s="69"/>
      <c r="G193" s="69"/>
    </row>
    <row r="194" spans="2:7">
      <c r="B194" s="48"/>
      <c r="C194" s="470"/>
      <c r="D194" s="69"/>
      <c r="E194" s="69"/>
      <c r="F194" s="69"/>
      <c r="G194" s="69"/>
    </row>
    <row r="195" spans="2:7">
      <c r="B195" s="48"/>
      <c r="C195" s="470"/>
      <c r="D195" s="69"/>
      <c r="E195" s="69"/>
      <c r="F195" s="69"/>
      <c r="G195" s="69"/>
    </row>
    <row r="196" spans="2:7">
      <c r="B196" s="48"/>
      <c r="C196" s="470"/>
      <c r="D196" s="69"/>
      <c r="E196" s="69"/>
      <c r="F196" s="69"/>
      <c r="G196" s="69"/>
    </row>
    <row r="197" spans="2:7">
      <c r="B197" s="48"/>
      <c r="C197" s="470"/>
      <c r="D197" s="69"/>
      <c r="E197" s="69"/>
      <c r="F197" s="69"/>
      <c r="G197" s="69"/>
    </row>
    <row r="198" spans="2:7">
      <c r="B198" s="48"/>
      <c r="C198" s="470"/>
      <c r="D198" s="69"/>
      <c r="E198" s="69"/>
      <c r="F198" s="69"/>
      <c r="G198" s="69"/>
    </row>
    <row r="199" spans="2:7">
      <c r="B199" s="48"/>
      <c r="C199" s="470"/>
      <c r="D199" s="69"/>
      <c r="E199" s="69"/>
      <c r="F199" s="69"/>
      <c r="G199" s="69"/>
    </row>
    <row r="200" spans="2:7">
      <c r="B200" s="48"/>
      <c r="C200" s="470"/>
      <c r="D200" s="69"/>
      <c r="E200" s="69"/>
      <c r="F200" s="69"/>
      <c r="G200" s="69"/>
    </row>
    <row r="201" spans="2:7">
      <c r="B201" s="48"/>
      <c r="C201" s="470"/>
      <c r="D201" s="69"/>
      <c r="E201" s="69"/>
      <c r="F201" s="69"/>
      <c r="G201" s="69"/>
    </row>
    <row r="202" spans="2:7">
      <c r="B202" s="48"/>
      <c r="C202" s="470"/>
      <c r="D202" s="69"/>
      <c r="E202" s="69"/>
      <c r="F202" s="69"/>
      <c r="G202" s="69"/>
    </row>
    <row r="203" spans="2:7">
      <c r="B203" s="48"/>
      <c r="C203" s="470"/>
      <c r="D203" s="69"/>
      <c r="E203" s="69"/>
      <c r="F203" s="69"/>
      <c r="G203" s="69"/>
    </row>
    <row r="204" spans="2:7">
      <c r="B204" s="48"/>
      <c r="C204" s="470"/>
      <c r="D204" s="69"/>
      <c r="E204" s="69"/>
      <c r="F204" s="69"/>
      <c r="G204" s="69"/>
    </row>
    <row r="205" spans="2:7">
      <c r="B205" s="48"/>
      <c r="C205" s="470"/>
      <c r="D205" s="69"/>
      <c r="E205" s="69"/>
      <c r="F205" s="69"/>
      <c r="G205" s="69"/>
    </row>
    <row r="206" spans="2:7">
      <c r="B206" s="48"/>
      <c r="C206" s="470"/>
      <c r="D206" s="69"/>
      <c r="E206" s="69"/>
      <c r="F206" s="69"/>
      <c r="G206" s="69"/>
    </row>
    <row r="207" spans="2:7">
      <c r="B207" s="48"/>
      <c r="C207" s="470"/>
      <c r="D207" s="69"/>
      <c r="E207" s="69"/>
      <c r="F207" s="69"/>
      <c r="G207" s="69"/>
    </row>
    <row r="208" spans="2:7">
      <c r="B208" s="48"/>
      <c r="C208" s="470"/>
      <c r="D208" s="69"/>
      <c r="E208" s="69"/>
      <c r="F208" s="69"/>
      <c r="G208" s="69"/>
    </row>
    <row r="209" spans="2:7">
      <c r="B209" s="48"/>
      <c r="C209" s="470"/>
      <c r="D209" s="69"/>
      <c r="E209" s="69"/>
      <c r="F209" s="69"/>
      <c r="G209" s="69"/>
    </row>
    <row r="210" spans="2:7">
      <c r="B210" s="48"/>
      <c r="C210" s="470"/>
      <c r="D210" s="69"/>
      <c r="E210" s="69"/>
      <c r="F210" s="69"/>
      <c r="G210" s="69"/>
    </row>
    <row r="211" spans="2:7">
      <c r="B211" s="48"/>
      <c r="C211" s="470"/>
      <c r="D211" s="69"/>
      <c r="E211" s="69"/>
      <c r="F211" s="69"/>
      <c r="G211" s="69"/>
    </row>
    <row r="212" spans="2:7">
      <c r="B212" s="48"/>
      <c r="C212" s="470"/>
      <c r="D212" s="69"/>
      <c r="E212" s="69"/>
      <c r="F212" s="69"/>
      <c r="G212" s="69"/>
    </row>
    <row r="213" spans="2:7">
      <c r="B213" s="48"/>
      <c r="C213" s="470"/>
      <c r="D213" s="69"/>
      <c r="E213" s="69"/>
      <c r="F213" s="69"/>
      <c r="G213" s="69"/>
    </row>
    <row r="214" spans="2:7">
      <c r="B214" s="48"/>
      <c r="C214" s="470"/>
      <c r="D214" s="69"/>
      <c r="E214" s="69"/>
      <c r="F214" s="69"/>
      <c r="G214" s="69"/>
    </row>
    <row r="215" spans="2:7">
      <c r="B215" s="48"/>
      <c r="C215" s="470"/>
      <c r="D215" s="69"/>
      <c r="E215" s="69"/>
      <c r="F215" s="69"/>
      <c r="G215" s="69"/>
    </row>
    <row r="216" spans="2:7">
      <c r="B216" s="48"/>
      <c r="C216" s="470"/>
      <c r="D216" s="69"/>
      <c r="E216" s="69"/>
      <c r="F216" s="69"/>
      <c r="G216" s="69"/>
    </row>
    <row r="217" spans="2:7">
      <c r="B217" s="48"/>
      <c r="C217" s="470"/>
      <c r="D217" s="69"/>
      <c r="E217" s="69"/>
      <c r="F217" s="69"/>
      <c r="G217" s="69"/>
    </row>
    <row r="218" spans="2:7">
      <c r="B218" s="48"/>
      <c r="C218" s="470"/>
      <c r="D218" s="69"/>
      <c r="E218" s="69"/>
      <c r="F218" s="69"/>
      <c r="G218" s="69"/>
    </row>
    <row r="219" spans="2:7">
      <c r="B219" s="48"/>
      <c r="C219" s="470"/>
      <c r="D219" s="69"/>
      <c r="E219" s="69"/>
      <c r="F219" s="69"/>
      <c r="G219" s="69"/>
    </row>
    <row r="220" spans="2:7">
      <c r="B220" s="48"/>
      <c r="C220" s="470"/>
      <c r="D220" s="69"/>
      <c r="E220" s="69"/>
      <c r="F220" s="69"/>
      <c r="G220" s="69"/>
    </row>
    <row r="221" spans="2:7">
      <c r="B221" s="48"/>
      <c r="C221" s="470"/>
      <c r="D221" s="69"/>
      <c r="E221" s="69"/>
      <c r="F221" s="69"/>
      <c r="G221" s="69"/>
    </row>
    <row r="222" spans="2:7">
      <c r="B222" s="48"/>
      <c r="C222" s="470"/>
      <c r="D222" s="69"/>
      <c r="E222" s="69"/>
      <c r="F222" s="69"/>
      <c r="G222" s="69"/>
    </row>
    <row r="223" spans="2:7">
      <c r="B223" s="48"/>
      <c r="C223" s="470"/>
      <c r="D223" s="69"/>
      <c r="E223" s="69"/>
      <c r="F223" s="69"/>
      <c r="G223" s="69"/>
    </row>
    <row r="224" spans="2:7">
      <c r="B224" s="48"/>
      <c r="C224" s="470"/>
      <c r="D224" s="69"/>
      <c r="E224" s="69"/>
      <c r="F224" s="69"/>
      <c r="G224" s="69"/>
    </row>
    <row r="225" spans="2:7">
      <c r="B225" s="48"/>
      <c r="C225" s="470"/>
      <c r="D225" s="69"/>
      <c r="E225" s="69"/>
      <c r="F225" s="69"/>
      <c r="G225" s="69"/>
    </row>
    <row r="226" spans="2:7">
      <c r="B226" s="48"/>
      <c r="C226" s="470"/>
      <c r="D226" s="69"/>
      <c r="E226" s="69"/>
      <c r="F226" s="69"/>
      <c r="G226" s="69"/>
    </row>
    <row r="227" spans="2:7">
      <c r="B227" s="48"/>
      <c r="C227" s="470"/>
      <c r="D227" s="69"/>
      <c r="E227" s="69"/>
      <c r="F227" s="69"/>
      <c r="G227" s="69"/>
    </row>
    <row r="228" spans="2:7">
      <c r="B228" s="48"/>
      <c r="C228" s="470"/>
      <c r="D228" s="69"/>
      <c r="E228" s="69"/>
      <c r="F228" s="69"/>
      <c r="G228" s="69"/>
    </row>
    <row r="229" spans="2:7">
      <c r="B229" s="48"/>
      <c r="C229" s="470"/>
      <c r="D229" s="69"/>
      <c r="E229" s="69"/>
      <c r="F229" s="69"/>
      <c r="G229" s="69"/>
    </row>
    <row r="230" spans="2:7">
      <c r="B230" s="48"/>
      <c r="C230" s="470"/>
      <c r="D230" s="69"/>
      <c r="E230" s="69"/>
      <c r="F230" s="69"/>
      <c r="G230" s="69"/>
    </row>
    <row r="231" spans="2:7">
      <c r="B231" s="48"/>
      <c r="C231" s="470"/>
      <c r="D231" s="69"/>
      <c r="E231" s="69"/>
      <c r="F231" s="69"/>
      <c r="G231" s="69"/>
    </row>
    <row r="232" spans="2:7">
      <c r="B232" s="48"/>
      <c r="C232" s="470"/>
      <c r="D232" s="69"/>
      <c r="E232" s="69"/>
      <c r="F232" s="69"/>
      <c r="G232" s="69"/>
    </row>
    <row r="233" spans="2:7">
      <c r="B233" s="48"/>
      <c r="C233" s="470"/>
      <c r="D233" s="69"/>
      <c r="E233" s="69"/>
      <c r="F233" s="69"/>
      <c r="G233" s="69"/>
    </row>
    <row r="234" spans="2:7">
      <c r="B234" s="48"/>
      <c r="C234" s="470"/>
      <c r="D234" s="69"/>
      <c r="E234" s="69"/>
      <c r="F234" s="69"/>
      <c r="G234" s="69"/>
    </row>
    <row r="235" spans="2:7">
      <c r="B235" s="48"/>
      <c r="C235" s="470"/>
      <c r="D235" s="69"/>
      <c r="E235" s="69"/>
      <c r="F235" s="69"/>
      <c r="G235" s="69"/>
    </row>
    <row r="236" spans="2:7">
      <c r="B236" s="48"/>
      <c r="C236" s="470"/>
      <c r="D236" s="69"/>
      <c r="E236" s="69"/>
      <c r="F236" s="69"/>
      <c r="G236" s="69"/>
    </row>
    <row r="237" spans="2:7">
      <c r="B237" s="48"/>
      <c r="C237" s="470"/>
      <c r="D237" s="69"/>
      <c r="E237" s="69"/>
      <c r="F237" s="69"/>
      <c r="G237" s="69"/>
    </row>
    <row r="238" spans="2:7">
      <c r="B238" s="48"/>
      <c r="C238" s="470"/>
      <c r="D238" s="69"/>
      <c r="E238" s="69"/>
      <c r="F238" s="69"/>
      <c r="G238" s="69"/>
    </row>
    <row r="239" spans="2:7">
      <c r="B239" s="48"/>
      <c r="C239" s="470"/>
      <c r="D239" s="69"/>
      <c r="E239" s="69"/>
      <c r="F239" s="69"/>
      <c r="G239" s="69"/>
    </row>
    <row r="240" spans="2:7">
      <c r="B240" s="48"/>
      <c r="C240" s="470"/>
      <c r="D240" s="69"/>
      <c r="E240" s="69"/>
      <c r="F240" s="69"/>
      <c r="G240" s="69"/>
    </row>
    <row r="241" spans="2:7">
      <c r="B241" s="48"/>
      <c r="C241" s="470"/>
      <c r="D241" s="69"/>
      <c r="E241" s="69"/>
      <c r="F241" s="69"/>
      <c r="G241" s="69"/>
    </row>
    <row r="242" spans="2:7">
      <c r="B242" s="48"/>
      <c r="C242" s="470"/>
      <c r="D242" s="69"/>
      <c r="E242" s="69"/>
      <c r="F242" s="69"/>
      <c r="G242" s="69"/>
    </row>
    <row r="243" spans="2:7">
      <c r="B243" s="48"/>
      <c r="C243" s="470"/>
      <c r="D243" s="69"/>
      <c r="E243" s="69"/>
      <c r="F243" s="69"/>
      <c r="G243" s="69"/>
    </row>
    <row r="244" spans="2:7">
      <c r="B244" s="48"/>
      <c r="C244" s="470"/>
      <c r="D244" s="69"/>
      <c r="E244" s="69"/>
      <c r="F244" s="69"/>
      <c r="G244" s="69"/>
    </row>
    <row r="245" spans="2:7">
      <c r="B245" s="48"/>
      <c r="C245" s="470"/>
      <c r="D245" s="69"/>
      <c r="E245" s="69"/>
      <c r="F245" s="69"/>
      <c r="G245" s="69"/>
    </row>
    <row r="246" spans="2:7">
      <c r="B246" s="48"/>
      <c r="C246" s="470"/>
      <c r="D246" s="69"/>
      <c r="E246" s="69"/>
      <c r="F246" s="69"/>
      <c r="G246" s="69"/>
    </row>
    <row r="247" spans="2:7">
      <c r="B247" s="48"/>
      <c r="C247" s="470"/>
      <c r="D247" s="69"/>
      <c r="E247" s="69"/>
      <c r="F247" s="69"/>
      <c r="G247" s="69"/>
    </row>
    <row r="248" spans="2:7">
      <c r="B248" s="48"/>
      <c r="C248" s="470"/>
      <c r="D248" s="69"/>
      <c r="E248" s="69"/>
      <c r="F248" s="69"/>
      <c r="G248" s="69"/>
    </row>
    <row r="249" spans="2:7">
      <c r="B249" s="48"/>
      <c r="C249" s="470"/>
      <c r="D249" s="69"/>
      <c r="E249" s="69"/>
      <c r="F249" s="69"/>
      <c r="G249" s="69"/>
    </row>
    <row r="250" spans="2:7">
      <c r="B250" s="48"/>
      <c r="C250" s="470"/>
      <c r="D250" s="69"/>
      <c r="E250" s="69"/>
      <c r="F250" s="69"/>
      <c r="G250" s="69"/>
    </row>
    <row r="251" spans="2:7">
      <c r="B251" s="48"/>
      <c r="C251" s="470"/>
      <c r="D251" s="69"/>
      <c r="E251" s="69"/>
      <c r="F251" s="69"/>
      <c r="G251" s="69"/>
    </row>
    <row r="252" spans="2:7">
      <c r="B252" s="48"/>
      <c r="C252" s="470"/>
      <c r="D252" s="69"/>
      <c r="E252" s="69"/>
      <c r="F252" s="69"/>
      <c r="G252" s="69"/>
    </row>
    <row r="253" spans="2:7">
      <c r="B253" s="48"/>
      <c r="C253" s="470"/>
      <c r="D253" s="69"/>
      <c r="E253" s="69"/>
      <c r="F253" s="69"/>
      <c r="G253" s="69"/>
    </row>
    <row r="254" spans="2:7">
      <c r="B254" s="48"/>
      <c r="C254" s="470"/>
      <c r="D254" s="69"/>
      <c r="E254" s="69"/>
      <c r="F254" s="69"/>
      <c r="G254" s="69"/>
    </row>
    <row r="255" spans="2:7">
      <c r="B255" s="48"/>
      <c r="C255" s="470"/>
      <c r="D255" s="69"/>
      <c r="E255" s="69"/>
      <c r="F255" s="69"/>
      <c r="G255" s="69"/>
    </row>
    <row r="256" spans="2:7">
      <c r="B256" s="48"/>
      <c r="C256" s="470"/>
      <c r="D256" s="69"/>
      <c r="E256" s="69"/>
      <c r="F256" s="69"/>
      <c r="G256" s="69"/>
    </row>
    <row r="257" spans="2:7">
      <c r="B257" s="48"/>
      <c r="C257" s="470"/>
      <c r="D257" s="69"/>
      <c r="E257" s="69"/>
      <c r="F257" s="69"/>
      <c r="G257" s="69"/>
    </row>
    <row r="258" spans="2:7">
      <c r="B258" s="48"/>
      <c r="C258" s="470"/>
      <c r="D258" s="69"/>
      <c r="E258" s="69"/>
      <c r="F258" s="69"/>
      <c r="G258" s="69"/>
    </row>
    <row r="259" spans="2:7">
      <c r="B259" s="48"/>
      <c r="C259" s="470"/>
      <c r="D259" s="69"/>
      <c r="E259" s="69"/>
      <c r="F259" s="69"/>
      <c r="G259" s="69"/>
    </row>
    <row r="260" spans="2:7">
      <c r="B260" s="48"/>
      <c r="C260" s="470"/>
      <c r="D260" s="69"/>
      <c r="E260" s="69"/>
      <c r="F260" s="69"/>
      <c r="G260" s="69"/>
    </row>
    <row r="261" spans="2:7">
      <c r="B261" s="48"/>
      <c r="C261" s="470"/>
      <c r="D261" s="69"/>
      <c r="E261" s="69"/>
      <c r="F261" s="69"/>
      <c r="G261" s="69"/>
    </row>
    <row r="262" spans="2:7">
      <c r="B262" s="48"/>
      <c r="C262" s="470"/>
      <c r="D262" s="69"/>
      <c r="E262" s="69"/>
      <c r="F262" s="69"/>
      <c r="G262" s="69"/>
    </row>
    <row r="263" spans="2:7">
      <c r="B263" s="48"/>
      <c r="C263" s="470"/>
      <c r="D263" s="69"/>
      <c r="E263" s="69"/>
      <c r="F263" s="69"/>
      <c r="G263" s="69"/>
    </row>
    <row r="264" spans="2:7">
      <c r="B264" s="48"/>
      <c r="C264" s="470"/>
      <c r="D264" s="69"/>
      <c r="E264" s="69"/>
      <c r="F264" s="69"/>
      <c r="G264" s="69"/>
    </row>
    <row r="265" spans="2:7">
      <c r="B265" s="48"/>
      <c r="C265" s="470"/>
      <c r="D265" s="69"/>
      <c r="E265" s="69"/>
      <c r="F265" s="69"/>
      <c r="G265" s="69"/>
    </row>
    <row r="266" spans="2:7">
      <c r="B266" s="48"/>
      <c r="C266" s="470"/>
      <c r="D266" s="69"/>
      <c r="E266" s="69"/>
      <c r="F266" s="69"/>
      <c r="G266" s="69"/>
    </row>
    <row r="267" spans="2:7">
      <c r="B267" s="48"/>
      <c r="C267" s="470"/>
      <c r="D267" s="69"/>
      <c r="E267" s="69"/>
      <c r="F267" s="69"/>
      <c r="G267" s="69"/>
    </row>
    <row r="268" spans="2:7">
      <c r="B268" s="48"/>
      <c r="C268" s="470"/>
      <c r="D268" s="69"/>
      <c r="E268" s="69"/>
      <c r="F268" s="69"/>
      <c r="G268" s="69"/>
    </row>
    <row r="269" spans="2:7">
      <c r="B269" s="48"/>
      <c r="C269" s="470"/>
      <c r="D269" s="69"/>
      <c r="E269" s="69"/>
      <c r="F269" s="69"/>
      <c r="G269" s="69"/>
    </row>
    <row r="270" spans="2:7">
      <c r="B270" s="48"/>
      <c r="C270" s="470"/>
      <c r="D270" s="69"/>
      <c r="E270" s="69"/>
      <c r="F270" s="69"/>
      <c r="G270" s="69"/>
    </row>
    <row r="271" spans="2:7">
      <c r="B271" s="48"/>
      <c r="C271" s="470"/>
      <c r="D271" s="69"/>
      <c r="E271" s="69"/>
      <c r="F271" s="69"/>
      <c r="G271" s="69"/>
    </row>
    <row r="272" spans="2:7">
      <c r="B272" s="48"/>
      <c r="C272" s="470"/>
      <c r="D272" s="69"/>
      <c r="E272" s="69"/>
      <c r="F272" s="69"/>
      <c r="G272" s="69"/>
    </row>
    <row r="273" spans="2:7">
      <c r="B273" s="48"/>
      <c r="C273" s="470"/>
      <c r="D273" s="69"/>
      <c r="E273" s="69"/>
      <c r="F273" s="69"/>
      <c r="G273" s="69"/>
    </row>
    <row r="274" spans="2:7">
      <c r="B274" s="48"/>
      <c r="C274" s="470"/>
      <c r="D274" s="69"/>
      <c r="E274" s="69"/>
      <c r="F274" s="69"/>
      <c r="G274" s="69"/>
    </row>
    <row r="275" spans="2:7">
      <c r="B275" s="48"/>
      <c r="C275" s="470"/>
      <c r="D275" s="69"/>
      <c r="E275" s="69"/>
      <c r="F275" s="69"/>
      <c r="G275" s="69"/>
    </row>
    <row r="276" spans="2:7">
      <c r="B276" s="48"/>
      <c r="C276" s="470"/>
      <c r="D276" s="69"/>
      <c r="E276" s="69"/>
      <c r="F276" s="69"/>
      <c r="G276" s="69"/>
    </row>
    <row r="277" spans="2:7">
      <c r="B277" s="48"/>
      <c r="C277" s="470"/>
      <c r="D277" s="69"/>
      <c r="E277" s="69"/>
      <c r="F277" s="69"/>
      <c r="G277" s="69"/>
    </row>
    <row r="278" spans="2:7">
      <c r="B278" s="48"/>
      <c r="C278" s="470"/>
      <c r="D278" s="69"/>
      <c r="E278" s="69"/>
      <c r="F278" s="69"/>
      <c r="G278" s="69"/>
    </row>
    <row r="279" spans="2:7">
      <c r="B279" s="48"/>
      <c r="C279" s="470"/>
      <c r="D279" s="69"/>
      <c r="E279" s="69"/>
      <c r="F279" s="69"/>
      <c r="G279" s="69"/>
    </row>
    <row r="280" spans="2:7">
      <c r="B280" s="48"/>
      <c r="C280" s="470"/>
      <c r="D280" s="69"/>
      <c r="E280" s="69"/>
      <c r="F280" s="69"/>
      <c r="G280" s="69"/>
    </row>
    <row r="281" spans="2:7">
      <c r="B281" s="48"/>
      <c r="C281" s="470"/>
      <c r="D281" s="69"/>
      <c r="E281" s="69"/>
      <c r="F281" s="69"/>
      <c r="G281" s="69"/>
    </row>
    <row r="282" spans="2:7">
      <c r="B282" s="48"/>
      <c r="C282" s="470"/>
      <c r="D282" s="69"/>
      <c r="E282" s="69"/>
      <c r="F282" s="69"/>
      <c r="G282" s="69"/>
    </row>
    <row r="283" spans="2:7">
      <c r="B283" s="48"/>
      <c r="C283" s="470"/>
      <c r="D283" s="69"/>
      <c r="E283" s="69"/>
      <c r="F283" s="69"/>
      <c r="G283" s="69"/>
    </row>
    <row r="284" spans="2:7">
      <c r="B284" s="48"/>
      <c r="C284" s="470"/>
      <c r="D284" s="69"/>
      <c r="E284" s="69"/>
      <c r="F284" s="69"/>
      <c r="G284" s="69"/>
    </row>
    <row r="285" spans="2:7">
      <c r="B285" s="48"/>
      <c r="C285" s="470"/>
      <c r="D285" s="69"/>
      <c r="E285" s="69"/>
      <c r="F285" s="69"/>
      <c r="G285" s="69"/>
    </row>
    <row r="286" spans="2:7">
      <c r="B286" s="48"/>
      <c r="C286" s="470"/>
      <c r="D286" s="69"/>
      <c r="E286" s="69"/>
      <c r="F286" s="69"/>
      <c r="G286" s="69"/>
    </row>
    <row r="287" spans="2:7">
      <c r="B287" s="48"/>
      <c r="C287" s="470"/>
      <c r="D287" s="69"/>
      <c r="E287" s="69"/>
      <c r="F287" s="69"/>
      <c r="G287" s="69"/>
    </row>
    <row r="288" spans="2:7">
      <c r="B288" s="48"/>
      <c r="C288" s="470"/>
      <c r="D288" s="69"/>
      <c r="E288" s="69"/>
      <c r="F288" s="69"/>
      <c r="G288" s="69"/>
    </row>
    <row r="289" spans="2:7">
      <c r="B289" s="48"/>
      <c r="C289" s="470"/>
      <c r="D289" s="69"/>
      <c r="E289" s="69"/>
      <c r="F289" s="69"/>
      <c r="G289" s="69"/>
    </row>
    <row r="290" spans="2:7">
      <c r="B290" s="48"/>
      <c r="C290" s="470"/>
      <c r="D290" s="69"/>
      <c r="E290" s="69"/>
      <c r="F290" s="69"/>
      <c r="G290" s="69"/>
    </row>
    <row r="291" spans="2:7">
      <c r="B291" s="48"/>
      <c r="C291" s="470"/>
      <c r="D291" s="69"/>
      <c r="E291" s="69"/>
      <c r="F291" s="69"/>
      <c r="G291" s="69"/>
    </row>
    <row r="292" spans="2:7">
      <c r="B292" s="48"/>
      <c r="C292" s="470"/>
      <c r="D292" s="69"/>
      <c r="E292" s="69"/>
      <c r="F292" s="69"/>
      <c r="G292" s="69"/>
    </row>
    <row r="293" spans="2:7">
      <c r="B293" s="48"/>
      <c r="C293" s="470"/>
      <c r="D293" s="69"/>
      <c r="E293" s="69"/>
      <c r="F293" s="69"/>
      <c r="G293" s="69"/>
    </row>
    <row r="294" spans="2:7">
      <c r="B294" s="48"/>
      <c r="C294" s="470"/>
      <c r="D294" s="69"/>
      <c r="E294" s="69"/>
      <c r="F294" s="69"/>
      <c r="G294" s="69"/>
    </row>
    <row r="295" spans="2:7">
      <c r="B295" s="48"/>
      <c r="C295" s="470"/>
      <c r="D295" s="69"/>
      <c r="E295" s="69"/>
      <c r="F295" s="69"/>
      <c r="G295" s="69"/>
    </row>
    <row r="296" spans="2:7">
      <c r="B296" s="48"/>
      <c r="C296" s="470"/>
      <c r="D296" s="69"/>
      <c r="E296" s="69"/>
      <c r="F296" s="69"/>
      <c r="G296" s="69"/>
    </row>
    <row r="297" spans="2:7">
      <c r="B297" s="48"/>
      <c r="C297" s="470"/>
      <c r="D297" s="69"/>
      <c r="E297" s="69"/>
      <c r="F297" s="69"/>
      <c r="G297" s="69"/>
    </row>
    <row r="298" spans="2:7">
      <c r="B298" s="48"/>
      <c r="C298" s="470"/>
      <c r="D298" s="69"/>
      <c r="E298" s="69"/>
      <c r="F298" s="69"/>
      <c r="G298" s="69"/>
    </row>
    <row r="299" spans="2:7">
      <c r="B299" s="48"/>
      <c r="C299" s="470"/>
      <c r="D299" s="69"/>
      <c r="E299" s="69"/>
      <c r="F299" s="69"/>
      <c r="G299" s="69"/>
    </row>
    <row r="300" spans="2:7">
      <c r="B300" s="48"/>
      <c r="C300" s="470"/>
      <c r="D300" s="69"/>
      <c r="E300" s="69"/>
      <c r="F300" s="69"/>
      <c r="G300" s="69"/>
    </row>
    <row r="301" spans="2:7">
      <c r="B301" s="48"/>
      <c r="C301" s="470"/>
      <c r="D301" s="69"/>
      <c r="E301" s="69"/>
      <c r="F301" s="69"/>
      <c r="G301" s="69"/>
    </row>
    <row r="302" spans="2:7">
      <c r="B302" s="48"/>
      <c r="C302" s="470"/>
      <c r="D302" s="69"/>
      <c r="E302" s="69"/>
      <c r="F302" s="69"/>
      <c r="G302" s="69"/>
    </row>
    <row r="303" spans="2:7">
      <c r="B303" s="48"/>
      <c r="C303" s="470"/>
      <c r="D303" s="69"/>
      <c r="E303" s="69"/>
      <c r="F303" s="69"/>
      <c r="G303" s="69"/>
    </row>
    <row r="304" spans="2:7">
      <c r="B304" s="48"/>
      <c r="C304" s="470"/>
      <c r="D304" s="69"/>
      <c r="E304" s="69"/>
      <c r="F304" s="69"/>
      <c r="G304" s="69"/>
    </row>
    <row r="305" spans="2:7">
      <c r="B305" s="48"/>
      <c r="C305" s="470"/>
      <c r="D305" s="69"/>
      <c r="E305" s="69"/>
      <c r="F305" s="69"/>
      <c r="G305" s="69"/>
    </row>
    <row r="306" spans="2:7">
      <c r="B306" s="48"/>
      <c r="C306" s="470"/>
      <c r="D306" s="69"/>
      <c r="E306" s="69"/>
      <c r="F306" s="69"/>
      <c r="G306" s="69"/>
    </row>
    <row r="307" spans="2:7">
      <c r="B307" s="48"/>
      <c r="C307" s="470"/>
      <c r="D307" s="69"/>
      <c r="E307" s="69"/>
      <c r="F307" s="69"/>
      <c r="G307" s="69"/>
    </row>
    <row r="308" spans="2:7">
      <c r="B308" s="48"/>
      <c r="C308" s="470"/>
      <c r="D308" s="69"/>
      <c r="E308" s="69"/>
      <c r="F308" s="69"/>
      <c r="G308" s="69"/>
    </row>
    <row r="309" spans="2:7">
      <c r="B309" s="48"/>
      <c r="C309" s="470"/>
      <c r="D309" s="69"/>
      <c r="E309" s="69"/>
      <c r="F309" s="69"/>
      <c r="G309" s="69"/>
    </row>
    <row r="310" spans="2:7">
      <c r="B310" s="48"/>
      <c r="C310" s="470"/>
      <c r="D310" s="69"/>
      <c r="E310" s="69"/>
      <c r="F310" s="69"/>
      <c r="G310" s="69"/>
    </row>
    <row r="311" spans="2:7">
      <c r="B311" s="48"/>
      <c r="C311" s="470"/>
      <c r="D311" s="69"/>
      <c r="E311" s="69"/>
      <c r="F311" s="69"/>
      <c r="G311" s="69"/>
    </row>
    <row r="312" spans="2:7">
      <c r="B312" s="48"/>
      <c r="C312" s="470"/>
      <c r="D312" s="69"/>
      <c r="E312" s="69"/>
      <c r="F312" s="69"/>
      <c r="G312" s="69"/>
    </row>
    <row r="313" spans="2:7">
      <c r="B313" s="48"/>
      <c r="C313" s="470"/>
      <c r="D313" s="69"/>
      <c r="E313" s="69"/>
      <c r="F313" s="69"/>
      <c r="G313" s="69"/>
    </row>
    <row r="314" spans="2:7">
      <c r="B314" s="48"/>
      <c r="C314" s="470"/>
      <c r="D314" s="69"/>
      <c r="E314" s="69"/>
      <c r="F314" s="69"/>
      <c r="G314" s="69"/>
    </row>
    <row r="315" spans="2:7">
      <c r="B315" s="48"/>
      <c r="C315" s="470"/>
      <c r="D315" s="69"/>
      <c r="E315" s="69"/>
      <c r="F315" s="69"/>
      <c r="G315" s="69"/>
    </row>
    <row r="316" spans="2:7">
      <c r="B316" s="48"/>
      <c r="C316" s="470"/>
      <c r="D316" s="69"/>
      <c r="E316" s="69"/>
      <c r="F316" s="69"/>
      <c r="G316" s="69"/>
    </row>
    <row r="317" spans="2:7">
      <c r="B317" s="48"/>
      <c r="C317" s="470"/>
      <c r="D317" s="69"/>
      <c r="E317" s="69"/>
      <c r="F317" s="69"/>
      <c r="G317" s="69"/>
    </row>
    <row r="318" spans="2:7">
      <c r="B318" s="48"/>
      <c r="C318" s="470"/>
      <c r="D318" s="69"/>
      <c r="E318" s="69"/>
      <c r="F318" s="69"/>
      <c r="G318" s="69"/>
    </row>
    <row r="319" spans="2:7">
      <c r="B319" s="48"/>
      <c r="C319" s="470"/>
      <c r="D319" s="69"/>
      <c r="E319" s="69"/>
      <c r="F319" s="69"/>
      <c r="G319" s="69"/>
    </row>
    <row r="320" spans="2:7">
      <c r="B320" s="48"/>
      <c r="C320" s="470"/>
      <c r="D320" s="69"/>
      <c r="E320" s="69"/>
      <c r="F320" s="69"/>
      <c r="G320" s="69"/>
    </row>
    <row r="321" spans="2:7">
      <c r="B321" s="48"/>
      <c r="C321" s="470"/>
      <c r="D321" s="69"/>
      <c r="E321" s="69"/>
      <c r="F321" s="69"/>
      <c r="G321" s="69"/>
    </row>
    <row r="322" spans="2:7">
      <c r="B322" s="48"/>
      <c r="C322" s="470"/>
      <c r="D322" s="69"/>
      <c r="E322" s="69"/>
      <c r="F322" s="69"/>
      <c r="G322" s="69"/>
    </row>
    <row r="323" spans="2:7">
      <c r="B323" s="48"/>
      <c r="C323" s="470"/>
      <c r="D323" s="69"/>
      <c r="E323" s="69"/>
      <c r="F323" s="69"/>
      <c r="G323" s="69"/>
    </row>
    <row r="324" spans="2:7">
      <c r="B324" s="48"/>
      <c r="C324" s="470"/>
      <c r="D324" s="69"/>
      <c r="E324" s="69"/>
      <c r="F324" s="69"/>
      <c r="G324" s="69"/>
    </row>
    <row r="325" spans="2:7">
      <c r="B325" s="48"/>
      <c r="C325" s="470"/>
      <c r="D325" s="69"/>
      <c r="E325" s="69"/>
      <c r="F325" s="69"/>
      <c r="G325" s="69"/>
    </row>
    <row r="326" spans="2:7">
      <c r="B326" s="48"/>
      <c r="C326" s="470"/>
      <c r="D326" s="69"/>
      <c r="E326" s="69"/>
      <c r="F326" s="69"/>
      <c r="G326" s="69"/>
    </row>
    <row r="327" spans="2:7">
      <c r="B327" s="48"/>
      <c r="C327" s="470"/>
      <c r="D327" s="69"/>
      <c r="E327" s="69"/>
      <c r="F327" s="69"/>
      <c r="G327" s="69"/>
    </row>
    <row r="328" spans="2:7">
      <c r="B328" s="48"/>
      <c r="C328" s="470"/>
      <c r="D328" s="69"/>
      <c r="E328" s="69"/>
      <c r="F328" s="69"/>
      <c r="G328" s="69"/>
    </row>
    <row r="329" spans="2:7">
      <c r="B329" s="48"/>
      <c r="C329" s="470"/>
      <c r="D329" s="69"/>
      <c r="E329" s="69"/>
      <c r="F329" s="69"/>
      <c r="G329" s="69"/>
    </row>
    <row r="330" spans="2:7">
      <c r="B330" s="48"/>
      <c r="C330" s="470"/>
      <c r="D330" s="69"/>
      <c r="E330" s="69"/>
      <c r="F330" s="69"/>
      <c r="G330" s="69"/>
    </row>
    <row r="331" spans="2:7">
      <c r="B331" s="48"/>
      <c r="C331" s="470"/>
      <c r="D331" s="69"/>
      <c r="E331" s="69"/>
      <c r="F331" s="69"/>
      <c r="G331" s="69"/>
    </row>
    <row r="332" spans="2:7">
      <c r="B332" s="48"/>
      <c r="C332" s="470"/>
      <c r="D332" s="69"/>
      <c r="E332" s="69"/>
      <c r="F332" s="69"/>
      <c r="G332" s="69"/>
    </row>
    <row r="333" spans="2:7">
      <c r="B333" s="48"/>
      <c r="C333" s="470"/>
      <c r="D333" s="69"/>
      <c r="E333" s="69"/>
      <c r="F333" s="69"/>
      <c r="G333" s="69"/>
    </row>
    <row r="334" spans="2:7">
      <c r="B334" s="48"/>
      <c r="C334" s="470"/>
      <c r="D334" s="69"/>
      <c r="E334" s="69"/>
      <c r="F334" s="69"/>
      <c r="G334" s="69"/>
    </row>
    <row r="335" spans="2:7">
      <c r="B335" s="48"/>
      <c r="C335" s="470"/>
      <c r="D335" s="69"/>
      <c r="E335" s="69"/>
      <c r="F335" s="69"/>
      <c r="G335" s="69"/>
    </row>
    <row r="336" spans="2:7">
      <c r="B336" s="48"/>
      <c r="C336" s="470"/>
      <c r="D336" s="69"/>
      <c r="E336" s="69"/>
      <c r="F336" s="69"/>
      <c r="G336" s="69"/>
    </row>
    <row r="337" spans="2:7">
      <c r="B337" s="48"/>
      <c r="C337" s="470"/>
      <c r="D337" s="69"/>
      <c r="E337" s="69"/>
      <c r="F337" s="69"/>
      <c r="G337" s="69"/>
    </row>
    <row r="338" spans="2:7">
      <c r="B338" s="48"/>
      <c r="C338" s="470"/>
      <c r="D338" s="69"/>
      <c r="E338" s="69"/>
      <c r="F338" s="69"/>
      <c r="G338" s="69"/>
    </row>
    <row r="339" spans="2:7">
      <c r="B339" s="48"/>
      <c r="C339" s="470"/>
      <c r="D339" s="69"/>
      <c r="E339" s="69"/>
      <c r="F339" s="69"/>
      <c r="G339" s="69"/>
    </row>
    <row r="340" spans="2:7">
      <c r="B340" s="48"/>
      <c r="C340" s="470"/>
      <c r="D340" s="69"/>
      <c r="E340" s="69"/>
      <c r="F340" s="69"/>
      <c r="G340" s="69"/>
    </row>
    <row r="341" spans="2:7">
      <c r="B341" s="48"/>
      <c r="C341" s="470"/>
      <c r="D341" s="69"/>
      <c r="E341" s="69"/>
      <c r="F341" s="69"/>
      <c r="G341" s="69"/>
    </row>
    <row r="342" spans="2:7">
      <c r="B342" s="48"/>
      <c r="C342" s="470"/>
      <c r="D342" s="69"/>
      <c r="E342" s="69"/>
      <c r="F342" s="69"/>
      <c r="G342" s="69"/>
    </row>
    <row r="343" spans="2:7">
      <c r="B343" s="48"/>
      <c r="C343" s="470"/>
      <c r="D343" s="69"/>
      <c r="E343" s="69"/>
      <c r="F343" s="69"/>
      <c r="G343" s="69"/>
    </row>
    <row r="344" spans="2:7">
      <c r="B344" s="48"/>
      <c r="C344" s="470"/>
      <c r="D344" s="69"/>
      <c r="E344" s="69"/>
      <c r="F344" s="69"/>
      <c r="G344" s="69"/>
    </row>
    <row r="345" spans="2:7">
      <c r="B345" s="48"/>
      <c r="C345" s="470"/>
      <c r="D345" s="69"/>
      <c r="E345" s="69"/>
      <c r="F345" s="69"/>
      <c r="G345" s="69"/>
    </row>
    <row r="346" spans="2:7">
      <c r="B346" s="48"/>
      <c r="C346" s="470"/>
      <c r="D346" s="69"/>
      <c r="E346" s="69"/>
      <c r="F346" s="69"/>
      <c r="G346" s="69"/>
    </row>
    <row r="347" spans="2:7">
      <c r="B347" s="48"/>
      <c r="C347" s="470"/>
      <c r="D347" s="69"/>
      <c r="E347" s="69"/>
      <c r="F347" s="69"/>
      <c r="G347" s="69"/>
    </row>
    <row r="348" spans="2:7">
      <c r="B348" s="48"/>
      <c r="C348" s="470"/>
      <c r="D348" s="69"/>
      <c r="E348" s="69"/>
      <c r="F348" s="69"/>
      <c r="G348" s="69"/>
    </row>
    <row r="349" spans="2:7">
      <c r="B349" s="48"/>
      <c r="C349" s="470"/>
      <c r="D349" s="69"/>
      <c r="E349" s="69"/>
      <c r="F349" s="69"/>
      <c r="G349" s="69"/>
    </row>
    <row r="350" spans="2:7">
      <c r="B350" s="48"/>
      <c r="C350" s="470"/>
      <c r="D350" s="69"/>
      <c r="E350" s="69"/>
      <c r="F350" s="69"/>
      <c r="G350" s="69"/>
    </row>
    <row r="351" spans="2:7">
      <c r="B351" s="48"/>
      <c r="C351" s="470"/>
      <c r="D351" s="69"/>
      <c r="E351" s="69"/>
      <c r="F351" s="69"/>
      <c r="G351" s="69"/>
    </row>
    <row r="352" spans="2:7">
      <c r="B352" s="48"/>
      <c r="C352" s="470"/>
      <c r="D352" s="69"/>
      <c r="E352" s="69"/>
      <c r="F352" s="69"/>
      <c r="G352" s="69"/>
    </row>
    <row r="353" spans="2:7">
      <c r="B353" s="48"/>
      <c r="C353" s="470"/>
      <c r="D353" s="69"/>
      <c r="E353" s="69"/>
      <c r="F353" s="69"/>
      <c r="G353" s="69"/>
    </row>
    <row r="354" spans="2:7">
      <c r="B354" s="48"/>
      <c r="C354" s="470"/>
      <c r="D354" s="69"/>
      <c r="E354" s="69"/>
      <c r="F354" s="69"/>
      <c r="G354" s="69"/>
    </row>
    <row r="355" spans="2:7">
      <c r="B355" s="48"/>
      <c r="C355" s="470"/>
      <c r="D355" s="69"/>
      <c r="E355" s="69"/>
      <c r="F355" s="69"/>
      <c r="G355" s="69"/>
    </row>
    <row r="356" spans="2:7">
      <c r="B356" s="48"/>
      <c r="C356" s="470"/>
      <c r="D356" s="69"/>
      <c r="E356" s="69"/>
      <c r="F356" s="69"/>
      <c r="G356" s="69"/>
    </row>
    <row r="357" spans="2:7">
      <c r="B357" s="48"/>
      <c r="C357" s="470"/>
      <c r="D357" s="69"/>
      <c r="E357" s="69"/>
      <c r="F357" s="69"/>
      <c r="G357" s="69"/>
    </row>
    <row r="358" spans="2:7">
      <c r="B358" s="48"/>
      <c r="C358" s="470"/>
      <c r="D358" s="69"/>
      <c r="E358" s="69"/>
      <c r="F358" s="69"/>
      <c r="G358" s="69"/>
    </row>
    <row r="359" spans="2:7">
      <c r="B359" s="48"/>
      <c r="C359" s="470"/>
      <c r="D359" s="69"/>
      <c r="E359" s="69"/>
      <c r="F359" s="69"/>
      <c r="G359" s="69"/>
    </row>
    <row r="360" spans="2:7">
      <c r="B360" s="48"/>
      <c r="C360" s="470"/>
      <c r="D360" s="69"/>
      <c r="E360" s="69"/>
      <c r="F360" s="69"/>
      <c r="G360" s="69"/>
    </row>
    <row r="361" spans="2:7">
      <c r="B361" s="48"/>
      <c r="C361" s="470"/>
      <c r="D361" s="69"/>
      <c r="E361" s="69"/>
      <c r="F361" s="69"/>
      <c r="G361" s="69"/>
    </row>
    <row r="362" spans="2:7">
      <c r="B362" s="48"/>
      <c r="C362" s="470"/>
      <c r="D362" s="69"/>
      <c r="E362" s="69"/>
      <c r="F362" s="69"/>
      <c r="G362" s="69"/>
    </row>
    <row r="363" spans="2:7">
      <c r="B363" s="48"/>
      <c r="C363" s="470"/>
      <c r="D363" s="69"/>
      <c r="E363" s="69"/>
      <c r="F363" s="69"/>
      <c r="G363" s="69"/>
    </row>
    <row r="364" spans="2:7">
      <c r="B364" s="48"/>
      <c r="C364" s="470"/>
      <c r="D364" s="69"/>
      <c r="E364" s="69"/>
      <c r="F364" s="69"/>
      <c r="G364" s="69"/>
    </row>
    <row r="365" spans="2:7">
      <c r="B365" s="48"/>
      <c r="C365" s="470"/>
      <c r="D365" s="69"/>
      <c r="E365" s="69"/>
      <c r="F365" s="69"/>
      <c r="G365" s="69"/>
    </row>
    <row r="366" spans="2:7">
      <c r="B366" s="48"/>
      <c r="C366" s="470"/>
      <c r="D366" s="69"/>
      <c r="E366" s="69"/>
      <c r="F366" s="69"/>
      <c r="G366" s="69"/>
    </row>
    <row r="367" spans="2:7">
      <c r="B367" s="48"/>
      <c r="C367" s="470"/>
      <c r="D367" s="69"/>
      <c r="E367" s="69"/>
      <c r="F367" s="69"/>
      <c r="G367" s="69"/>
    </row>
    <row r="368" spans="2:7">
      <c r="B368" s="48"/>
      <c r="C368" s="470"/>
      <c r="D368" s="69"/>
      <c r="E368" s="69"/>
      <c r="F368" s="69"/>
      <c r="G368" s="69"/>
    </row>
    <row r="369" spans="2:7">
      <c r="B369" s="48"/>
      <c r="C369" s="470"/>
      <c r="D369" s="69"/>
      <c r="E369" s="69"/>
      <c r="F369" s="69"/>
      <c r="G369" s="69"/>
    </row>
    <row r="370" spans="2:7">
      <c r="B370" s="48"/>
      <c r="C370" s="470"/>
      <c r="D370" s="69"/>
      <c r="E370" s="69"/>
      <c r="F370" s="69"/>
      <c r="G370" s="69"/>
    </row>
    <row r="371" spans="2:7">
      <c r="B371" s="48"/>
      <c r="C371" s="470"/>
      <c r="D371" s="69"/>
      <c r="E371" s="69"/>
      <c r="F371" s="69"/>
      <c r="G371" s="69"/>
    </row>
    <row r="372" spans="2:7">
      <c r="B372" s="48"/>
      <c r="C372" s="470"/>
      <c r="D372" s="69"/>
      <c r="E372" s="69"/>
      <c r="F372" s="69"/>
      <c r="G372" s="69"/>
    </row>
    <row r="373" spans="2:7">
      <c r="B373" s="48"/>
      <c r="C373" s="470"/>
      <c r="D373" s="69"/>
      <c r="E373" s="69"/>
      <c r="F373" s="69"/>
      <c r="G373" s="69"/>
    </row>
    <row r="374" spans="2:7">
      <c r="B374" s="48"/>
      <c r="C374" s="470"/>
      <c r="D374" s="69"/>
      <c r="E374" s="69"/>
      <c r="F374" s="69"/>
      <c r="G374" s="69"/>
    </row>
    <row r="375" spans="2:7">
      <c r="B375" s="48"/>
      <c r="C375" s="470"/>
      <c r="D375" s="69"/>
      <c r="E375" s="69"/>
      <c r="F375" s="69"/>
      <c r="G375" s="69"/>
    </row>
    <row r="376" spans="2:7">
      <c r="B376" s="48"/>
      <c r="C376" s="470"/>
      <c r="D376" s="69"/>
      <c r="E376" s="69"/>
      <c r="F376" s="69"/>
      <c r="G376" s="69"/>
    </row>
    <row r="377" spans="2:7">
      <c r="B377" s="48"/>
      <c r="C377" s="470"/>
      <c r="D377" s="69"/>
      <c r="E377" s="69"/>
      <c r="F377" s="69"/>
      <c r="G377" s="69"/>
    </row>
    <row r="378" spans="2:7">
      <c r="B378" s="48"/>
      <c r="C378" s="470"/>
      <c r="D378" s="69"/>
      <c r="E378" s="69"/>
      <c r="F378" s="69"/>
      <c r="G378" s="69"/>
    </row>
    <row r="379" spans="2:7">
      <c r="B379" s="48"/>
      <c r="C379" s="470"/>
      <c r="D379" s="69"/>
      <c r="E379" s="69"/>
      <c r="F379" s="69"/>
      <c r="G379" s="69"/>
    </row>
    <row r="380" spans="2:7">
      <c r="B380" s="48"/>
      <c r="C380" s="470"/>
      <c r="D380" s="69"/>
      <c r="E380" s="69"/>
      <c r="F380" s="69"/>
      <c r="G380" s="69"/>
    </row>
    <row r="381" spans="2:7">
      <c r="B381" s="48"/>
      <c r="C381" s="470"/>
      <c r="D381" s="69"/>
      <c r="E381" s="69"/>
      <c r="F381" s="69"/>
      <c r="G381" s="69"/>
    </row>
    <row r="382" spans="2:7">
      <c r="B382" s="48"/>
      <c r="C382" s="470"/>
      <c r="D382" s="69"/>
      <c r="E382" s="69"/>
      <c r="F382" s="69"/>
      <c r="G382" s="69"/>
    </row>
    <row r="383" spans="2:7">
      <c r="B383" s="48"/>
      <c r="C383" s="470"/>
      <c r="D383" s="69"/>
      <c r="E383" s="69"/>
      <c r="F383" s="69"/>
      <c r="G383" s="69"/>
    </row>
    <row r="384" spans="2:7">
      <c r="B384" s="48"/>
      <c r="C384" s="470"/>
      <c r="D384" s="69"/>
      <c r="E384" s="69"/>
      <c r="F384" s="69"/>
      <c r="G384" s="69"/>
    </row>
    <row r="385" spans="2:7">
      <c r="B385" s="48"/>
      <c r="C385" s="470"/>
      <c r="D385" s="69"/>
      <c r="E385" s="69"/>
      <c r="F385" s="69"/>
      <c r="G385" s="69"/>
    </row>
    <row r="386" spans="2:7">
      <c r="B386" s="48"/>
      <c r="C386" s="470"/>
      <c r="D386" s="69"/>
      <c r="E386" s="69"/>
      <c r="F386" s="69"/>
      <c r="G386" s="69"/>
    </row>
    <row r="387" spans="2:7">
      <c r="B387" s="48"/>
      <c r="C387" s="470"/>
      <c r="D387" s="69"/>
      <c r="E387" s="69"/>
      <c r="F387" s="69"/>
      <c r="G387" s="69"/>
    </row>
    <row r="388" spans="2:7">
      <c r="B388" s="48"/>
      <c r="C388" s="470"/>
      <c r="D388" s="69"/>
      <c r="E388" s="69"/>
      <c r="F388" s="69"/>
      <c r="G388" s="69"/>
    </row>
    <row r="389" spans="2:7">
      <c r="B389" s="48"/>
      <c r="C389" s="470"/>
      <c r="D389" s="69"/>
      <c r="E389" s="69"/>
      <c r="F389" s="69"/>
      <c r="G389" s="69"/>
    </row>
    <row r="390" spans="2:7">
      <c r="B390" s="48"/>
      <c r="C390" s="470"/>
      <c r="D390" s="69"/>
      <c r="E390" s="69"/>
      <c r="F390" s="69"/>
      <c r="G390" s="69"/>
    </row>
    <row r="391" spans="2:7">
      <c r="B391" s="48"/>
      <c r="C391" s="470"/>
      <c r="D391" s="69"/>
      <c r="E391" s="69"/>
      <c r="F391" s="69"/>
      <c r="G391" s="69"/>
    </row>
    <row r="392" spans="2:7">
      <c r="B392" s="48"/>
      <c r="C392" s="470"/>
      <c r="D392" s="69"/>
      <c r="E392" s="69"/>
      <c r="F392" s="69"/>
      <c r="G392" s="69"/>
    </row>
    <row r="393" spans="2:7">
      <c r="B393" s="48"/>
      <c r="C393" s="470"/>
      <c r="D393" s="69"/>
      <c r="E393" s="69"/>
      <c r="F393" s="69"/>
      <c r="G393" s="69"/>
    </row>
    <row r="394" spans="2:7">
      <c r="B394" s="48"/>
      <c r="C394" s="470"/>
      <c r="D394" s="69"/>
      <c r="E394" s="69"/>
      <c r="F394" s="69"/>
      <c r="G394" s="69"/>
    </row>
    <row r="395" spans="2:7">
      <c r="B395" s="48"/>
      <c r="C395" s="470"/>
      <c r="D395" s="69"/>
      <c r="E395" s="69"/>
      <c r="F395" s="69"/>
      <c r="G395" s="69"/>
    </row>
    <row r="396" spans="2:7">
      <c r="B396" s="48"/>
      <c r="C396" s="470"/>
      <c r="D396" s="69"/>
      <c r="E396" s="69"/>
      <c r="F396" s="69"/>
      <c r="G396" s="69"/>
    </row>
    <row r="397" spans="2:7">
      <c r="B397" s="48"/>
      <c r="C397" s="470"/>
      <c r="D397" s="69"/>
      <c r="E397" s="69"/>
      <c r="F397" s="69"/>
      <c r="G397" s="69"/>
    </row>
    <row r="398" spans="2:7">
      <c r="B398" s="48"/>
      <c r="C398" s="470"/>
      <c r="D398" s="69"/>
      <c r="E398" s="69"/>
      <c r="F398" s="69"/>
      <c r="G398" s="69"/>
    </row>
    <row r="399" spans="2:7">
      <c r="B399" s="48"/>
      <c r="C399" s="470"/>
      <c r="D399" s="69"/>
      <c r="E399" s="69"/>
      <c r="F399" s="69"/>
      <c r="G399" s="69"/>
    </row>
    <row r="400" spans="2:7">
      <c r="B400" s="48"/>
      <c r="C400" s="470"/>
      <c r="D400" s="69"/>
      <c r="E400" s="69"/>
      <c r="F400" s="69"/>
      <c r="G400" s="69"/>
    </row>
    <row r="401" spans="2:7">
      <c r="B401" s="48"/>
      <c r="C401" s="470"/>
      <c r="D401" s="69"/>
      <c r="E401" s="69"/>
      <c r="F401" s="69"/>
      <c r="G401" s="69"/>
    </row>
    <row r="402" spans="2:7">
      <c r="B402" s="48"/>
      <c r="C402" s="470"/>
      <c r="D402" s="69"/>
      <c r="E402" s="69"/>
      <c r="F402" s="69"/>
      <c r="G402" s="69"/>
    </row>
    <row r="403" spans="2:7">
      <c r="B403" s="48"/>
      <c r="C403" s="470"/>
      <c r="D403" s="69"/>
      <c r="E403" s="69"/>
      <c r="F403" s="69"/>
      <c r="G403" s="69"/>
    </row>
    <row r="404" spans="2:7">
      <c r="B404" s="48"/>
      <c r="C404" s="470"/>
      <c r="D404" s="69"/>
      <c r="E404" s="69"/>
      <c r="F404" s="69"/>
      <c r="G404" s="69"/>
    </row>
    <row r="405" spans="2:7">
      <c r="B405" s="48"/>
      <c r="C405" s="470"/>
      <c r="D405" s="69"/>
      <c r="E405" s="69"/>
      <c r="F405" s="69"/>
      <c r="G405" s="69"/>
    </row>
    <row r="406" spans="2:7">
      <c r="B406" s="48"/>
      <c r="C406" s="470"/>
      <c r="D406" s="69"/>
      <c r="E406" s="69"/>
      <c r="F406" s="69"/>
      <c r="G406" s="69"/>
    </row>
    <row r="407" spans="2:7">
      <c r="B407" s="48"/>
      <c r="C407" s="470"/>
      <c r="D407" s="69"/>
      <c r="E407" s="69"/>
      <c r="F407" s="69"/>
      <c r="G407" s="69"/>
    </row>
    <row r="408" spans="2:7">
      <c r="B408" s="48"/>
      <c r="C408" s="470"/>
      <c r="D408" s="69"/>
      <c r="E408" s="69"/>
      <c r="F408" s="69"/>
      <c r="G408" s="69"/>
    </row>
    <row r="409" spans="2:7">
      <c r="B409" s="48"/>
      <c r="C409" s="470"/>
      <c r="D409" s="69"/>
      <c r="E409" s="69"/>
      <c r="F409" s="69"/>
      <c r="G409" s="69"/>
    </row>
    <row r="410" spans="2:7">
      <c r="B410" s="48"/>
      <c r="C410" s="470"/>
      <c r="D410" s="69"/>
      <c r="E410" s="69"/>
      <c r="F410" s="69"/>
      <c r="G410" s="69"/>
    </row>
    <row r="411" spans="2:7">
      <c r="B411" s="48"/>
      <c r="C411" s="470"/>
      <c r="D411" s="69"/>
      <c r="E411" s="69"/>
      <c r="F411" s="69"/>
      <c r="G411" s="69"/>
    </row>
    <row r="412" spans="2:7">
      <c r="B412" s="48"/>
      <c r="C412" s="470"/>
      <c r="D412" s="69"/>
      <c r="E412" s="69"/>
      <c r="F412" s="69"/>
      <c r="G412" s="69"/>
    </row>
    <row r="413" spans="2:7">
      <c r="B413" s="48"/>
      <c r="C413" s="470"/>
      <c r="D413" s="69"/>
      <c r="E413" s="69"/>
      <c r="F413" s="69"/>
      <c r="G413" s="69"/>
    </row>
    <row r="414" spans="2:7">
      <c r="B414" s="48"/>
      <c r="C414" s="470"/>
      <c r="D414" s="69"/>
      <c r="E414" s="69"/>
      <c r="F414" s="69"/>
      <c r="G414" s="69"/>
    </row>
    <row r="415" spans="2:7">
      <c r="B415" s="48"/>
      <c r="C415" s="470"/>
      <c r="D415" s="69"/>
      <c r="E415" s="69"/>
      <c r="F415" s="69"/>
      <c r="G415" s="69"/>
    </row>
    <row r="416" spans="2:7">
      <c r="B416" s="48"/>
      <c r="C416" s="470"/>
      <c r="D416" s="69"/>
      <c r="E416" s="69"/>
      <c r="F416" s="69"/>
      <c r="G416" s="69"/>
    </row>
    <row r="417" spans="2:7">
      <c r="B417" s="48"/>
      <c r="C417" s="470"/>
      <c r="D417" s="69"/>
      <c r="E417" s="69"/>
      <c r="F417" s="69"/>
      <c r="G417" s="69"/>
    </row>
    <row r="418" spans="2:7">
      <c r="B418" s="48"/>
      <c r="C418" s="470"/>
      <c r="D418" s="69"/>
      <c r="E418" s="69"/>
      <c r="F418" s="69"/>
      <c r="G418" s="69"/>
    </row>
    <row r="419" spans="2:7">
      <c r="B419" s="48"/>
      <c r="C419" s="470"/>
      <c r="D419" s="69"/>
      <c r="E419" s="69"/>
      <c r="F419" s="69"/>
      <c r="G419" s="69"/>
    </row>
    <row r="420" spans="2:7">
      <c r="B420" s="48"/>
      <c r="C420" s="470"/>
      <c r="D420" s="69"/>
      <c r="E420" s="69"/>
      <c r="F420" s="69"/>
      <c r="G420" s="69"/>
    </row>
    <row r="421" spans="2:7">
      <c r="B421" s="48"/>
      <c r="C421" s="470"/>
      <c r="D421" s="69"/>
      <c r="E421" s="69"/>
      <c r="F421" s="69"/>
      <c r="G421" s="69"/>
    </row>
    <row r="422" spans="2:7">
      <c r="B422" s="48"/>
      <c r="C422" s="470"/>
      <c r="D422" s="69"/>
      <c r="E422" s="69"/>
      <c r="F422" s="69"/>
      <c r="G422" s="69"/>
    </row>
    <row r="423" spans="2:7">
      <c r="B423" s="48"/>
      <c r="C423" s="470"/>
      <c r="D423" s="69"/>
      <c r="E423" s="69"/>
      <c r="F423" s="69"/>
      <c r="G423" s="69"/>
    </row>
    <row r="424" spans="2:7">
      <c r="B424" s="48"/>
      <c r="C424" s="470"/>
      <c r="D424" s="69"/>
      <c r="E424" s="69"/>
      <c r="F424" s="69"/>
      <c r="G424" s="69"/>
    </row>
    <row r="425" spans="2:7">
      <c r="B425" s="48"/>
      <c r="C425" s="470"/>
      <c r="D425" s="69"/>
      <c r="E425" s="69"/>
      <c r="F425" s="69"/>
      <c r="G425" s="69"/>
    </row>
    <row r="426" spans="2:7">
      <c r="B426" s="48"/>
      <c r="C426" s="470"/>
      <c r="D426" s="69"/>
      <c r="E426" s="69"/>
      <c r="F426" s="69"/>
      <c r="G426" s="69"/>
    </row>
    <row r="427" spans="2:7">
      <c r="B427" s="48"/>
      <c r="C427" s="470"/>
      <c r="D427" s="69"/>
      <c r="E427" s="69"/>
      <c r="F427" s="69"/>
      <c r="G427" s="69"/>
    </row>
    <row r="428" spans="2:7">
      <c r="B428" s="48"/>
      <c r="C428" s="470"/>
      <c r="D428" s="69"/>
      <c r="E428" s="69"/>
      <c r="F428" s="69"/>
      <c r="G428" s="69"/>
    </row>
    <row r="429" spans="2:7">
      <c r="B429" s="48"/>
      <c r="C429" s="470"/>
      <c r="D429" s="69"/>
      <c r="E429" s="69"/>
      <c r="F429" s="69"/>
      <c r="G429" s="69"/>
    </row>
    <row r="430" spans="2:7">
      <c r="B430" s="48"/>
      <c r="C430" s="470"/>
      <c r="D430" s="69"/>
      <c r="E430" s="69"/>
      <c r="F430" s="69"/>
      <c r="G430" s="69"/>
    </row>
    <row r="431" spans="2:7">
      <c r="B431" s="48"/>
      <c r="C431" s="470"/>
      <c r="D431" s="69"/>
      <c r="E431" s="69"/>
      <c r="F431" s="69"/>
      <c r="G431" s="69"/>
    </row>
    <row r="432" spans="2:7">
      <c r="B432" s="48"/>
      <c r="C432" s="470"/>
      <c r="D432" s="69"/>
      <c r="E432" s="69"/>
      <c r="F432" s="69"/>
      <c r="G432" s="69"/>
    </row>
    <row r="433" spans="2:7">
      <c r="B433" s="48"/>
      <c r="C433" s="470"/>
      <c r="D433" s="69"/>
      <c r="E433" s="69"/>
      <c r="F433" s="69"/>
      <c r="G433" s="69"/>
    </row>
    <row r="434" spans="2:7">
      <c r="B434" s="48"/>
      <c r="C434" s="470"/>
      <c r="D434" s="69"/>
      <c r="E434" s="69"/>
      <c r="F434" s="69"/>
      <c r="G434" s="69"/>
    </row>
    <row r="435" spans="2:7">
      <c r="B435" s="48"/>
      <c r="C435" s="470"/>
      <c r="D435" s="69"/>
      <c r="E435" s="69"/>
      <c r="F435" s="69"/>
      <c r="G435" s="69"/>
    </row>
    <row r="436" spans="2:7">
      <c r="B436" s="48"/>
      <c r="C436" s="470"/>
      <c r="D436" s="69"/>
      <c r="E436" s="69"/>
      <c r="F436" s="69"/>
      <c r="G436" s="69"/>
    </row>
    <row r="437" spans="2:7">
      <c r="B437" s="48"/>
      <c r="C437" s="470"/>
      <c r="D437" s="69"/>
      <c r="E437" s="69"/>
      <c r="F437" s="69"/>
      <c r="G437" s="69"/>
    </row>
    <row r="438" spans="2:7">
      <c r="B438" s="48"/>
      <c r="C438" s="470"/>
      <c r="D438" s="69"/>
      <c r="E438" s="69"/>
      <c r="F438" s="69"/>
      <c r="G438" s="69"/>
    </row>
    <row r="439" spans="2:7">
      <c r="B439" s="48"/>
      <c r="C439" s="470"/>
      <c r="D439" s="69"/>
      <c r="E439" s="69"/>
      <c r="F439" s="69"/>
      <c r="G439" s="69"/>
    </row>
    <row r="440" spans="2:7">
      <c r="B440" s="48"/>
      <c r="C440" s="470"/>
      <c r="D440" s="69"/>
      <c r="E440" s="69"/>
      <c r="F440" s="69"/>
      <c r="G440" s="69"/>
    </row>
    <row r="441" spans="2:7">
      <c r="B441" s="48"/>
      <c r="C441" s="470"/>
      <c r="D441" s="69"/>
      <c r="E441" s="69"/>
      <c r="F441" s="69"/>
      <c r="G441" s="69"/>
    </row>
    <row r="442" spans="2:7">
      <c r="B442" s="48"/>
      <c r="C442" s="470"/>
      <c r="D442" s="69"/>
      <c r="E442" s="69"/>
      <c r="F442" s="69"/>
      <c r="G442" s="69"/>
    </row>
    <row r="443" spans="2:7">
      <c r="B443" s="48"/>
      <c r="C443" s="470"/>
      <c r="D443" s="69"/>
      <c r="E443" s="69"/>
      <c r="F443" s="69"/>
      <c r="G443" s="69"/>
    </row>
    <row r="444" spans="2:7">
      <c r="B444" s="48"/>
      <c r="C444" s="470"/>
      <c r="D444" s="69"/>
      <c r="E444" s="69"/>
      <c r="F444" s="69"/>
      <c r="G444" s="69"/>
    </row>
    <row r="445" spans="2:7">
      <c r="B445" s="48"/>
      <c r="C445" s="470"/>
      <c r="D445" s="69"/>
      <c r="E445" s="69"/>
      <c r="F445" s="69"/>
      <c r="G445" s="69"/>
    </row>
    <row r="446" spans="2:7">
      <c r="B446" s="48"/>
      <c r="C446" s="470"/>
      <c r="D446" s="69"/>
      <c r="E446" s="69"/>
      <c r="F446" s="69"/>
      <c r="G446" s="69"/>
    </row>
    <row r="447" spans="2:7">
      <c r="B447" s="48"/>
      <c r="C447" s="470"/>
      <c r="D447" s="69"/>
      <c r="E447" s="69"/>
      <c r="F447" s="69"/>
      <c r="G447" s="69"/>
    </row>
    <row r="448" spans="2:7">
      <c r="B448" s="48"/>
      <c r="C448" s="470"/>
      <c r="D448" s="69"/>
      <c r="E448" s="69"/>
      <c r="F448" s="69"/>
      <c r="G448" s="69"/>
    </row>
    <row r="449" spans="2:7">
      <c r="B449" s="48"/>
      <c r="C449" s="470"/>
      <c r="D449" s="69"/>
      <c r="E449" s="69"/>
      <c r="F449" s="69"/>
      <c r="G449" s="69"/>
    </row>
    <row r="450" spans="2:7">
      <c r="B450" s="48"/>
      <c r="C450" s="470"/>
      <c r="D450" s="69"/>
      <c r="E450" s="69"/>
      <c r="F450" s="69"/>
      <c r="G450" s="69"/>
    </row>
    <row r="451" spans="2:7">
      <c r="B451" s="48"/>
      <c r="C451" s="470"/>
      <c r="D451" s="69"/>
      <c r="E451" s="69"/>
      <c r="F451" s="69"/>
      <c r="G451" s="69"/>
    </row>
    <row r="452" spans="2:7">
      <c r="B452" s="48"/>
      <c r="C452" s="470"/>
      <c r="D452" s="69"/>
      <c r="E452" s="69"/>
      <c r="F452" s="69"/>
      <c r="G452" s="69"/>
    </row>
    <row r="453" spans="2:7">
      <c r="B453" s="48"/>
      <c r="C453" s="470"/>
      <c r="D453" s="69"/>
      <c r="E453" s="69"/>
      <c r="F453" s="69"/>
      <c r="G453" s="69"/>
    </row>
    <row r="454" spans="2:7">
      <c r="B454" s="48"/>
      <c r="C454" s="470"/>
      <c r="D454" s="69"/>
      <c r="E454" s="69"/>
      <c r="F454" s="69"/>
      <c r="G454" s="69"/>
    </row>
    <row r="455" spans="2:7">
      <c r="B455" s="48"/>
      <c r="C455" s="470"/>
      <c r="D455" s="69"/>
      <c r="E455" s="69"/>
      <c r="F455" s="69"/>
      <c r="G455" s="69"/>
    </row>
    <row r="456" spans="2:7">
      <c r="B456" s="48"/>
      <c r="C456" s="470"/>
      <c r="D456" s="69"/>
      <c r="E456" s="69"/>
      <c r="F456" s="69"/>
      <c r="G456" s="69"/>
    </row>
    <row r="457" spans="2:7">
      <c r="B457" s="48"/>
      <c r="C457" s="470"/>
      <c r="D457" s="69"/>
      <c r="E457" s="69"/>
      <c r="F457" s="69"/>
      <c r="G457" s="69"/>
    </row>
    <row r="458" spans="2:7">
      <c r="B458" s="48"/>
      <c r="C458" s="470"/>
      <c r="D458" s="69"/>
      <c r="E458" s="69"/>
      <c r="F458" s="69"/>
      <c r="G458" s="69"/>
    </row>
    <row r="459" spans="2:7">
      <c r="B459" s="48"/>
      <c r="C459" s="470"/>
      <c r="D459" s="69"/>
      <c r="E459" s="69"/>
      <c r="F459" s="69"/>
      <c r="G459" s="69"/>
    </row>
    <row r="460" spans="2:7">
      <c r="B460" s="48"/>
      <c r="C460" s="470"/>
      <c r="D460" s="69"/>
      <c r="E460" s="69"/>
      <c r="F460" s="69"/>
      <c r="G460" s="69"/>
    </row>
    <row r="461" spans="2:7">
      <c r="B461" s="48"/>
      <c r="C461" s="470"/>
      <c r="D461" s="69"/>
      <c r="E461" s="69"/>
      <c r="F461" s="69"/>
      <c r="G461" s="69"/>
    </row>
    <row r="462" spans="2:7">
      <c r="B462" s="48"/>
      <c r="C462" s="470"/>
      <c r="D462" s="69"/>
      <c r="E462" s="69"/>
      <c r="F462" s="69"/>
      <c r="G462" s="69"/>
    </row>
    <row r="463" spans="2:7">
      <c r="B463" s="48"/>
      <c r="C463" s="470"/>
      <c r="D463" s="69"/>
      <c r="E463" s="69"/>
      <c r="F463" s="69"/>
      <c r="G463" s="69"/>
    </row>
    <row r="464" spans="2:7">
      <c r="B464" s="48"/>
      <c r="C464" s="470"/>
      <c r="D464" s="69"/>
      <c r="E464" s="69"/>
      <c r="F464" s="69"/>
      <c r="G464" s="69"/>
    </row>
    <row r="465" spans="2:7">
      <c r="B465" s="48"/>
      <c r="C465" s="470"/>
      <c r="D465" s="69"/>
      <c r="E465" s="69"/>
      <c r="F465" s="69"/>
      <c r="G465" s="69"/>
    </row>
    <row r="466" spans="2:7">
      <c r="B466" s="48"/>
      <c r="C466" s="470"/>
      <c r="D466" s="69"/>
      <c r="E466" s="69"/>
      <c r="F466" s="69"/>
      <c r="G466" s="69"/>
    </row>
    <row r="467" spans="2:7">
      <c r="B467" s="48"/>
      <c r="C467" s="470"/>
      <c r="D467" s="69"/>
      <c r="E467" s="69"/>
      <c r="F467" s="69"/>
      <c r="G467" s="69"/>
    </row>
    <row r="468" spans="2:7">
      <c r="B468" s="48"/>
      <c r="C468" s="470"/>
      <c r="D468" s="69"/>
      <c r="E468" s="69"/>
      <c r="F468" s="69"/>
      <c r="G468" s="69"/>
    </row>
    <row r="469" spans="2:7">
      <c r="B469" s="48"/>
      <c r="C469" s="470"/>
      <c r="D469" s="69"/>
      <c r="E469" s="69"/>
      <c r="F469" s="69"/>
      <c r="G469" s="69"/>
    </row>
    <row r="470" spans="2:7">
      <c r="B470" s="48"/>
      <c r="C470" s="470"/>
      <c r="D470" s="69"/>
      <c r="E470" s="69"/>
      <c r="F470" s="69"/>
      <c r="G470" s="69"/>
    </row>
    <row r="471" spans="2:7">
      <c r="B471" s="48"/>
      <c r="C471" s="470"/>
      <c r="D471" s="69"/>
      <c r="E471" s="69"/>
      <c r="F471" s="69"/>
      <c r="G471" s="69"/>
    </row>
    <row r="472" spans="2:7">
      <c r="B472" s="48"/>
      <c r="C472" s="470"/>
      <c r="D472" s="69"/>
      <c r="E472" s="69"/>
      <c r="F472" s="69"/>
      <c r="G472" s="69"/>
    </row>
    <row r="473" spans="2:7">
      <c r="B473" s="48"/>
      <c r="C473" s="470"/>
      <c r="D473" s="69"/>
      <c r="E473" s="69"/>
      <c r="F473" s="69"/>
      <c r="G473" s="69"/>
    </row>
    <row r="474" spans="2:7">
      <c r="B474" s="48"/>
      <c r="C474" s="470"/>
      <c r="D474" s="69"/>
      <c r="E474" s="69"/>
      <c r="F474" s="69"/>
      <c r="G474" s="69"/>
    </row>
    <row r="475" spans="2:7">
      <c r="B475" s="48"/>
      <c r="C475" s="470"/>
      <c r="D475" s="69"/>
      <c r="E475" s="69"/>
      <c r="F475" s="69"/>
      <c r="G475" s="69"/>
    </row>
    <row r="476" spans="2:7">
      <c r="B476" s="48"/>
      <c r="C476" s="470"/>
      <c r="D476" s="69"/>
      <c r="E476" s="69"/>
      <c r="F476" s="69"/>
      <c r="G476" s="69"/>
    </row>
    <row r="477" spans="2:7">
      <c r="B477" s="48"/>
      <c r="C477" s="470"/>
      <c r="D477" s="69"/>
      <c r="E477" s="69"/>
      <c r="F477" s="69"/>
      <c r="G477" s="69"/>
    </row>
    <row r="478" spans="2:7">
      <c r="B478" s="48"/>
      <c r="C478" s="470"/>
      <c r="D478" s="69"/>
      <c r="E478" s="69"/>
      <c r="F478" s="69"/>
      <c r="G478" s="69"/>
    </row>
    <row r="479" spans="2:7">
      <c r="B479" s="48"/>
      <c r="C479" s="470"/>
      <c r="D479" s="69"/>
      <c r="E479" s="69"/>
      <c r="F479" s="69"/>
      <c r="G479" s="69"/>
    </row>
    <row r="480" spans="2:7">
      <c r="B480" s="48"/>
      <c r="C480" s="470"/>
      <c r="D480" s="69"/>
      <c r="E480" s="69"/>
      <c r="F480" s="69"/>
      <c r="G480" s="69"/>
    </row>
    <row r="481" spans="2:7">
      <c r="B481" s="48"/>
      <c r="C481" s="470"/>
      <c r="D481" s="69"/>
      <c r="E481" s="69"/>
      <c r="F481" s="69"/>
      <c r="G481" s="69"/>
    </row>
    <row r="482" spans="2:7">
      <c r="B482" s="48"/>
      <c r="C482" s="470"/>
      <c r="D482" s="69"/>
      <c r="E482" s="69"/>
      <c r="F482" s="69"/>
      <c r="G482" s="69"/>
    </row>
    <row r="483" spans="2:7">
      <c r="B483" s="48"/>
      <c r="C483" s="470"/>
      <c r="D483" s="69"/>
      <c r="E483" s="69"/>
      <c r="F483" s="69"/>
      <c r="G483" s="69"/>
    </row>
    <row r="484" spans="2:7">
      <c r="B484" s="48"/>
      <c r="C484" s="470"/>
      <c r="D484" s="69"/>
      <c r="E484" s="69"/>
      <c r="F484" s="69"/>
      <c r="G484" s="69"/>
    </row>
    <row r="485" spans="2:7">
      <c r="B485" s="48"/>
      <c r="C485" s="470"/>
      <c r="D485" s="69"/>
      <c r="E485" s="69"/>
      <c r="F485" s="69"/>
      <c r="G485" s="69"/>
    </row>
    <row r="486" spans="2:7">
      <c r="B486" s="48"/>
      <c r="C486" s="470"/>
      <c r="D486" s="69"/>
      <c r="E486" s="69"/>
      <c r="F486" s="69"/>
      <c r="G486" s="69"/>
    </row>
    <row r="487" spans="2:7">
      <c r="B487" s="48"/>
      <c r="C487" s="470"/>
      <c r="D487" s="69"/>
      <c r="E487" s="69"/>
      <c r="F487" s="69"/>
      <c r="G487" s="69"/>
    </row>
    <row r="488" spans="2:7">
      <c r="B488" s="48"/>
      <c r="C488" s="470"/>
      <c r="D488" s="69"/>
      <c r="E488" s="69"/>
      <c r="F488" s="69"/>
      <c r="G488" s="69"/>
    </row>
    <row r="489" spans="2:7">
      <c r="B489" s="48"/>
      <c r="C489" s="470"/>
      <c r="D489" s="69"/>
      <c r="E489" s="69"/>
      <c r="F489" s="69"/>
      <c r="G489" s="69"/>
    </row>
    <row r="490" spans="2:7">
      <c r="B490" s="48"/>
      <c r="C490" s="470"/>
      <c r="D490" s="69"/>
      <c r="E490" s="69"/>
      <c r="F490" s="69"/>
      <c r="G490" s="69"/>
    </row>
    <row r="491" spans="2:7">
      <c r="B491" s="48"/>
      <c r="C491" s="470"/>
      <c r="D491" s="69"/>
      <c r="E491" s="69"/>
      <c r="F491" s="69"/>
      <c r="G491" s="69"/>
    </row>
    <row r="492" spans="2:7">
      <c r="B492" s="48"/>
      <c r="C492" s="470"/>
      <c r="D492" s="69"/>
      <c r="E492" s="69"/>
      <c r="F492" s="69"/>
      <c r="G492" s="69"/>
    </row>
    <row r="493" spans="2:7">
      <c r="B493" s="48"/>
      <c r="C493" s="470"/>
      <c r="D493" s="69"/>
      <c r="E493" s="69"/>
      <c r="F493" s="69"/>
      <c r="G493" s="69"/>
    </row>
    <row r="494" spans="2:7">
      <c r="B494" s="48"/>
      <c r="C494" s="470"/>
      <c r="D494" s="69"/>
      <c r="E494" s="69"/>
      <c r="F494" s="69"/>
      <c r="G494" s="69"/>
    </row>
    <row r="495" spans="2:7">
      <c r="B495" s="48"/>
      <c r="C495" s="470"/>
      <c r="D495" s="69"/>
      <c r="E495" s="69"/>
      <c r="F495" s="69"/>
      <c r="G495" s="69"/>
    </row>
    <row r="496" spans="2:7">
      <c r="B496" s="48"/>
      <c r="C496" s="470"/>
      <c r="D496" s="69"/>
      <c r="E496" s="69"/>
      <c r="F496" s="69"/>
      <c r="G496" s="69"/>
    </row>
    <row r="497" spans="2:7">
      <c r="B497" s="48"/>
      <c r="C497" s="470"/>
      <c r="D497" s="69"/>
      <c r="E497" s="69"/>
      <c r="F497" s="69"/>
      <c r="G497" s="69"/>
    </row>
    <row r="498" spans="2:7">
      <c r="B498" s="48"/>
      <c r="C498" s="470"/>
      <c r="D498" s="69"/>
      <c r="E498" s="69"/>
      <c r="F498" s="69"/>
      <c r="G498" s="69"/>
    </row>
    <row r="499" spans="2:7">
      <c r="B499" s="48"/>
      <c r="C499" s="470"/>
      <c r="D499" s="69"/>
      <c r="E499" s="69"/>
      <c r="F499" s="69"/>
      <c r="G499" s="69"/>
    </row>
    <row r="500" spans="2:7">
      <c r="B500" s="48"/>
      <c r="C500" s="470"/>
      <c r="D500" s="69"/>
      <c r="E500" s="69"/>
      <c r="F500" s="69"/>
      <c r="G500" s="69"/>
    </row>
    <row r="501" spans="2:7">
      <c r="B501" s="48"/>
      <c r="C501" s="470"/>
      <c r="D501" s="69"/>
      <c r="E501" s="69"/>
      <c r="F501" s="69"/>
      <c r="G501" s="69"/>
    </row>
    <row r="502" spans="2:7">
      <c r="B502" s="48"/>
      <c r="C502" s="470"/>
      <c r="D502" s="69"/>
      <c r="E502" s="69"/>
      <c r="F502" s="69"/>
      <c r="G502" s="69"/>
    </row>
    <row r="503" spans="2:7">
      <c r="B503" s="48"/>
      <c r="C503" s="470"/>
      <c r="D503" s="69"/>
      <c r="E503" s="69"/>
      <c r="F503" s="69"/>
      <c r="G503" s="69"/>
    </row>
    <row r="504" spans="2:7">
      <c r="B504" s="48"/>
      <c r="C504" s="470"/>
      <c r="D504" s="69"/>
      <c r="E504" s="69"/>
      <c r="F504" s="69"/>
      <c r="G504" s="69"/>
    </row>
    <row r="505" spans="2:7">
      <c r="B505" s="48"/>
      <c r="C505" s="470"/>
      <c r="D505" s="69"/>
      <c r="E505" s="69"/>
      <c r="F505" s="69"/>
      <c r="G505" s="69"/>
    </row>
    <row r="506" spans="2:7">
      <c r="B506" s="48"/>
      <c r="C506" s="470"/>
      <c r="D506" s="69"/>
      <c r="E506" s="69"/>
      <c r="F506" s="69"/>
      <c r="G506" s="69"/>
    </row>
    <row r="507" spans="2:7">
      <c r="B507" s="48"/>
      <c r="C507" s="470"/>
      <c r="D507" s="69"/>
      <c r="E507" s="69"/>
      <c r="F507" s="69"/>
      <c r="G507" s="69"/>
    </row>
    <row r="508" spans="2:7">
      <c r="B508" s="48"/>
      <c r="C508" s="470"/>
      <c r="D508" s="69"/>
      <c r="E508" s="69"/>
      <c r="F508" s="69"/>
      <c r="G508" s="69"/>
    </row>
    <row r="509" spans="2:7">
      <c r="B509" s="48"/>
      <c r="C509" s="470"/>
      <c r="D509" s="69"/>
      <c r="E509" s="69"/>
      <c r="F509" s="69"/>
      <c r="G509" s="69"/>
    </row>
    <row r="510" spans="2:7">
      <c r="B510" s="48"/>
      <c r="C510" s="470"/>
      <c r="D510" s="69"/>
      <c r="E510" s="69"/>
      <c r="F510" s="69"/>
      <c r="G510" s="69"/>
    </row>
    <row r="511" spans="2:7">
      <c r="B511" s="48"/>
      <c r="C511" s="470"/>
      <c r="D511" s="69"/>
      <c r="E511" s="69"/>
      <c r="F511" s="69"/>
      <c r="G511" s="69"/>
    </row>
    <row r="512" spans="2:7">
      <c r="B512" s="48"/>
      <c r="C512" s="470"/>
      <c r="D512" s="69"/>
      <c r="E512" s="69"/>
      <c r="F512" s="69"/>
      <c r="G512" s="69"/>
    </row>
    <row r="513" spans="2:7">
      <c r="B513" s="48"/>
      <c r="C513" s="470"/>
      <c r="D513" s="69"/>
      <c r="E513" s="69"/>
      <c r="F513" s="69"/>
      <c r="G513" s="69"/>
    </row>
    <row r="514" spans="2:7">
      <c r="B514" s="48"/>
      <c r="C514" s="470"/>
      <c r="D514" s="69"/>
      <c r="E514" s="69"/>
      <c r="F514" s="69"/>
      <c r="G514" s="69"/>
    </row>
    <row r="515" spans="2:7">
      <c r="B515" s="48"/>
      <c r="C515" s="470"/>
      <c r="D515" s="69"/>
      <c r="E515" s="69"/>
      <c r="F515" s="69"/>
      <c r="G515" s="69"/>
    </row>
    <row r="516" spans="2:7">
      <c r="B516" s="48"/>
      <c r="C516" s="470"/>
      <c r="D516" s="69"/>
      <c r="E516" s="69"/>
      <c r="F516" s="69"/>
      <c r="G516" s="69"/>
    </row>
    <row r="517" spans="2:7">
      <c r="B517" s="48"/>
      <c r="C517" s="470"/>
      <c r="D517" s="69"/>
      <c r="E517" s="69"/>
      <c r="F517" s="69"/>
      <c r="G517" s="69"/>
    </row>
    <row r="518" spans="2:7">
      <c r="B518" s="48"/>
      <c r="C518" s="470"/>
      <c r="D518" s="69"/>
      <c r="E518" s="69"/>
      <c r="F518" s="69"/>
      <c r="G518" s="69"/>
    </row>
    <row r="519" spans="2:7">
      <c r="B519" s="48"/>
      <c r="C519" s="470"/>
      <c r="D519" s="69"/>
      <c r="E519" s="69"/>
      <c r="F519" s="69"/>
      <c r="G519" s="69"/>
    </row>
    <row r="520" spans="2:7">
      <c r="B520" s="48"/>
      <c r="C520" s="470"/>
      <c r="D520" s="69"/>
      <c r="E520" s="69"/>
      <c r="F520" s="69"/>
      <c r="G520" s="69"/>
    </row>
    <row r="521" spans="2:7">
      <c r="B521" s="48"/>
      <c r="C521" s="470"/>
      <c r="D521" s="69"/>
      <c r="E521" s="69"/>
      <c r="F521" s="69"/>
      <c r="G521" s="69"/>
    </row>
    <row r="522" spans="2:7">
      <c r="B522" s="48"/>
      <c r="C522" s="470"/>
      <c r="D522" s="69"/>
      <c r="E522" s="69"/>
      <c r="F522" s="69"/>
      <c r="G522" s="69"/>
    </row>
    <row r="523" spans="2:7">
      <c r="B523" s="48"/>
      <c r="C523" s="470"/>
      <c r="D523" s="69"/>
      <c r="E523" s="69"/>
      <c r="F523" s="69"/>
      <c r="G523" s="69"/>
    </row>
    <row r="524" spans="2:7">
      <c r="B524" s="48"/>
      <c r="C524" s="470"/>
      <c r="D524" s="69"/>
      <c r="E524" s="69"/>
      <c r="F524" s="69"/>
      <c r="G524" s="69"/>
    </row>
    <row r="525" spans="2:7">
      <c r="B525" s="48"/>
      <c r="C525" s="470"/>
      <c r="D525" s="69"/>
      <c r="E525" s="69"/>
      <c r="F525" s="69"/>
      <c r="G525" s="69"/>
    </row>
    <row r="526" spans="2:7">
      <c r="B526" s="48"/>
      <c r="C526" s="470"/>
      <c r="D526" s="69"/>
      <c r="E526" s="69"/>
      <c r="F526" s="69"/>
      <c r="G526" s="69"/>
    </row>
    <row r="527" spans="2:7">
      <c r="B527" s="48"/>
      <c r="C527" s="470"/>
      <c r="D527" s="69"/>
      <c r="E527" s="69"/>
      <c r="F527" s="69"/>
      <c r="G527" s="69"/>
    </row>
    <row r="528" spans="2:7">
      <c r="B528" s="48"/>
      <c r="C528" s="470"/>
      <c r="D528" s="69"/>
      <c r="E528" s="69"/>
      <c r="F528" s="69"/>
      <c r="G528" s="69"/>
    </row>
    <row r="529" spans="2:7">
      <c r="B529" s="48"/>
      <c r="C529" s="470"/>
      <c r="D529" s="69"/>
      <c r="E529" s="69"/>
      <c r="F529" s="69"/>
      <c r="G529" s="69"/>
    </row>
    <row r="530" spans="2:7">
      <c r="B530" s="48"/>
      <c r="C530" s="470"/>
      <c r="D530" s="69"/>
      <c r="E530" s="69"/>
      <c r="F530" s="69"/>
      <c r="G530" s="69"/>
    </row>
    <row r="531" spans="2:7">
      <c r="B531" s="48"/>
      <c r="C531" s="470"/>
      <c r="D531" s="69"/>
      <c r="E531" s="69"/>
      <c r="F531" s="69"/>
      <c r="G531" s="69"/>
    </row>
    <row r="532" spans="2:7">
      <c r="B532" s="48"/>
      <c r="C532" s="470"/>
      <c r="D532" s="69"/>
      <c r="E532" s="69"/>
      <c r="F532" s="69"/>
      <c r="G532" s="69"/>
    </row>
    <row r="533" spans="2:7">
      <c r="B533" s="48"/>
      <c r="C533" s="470"/>
      <c r="D533" s="69"/>
      <c r="E533" s="69"/>
      <c r="F533" s="69"/>
      <c r="G533" s="69"/>
    </row>
    <row r="534" spans="2:7">
      <c r="B534" s="48"/>
      <c r="C534" s="470"/>
      <c r="D534" s="69"/>
      <c r="E534" s="69"/>
      <c r="F534" s="69"/>
      <c r="G534" s="69"/>
    </row>
    <row r="535" spans="2:7">
      <c r="B535" s="48"/>
      <c r="C535" s="470"/>
      <c r="D535" s="69"/>
      <c r="E535" s="69"/>
      <c r="F535" s="69"/>
      <c r="G535" s="69"/>
    </row>
    <row r="536" spans="2:7">
      <c r="B536" s="48"/>
      <c r="C536" s="470"/>
      <c r="D536" s="69"/>
      <c r="E536" s="69"/>
      <c r="F536" s="69"/>
      <c r="G536" s="69"/>
    </row>
    <row r="537" spans="2:7">
      <c r="B537" s="48"/>
      <c r="C537" s="470"/>
      <c r="D537" s="69"/>
      <c r="E537" s="69"/>
      <c r="F537" s="69"/>
      <c r="G537" s="69"/>
    </row>
    <row r="538" spans="2:7">
      <c r="B538" s="48"/>
      <c r="C538" s="470"/>
      <c r="D538" s="69"/>
      <c r="E538" s="69"/>
      <c r="F538" s="69"/>
      <c r="G538" s="69"/>
    </row>
    <row r="539" spans="2:7">
      <c r="B539" s="48"/>
      <c r="C539" s="470"/>
      <c r="D539" s="69"/>
      <c r="E539" s="69"/>
      <c r="F539" s="69"/>
      <c r="G539" s="69"/>
    </row>
    <row r="540" spans="2:7">
      <c r="B540" s="48"/>
      <c r="C540" s="470"/>
      <c r="D540" s="69"/>
      <c r="E540" s="69"/>
      <c r="F540" s="69"/>
      <c r="G540" s="69"/>
    </row>
    <row r="541" spans="2:7">
      <c r="B541" s="48"/>
      <c r="C541" s="470"/>
      <c r="D541" s="69"/>
      <c r="E541" s="69"/>
      <c r="F541" s="69"/>
      <c r="G541" s="69"/>
    </row>
    <row r="542" spans="2:7">
      <c r="B542" s="48"/>
      <c r="C542" s="470"/>
      <c r="D542" s="69"/>
      <c r="E542" s="69"/>
      <c r="F542" s="69"/>
      <c r="G542" s="69"/>
    </row>
    <row r="543" spans="2:7">
      <c r="B543" s="48"/>
      <c r="C543" s="470"/>
      <c r="D543" s="69"/>
      <c r="E543" s="69"/>
      <c r="F543" s="69"/>
      <c r="G543" s="69"/>
    </row>
    <row r="544" spans="2:7">
      <c r="B544" s="48"/>
      <c r="C544" s="470"/>
      <c r="D544" s="69"/>
      <c r="E544" s="69"/>
      <c r="F544" s="69"/>
      <c r="G544" s="69"/>
    </row>
    <row r="545" spans="2:7">
      <c r="B545" s="48"/>
      <c r="C545" s="470"/>
      <c r="D545" s="69"/>
      <c r="E545" s="69"/>
      <c r="F545" s="69"/>
      <c r="G545" s="69"/>
    </row>
    <row r="546" spans="2:7">
      <c r="B546" s="48"/>
      <c r="C546" s="470"/>
      <c r="D546" s="69"/>
      <c r="E546" s="69"/>
      <c r="F546" s="69"/>
      <c r="G546" s="69"/>
    </row>
    <row r="547" spans="2:7">
      <c r="B547" s="48"/>
      <c r="C547" s="470"/>
      <c r="D547" s="69"/>
      <c r="E547" s="69"/>
      <c r="F547" s="69"/>
      <c r="G547" s="69"/>
    </row>
    <row r="548" spans="2:7">
      <c r="B548" s="48"/>
      <c r="C548" s="470"/>
      <c r="D548" s="69"/>
      <c r="E548" s="69"/>
      <c r="F548" s="69"/>
      <c r="G548" s="69"/>
    </row>
    <row r="549" spans="2:7">
      <c r="B549" s="48"/>
      <c r="C549" s="470"/>
      <c r="D549" s="69"/>
      <c r="E549" s="69"/>
      <c r="F549" s="69"/>
      <c r="G549" s="69"/>
    </row>
    <row r="550" spans="2:7">
      <c r="B550" s="48"/>
      <c r="C550" s="470"/>
      <c r="D550" s="69"/>
      <c r="E550" s="69"/>
      <c r="F550" s="69"/>
      <c r="G550" s="69"/>
    </row>
    <row r="551" spans="2:7">
      <c r="B551" s="48"/>
      <c r="C551" s="470"/>
      <c r="D551" s="69"/>
      <c r="E551" s="69"/>
      <c r="F551" s="69"/>
      <c r="G551" s="69"/>
    </row>
    <row r="552" spans="2:7">
      <c r="B552" s="48"/>
      <c r="C552" s="470"/>
      <c r="D552" s="69"/>
      <c r="E552" s="69"/>
      <c r="F552" s="69"/>
      <c r="G552" s="69"/>
    </row>
    <row r="553" spans="2:7">
      <c r="B553" s="48"/>
      <c r="C553" s="470"/>
      <c r="D553" s="69"/>
      <c r="E553" s="69"/>
      <c r="F553" s="69"/>
      <c r="G553" s="69"/>
    </row>
    <row r="554" spans="2:7">
      <c r="B554" s="48"/>
      <c r="C554" s="470"/>
      <c r="D554" s="69"/>
      <c r="E554" s="69"/>
      <c r="F554" s="69"/>
      <c r="G554" s="69"/>
    </row>
    <row r="555" spans="2:7">
      <c r="B555" s="48"/>
      <c r="C555" s="470"/>
      <c r="D555" s="69"/>
      <c r="E555" s="69"/>
      <c r="F555" s="69"/>
      <c r="G555" s="69"/>
    </row>
    <row r="556" spans="2:7">
      <c r="B556" s="48"/>
      <c r="C556" s="470"/>
      <c r="D556" s="69"/>
      <c r="E556" s="69"/>
      <c r="F556" s="69"/>
      <c r="G556" s="69"/>
    </row>
    <row r="557" spans="2:7">
      <c r="B557" s="48"/>
      <c r="C557" s="470"/>
      <c r="D557" s="69"/>
      <c r="E557" s="69"/>
      <c r="F557" s="69"/>
      <c r="G557" s="69"/>
    </row>
    <row r="558" spans="2:7">
      <c r="B558" s="48"/>
      <c r="C558" s="470"/>
      <c r="D558" s="69"/>
      <c r="E558" s="69"/>
      <c r="F558" s="69"/>
      <c r="G558" s="69"/>
    </row>
    <row r="559" spans="2:7">
      <c r="B559" s="48"/>
      <c r="C559" s="470"/>
      <c r="D559" s="69"/>
      <c r="E559" s="69"/>
      <c r="F559" s="69"/>
      <c r="G559" s="69"/>
    </row>
    <row r="560" spans="2:7">
      <c r="B560" s="48"/>
      <c r="C560" s="470"/>
      <c r="D560" s="69"/>
      <c r="E560" s="69"/>
      <c r="F560" s="69"/>
      <c r="G560" s="69"/>
    </row>
    <row r="561" spans="2:7">
      <c r="B561" s="48"/>
      <c r="C561" s="470"/>
      <c r="D561" s="69"/>
      <c r="E561" s="69"/>
      <c r="F561" s="69"/>
      <c r="G561" s="69"/>
    </row>
    <row r="562" spans="2:7">
      <c r="B562" s="48"/>
      <c r="C562" s="470"/>
      <c r="D562" s="69"/>
      <c r="E562" s="69"/>
      <c r="F562" s="69"/>
      <c r="G562" s="69"/>
    </row>
    <row r="563" spans="2:7">
      <c r="B563" s="48"/>
      <c r="C563" s="470"/>
      <c r="D563" s="69"/>
      <c r="E563" s="69"/>
      <c r="F563" s="69"/>
      <c r="G563" s="69"/>
    </row>
    <row r="564" spans="2:7">
      <c r="B564" s="48"/>
      <c r="C564" s="470"/>
      <c r="D564" s="69"/>
      <c r="E564" s="69"/>
      <c r="F564" s="69"/>
      <c r="G564" s="69"/>
    </row>
    <row r="565" spans="2:7">
      <c r="B565" s="48"/>
      <c r="C565" s="470"/>
      <c r="D565" s="69"/>
      <c r="E565" s="69"/>
      <c r="F565" s="69"/>
      <c r="G565" s="69"/>
    </row>
    <row r="566" spans="2:7">
      <c r="B566" s="48"/>
      <c r="C566" s="470"/>
      <c r="D566" s="69"/>
      <c r="E566" s="69"/>
      <c r="F566" s="69"/>
      <c r="G566" s="69"/>
    </row>
    <row r="567" spans="2:7">
      <c r="B567" s="48"/>
      <c r="C567" s="470"/>
      <c r="D567" s="69"/>
      <c r="E567" s="69"/>
      <c r="F567" s="69"/>
      <c r="G567" s="69"/>
    </row>
    <row r="568" spans="2:7">
      <c r="B568" s="48"/>
      <c r="C568" s="470"/>
      <c r="D568" s="69"/>
      <c r="E568" s="69"/>
      <c r="F568" s="69"/>
      <c r="G568" s="69"/>
    </row>
    <row r="569" spans="2:7">
      <c r="B569" s="48"/>
      <c r="C569" s="470"/>
      <c r="D569" s="69"/>
      <c r="E569" s="69"/>
      <c r="F569" s="69"/>
      <c r="G569" s="69"/>
    </row>
    <row r="570" spans="2:7">
      <c r="B570" s="48"/>
      <c r="C570" s="470"/>
      <c r="D570" s="69"/>
      <c r="E570" s="69"/>
      <c r="F570" s="69"/>
      <c r="G570" s="69"/>
    </row>
    <row r="571" spans="2:7">
      <c r="B571" s="48"/>
      <c r="C571" s="470"/>
      <c r="D571" s="69"/>
      <c r="E571" s="69"/>
      <c r="F571" s="69"/>
      <c r="G571" s="69"/>
    </row>
    <row r="572" spans="2:7">
      <c r="B572" s="48"/>
      <c r="C572" s="470"/>
      <c r="D572" s="69"/>
      <c r="E572" s="69"/>
      <c r="F572" s="69"/>
      <c r="G572" s="69"/>
    </row>
    <row r="573" spans="2:7">
      <c r="B573" s="48"/>
      <c r="C573" s="470"/>
      <c r="D573" s="69"/>
      <c r="E573" s="69"/>
      <c r="F573" s="69"/>
      <c r="G573" s="69"/>
    </row>
    <row r="574" spans="2:7">
      <c r="B574" s="48"/>
      <c r="C574" s="470"/>
      <c r="D574" s="69"/>
      <c r="E574" s="69"/>
      <c r="F574" s="69"/>
      <c r="G574" s="69"/>
    </row>
    <row r="575" spans="2:7">
      <c r="B575" s="48"/>
      <c r="C575" s="470"/>
      <c r="D575" s="69"/>
      <c r="E575" s="69"/>
      <c r="F575" s="69"/>
      <c r="G575" s="69"/>
    </row>
    <row r="576" spans="2:7">
      <c r="B576" s="48"/>
      <c r="C576" s="470"/>
      <c r="D576" s="69"/>
      <c r="E576" s="69"/>
      <c r="F576" s="69"/>
      <c r="G576" s="69"/>
    </row>
    <row r="577" spans="2:7">
      <c r="B577" s="48"/>
      <c r="C577" s="470"/>
      <c r="D577" s="69"/>
      <c r="E577" s="69"/>
      <c r="F577" s="69"/>
      <c r="G577" s="69"/>
    </row>
    <row r="578" spans="2:7">
      <c r="B578" s="48"/>
      <c r="C578" s="470"/>
      <c r="D578" s="69"/>
      <c r="E578" s="69"/>
      <c r="F578" s="69"/>
      <c r="G578" s="69"/>
    </row>
    <row r="579" spans="2:7">
      <c r="B579" s="48"/>
      <c r="C579" s="470"/>
      <c r="D579" s="69"/>
      <c r="E579" s="69"/>
      <c r="F579" s="69"/>
      <c r="G579" s="69"/>
    </row>
    <row r="580" spans="2:7">
      <c r="B580" s="48"/>
      <c r="C580" s="470"/>
      <c r="D580" s="69"/>
      <c r="E580" s="69"/>
      <c r="F580" s="69"/>
      <c r="G580" s="69"/>
    </row>
    <row r="581" spans="2:7">
      <c r="B581" s="48"/>
      <c r="C581" s="470"/>
      <c r="D581" s="69"/>
      <c r="E581" s="69"/>
      <c r="F581" s="69"/>
      <c r="G581" s="69"/>
    </row>
    <row r="582" spans="2:7">
      <c r="B582" s="48"/>
      <c r="C582" s="470"/>
      <c r="D582" s="69"/>
      <c r="E582" s="69"/>
      <c r="F582" s="69"/>
      <c r="G582" s="69"/>
    </row>
    <row r="583" spans="2:7">
      <c r="B583" s="48"/>
      <c r="C583" s="470"/>
      <c r="D583" s="69"/>
      <c r="E583" s="69"/>
      <c r="F583" s="69"/>
      <c r="G583" s="69"/>
    </row>
    <row r="584" spans="2:7">
      <c r="B584" s="48"/>
      <c r="C584" s="470"/>
      <c r="D584" s="69"/>
      <c r="E584" s="69"/>
      <c r="F584" s="69"/>
      <c r="G584" s="69"/>
    </row>
    <row r="585" spans="2:7">
      <c r="B585" s="48"/>
      <c r="C585" s="470"/>
      <c r="D585" s="69"/>
      <c r="E585" s="69"/>
      <c r="F585" s="69"/>
      <c r="G585" s="69"/>
    </row>
    <row r="586" spans="2:7">
      <c r="B586" s="48"/>
      <c r="C586" s="470"/>
      <c r="D586" s="69"/>
      <c r="E586" s="69"/>
      <c r="F586" s="69"/>
      <c r="G586" s="69"/>
    </row>
    <row r="587" spans="2:7">
      <c r="B587" s="48"/>
      <c r="C587" s="470"/>
      <c r="D587" s="69"/>
      <c r="E587" s="69"/>
      <c r="F587" s="69"/>
      <c r="G587" s="69"/>
    </row>
    <row r="588" spans="2:7">
      <c r="B588" s="48"/>
      <c r="C588" s="470"/>
      <c r="D588" s="69"/>
      <c r="E588" s="69"/>
      <c r="F588" s="69"/>
      <c r="G588" s="69"/>
    </row>
    <row r="589" spans="2:7">
      <c r="B589" s="48"/>
      <c r="C589" s="470"/>
      <c r="D589" s="69"/>
      <c r="E589" s="69"/>
      <c r="F589" s="69"/>
      <c r="G589" s="69"/>
    </row>
    <row r="590" spans="2:7">
      <c r="B590" s="48"/>
      <c r="C590" s="470"/>
      <c r="D590" s="69"/>
      <c r="E590" s="69"/>
      <c r="F590" s="69"/>
      <c r="G590" s="69"/>
    </row>
    <row r="591" spans="2:7">
      <c r="B591" s="48"/>
      <c r="C591" s="470"/>
      <c r="D591" s="69"/>
      <c r="E591" s="69"/>
      <c r="F591" s="69"/>
      <c r="G591" s="69"/>
    </row>
    <row r="592" spans="2:7">
      <c r="B592" s="48"/>
      <c r="C592" s="470"/>
      <c r="D592" s="69"/>
      <c r="E592" s="69"/>
      <c r="F592" s="69"/>
      <c r="G592" s="69"/>
    </row>
    <row r="593" spans="2:7">
      <c r="B593" s="48"/>
      <c r="C593" s="470"/>
      <c r="D593" s="69"/>
      <c r="E593" s="69"/>
      <c r="F593" s="69"/>
      <c r="G593" s="69"/>
    </row>
    <row r="594" spans="2:7">
      <c r="B594" s="48"/>
      <c r="C594" s="470"/>
      <c r="D594" s="69"/>
      <c r="E594" s="69"/>
      <c r="F594" s="69"/>
      <c r="G594" s="69"/>
    </row>
    <row r="595" spans="2:7">
      <c r="B595" s="48"/>
      <c r="C595" s="470"/>
      <c r="D595" s="69"/>
      <c r="E595" s="69"/>
      <c r="F595" s="69"/>
      <c r="G595" s="69"/>
    </row>
    <row r="596" spans="2:7">
      <c r="B596" s="48"/>
      <c r="C596" s="470"/>
      <c r="D596" s="69"/>
      <c r="E596" s="69"/>
      <c r="F596" s="69"/>
      <c r="G596" s="69"/>
    </row>
    <row r="597" spans="2:7">
      <c r="B597" s="48"/>
      <c r="C597" s="470"/>
      <c r="D597" s="69"/>
      <c r="E597" s="69"/>
      <c r="F597" s="69"/>
      <c r="G597" s="69"/>
    </row>
    <row r="598" spans="2:7">
      <c r="B598" s="48"/>
      <c r="C598" s="470"/>
      <c r="D598" s="69"/>
      <c r="E598" s="69"/>
      <c r="F598" s="69"/>
      <c r="G598" s="69"/>
    </row>
    <row r="599" spans="2:7">
      <c r="B599" s="48"/>
      <c r="C599" s="470"/>
      <c r="D599" s="69"/>
      <c r="E599" s="69"/>
      <c r="F599" s="69"/>
      <c r="G599" s="69"/>
    </row>
    <row r="600" spans="2:7">
      <c r="B600" s="48"/>
      <c r="C600" s="470"/>
      <c r="D600" s="69"/>
      <c r="E600" s="69"/>
      <c r="F600" s="69"/>
      <c r="G600" s="69"/>
    </row>
    <row r="601" spans="2:7">
      <c r="B601" s="48"/>
      <c r="C601" s="470"/>
      <c r="D601" s="69"/>
      <c r="E601" s="69"/>
      <c r="F601" s="69"/>
      <c r="G601" s="69"/>
    </row>
    <row r="602" spans="2:7">
      <c r="B602" s="48"/>
      <c r="C602" s="470"/>
      <c r="D602" s="69"/>
      <c r="E602" s="69"/>
      <c r="F602" s="69"/>
      <c r="G602" s="69"/>
    </row>
    <row r="603" spans="2:7">
      <c r="B603" s="48"/>
      <c r="C603" s="470"/>
      <c r="D603" s="69"/>
      <c r="E603" s="69"/>
      <c r="F603" s="69"/>
      <c r="G603" s="69"/>
    </row>
    <row r="604" spans="2:7">
      <c r="B604" s="48"/>
      <c r="C604" s="470"/>
      <c r="D604" s="69"/>
      <c r="E604" s="69"/>
      <c r="F604" s="69"/>
      <c r="G604" s="69"/>
    </row>
    <row r="605" spans="2:7">
      <c r="B605" s="48"/>
      <c r="C605" s="470"/>
      <c r="D605" s="69"/>
      <c r="E605" s="69"/>
      <c r="F605" s="69"/>
      <c r="G605" s="69"/>
    </row>
    <row r="606" spans="2:7">
      <c r="B606" s="48"/>
      <c r="C606" s="470"/>
      <c r="D606" s="69"/>
      <c r="E606" s="69"/>
      <c r="F606" s="69"/>
      <c r="G606" s="69"/>
    </row>
    <row r="607" spans="2:7">
      <c r="B607" s="48"/>
      <c r="C607" s="470"/>
      <c r="D607" s="69"/>
      <c r="E607" s="69"/>
      <c r="F607" s="69"/>
      <c r="G607" s="69"/>
    </row>
    <row r="608" spans="2:7">
      <c r="B608" s="48"/>
      <c r="C608" s="470"/>
      <c r="D608" s="69"/>
      <c r="E608" s="69"/>
      <c r="F608" s="69"/>
      <c r="G608" s="69"/>
    </row>
    <row r="609" spans="2:7">
      <c r="B609" s="48"/>
      <c r="C609" s="470"/>
      <c r="D609" s="69"/>
      <c r="E609" s="69"/>
      <c r="F609" s="69"/>
      <c r="G609" s="69"/>
    </row>
    <row r="610" spans="2:7">
      <c r="B610" s="48"/>
      <c r="C610" s="470"/>
      <c r="D610" s="69"/>
      <c r="E610" s="69"/>
      <c r="F610" s="69"/>
      <c r="G610" s="69"/>
    </row>
    <row r="611" spans="2:7">
      <c r="B611" s="48"/>
      <c r="C611" s="470"/>
      <c r="D611" s="69"/>
      <c r="E611" s="69"/>
      <c r="F611" s="69"/>
      <c r="G611" s="69"/>
    </row>
    <row r="612" spans="2:7">
      <c r="B612" s="48"/>
      <c r="C612" s="470"/>
      <c r="D612" s="69"/>
      <c r="E612" s="69"/>
      <c r="F612" s="69"/>
      <c r="G612" s="69"/>
    </row>
    <row r="613" spans="2:7">
      <c r="B613" s="48"/>
      <c r="C613" s="470"/>
      <c r="D613" s="69"/>
      <c r="E613" s="69"/>
      <c r="F613" s="69"/>
      <c r="G613" s="69"/>
    </row>
    <row r="614" spans="2:7">
      <c r="B614" s="48"/>
      <c r="C614" s="470"/>
      <c r="D614" s="69"/>
      <c r="E614" s="69"/>
      <c r="F614" s="69"/>
      <c r="G614" s="69"/>
    </row>
    <row r="615" spans="2:7">
      <c r="B615" s="48"/>
      <c r="C615" s="470"/>
      <c r="D615" s="69"/>
      <c r="E615" s="69"/>
      <c r="F615" s="69"/>
      <c r="G615" s="69"/>
    </row>
    <row r="616" spans="2:7">
      <c r="B616" s="48"/>
      <c r="C616" s="470"/>
      <c r="D616" s="69"/>
      <c r="E616" s="69"/>
      <c r="F616" s="69"/>
      <c r="G616" s="69"/>
    </row>
    <row r="617" spans="2:7">
      <c r="B617" s="48"/>
      <c r="C617" s="470"/>
      <c r="D617" s="69"/>
      <c r="E617" s="69"/>
      <c r="F617" s="69"/>
      <c r="G617" s="69"/>
    </row>
    <row r="618" spans="2:7">
      <c r="B618" s="48"/>
      <c r="C618" s="470"/>
      <c r="D618" s="69"/>
      <c r="E618" s="69"/>
      <c r="F618" s="69"/>
      <c r="G618" s="69"/>
    </row>
    <row r="619" spans="2:7">
      <c r="B619" s="48"/>
      <c r="C619" s="470"/>
      <c r="D619" s="69"/>
      <c r="E619" s="69"/>
      <c r="F619" s="69"/>
      <c r="G619" s="69"/>
    </row>
    <row r="620" spans="2:7">
      <c r="B620" s="48"/>
      <c r="C620" s="470"/>
      <c r="D620" s="69"/>
      <c r="E620" s="69"/>
      <c r="F620" s="69"/>
      <c r="G620" s="69"/>
    </row>
    <row r="621" spans="2:7">
      <c r="B621" s="48"/>
      <c r="C621" s="470"/>
      <c r="D621" s="69"/>
      <c r="E621" s="69"/>
      <c r="F621" s="69"/>
      <c r="G621" s="69"/>
    </row>
    <row r="622" spans="2:7">
      <c r="B622" s="48"/>
      <c r="C622" s="470"/>
      <c r="D622" s="69"/>
      <c r="E622" s="69"/>
      <c r="F622" s="69"/>
      <c r="G622" s="69"/>
    </row>
    <row r="623" spans="2:7">
      <c r="B623" s="48"/>
      <c r="C623" s="470"/>
      <c r="D623" s="69"/>
      <c r="E623" s="69"/>
      <c r="F623" s="69"/>
      <c r="G623" s="69"/>
    </row>
    <row r="624" spans="2:7">
      <c r="B624" s="48"/>
      <c r="C624" s="470"/>
      <c r="D624" s="69"/>
      <c r="E624" s="69"/>
      <c r="F624" s="69"/>
      <c r="G624" s="69"/>
    </row>
    <row r="625" spans="2:7">
      <c r="B625" s="48"/>
      <c r="C625" s="470"/>
      <c r="D625" s="69"/>
      <c r="E625" s="69"/>
      <c r="F625" s="69"/>
      <c r="G625" s="69"/>
    </row>
    <row r="626" spans="2:7">
      <c r="B626" s="48"/>
      <c r="C626" s="470"/>
      <c r="D626" s="69"/>
      <c r="E626" s="69"/>
      <c r="F626" s="69"/>
      <c r="G626" s="69"/>
    </row>
    <row r="627" spans="2:7">
      <c r="B627" s="48"/>
      <c r="C627" s="470"/>
      <c r="D627" s="69"/>
      <c r="E627" s="69"/>
      <c r="F627" s="69"/>
      <c r="G627" s="69"/>
    </row>
    <row r="628" spans="2:7">
      <c r="B628" s="48"/>
      <c r="C628" s="470"/>
      <c r="D628" s="69"/>
      <c r="E628" s="69"/>
      <c r="F628" s="69"/>
      <c r="G628" s="69"/>
    </row>
    <row r="629" spans="2:7">
      <c r="B629" s="48"/>
      <c r="C629" s="470"/>
      <c r="D629" s="69"/>
      <c r="E629" s="69"/>
      <c r="F629" s="69"/>
      <c r="G629" s="69"/>
    </row>
    <row r="630" spans="2:7">
      <c r="B630" s="48"/>
      <c r="C630" s="470"/>
      <c r="D630" s="69"/>
      <c r="E630" s="69"/>
      <c r="F630" s="69"/>
      <c r="G630" s="69"/>
    </row>
    <row r="631" spans="2:7">
      <c r="B631" s="48"/>
      <c r="C631" s="470"/>
      <c r="D631" s="69"/>
      <c r="E631" s="69"/>
      <c r="F631" s="69"/>
      <c r="G631" s="69"/>
    </row>
    <row r="632" spans="2:7">
      <c r="B632" s="48"/>
      <c r="C632" s="470"/>
      <c r="D632" s="69"/>
      <c r="E632" s="69"/>
      <c r="F632" s="69"/>
      <c r="G632" s="69"/>
    </row>
    <row r="633" spans="2:7">
      <c r="B633" s="48"/>
      <c r="C633" s="470"/>
      <c r="D633" s="69"/>
      <c r="E633" s="69"/>
      <c r="F633" s="69"/>
      <c r="G633" s="69"/>
    </row>
    <row r="634" spans="2:7">
      <c r="B634" s="48"/>
      <c r="C634" s="470"/>
      <c r="D634" s="69"/>
      <c r="E634" s="69"/>
      <c r="F634" s="69"/>
      <c r="G634" s="69"/>
    </row>
    <row r="635" spans="2:7">
      <c r="B635" s="48"/>
      <c r="C635" s="470"/>
      <c r="D635" s="69"/>
      <c r="E635" s="69"/>
      <c r="F635" s="69"/>
      <c r="G635" s="69"/>
    </row>
    <row r="636" spans="2:7">
      <c r="B636" s="48"/>
      <c r="C636" s="470"/>
      <c r="D636" s="69"/>
      <c r="E636" s="69"/>
      <c r="F636" s="69"/>
      <c r="G636" s="69"/>
    </row>
    <row r="637" spans="2:7">
      <c r="B637" s="48"/>
      <c r="C637" s="470"/>
      <c r="D637" s="69"/>
      <c r="E637" s="69"/>
      <c r="F637" s="69"/>
      <c r="G637" s="69"/>
    </row>
    <row r="638" spans="2:7">
      <c r="B638" s="48"/>
      <c r="C638" s="470"/>
      <c r="D638" s="69"/>
      <c r="E638" s="69"/>
      <c r="F638" s="69"/>
      <c r="G638" s="69"/>
    </row>
    <row r="639" spans="2:7">
      <c r="B639" s="48"/>
      <c r="C639" s="470"/>
      <c r="D639" s="69"/>
      <c r="E639" s="69"/>
      <c r="F639" s="69"/>
      <c r="G639" s="69"/>
    </row>
    <row r="640" spans="2:7">
      <c r="B640" s="48"/>
      <c r="C640" s="470"/>
      <c r="D640" s="69"/>
      <c r="E640" s="69"/>
      <c r="F640" s="69"/>
      <c r="G640" s="69"/>
    </row>
    <row r="641" spans="2:7">
      <c r="B641" s="48"/>
      <c r="C641" s="470"/>
      <c r="D641" s="69"/>
      <c r="E641" s="69"/>
      <c r="F641" s="69"/>
      <c r="G641" s="69"/>
    </row>
    <row r="642" spans="2:7">
      <c r="B642" s="48"/>
      <c r="C642" s="470"/>
      <c r="D642" s="69"/>
      <c r="E642" s="69"/>
      <c r="F642" s="69"/>
      <c r="G642" s="69"/>
    </row>
    <row r="643" spans="2:7">
      <c r="B643" s="48"/>
      <c r="C643" s="470"/>
      <c r="D643" s="69"/>
      <c r="E643" s="69"/>
      <c r="F643" s="69"/>
      <c r="G643" s="69"/>
    </row>
    <row r="644" spans="2:7">
      <c r="B644" s="48"/>
      <c r="C644" s="470"/>
      <c r="D644" s="69"/>
      <c r="E644" s="69"/>
      <c r="F644" s="69"/>
      <c r="G644" s="69"/>
    </row>
    <row r="645" spans="2:7">
      <c r="B645" s="48"/>
      <c r="C645" s="470"/>
      <c r="D645" s="69"/>
      <c r="E645" s="69"/>
      <c r="F645" s="69"/>
      <c r="G645" s="69"/>
    </row>
    <row r="646" spans="2:7">
      <c r="B646" s="48"/>
      <c r="C646" s="470"/>
      <c r="D646" s="69"/>
      <c r="E646" s="69"/>
      <c r="F646" s="69"/>
      <c r="G646" s="69"/>
    </row>
    <row r="647" spans="2:7">
      <c r="B647" s="48"/>
      <c r="C647" s="470"/>
      <c r="D647" s="69"/>
      <c r="E647" s="69"/>
      <c r="F647" s="69"/>
      <c r="G647" s="69"/>
    </row>
    <row r="648" spans="2:7">
      <c r="B648" s="48"/>
      <c r="C648" s="470"/>
      <c r="D648" s="69"/>
      <c r="E648" s="69"/>
      <c r="F648" s="69"/>
      <c r="G648" s="69"/>
    </row>
    <row r="649" spans="2:7">
      <c r="B649" s="48"/>
      <c r="C649" s="470"/>
      <c r="D649" s="69"/>
      <c r="E649" s="69"/>
      <c r="F649" s="69"/>
      <c r="G649" s="69"/>
    </row>
    <row r="650" spans="2:7">
      <c r="B650" s="48"/>
      <c r="C650" s="470"/>
      <c r="D650" s="69"/>
      <c r="E650" s="69"/>
      <c r="F650" s="69"/>
      <c r="G650" s="69"/>
    </row>
    <row r="651" spans="2:7">
      <c r="B651" s="48"/>
      <c r="C651" s="470"/>
      <c r="D651" s="69"/>
      <c r="E651" s="69"/>
      <c r="F651" s="69"/>
      <c r="G651" s="69"/>
    </row>
    <row r="652" spans="2:7">
      <c r="B652" s="48"/>
      <c r="C652" s="470"/>
      <c r="D652" s="69"/>
      <c r="E652" s="69"/>
      <c r="F652" s="69"/>
      <c r="G652" s="69"/>
    </row>
    <row r="653" spans="2:7">
      <c r="B653" s="48"/>
      <c r="C653" s="470"/>
      <c r="D653" s="69"/>
      <c r="E653" s="69"/>
      <c r="F653" s="69"/>
      <c r="G653" s="69"/>
    </row>
    <row r="654" spans="2:7">
      <c r="B654" s="48"/>
      <c r="C654" s="470"/>
      <c r="D654" s="69"/>
      <c r="E654" s="69"/>
      <c r="F654" s="69"/>
      <c r="G654" s="69"/>
    </row>
    <row r="655" spans="2:7">
      <c r="B655" s="48"/>
      <c r="C655" s="470"/>
      <c r="D655" s="69"/>
      <c r="E655" s="69"/>
      <c r="F655" s="69"/>
      <c r="G655" s="69"/>
    </row>
    <row r="656" spans="2:7">
      <c r="B656" s="48"/>
      <c r="C656" s="470"/>
      <c r="D656" s="69"/>
      <c r="E656" s="69"/>
      <c r="F656" s="69"/>
      <c r="G656" s="69"/>
    </row>
    <row r="657" spans="2:7">
      <c r="B657" s="48"/>
      <c r="C657" s="470"/>
      <c r="D657" s="69"/>
      <c r="E657" s="69"/>
      <c r="F657" s="69"/>
      <c r="G657" s="69"/>
    </row>
    <row r="658" spans="2:7">
      <c r="B658" s="48"/>
      <c r="C658" s="470"/>
      <c r="D658" s="69"/>
      <c r="E658" s="69"/>
      <c r="F658" s="69"/>
      <c r="G658" s="69"/>
    </row>
    <row r="659" spans="2:7">
      <c r="B659" s="48"/>
      <c r="C659" s="470"/>
      <c r="D659" s="69"/>
      <c r="E659" s="69"/>
      <c r="F659" s="69"/>
      <c r="G659" s="69"/>
    </row>
    <row r="660" spans="2:7">
      <c r="B660" s="48"/>
      <c r="C660" s="470"/>
      <c r="D660" s="69"/>
      <c r="E660" s="69"/>
      <c r="F660" s="69"/>
      <c r="G660" s="69"/>
    </row>
    <row r="661" spans="2:7">
      <c r="B661" s="48"/>
      <c r="C661" s="470"/>
      <c r="D661" s="69"/>
      <c r="E661" s="69"/>
      <c r="F661" s="69"/>
      <c r="G661" s="69"/>
    </row>
    <row r="662" spans="2:7">
      <c r="B662" s="48"/>
      <c r="C662" s="470"/>
      <c r="D662" s="69"/>
      <c r="E662" s="69"/>
      <c r="F662" s="69"/>
      <c r="G662" s="69"/>
    </row>
    <row r="663" spans="2:7">
      <c r="B663" s="48"/>
      <c r="C663" s="470"/>
      <c r="D663" s="69"/>
      <c r="E663" s="69"/>
      <c r="F663" s="69"/>
      <c r="G663" s="69"/>
    </row>
    <row r="664" spans="2:7">
      <c r="B664" s="48"/>
      <c r="C664" s="470"/>
      <c r="D664" s="69"/>
      <c r="E664" s="69"/>
      <c r="F664" s="69"/>
      <c r="G664" s="69"/>
    </row>
    <row r="665" spans="2:7">
      <c r="B665" s="48"/>
      <c r="C665" s="470"/>
      <c r="D665" s="69"/>
      <c r="E665" s="69"/>
      <c r="F665" s="69"/>
      <c r="G665" s="69"/>
    </row>
    <row r="666" spans="2:7">
      <c r="B666" s="48"/>
      <c r="C666" s="470"/>
      <c r="D666" s="69"/>
      <c r="E666" s="69"/>
      <c r="F666" s="69"/>
      <c r="G666" s="69"/>
    </row>
    <row r="667" spans="2:7">
      <c r="B667" s="48"/>
      <c r="C667" s="470"/>
      <c r="D667" s="69"/>
      <c r="E667" s="69"/>
      <c r="F667" s="69"/>
      <c r="G667" s="69"/>
    </row>
    <row r="668" spans="2:7">
      <c r="B668" s="48"/>
      <c r="C668" s="470"/>
      <c r="D668" s="69"/>
      <c r="E668" s="69"/>
      <c r="F668" s="69"/>
      <c r="G668" s="69"/>
    </row>
    <row r="669" spans="2:7">
      <c r="B669" s="48"/>
      <c r="C669" s="470"/>
      <c r="D669" s="69"/>
      <c r="E669" s="69"/>
      <c r="F669" s="69"/>
      <c r="G669" s="69"/>
    </row>
    <row r="670" spans="2:7">
      <c r="B670" s="48"/>
      <c r="C670" s="470"/>
      <c r="D670" s="69"/>
      <c r="E670" s="69"/>
      <c r="F670" s="69"/>
      <c r="G670" s="69"/>
    </row>
    <row r="671" spans="2:7">
      <c r="B671" s="48"/>
      <c r="C671" s="470"/>
      <c r="D671" s="69"/>
      <c r="E671" s="69"/>
      <c r="F671" s="69"/>
      <c r="G671" s="69"/>
    </row>
    <row r="672" spans="2:7">
      <c r="B672" s="48"/>
      <c r="C672" s="470"/>
      <c r="D672" s="69"/>
      <c r="E672" s="69"/>
      <c r="F672" s="69"/>
      <c r="G672" s="69"/>
    </row>
    <row r="673" spans="2:7">
      <c r="B673" s="48"/>
      <c r="C673" s="470"/>
      <c r="D673" s="69"/>
      <c r="E673" s="69"/>
      <c r="F673" s="69"/>
      <c r="G673" s="69"/>
    </row>
    <row r="674" spans="2:7">
      <c r="B674" s="48"/>
      <c r="C674" s="470"/>
      <c r="D674" s="69"/>
      <c r="E674" s="69"/>
      <c r="F674" s="69"/>
      <c r="G674" s="69"/>
    </row>
    <row r="675" spans="2:7">
      <c r="B675" s="48"/>
      <c r="C675" s="470"/>
      <c r="D675" s="69"/>
      <c r="E675" s="69"/>
      <c r="F675" s="69"/>
      <c r="G675" s="69"/>
    </row>
    <row r="676" spans="2:7">
      <c r="B676" s="48"/>
      <c r="C676" s="470"/>
      <c r="D676" s="69"/>
      <c r="E676" s="69"/>
      <c r="F676" s="69"/>
      <c r="G676" s="69"/>
    </row>
    <row r="677" spans="2:7">
      <c r="B677" s="48"/>
      <c r="C677" s="470"/>
      <c r="D677" s="69"/>
      <c r="E677" s="69"/>
      <c r="F677" s="69"/>
      <c r="G677" s="69"/>
    </row>
    <row r="678" spans="2:7">
      <c r="B678" s="48"/>
      <c r="C678" s="470"/>
      <c r="D678" s="69"/>
      <c r="E678" s="69"/>
      <c r="F678" s="69"/>
      <c r="G678" s="69"/>
    </row>
    <row r="679" spans="2:7">
      <c r="B679" s="48"/>
      <c r="C679" s="470"/>
      <c r="D679" s="69"/>
      <c r="E679" s="69"/>
      <c r="F679" s="69"/>
      <c r="G679" s="69"/>
    </row>
    <row r="680" spans="2:7">
      <c r="B680" s="48"/>
      <c r="C680" s="470"/>
      <c r="D680" s="69"/>
      <c r="E680" s="69"/>
      <c r="F680" s="69"/>
      <c r="G680" s="69"/>
    </row>
    <row r="681" spans="2:7">
      <c r="B681" s="48"/>
      <c r="C681" s="470"/>
      <c r="D681" s="69"/>
      <c r="E681" s="69"/>
      <c r="F681" s="69"/>
      <c r="G681" s="69"/>
    </row>
    <row r="682" spans="2:7">
      <c r="B682" s="48"/>
      <c r="C682" s="470"/>
      <c r="D682" s="69"/>
      <c r="E682" s="69"/>
      <c r="F682" s="69"/>
      <c r="G682" s="69"/>
    </row>
    <row r="683" spans="2:7">
      <c r="B683" s="48"/>
      <c r="C683" s="470"/>
      <c r="D683" s="69"/>
      <c r="E683" s="69"/>
      <c r="F683" s="69"/>
      <c r="G683" s="69"/>
    </row>
    <row r="684" spans="2:7">
      <c r="B684" s="48"/>
      <c r="C684" s="470"/>
      <c r="D684" s="69"/>
      <c r="E684" s="69"/>
      <c r="F684" s="69"/>
      <c r="G684" s="69"/>
    </row>
    <row r="685" spans="2:7">
      <c r="B685" s="48"/>
      <c r="C685" s="470"/>
      <c r="D685" s="69"/>
      <c r="E685" s="69"/>
      <c r="F685" s="69"/>
      <c r="G685" s="69"/>
    </row>
    <row r="686" spans="2:7">
      <c r="B686" s="48"/>
      <c r="C686" s="470"/>
      <c r="D686" s="69"/>
      <c r="E686" s="69"/>
      <c r="F686" s="69"/>
      <c r="G686" s="69"/>
    </row>
    <row r="687" spans="2:7">
      <c r="B687" s="48"/>
      <c r="C687" s="470"/>
      <c r="D687" s="69"/>
      <c r="E687" s="69"/>
      <c r="F687" s="69"/>
      <c r="G687" s="69"/>
    </row>
    <row r="688" spans="2:7">
      <c r="B688" s="48"/>
      <c r="C688" s="470"/>
      <c r="D688" s="69"/>
      <c r="E688" s="69"/>
      <c r="F688" s="69"/>
      <c r="G688" s="69"/>
    </row>
    <row r="689" spans="2:7">
      <c r="B689" s="48"/>
      <c r="C689" s="470"/>
      <c r="D689" s="69"/>
      <c r="E689" s="69"/>
      <c r="F689" s="69"/>
      <c r="G689" s="69"/>
    </row>
    <row r="690" spans="2:7">
      <c r="B690" s="48"/>
      <c r="C690" s="470"/>
      <c r="D690" s="69"/>
      <c r="E690" s="69"/>
      <c r="F690" s="69"/>
      <c r="G690" s="69"/>
    </row>
    <row r="691" spans="2:7">
      <c r="B691" s="48"/>
      <c r="C691" s="470"/>
      <c r="D691" s="69"/>
      <c r="E691" s="69"/>
      <c r="F691" s="69"/>
      <c r="G691" s="69"/>
    </row>
    <row r="692" spans="2:7">
      <c r="B692" s="48"/>
      <c r="C692" s="470"/>
      <c r="D692" s="69"/>
      <c r="E692" s="69"/>
      <c r="F692" s="69"/>
      <c r="G692" s="69"/>
    </row>
    <row r="693" spans="2:7">
      <c r="B693" s="48"/>
      <c r="C693" s="470"/>
      <c r="D693" s="69"/>
      <c r="E693" s="69"/>
      <c r="F693" s="69"/>
      <c r="G693" s="69"/>
    </row>
    <row r="694" spans="2:7">
      <c r="B694" s="48"/>
      <c r="C694" s="470"/>
      <c r="D694" s="69"/>
      <c r="E694" s="69"/>
      <c r="F694" s="69"/>
      <c r="G694" s="69"/>
    </row>
    <row r="695" spans="2:7">
      <c r="B695" s="48"/>
      <c r="C695" s="470"/>
      <c r="D695" s="69"/>
      <c r="E695" s="69"/>
      <c r="F695" s="69"/>
      <c r="G695" s="69"/>
    </row>
    <row r="696" spans="2:7">
      <c r="B696" s="48"/>
      <c r="C696" s="470"/>
      <c r="D696" s="69"/>
      <c r="E696" s="69"/>
      <c r="F696" s="69"/>
      <c r="G696" s="69"/>
    </row>
    <row r="697" spans="2:7">
      <c r="B697" s="48"/>
      <c r="C697" s="470"/>
      <c r="D697" s="69"/>
      <c r="E697" s="69"/>
      <c r="F697" s="69"/>
      <c r="G697" s="69"/>
    </row>
    <row r="698" spans="2:7">
      <c r="B698" s="48"/>
      <c r="C698" s="470"/>
      <c r="D698" s="69"/>
      <c r="E698" s="69"/>
      <c r="F698" s="69"/>
      <c r="G698" s="69"/>
    </row>
    <row r="699" spans="2:7">
      <c r="B699" s="48"/>
      <c r="C699" s="470"/>
      <c r="D699" s="69"/>
      <c r="E699" s="69"/>
      <c r="F699" s="69"/>
      <c r="G699" s="69"/>
    </row>
    <row r="700" spans="2:7">
      <c r="B700" s="48"/>
      <c r="C700" s="470"/>
      <c r="D700" s="69"/>
      <c r="E700" s="69"/>
      <c r="F700" s="69"/>
      <c r="G700" s="69"/>
    </row>
    <row r="701" spans="2:7">
      <c r="B701" s="48"/>
      <c r="C701" s="470"/>
      <c r="D701" s="69"/>
      <c r="E701" s="69"/>
      <c r="F701" s="69"/>
      <c r="G701" s="69"/>
    </row>
    <row r="702" spans="2:7">
      <c r="B702" s="48"/>
      <c r="C702" s="470"/>
      <c r="D702" s="69"/>
      <c r="E702" s="69"/>
      <c r="F702" s="69"/>
      <c r="G702" s="69"/>
    </row>
    <row r="703" spans="2:7">
      <c r="B703" s="48"/>
      <c r="C703" s="470"/>
      <c r="D703" s="69"/>
      <c r="E703" s="69"/>
      <c r="F703" s="69"/>
      <c r="G703" s="69"/>
    </row>
    <row r="704" spans="2:7">
      <c r="B704" s="48"/>
      <c r="C704" s="470"/>
      <c r="D704" s="69"/>
      <c r="E704" s="69"/>
      <c r="F704" s="69"/>
      <c r="G704" s="69"/>
    </row>
    <row r="705" spans="2:7">
      <c r="B705" s="48"/>
      <c r="C705" s="470"/>
      <c r="D705" s="69"/>
      <c r="E705" s="69"/>
      <c r="F705" s="69"/>
      <c r="G705" s="69"/>
    </row>
    <row r="706" spans="2:7">
      <c r="B706" s="48"/>
      <c r="C706" s="470"/>
      <c r="D706" s="69"/>
      <c r="E706" s="69"/>
      <c r="F706" s="69"/>
      <c r="G706" s="69"/>
    </row>
    <row r="707" spans="2:7">
      <c r="B707" s="48"/>
      <c r="C707" s="470"/>
      <c r="D707" s="69"/>
      <c r="E707" s="69"/>
      <c r="F707" s="69"/>
      <c r="G707" s="69"/>
    </row>
    <row r="708" spans="2:7">
      <c r="B708" s="48"/>
      <c r="C708" s="470"/>
      <c r="D708" s="69"/>
      <c r="E708" s="69"/>
      <c r="F708" s="69"/>
      <c r="G708" s="69"/>
    </row>
    <row r="709" spans="2:7">
      <c r="B709" s="48"/>
      <c r="C709" s="470"/>
      <c r="D709" s="69"/>
      <c r="E709" s="69"/>
      <c r="F709" s="69"/>
      <c r="G709" s="69"/>
    </row>
    <row r="710" spans="2:7">
      <c r="B710" s="48"/>
      <c r="C710" s="470"/>
      <c r="D710" s="69"/>
      <c r="E710" s="69"/>
      <c r="F710" s="69"/>
      <c r="G710" s="69"/>
    </row>
    <row r="711" spans="2:7">
      <c r="B711" s="48"/>
      <c r="C711" s="470"/>
      <c r="D711" s="69"/>
      <c r="E711" s="69"/>
      <c r="F711" s="69"/>
      <c r="G711" s="69"/>
    </row>
    <row r="712" spans="2:7">
      <c r="B712" s="48"/>
      <c r="C712" s="470"/>
      <c r="D712" s="69"/>
      <c r="E712" s="69"/>
      <c r="F712" s="69"/>
      <c r="G712" s="69"/>
    </row>
    <row r="713" spans="2:7">
      <c r="B713" s="48"/>
      <c r="C713" s="470"/>
      <c r="D713" s="69"/>
      <c r="E713" s="69"/>
      <c r="F713" s="69"/>
      <c r="G713" s="69"/>
    </row>
    <row r="714" spans="2:7">
      <c r="B714" s="48"/>
      <c r="C714" s="470"/>
      <c r="D714" s="69"/>
      <c r="E714" s="69"/>
      <c r="F714" s="69"/>
      <c r="G714" s="69"/>
    </row>
    <row r="715" spans="2:7">
      <c r="B715" s="48"/>
      <c r="C715" s="470"/>
      <c r="D715" s="69"/>
      <c r="E715" s="69"/>
      <c r="F715" s="69"/>
      <c r="G715" s="69"/>
    </row>
    <row r="716" spans="2:7">
      <c r="B716" s="48"/>
      <c r="C716" s="470"/>
      <c r="D716" s="69"/>
      <c r="E716" s="69"/>
      <c r="F716" s="69"/>
      <c r="G716" s="69"/>
    </row>
    <row r="717" spans="2:7">
      <c r="B717" s="48"/>
      <c r="C717" s="470"/>
      <c r="D717" s="69"/>
      <c r="E717" s="69"/>
      <c r="F717" s="69"/>
      <c r="G717" s="69"/>
    </row>
    <row r="718" spans="2:7">
      <c r="B718" s="48"/>
      <c r="C718" s="470"/>
      <c r="D718" s="69"/>
      <c r="E718" s="69"/>
      <c r="F718" s="69"/>
      <c r="G718" s="69"/>
    </row>
    <row r="719" spans="2:7">
      <c r="B719" s="48"/>
      <c r="C719" s="470"/>
      <c r="D719" s="69"/>
      <c r="E719" s="69"/>
      <c r="F719" s="69"/>
      <c r="G719" s="69"/>
    </row>
    <row r="720" spans="2:7">
      <c r="B720" s="48"/>
      <c r="C720" s="470"/>
      <c r="D720" s="69"/>
      <c r="E720" s="69"/>
      <c r="F720" s="69"/>
      <c r="G720" s="69"/>
    </row>
    <row r="721" spans="2:7">
      <c r="B721" s="48"/>
      <c r="C721" s="470"/>
      <c r="D721" s="69"/>
      <c r="E721" s="69"/>
      <c r="F721" s="69"/>
      <c r="G721" s="69"/>
    </row>
    <row r="722" spans="2:7">
      <c r="B722" s="48"/>
      <c r="C722" s="470"/>
      <c r="D722" s="69"/>
      <c r="E722" s="69"/>
      <c r="F722" s="69"/>
      <c r="G722" s="69"/>
    </row>
    <row r="723" spans="2:7">
      <c r="B723" s="48"/>
      <c r="C723" s="470"/>
      <c r="D723" s="69"/>
      <c r="E723" s="69"/>
      <c r="F723" s="69"/>
      <c r="G723" s="69"/>
    </row>
    <row r="724" spans="2:7">
      <c r="B724" s="48"/>
      <c r="C724" s="470"/>
      <c r="D724" s="69"/>
      <c r="E724" s="69"/>
      <c r="F724" s="69"/>
      <c r="G724" s="69"/>
    </row>
    <row r="725" spans="2:7">
      <c r="B725" s="48"/>
      <c r="C725" s="470"/>
      <c r="D725" s="69"/>
      <c r="E725" s="69"/>
      <c r="F725" s="69"/>
      <c r="G725" s="69"/>
    </row>
    <row r="726" spans="2:7">
      <c r="B726" s="48"/>
      <c r="C726" s="470"/>
      <c r="D726" s="69"/>
      <c r="E726" s="69"/>
      <c r="F726" s="69"/>
      <c r="G726" s="69"/>
    </row>
    <row r="727" spans="2:7">
      <c r="B727" s="48"/>
      <c r="C727" s="470"/>
      <c r="D727" s="69"/>
      <c r="E727" s="69"/>
      <c r="F727" s="69"/>
      <c r="G727" s="69"/>
    </row>
    <row r="728" spans="2:7">
      <c r="B728" s="48"/>
      <c r="C728" s="470"/>
      <c r="D728" s="69"/>
      <c r="E728" s="69"/>
      <c r="F728" s="69"/>
      <c r="G728" s="69"/>
    </row>
    <row r="729" spans="2:7">
      <c r="B729" s="48"/>
      <c r="C729" s="470"/>
      <c r="D729" s="69"/>
      <c r="E729" s="69"/>
      <c r="F729" s="69"/>
      <c r="G729" s="69"/>
    </row>
    <row r="730" spans="2:7">
      <c r="B730" s="48"/>
      <c r="C730" s="470"/>
      <c r="D730" s="69"/>
      <c r="E730" s="69"/>
      <c r="F730" s="69"/>
      <c r="G730" s="69"/>
    </row>
    <row r="731" spans="2:7">
      <c r="B731" s="48"/>
      <c r="C731" s="470"/>
      <c r="D731" s="69"/>
      <c r="E731" s="69"/>
      <c r="F731" s="69"/>
      <c r="G731" s="69"/>
    </row>
    <row r="732" spans="2:7">
      <c r="B732" s="48"/>
      <c r="C732" s="470"/>
      <c r="D732" s="69"/>
      <c r="E732" s="69"/>
      <c r="F732" s="69"/>
      <c r="G732" s="69"/>
    </row>
    <row r="733" spans="2:7">
      <c r="B733" s="48"/>
      <c r="C733" s="470"/>
      <c r="D733" s="69"/>
      <c r="E733" s="69"/>
      <c r="F733" s="69"/>
      <c r="G733" s="69"/>
    </row>
    <row r="734" spans="2:7">
      <c r="B734" s="48"/>
      <c r="C734" s="470"/>
      <c r="D734" s="69"/>
      <c r="E734" s="69"/>
      <c r="F734" s="69"/>
      <c r="G734" s="69"/>
    </row>
    <row r="735" spans="2:7">
      <c r="B735" s="48"/>
      <c r="C735" s="470"/>
      <c r="D735" s="69"/>
      <c r="E735" s="69"/>
      <c r="F735" s="69"/>
      <c r="G735" s="69"/>
    </row>
    <row r="736" spans="2:7">
      <c r="B736" s="48"/>
      <c r="C736" s="470"/>
      <c r="D736" s="69"/>
      <c r="E736" s="69"/>
      <c r="F736" s="69"/>
      <c r="G736" s="69"/>
    </row>
    <row r="737" spans="2:7">
      <c r="B737" s="48"/>
      <c r="C737" s="470"/>
      <c r="D737" s="69"/>
      <c r="E737" s="69"/>
      <c r="F737" s="69"/>
      <c r="G737" s="69"/>
    </row>
    <row r="738" spans="2:7">
      <c r="B738" s="48"/>
      <c r="C738" s="470"/>
      <c r="D738" s="69"/>
      <c r="E738" s="69"/>
      <c r="F738" s="69"/>
      <c r="G738" s="69"/>
    </row>
    <row r="739" spans="2:7">
      <c r="B739" s="48"/>
      <c r="C739" s="470"/>
      <c r="D739" s="69"/>
      <c r="E739" s="69"/>
      <c r="F739" s="69"/>
      <c r="G739" s="69"/>
    </row>
    <row r="740" spans="2:7">
      <c r="B740" s="48"/>
      <c r="C740" s="470"/>
      <c r="D740" s="69"/>
      <c r="E740" s="69"/>
      <c r="F740" s="69"/>
      <c r="G740" s="69"/>
    </row>
    <row r="741" spans="2:7">
      <c r="B741" s="48"/>
      <c r="C741" s="470"/>
      <c r="D741" s="69"/>
      <c r="E741" s="69"/>
      <c r="F741" s="69"/>
      <c r="G741" s="69"/>
    </row>
    <row r="742" spans="2:7">
      <c r="B742" s="48"/>
      <c r="C742" s="470"/>
      <c r="D742" s="69"/>
      <c r="E742" s="69"/>
      <c r="F742" s="69"/>
      <c r="G742" s="69"/>
    </row>
    <row r="743" spans="2:7">
      <c r="B743" s="48"/>
      <c r="C743" s="470"/>
      <c r="D743" s="69"/>
      <c r="E743" s="69"/>
      <c r="F743" s="69"/>
      <c r="G743" s="69"/>
    </row>
    <row r="744" spans="2:7">
      <c r="B744" s="48"/>
      <c r="C744" s="470"/>
      <c r="D744" s="69"/>
      <c r="E744" s="69"/>
      <c r="F744" s="69"/>
      <c r="G744" s="69"/>
    </row>
    <row r="745" spans="2:7">
      <c r="B745" s="48"/>
      <c r="C745" s="470"/>
      <c r="D745" s="69"/>
      <c r="E745" s="69"/>
      <c r="F745" s="69"/>
      <c r="G745" s="69"/>
    </row>
    <row r="746" spans="2:7">
      <c r="B746" s="48"/>
      <c r="C746" s="470"/>
      <c r="D746" s="69"/>
      <c r="E746" s="69"/>
      <c r="F746" s="69"/>
      <c r="G746" s="69"/>
    </row>
    <row r="747" spans="2:7">
      <c r="B747" s="48"/>
      <c r="C747" s="470"/>
      <c r="D747" s="69"/>
      <c r="E747" s="69"/>
      <c r="F747" s="69"/>
      <c r="G747" s="69"/>
    </row>
    <row r="748" spans="2:7">
      <c r="B748" s="48"/>
      <c r="C748" s="470"/>
      <c r="D748" s="69"/>
      <c r="E748" s="69"/>
      <c r="F748" s="69"/>
      <c r="G748" s="69"/>
    </row>
    <row r="749" spans="2:7">
      <c r="B749" s="48"/>
      <c r="C749" s="470"/>
      <c r="D749" s="69"/>
      <c r="E749" s="69"/>
      <c r="F749" s="69"/>
      <c r="G749" s="69"/>
    </row>
    <row r="750" spans="2:7">
      <c r="B750" s="48"/>
      <c r="C750" s="470"/>
      <c r="D750" s="69"/>
      <c r="E750" s="69"/>
      <c r="F750" s="69"/>
      <c r="G750" s="69"/>
    </row>
    <row r="751" spans="2:7">
      <c r="B751" s="48"/>
      <c r="C751" s="470"/>
      <c r="D751" s="69"/>
      <c r="E751" s="69"/>
      <c r="F751" s="69"/>
      <c r="G751" s="69"/>
    </row>
    <row r="752" spans="2:7">
      <c r="B752" s="48"/>
      <c r="C752" s="470"/>
      <c r="D752" s="69"/>
      <c r="E752" s="69"/>
      <c r="F752" s="69"/>
      <c r="G752" s="69"/>
    </row>
    <row r="753" spans="2:7">
      <c r="B753" s="48"/>
      <c r="C753" s="470"/>
      <c r="D753" s="69"/>
      <c r="E753" s="69"/>
      <c r="F753" s="69"/>
      <c r="G753" s="69"/>
    </row>
    <row r="754" spans="2:7">
      <c r="B754" s="48"/>
      <c r="C754" s="470"/>
      <c r="D754" s="69"/>
      <c r="E754" s="69"/>
      <c r="F754" s="69"/>
      <c r="G754" s="69"/>
    </row>
    <row r="755" spans="2:7">
      <c r="B755" s="48"/>
      <c r="C755" s="470"/>
      <c r="D755" s="69"/>
      <c r="E755" s="69"/>
      <c r="F755" s="69"/>
      <c r="G755" s="69"/>
    </row>
    <row r="756" spans="2:7">
      <c r="B756" s="48"/>
      <c r="C756" s="470"/>
      <c r="D756" s="69"/>
      <c r="E756" s="69"/>
      <c r="F756" s="69"/>
      <c r="G756" s="69"/>
    </row>
    <row r="757" spans="2:7">
      <c r="B757" s="48"/>
      <c r="C757" s="470"/>
      <c r="D757" s="69"/>
      <c r="E757" s="69"/>
      <c r="F757" s="69"/>
      <c r="G757" s="69"/>
    </row>
    <row r="758" spans="2:7">
      <c r="B758" s="48"/>
      <c r="C758" s="470"/>
      <c r="D758" s="69"/>
      <c r="E758" s="69"/>
      <c r="F758" s="69"/>
      <c r="G758" s="69"/>
    </row>
    <row r="759" spans="2:7">
      <c r="B759" s="48"/>
      <c r="C759" s="470"/>
      <c r="D759" s="69"/>
      <c r="E759" s="69"/>
      <c r="F759" s="69"/>
      <c r="G759" s="69"/>
    </row>
    <row r="760" spans="2:7">
      <c r="B760" s="48"/>
      <c r="C760" s="470"/>
      <c r="D760" s="69"/>
      <c r="E760" s="69"/>
      <c r="F760" s="69"/>
      <c r="G760" s="69"/>
    </row>
    <row r="761" spans="2:7">
      <c r="B761" s="48"/>
      <c r="C761" s="470"/>
      <c r="D761" s="69"/>
      <c r="E761" s="69"/>
      <c r="F761" s="69"/>
      <c r="G761" s="69"/>
    </row>
    <row r="762" spans="2:7">
      <c r="B762" s="48"/>
      <c r="C762" s="470"/>
      <c r="D762" s="69"/>
      <c r="E762" s="69"/>
      <c r="F762" s="69"/>
      <c r="G762" s="69"/>
    </row>
    <row r="763" spans="2:7">
      <c r="B763" s="48"/>
      <c r="C763" s="470"/>
      <c r="D763" s="69"/>
      <c r="E763" s="69"/>
      <c r="F763" s="69"/>
      <c r="G763" s="69"/>
    </row>
    <row r="764" spans="2:7">
      <c r="B764" s="48"/>
      <c r="C764" s="470"/>
      <c r="D764" s="69"/>
      <c r="E764" s="69"/>
      <c r="F764" s="69"/>
      <c r="G764" s="69"/>
    </row>
    <row r="765" spans="2:7">
      <c r="B765" s="48"/>
      <c r="C765" s="470"/>
      <c r="D765" s="69"/>
      <c r="E765" s="69"/>
      <c r="F765" s="69"/>
      <c r="G765" s="69"/>
    </row>
    <row r="766" spans="2:7">
      <c r="B766" s="48"/>
      <c r="C766" s="470"/>
      <c r="D766" s="69"/>
      <c r="E766" s="69"/>
      <c r="F766" s="69"/>
      <c r="G766" s="69"/>
    </row>
    <row r="767" spans="2:7">
      <c r="B767" s="48"/>
      <c r="C767" s="470"/>
      <c r="D767" s="69"/>
      <c r="E767" s="69"/>
      <c r="F767" s="69"/>
      <c r="G767" s="69"/>
    </row>
    <row r="768" spans="2:7">
      <c r="B768" s="48"/>
      <c r="C768" s="470"/>
      <c r="D768" s="69"/>
      <c r="E768" s="69"/>
      <c r="F768" s="69"/>
      <c r="G768" s="69"/>
    </row>
    <row r="769" spans="2:7">
      <c r="B769" s="48"/>
      <c r="C769" s="470"/>
      <c r="D769" s="69"/>
      <c r="E769" s="69"/>
      <c r="F769" s="69"/>
      <c r="G769" s="69"/>
    </row>
    <row r="770" spans="2:7">
      <c r="B770" s="48"/>
      <c r="C770" s="470"/>
      <c r="D770" s="69"/>
      <c r="E770" s="69"/>
      <c r="F770" s="69"/>
      <c r="G770" s="69"/>
    </row>
    <row r="771" spans="2:7">
      <c r="B771" s="48"/>
      <c r="C771" s="470"/>
      <c r="D771" s="69"/>
      <c r="E771" s="69"/>
      <c r="F771" s="69"/>
      <c r="G771" s="69"/>
    </row>
    <row r="772" spans="2:7">
      <c r="B772" s="48"/>
      <c r="C772" s="470"/>
      <c r="D772" s="69"/>
      <c r="E772" s="69"/>
      <c r="F772" s="69"/>
      <c r="G772" s="69"/>
    </row>
    <row r="773" spans="2:7">
      <c r="B773" s="48"/>
      <c r="C773" s="470"/>
      <c r="D773" s="69"/>
      <c r="E773" s="69"/>
      <c r="F773" s="69"/>
      <c r="G773" s="69"/>
    </row>
    <row r="774" spans="2:7">
      <c r="B774" s="48"/>
      <c r="C774" s="470"/>
      <c r="D774" s="69"/>
      <c r="E774" s="69"/>
      <c r="F774" s="69"/>
      <c r="G774" s="69"/>
    </row>
    <row r="775" spans="2:7">
      <c r="B775" s="48"/>
      <c r="C775" s="470"/>
      <c r="D775" s="69"/>
      <c r="E775" s="69"/>
      <c r="F775" s="69"/>
      <c r="G775" s="69"/>
    </row>
    <row r="776" spans="2:7">
      <c r="B776" s="48"/>
      <c r="C776" s="470"/>
      <c r="D776" s="69"/>
      <c r="E776" s="69"/>
      <c r="F776" s="69"/>
      <c r="G776" s="69"/>
    </row>
    <row r="777" spans="2:7">
      <c r="B777" s="48"/>
      <c r="C777" s="470"/>
      <c r="D777" s="69"/>
      <c r="E777" s="69"/>
      <c r="F777" s="69"/>
      <c r="G777" s="69"/>
    </row>
    <row r="778" spans="2:7">
      <c r="B778" s="48"/>
      <c r="C778" s="470"/>
      <c r="D778" s="69"/>
      <c r="E778" s="69"/>
      <c r="F778" s="69"/>
      <c r="G778" s="69"/>
    </row>
    <row r="779" spans="2:7">
      <c r="B779" s="48"/>
      <c r="C779" s="470"/>
      <c r="D779" s="69"/>
      <c r="E779" s="69"/>
      <c r="F779" s="69"/>
      <c r="G779" s="69"/>
    </row>
    <row r="780" spans="2:7">
      <c r="B780" s="48"/>
      <c r="C780" s="470"/>
      <c r="D780" s="69"/>
      <c r="E780" s="69"/>
      <c r="F780" s="69"/>
      <c r="G780" s="69"/>
    </row>
    <row r="781" spans="2:7">
      <c r="B781" s="48"/>
      <c r="C781" s="470"/>
      <c r="D781" s="69"/>
      <c r="E781" s="69"/>
      <c r="F781" s="69"/>
      <c r="G781" s="69"/>
    </row>
    <row r="782" spans="2:7">
      <c r="B782" s="48"/>
      <c r="C782" s="470"/>
      <c r="D782" s="69"/>
      <c r="E782" s="69"/>
      <c r="F782" s="69"/>
      <c r="G782" s="69"/>
    </row>
    <row r="783" spans="2:7">
      <c r="B783" s="48"/>
      <c r="C783" s="470"/>
      <c r="D783" s="69"/>
      <c r="E783" s="69"/>
      <c r="F783" s="69"/>
      <c r="G783" s="69"/>
    </row>
    <row r="784" spans="2:7">
      <c r="B784" s="48"/>
      <c r="C784" s="470"/>
      <c r="D784" s="69"/>
      <c r="E784" s="69"/>
      <c r="F784" s="69"/>
      <c r="G784" s="69"/>
    </row>
    <row r="785" spans="2:7">
      <c r="B785" s="48"/>
      <c r="C785" s="470"/>
      <c r="D785" s="69"/>
      <c r="E785" s="69"/>
      <c r="F785" s="69"/>
      <c r="G785" s="69"/>
    </row>
    <row r="786" spans="2:7">
      <c r="B786" s="48"/>
      <c r="C786" s="470"/>
      <c r="D786" s="69"/>
      <c r="E786" s="69"/>
      <c r="F786" s="69"/>
      <c r="G786" s="69"/>
    </row>
    <row r="787" spans="2:7">
      <c r="B787" s="48"/>
      <c r="C787" s="470"/>
      <c r="D787" s="69"/>
      <c r="E787" s="69"/>
      <c r="F787" s="69"/>
      <c r="G787" s="69"/>
    </row>
    <row r="788" spans="2:7">
      <c r="B788" s="48"/>
      <c r="C788" s="470"/>
      <c r="D788" s="69"/>
      <c r="E788" s="69"/>
      <c r="F788" s="69"/>
      <c r="G788" s="69"/>
    </row>
    <row r="789" spans="2:7">
      <c r="B789" s="48"/>
      <c r="C789" s="470"/>
      <c r="D789" s="69"/>
      <c r="E789" s="69"/>
      <c r="F789" s="69"/>
      <c r="G789" s="69"/>
    </row>
    <row r="790" spans="2:7">
      <c r="B790" s="48"/>
      <c r="C790" s="470"/>
      <c r="D790" s="69"/>
      <c r="E790" s="69"/>
      <c r="F790" s="69"/>
      <c r="G790" s="69"/>
    </row>
    <row r="791" spans="2:7">
      <c r="B791" s="48"/>
      <c r="C791" s="470"/>
      <c r="D791" s="69"/>
      <c r="E791" s="69"/>
      <c r="F791" s="69"/>
      <c r="G791" s="69"/>
    </row>
    <row r="792" spans="2:7">
      <c r="B792" s="48"/>
      <c r="C792" s="470"/>
      <c r="D792" s="69"/>
      <c r="E792" s="69"/>
      <c r="F792" s="69"/>
      <c r="G792" s="69"/>
    </row>
    <row r="793" spans="2:7">
      <c r="B793" s="48"/>
      <c r="C793" s="470"/>
      <c r="D793" s="69"/>
      <c r="E793" s="69"/>
      <c r="F793" s="69"/>
      <c r="G793" s="69"/>
    </row>
    <row r="794" spans="2:7">
      <c r="B794" s="48"/>
      <c r="C794" s="470"/>
      <c r="D794" s="69"/>
      <c r="E794" s="69"/>
      <c r="F794" s="69"/>
      <c r="G794" s="69"/>
    </row>
    <row r="795" spans="2:7">
      <c r="B795" s="48"/>
      <c r="C795" s="470"/>
      <c r="D795" s="69"/>
      <c r="E795" s="69"/>
      <c r="F795" s="69"/>
      <c r="G795" s="69"/>
    </row>
    <row r="796" spans="2:7">
      <c r="B796" s="48"/>
      <c r="C796" s="470"/>
      <c r="D796" s="69"/>
      <c r="E796" s="69"/>
      <c r="F796" s="69"/>
      <c r="G796" s="69"/>
    </row>
    <row r="797" spans="2:7">
      <c r="B797" s="48"/>
      <c r="C797" s="470"/>
      <c r="D797" s="69"/>
      <c r="E797" s="69"/>
      <c r="F797" s="69"/>
      <c r="G797" s="69"/>
    </row>
    <row r="798" spans="2:7">
      <c r="B798" s="48"/>
      <c r="C798" s="470"/>
      <c r="D798" s="69"/>
      <c r="E798" s="69"/>
      <c r="F798" s="69"/>
      <c r="G798" s="69"/>
    </row>
    <row r="799" spans="2:7">
      <c r="B799" s="48"/>
      <c r="C799" s="470"/>
      <c r="D799" s="69"/>
      <c r="E799" s="69"/>
      <c r="F799" s="69"/>
      <c r="G799" s="69"/>
    </row>
    <row r="800" spans="2:7">
      <c r="B800" s="48"/>
      <c r="C800" s="470"/>
      <c r="D800" s="69"/>
      <c r="E800" s="69"/>
      <c r="F800" s="69"/>
      <c r="G800" s="69"/>
    </row>
    <row r="801" spans="2:7">
      <c r="B801" s="48"/>
      <c r="C801" s="470"/>
      <c r="D801" s="69"/>
      <c r="E801" s="69"/>
      <c r="F801" s="69"/>
      <c r="G801" s="69"/>
    </row>
    <row r="802" spans="2:7">
      <c r="B802" s="48"/>
      <c r="C802" s="470"/>
      <c r="D802" s="69"/>
      <c r="E802" s="69"/>
      <c r="F802" s="69"/>
      <c r="G802" s="69"/>
    </row>
    <row r="803" spans="2:7">
      <c r="B803" s="48"/>
      <c r="C803" s="470"/>
      <c r="D803" s="69"/>
      <c r="E803" s="69"/>
      <c r="F803" s="69"/>
      <c r="G803" s="69"/>
    </row>
    <row r="804" spans="2:7">
      <c r="B804" s="48"/>
      <c r="C804" s="470"/>
      <c r="D804" s="69"/>
      <c r="E804" s="69"/>
      <c r="F804" s="69"/>
      <c r="G804" s="69"/>
    </row>
    <row r="805" spans="2:7">
      <c r="B805" s="48"/>
      <c r="C805" s="470"/>
      <c r="D805" s="69"/>
      <c r="E805" s="69"/>
      <c r="F805" s="69"/>
      <c r="G805" s="69"/>
    </row>
    <row r="806" spans="2:7">
      <c r="B806" s="48"/>
      <c r="C806" s="470"/>
      <c r="D806" s="69"/>
      <c r="E806" s="69"/>
      <c r="F806" s="69"/>
      <c r="G806" s="69"/>
    </row>
    <row r="807" spans="2:7">
      <c r="B807" s="48"/>
      <c r="C807" s="470"/>
      <c r="D807" s="69"/>
      <c r="E807" s="69"/>
      <c r="F807" s="69"/>
      <c r="G807" s="69"/>
    </row>
    <row r="808" spans="2:7">
      <c r="B808" s="48"/>
      <c r="C808" s="470"/>
      <c r="D808" s="69"/>
      <c r="E808" s="69"/>
      <c r="F808" s="69"/>
      <c r="G808" s="69"/>
    </row>
    <row r="809" spans="2:7">
      <c r="B809" s="48"/>
      <c r="C809" s="470"/>
      <c r="D809" s="69"/>
      <c r="E809" s="69"/>
      <c r="F809" s="69"/>
      <c r="G809" s="69"/>
    </row>
    <row r="810" spans="2:7">
      <c r="B810" s="48"/>
      <c r="C810" s="470"/>
      <c r="D810" s="69"/>
      <c r="E810" s="69"/>
      <c r="F810" s="69"/>
      <c r="G810" s="69"/>
    </row>
    <row r="811" spans="2:7">
      <c r="B811" s="48"/>
      <c r="C811" s="470"/>
      <c r="D811" s="69"/>
      <c r="E811" s="69"/>
      <c r="F811" s="69"/>
      <c r="G811" s="69"/>
    </row>
    <row r="812" spans="2:7">
      <c r="B812" s="48"/>
      <c r="C812" s="470"/>
      <c r="D812" s="69"/>
      <c r="E812" s="69"/>
      <c r="F812" s="69"/>
      <c r="G812" s="69"/>
    </row>
    <row r="813" spans="2:7">
      <c r="B813" s="48"/>
      <c r="C813" s="470"/>
      <c r="D813" s="69"/>
      <c r="E813" s="69"/>
      <c r="F813" s="69"/>
      <c r="G813" s="69"/>
    </row>
    <row r="814" spans="2:7">
      <c r="B814" s="48"/>
      <c r="C814" s="470"/>
      <c r="D814" s="69"/>
      <c r="E814" s="69"/>
      <c r="F814" s="69"/>
      <c r="G814" s="69"/>
    </row>
    <row r="815" spans="2:7">
      <c r="B815" s="48"/>
      <c r="C815" s="470"/>
      <c r="D815" s="69"/>
      <c r="E815" s="69"/>
      <c r="F815" s="69"/>
      <c r="G815" s="69"/>
    </row>
    <row r="816" spans="2:7">
      <c r="B816" s="48"/>
      <c r="C816" s="470"/>
      <c r="D816" s="69"/>
      <c r="E816" s="69"/>
      <c r="F816" s="69"/>
      <c r="G816" s="69"/>
    </row>
    <row r="817" spans="2:7">
      <c r="B817" s="48"/>
      <c r="C817" s="470"/>
      <c r="D817" s="69"/>
      <c r="E817" s="69"/>
      <c r="F817" s="69"/>
      <c r="G817" s="69"/>
    </row>
    <row r="818" spans="2:7">
      <c r="B818" s="48"/>
      <c r="C818" s="470"/>
      <c r="D818" s="69"/>
      <c r="E818" s="69"/>
      <c r="F818" s="69"/>
      <c r="G818" s="69"/>
    </row>
    <row r="819" spans="2:7">
      <c r="B819" s="48"/>
      <c r="C819" s="470"/>
      <c r="D819" s="69"/>
      <c r="E819" s="69"/>
      <c r="F819" s="69"/>
      <c r="G819" s="69"/>
    </row>
    <row r="820" spans="2:7">
      <c r="B820" s="48"/>
      <c r="C820" s="470"/>
      <c r="D820" s="69"/>
      <c r="E820" s="69"/>
      <c r="F820" s="69"/>
      <c r="G820" s="69"/>
    </row>
    <row r="821" spans="2:7">
      <c r="B821" s="48"/>
      <c r="C821" s="470"/>
      <c r="D821" s="69"/>
      <c r="E821" s="69"/>
      <c r="F821" s="69"/>
      <c r="G821" s="69"/>
    </row>
    <row r="822" spans="2:7">
      <c r="B822" s="48"/>
      <c r="C822" s="470"/>
      <c r="D822" s="69"/>
      <c r="E822" s="69"/>
      <c r="F822" s="69"/>
      <c r="G822" s="69"/>
    </row>
    <row r="823" spans="2:7">
      <c r="B823" s="48"/>
      <c r="C823" s="470"/>
      <c r="D823" s="69"/>
      <c r="E823" s="69"/>
      <c r="F823" s="69"/>
      <c r="G823" s="69"/>
    </row>
    <row r="824" spans="2:7">
      <c r="B824" s="48"/>
      <c r="C824" s="470"/>
      <c r="D824" s="69"/>
      <c r="E824" s="69"/>
      <c r="F824" s="69"/>
      <c r="G824" s="69"/>
    </row>
    <row r="825" spans="2:7">
      <c r="B825" s="48"/>
      <c r="C825" s="470"/>
      <c r="D825" s="69"/>
      <c r="E825" s="69"/>
      <c r="F825" s="69"/>
      <c r="G825" s="69"/>
    </row>
    <row r="826" spans="2:7">
      <c r="B826" s="48"/>
      <c r="C826" s="470"/>
      <c r="D826" s="69"/>
      <c r="E826" s="69"/>
      <c r="F826" s="69"/>
      <c r="G826" s="69"/>
    </row>
    <row r="827" spans="2:7">
      <c r="B827" s="48"/>
      <c r="C827" s="470"/>
      <c r="D827" s="69"/>
      <c r="E827" s="69"/>
      <c r="F827" s="69"/>
      <c r="G827" s="69"/>
    </row>
    <row r="828" spans="2:7">
      <c r="B828" s="48"/>
      <c r="C828" s="470"/>
      <c r="D828" s="69"/>
      <c r="E828" s="69"/>
      <c r="F828" s="69"/>
      <c r="G828" s="69"/>
    </row>
    <row r="829" spans="2:7">
      <c r="B829" s="48"/>
      <c r="C829" s="470"/>
      <c r="D829" s="69"/>
      <c r="E829" s="69"/>
      <c r="F829" s="69"/>
      <c r="G829" s="69"/>
    </row>
    <row r="830" spans="2:7">
      <c r="B830" s="48"/>
      <c r="C830" s="470"/>
      <c r="D830" s="69"/>
      <c r="E830" s="69"/>
      <c r="F830" s="69"/>
      <c r="G830" s="69"/>
    </row>
    <row r="831" spans="2:7">
      <c r="B831" s="48"/>
      <c r="C831" s="470"/>
      <c r="D831" s="69"/>
      <c r="E831" s="69"/>
      <c r="F831" s="69"/>
      <c r="G831" s="69"/>
    </row>
    <row r="832" spans="2:7">
      <c r="B832" s="48"/>
      <c r="C832" s="470"/>
      <c r="D832" s="69"/>
      <c r="E832" s="69"/>
      <c r="F832" s="69"/>
      <c r="G832" s="69"/>
    </row>
    <row r="833" spans="2:7">
      <c r="B833" s="48"/>
      <c r="C833" s="470"/>
      <c r="D833" s="69"/>
      <c r="E833" s="69"/>
      <c r="F833" s="69"/>
      <c r="G833" s="69"/>
    </row>
    <row r="834" spans="2:7">
      <c r="B834" s="48"/>
      <c r="C834" s="470"/>
      <c r="D834" s="69"/>
      <c r="E834" s="69"/>
      <c r="F834" s="69"/>
      <c r="G834" s="69"/>
    </row>
    <row r="835" spans="2:7">
      <c r="B835" s="48"/>
      <c r="C835" s="470"/>
      <c r="D835" s="69"/>
      <c r="E835" s="69"/>
      <c r="F835" s="69"/>
      <c r="G835" s="69"/>
    </row>
    <row r="836" spans="2:7">
      <c r="B836" s="48"/>
      <c r="C836" s="470"/>
      <c r="D836" s="69"/>
      <c r="E836" s="69"/>
      <c r="F836" s="69"/>
      <c r="G836" s="69"/>
    </row>
    <row r="837" spans="2:7">
      <c r="B837" s="48"/>
      <c r="C837" s="470"/>
      <c r="D837" s="69"/>
      <c r="E837" s="69"/>
      <c r="F837" s="69"/>
      <c r="G837" s="69"/>
    </row>
    <row r="838" spans="2:7">
      <c r="B838" s="48"/>
      <c r="C838" s="470"/>
      <c r="D838" s="69"/>
      <c r="E838" s="69"/>
      <c r="F838" s="69"/>
      <c r="G838" s="69"/>
    </row>
    <row r="839" spans="2:7">
      <c r="B839" s="48"/>
      <c r="C839" s="470"/>
      <c r="D839" s="69"/>
      <c r="E839" s="69"/>
      <c r="F839" s="69"/>
      <c r="G839" s="69"/>
    </row>
    <row r="840" spans="2:7">
      <c r="B840" s="48"/>
      <c r="C840" s="470"/>
      <c r="D840" s="69"/>
      <c r="E840" s="69"/>
      <c r="F840" s="69"/>
      <c r="G840" s="69"/>
    </row>
    <row r="841" spans="2:7">
      <c r="B841" s="48"/>
      <c r="C841" s="470"/>
      <c r="D841" s="69"/>
      <c r="E841" s="69"/>
      <c r="F841" s="69"/>
      <c r="G841" s="69"/>
    </row>
    <row r="842" spans="2:7">
      <c r="B842" s="48"/>
      <c r="C842" s="470"/>
      <c r="D842" s="69"/>
      <c r="E842" s="69"/>
      <c r="F842" s="69"/>
      <c r="G842" s="69"/>
    </row>
    <row r="843" spans="2:7">
      <c r="B843" s="48"/>
      <c r="C843" s="470"/>
      <c r="D843" s="69"/>
      <c r="E843" s="69"/>
      <c r="F843" s="69"/>
      <c r="G843" s="69"/>
    </row>
    <row r="844" spans="2:7">
      <c r="B844" s="48"/>
      <c r="C844" s="470"/>
      <c r="D844" s="69"/>
      <c r="E844" s="69"/>
      <c r="F844" s="69"/>
      <c r="G844" s="69"/>
    </row>
    <row r="845" spans="2:7">
      <c r="B845" s="48"/>
      <c r="C845" s="470"/>
      <c r="D845" s="69"/>
      <c r="E845" s="69"/>
      <c r="F845" s="69"/>
      <c r="G845" s="69"/>
    </row>
    <row r="846" spans="2:7">
      <c r="B846" s="48"/>
      <c r="C846" s="470"/>
      <c r="D846" s="69"/>
      <c r="E846" s="69"/>
      <c r="F846" s="69"/>
      <c r="G846" s="69"/>
    </row>
    <row r="847" spans="2:7">
      <c r="B847" s="48"/>
      <c r="C847" s="470"/>
      <c r="D847" s="69"/>
      <c r="E847" s="69"/>
      <c r="F847" s="69"/>
      <c r="G847" s="69"/>
    </row>
    <row r="848" spans="2:7">
      <c r="B848" s="48"/>
      <c r="C848" s="470"/>
      <c r="D848" s="69"/>
      <c r="E848" s="69"/>
      <c r="F848" s="69"/>
      <c r="G848" s="69"/>
    </row>
    <row r="849" spans="2:7">
      <c r="B849" s="48"/>
      <c r="C849" s="470"/>
      <c r="D849" s="69"/>
      <c r="E849" s="69"/>
      <c r="F849" s="69"/>
      <c r="G849" s="69"/>
    </row>
    <row r="850" spans="2:7">
      <c r="B850" s="48"/>
      <c r="C850" s="470"/>
      <c r="D850" s="69"/>
      <c r="E850" s="69"/>
      <c r="F850" s="69"/>
      <c r="G850" s="69"/>
    </row>
    <row r="851" spans="2:7">
      <c r="B851" s="48"/>
      <c r="C851" s="470"/>
      <c r="D851" s="69"/>
      <c r="E851" s="69"/>
      <c r="F851" s="69"/>
      <c r="G851" s="69"/>
    </row>
    <row r="852" spans="2:7">
      <c r="B852" s="48"/>
      <c r="C852" s="470"/>
      <c r="D852" s="69"/>
      <c r="E852" s="69"/>
      <c r="F852" s="69"/>
      <c r="G852" s="69"/>
    </row>
    <row r="853" spans="2:7">
      <c r="B853" s="48"/>
      <c r="C853" s="470"/>
      <c r="D853" s="69"/>
      <c r="E853" s="69"/>
      <c r="F853" s="69"/>
      <c r="G853" s="69"/>
    </row>
    <row r="854" spans="2:7">
      <c r="B854" s="48"/>
      <c r="C854" s="470"/>
      <c r="D854" s="69"/>
      <c r="E854" s="69"/>
      <c r="F854" s="69"/>
      <c r="G854" s="69"/>
    </row>
    <row r="855" spans="2:7">
      <c r="B855" s="48"/>
      <c r="C855" s="470"/>
      <c r="D855" s="69"/>
      <c r="E855" s="69"/>
      <c r="F855" s="69"/>
      <c r="G855" s="69"/>
    </row>
    <row r="856" spans="2:7">
      <c r="B856" s="48"/>
      <c r="C856" s="470"/>
      <c r="D856" s="69"/>
      <c r="E856" s="69"/>
      <c r="F856" s="69"/>
      <c r="G856" s="69"/>
    </row>
    <row r="857" spans="2:7">
      <c r="B857" s="48"/>
      <c r="C857" s="470"/>
      <c r="D857" s="69"/>
      <c r="E857" s="69"/>
      <c r="F857" s="69"/>
      <c r="G857" s="69"/>
    </row>
    <row r="858" spans="2:7">
      <c r="B858" s="48"/>
      <c r="C858" s="470"/>
      <c r="D858" s="69"/>
      <c r="E858" s="69"/>
      <c r="F858" s="69"/>
      <c r="G858" s="69"/>
    </row>
    <row r="859" spans="2:7">
      <c r="B859" s="48"/>
      <c r="C859" s="470"/>
      <c r="D859" s="69"/>
      <c r="E859" s="69"/>
      <c r="F859" s="69"/>
      <c r="G859" s="69"/>
    </row>
    <row r="860" spans="2:7">
      <c r="B860" s="48"/>
      <c r="C860" s="470"/>
      <c r="D860" s="69"/>
      <c r="E860" s="69"/>
      <c r="F860" s="69"/>
      <c r="G860" s="69"/>
    </row>
    <row r="861" spans="2:7">
      <c r="B861" s="48"/>
      <c r="C861" s="470"/>
      <c r="D861" s="69"/>
      <c r="E861" s="69"/>
      <c r="F861" s="69"/>
      <c r="G861" s="69"/>
    </row>
    <row r="862" spans="2:7">
      <c r="B862" s="48"/>
      <c r="C862" s="470"/>
      <c r="D862" s="69"/>
      <c r="E862" s="69"/>
      <c r="F862" s="69"/>
      <c r="G862" s="69"/>
    </row>
    <row r="863" spans="2:7">
      <c r="B863" s="48"/>
      <c r="C863" s="470"/>
      <c r="D863" s="69"/>
      <c r="E863" s="69"/>
      <c r="F863" s="69"/>
      <c r="G863" s="69"/>
    </row>
    <row r="864" spans="2:7">
      <c r="B864" s="48"/>
      <c r="C864" s="470"/>
      <c r="D864" s="69"/>
      <c r="E864" s="69"/>
      <c r="F864" s="69"/>
      <c r="G864" s="69"/>
    </row>
    <row r="865" spans="2:7">
      <c r="B865" s="48"/>
      <c r="C865" s="470"/>
      <c r="D865" s="69"/>
      <c r="E865" s="69"/>
      <c r="F865" s="69"/>
      <c r="G865" s="69"/>
    </row>
    <row r="866" spans="2:7">
      <c r="B866" s="48"/>
      <c r="C866" s="470"/>
      <c r="D866" s="69"/>
      <c r="E866" s="69"/>
      <c r="F866" s="69"/>
      <c r="G866" s="69"/>
    </row>
    <row r="867" spans="2:7">
      <c r="B867" s="48"/>
      <c r="C867" s="470"/>
      <c r="D867" s="69"/>
      <c r="E867" s="69"/>
      <c r="F867" s="69"/>
      <c r="G867" s="69"/>
    </row>
    <row r="868" spans="2:7">
      <c r="B868" s="48"/>
      <c r="C868" s="470"/>
      <c r="D868" s="69"/>
      <c r="E868" s="69"/>
      <c r="F868" s="69"/>
      <c r="G868" s="69"/>
    </row>
    <row r="869" spans="2:7">
      <c r="B869" s="48"/>
      <c r="C869" s="470"/>
      <c r="D869" s="69"/>
      <c r="E869" s="69"/>
      <c r="F869" s="69"/>
      <c r="G869" s="69"/>
    </row>
    <row r="870" spans="2:7">
      <c r="B870" s="48"/>
      <c r="C870" s="470"/>
      <c r="D870" s="69"/>
      <c r="E870" s="69"/>
      <c r="F870" s="69"/>
      <c r="G870" s="69"/>
    </row>
    <row r="871" spans="2:7">
      <c r="B871" s="48"/>
      <c r="C871" s="470"/>
      <c r="D871" s="69"/>
      <c r="E871" s="69"/>
      <c r="F871" s="69"/>
      <c r="G871" s="69"/>
    </row>
    <row r="872" spans="2:7">
      <c r="B872" s="48"/>
      <c r="C872" s="470"/>
      <c r="D872" s="69"/>
      <c r="E872" s="69"/>
      <c r="F872" s="69"/>
      <c r="G872" s="69"/>
    </row>
    <row r="873" spans="2:7">
      <c r="B873" s="48"/>
      <c r="C873" s="470"/>
      <c r="D873" s="69"/>
      <c r="E873" s="69"/>
      <c r="F873" s="69"/>
      <c r="G873" s="69"/>
    </row>
    <row r="874" spans="2:7">
      <c r="B874" s="48"/>
      <c r="C874" s="470"/>
      <c r="D874" s="69"/>
      <c r="E874" s="69"/>
      <c r="F874" s="69"/>
      <c r="G874" s="69"/>
    </row>
    <row r="875" spans="2:7">
      <c r="B875" s="48"/>
      <c r="C875" s="470"/>
      <c r="D875" s="69"/>
      <c r="E875" s="69"/>
      <c r="F875" s="69"/>
      <c r="G875" s="69"/>
    </row>
    <row r="876" spans="2:7">
      <c r="B876" s="48"/>
      <c r="C876" s="470"/>
      <c r="D876" s="69"/>
      <c r="E876" s="69"/>
      <c r="F876" s="69"/>
      <c r="G876" s="69"/>
    </row>
    <row r="877" spans="2:7">
      <c r="B877" s="48"/>
      <c r="C877" s="470"/>
      <c r="D877" s="69"/>
      <c r="E877" s="69"/>
      <c r="F877" s="69"/>
      <c r="G877" s="69"/>
    </row>
    <row r="878" spans="2:7">
      <c r="B878" s="48"/>
      <c r="C878" s="470"/>
      <c r="D878" s="69"/>
      <c r="E878" s="69"/>
      <c r="F878" s="69"/>
      <c r="G878" s="69"/>
    </row>
    <row r="879" spans="2:7">
      <c r="B879" s="48"/>
      <c r="C879" s="470"/>
      <c r="D879" s="69"/>
      <c r="E879" s="69"/>
      <c r="F879" s="69"/>
      <c r="G879" s="69"/>
    </row>
    <row r="880" spans="2:7">
      <c r="B880" s="48"/>
      <c r="C880" s="470"/>
      <c r="D880" s="69"/>
      <c r="E880" s="69"/>
      <c r="F880" s="69"/>
      <c r="G880" s="69"/>
    </row>
    <row r="881" spans="2:7">
      <c r="B881" s="48"/>
      <c r="C881" s="470"/>
      <c r="D881" s="69"/>
      <c r="E881" s="69"/>
      <c r="F881" s="69"/>
      <c r="G881" s="69"/>
    </row>
    <row r="882" spans="2:7">
      <c r="B882" s="48"/>
      <c r="C882" s="470"/>
      <c r="D882" s="69"/>
      <c r="E882" s="69"/>
      <c r="F882" s="69"/>
      <c r="G882" s="69"/>
    </row>
    <row r="883" spans="2:7">
      <c r="B883" s="48"/>
      <c r="C883" s="470"/>
      <c r="D883" s="69"/>
      <c r="E883" s="69"/>
      <c r="F883" s="69"/>
      <c r="G883" s="69"/>
    </row>
    <row r="884" spans="2:7">
      <c r="B884" s="48"/>
      <c r="C884" s="470"/>
      <c r="D884" s="69"/>
      <c r="E884" s="69"/>
      <c r="F884" s="69"/>
      <c r="G884" s="69"/>
    </row>
    <row r="885" spans="2:7">
      <c r="B885" s="48"/>
      <c r="C885" s="470"/>
      <c r="D885" s="69"/>
      <c r="E885" s="69"/>
      <c r="F885" s="69"/>
      <c r="G885" s="69"/>
    </row>
    <row r="886" spans="2:7">
      <c r="B886" s="48"/>
      <c r="C886" s="470"/>
      <c r="D886" s="69"/>
      <c r="E886" s="69"/>
      <c r="F886" s="69"/>
      <c r="G886" s="69"/>
    </row>
    <row r="887" spans="2:7">
      <c r="B887" s="48"/>
      <c r="C887" s="470"/>
      <c r="D887" s="69"/>
      <c r="E887" s="69"/>
      <c r="F887" s="69"/>
      <c r="G887" s="69"/>
    </row>
    <row r="888" spans="2:7">
      <c r="B888" s="48"/>
      <c r="C888" s="470"/>
      <c r="D888" s="69"/>
      <c r="E888" s="69"/>
      <c r="F888" s="69"/>
      <c r="G888" s="69"/>
    </row>
    <row r="889" spans="2:7">
      <c r="B889" s="48"/>
      <c r="C889" s="470"/>
      <c r="D889" s="69"/>
      <c r="E889" s="69"/>
      <c r="F889" s="69"/>
      <c r="G889" s="69"/>
    </row>
    <row r="890" spans="2:7">
      <c r="B890" s="48"/>
      <c r="C890" s="470"/>
      <c r="D890" s="69"/>
      <c r="E890" s="69"/>
      <c r="F890" s="69"/>
      <c r="G890" s="69"/>
    </row>
    <row r="891" spans="2:7">
      <c r="B891" s="48"/>
      <c r="C891" s="470"/>
      <c r="D891" s="69"/>
      <c r="E891" s="69"/>
      <c r="F891" s="69"/>
      <c r="G891" s="69"/>
    </row>
    <row r="892" spans="2:7">
      <c r="B892" s="48"/>
      <c r="C892" s="470"/>
      <c r="D892" s="69"/>
      <c r="E892" s="69"/>
      <c r="F892" s="69"/>
      <c r="G892" s="69"/>
    </row>
    <row r="893" spans="2:7">
      <c r="B893" s="48"/>
      <c r="C893" s="470"/>
      <c r="D893" s="69"/>
      <c r="E893" s="69"/>
      <c r="F893" s="69"/>
      <c r="G893" s="69"/>
    </row>
    <row r="894" spans="2:7">
      <c r="B894" s="48"/>
      <c r="C894" s="470"/>
      <c r="D894" s="69"/>
      <c r="E894" s="69"/>
      <c r="F894" s="69"/>
      <c r="G894" s="69"/>
    </row>
    <row r="895" spans="2:7">
      <c r="B895" s="48"/>
      <c r="C895" s="470"/>
      <c r="D895" s="69"/>
      <c r="E895" s="69"/>
      <c r="F895" s="69"/>
      <c r="G895" s="69"/>
    </row>
    <row r="896" spans="2:7">
      <c r="B896" s="48"/>
      <c r="C896" s="470"/>
      <c r="D896" s="69"/>
      <c r="E896" s="69"/>
      <c r="F896" s="69"/>
      <c r="G896" s="69"/>
    </row>
    <row r="897" spans="2:7">
      <c r="B897" s="48"/>
      <c r="C897" s="470"/>
      <c r="D897" s="69"/>
      <c r="E897" s="69"/>
      <c r="F897" s="69"/>
      <c r="G897" s="69"/>
    </row>
    <row r="898" spans="2:7">
      <c r="B898" s="48"/>
      <c r="C898" s="470"/>
      <c r="D898" s="69"/>
      <c r="E898" s="69"/>
      <c r="F898" s="69"/>
      <c r="G898" s="69"/>
    </row>
    <row r="899" spans="2:7">
      <c r="B899" s="48"/>
      <c r="C899" s="470"/>
      <c r="D899" s="69"/>
      <c r="E899" s="69"/>
      <c r="F899" s="69"/>
      <c r="G899" s="69"/>
    </row>
    <row r="900" spans="2:7">
      <c r="B900" s="48"/>
      <c r="C900" s="470"/>
      <c r="D900" s="69"/>
      <c r="E900" s="69"/>
      <c r="F900" s="69"/>
      <c r="G900" s="69"/>
    </row>
    <row r="901" spans="2:7">
      <c r="B901" s="48"/>
      <c r="C901" s="470"/>
      <c r="D901" s="69"/>
      <c r="E901" s="69"/>
      <c r="F901" s="69"/>
      <c r="G901" s="69"/>
    </row>
    <row r="902" spans="2:7">
      <c r="B902" s="48"/>
      <c r="C902" s="470"/>
      <c r="D902" s="69"/>
      <c r="E902" s="69"/>
      <c r="F902" s="69"/>
      <c r="G902" s="69"/>
    </row>
    <row r="903" spans="2:7">
      <c r="B903" s="48"/>
      <c r="C903" s="470"/>
      <c r="D903" s="69"/>
      <c r="E903" s="69"/>
      <c r="F903" s="69"/>
      <c r="G903" s="69"/>
    </row>
    <row r="904" spans="2:7">
      <c r="B904" s="48"/>
      <c r="C904" s="470"/>
      <c r="D904" s="69"/>
      <c r="E904" s="69"/>
      <c r="F904" s="69"/>
      <c r="G904" s="69"/>
    </row>
    <row r="905" spans="2:7">
      <c r="B905" s="48"/>
      <c r="C905" s="470"/>
      <c r="D905" s="69"/>
      <c r="E905" s="69"/>
      <c r="F905" s="69"/>
      <c r="G905" s="69"/>
    </row>
    <row r="906" spans="2:7">
      <c r="B906" s="48"/>
      <c r="C906" s="470"/>
      <c r="D906" s="69"/>
      <c r="E906" s="69"/>
      <c r="F906" s="69"/>
      <c r="G906" s="69"/>
    </row>
    <row r="907" spans="2:7">
      <c r="B907" s="48"/>
      <c r="C907" s="470"/>
      <c r="D907" s="69"/>
      <c r="E907" s="69"/>
      <c r="F907" s="69"/>
      <c r="G907" s="69"/>
    </row>
    <row r="908" spans="2:7">
      <c r="B908" s="48"/>
      <c r="C908" s="470"/>
      <c r="D908" s="69"/>
      <c r="E908" s="69"/>
      <c r="F908" s="69"/>
      <c r="G908" s="69"/>
    </row>
    <row r="909" spans="2:7">
      <c r="B909" s="48"/>
      <c r="C909" s="470"/>
      <c r="D909" s="69"/>
      <c r="E909" s="69"/>
      <c r="F909" s="69"/>
      <c r="G909" s="69"/>
    </row>
    <row r="910" spans="2:7">
      <c r="B910" s="48"/>
      <c r="C910" s="470"/>
      <c r="D910" s="69"/>
      <c r="E910" s="69"/>
      <c r="F910" s="69"/>
      <c r="G910" s="69"/>
    </row>
    <row r="911" spans="2:7">
      <c r="B911" s="48"/>
      <c r="C911" s="470"/>
      <c r="D911" s="69"/>
      <c r="E911" s="69"/>
      <c r="F911" s="69"/>
      <c r="G911" s="69"/>
    </row>
    <row r="912" spans="2:7">
      <c r="B912" s="48"/>
      <c r="C912" s="470"/>
      <c r="D912" s="69"/>
      <c r="E912" s="69"/>
      <c r="F912" s="69"/>
      <c r="G912" s="69"/>
    </row>
    <row r="913" spans="2:7">
      <c r="B913" s="48"/>
      <c r="C913" s="470"/>
      <c r="D913" s="69"/>
      <c r="E913" s="69"/>
      <c r="F913" s="69"/>
      <c r="G913" s="69"/>
    </row>
    <row r="914" spans="2:7">
      <c r="B914" s="48"/>
      <c r="C914" s="470"/>
      <c r="D914" s="69"/>
      <c r="E914" s="69"/>
      <c r="F914" s="69"/>
      <c r="G914" s="69"/>
    </row>
    <row r="915" spans="2:7">
      <c r="B915" s="48"/>
      <c r="C915" s="470"/>
      <c r="D915" s="69"/>
      <c r="E915" s="69"/>
      <c r="F915" s="69"/>
      <c r="G915" s="69"/>
    </row>
    <row r="916" spans="2:7">
      <c r="B916" s="48"/>
      <c r="C916" s="470"/>
      <c r="D916" s="69"/>
      <c r="E916" s="69"/>
      <c r="F916" s="69"/>
      <c r="G916" s="69"/>
    </row>
    <row r="917" spans="2:7">
      <c r="B917" s="48"/>
      <c r="C917" s="470"/>
      <c r="D917" s="69"/>
      <c r="E917" s="69"/>
      <c r="F917" s="69"/>
      <c r="G917" s="69"/>
    </row>
    <row r="918" spans="2:7">
      <c r="B918" s="48"/>
      <c r="C918" s="470"/>
      <c r="D918" s="69"/>
      <c r="E918" s="69"/>
      <c r="F918" s="69"/>
      <c r="G918" s="69"/>
    </row>
    <row r="919" spans="2:7">
      <c r="B919" s="48"/>
      <c r="C919" s="470"/>
      <c r="D919" s="69"/>
      <c r="E919" s="69"/>
      <c r="F919" s="69"/>
      <c r="G919" s="69"/>
    </row>
    <row r="920" spans="2:7">
      <c r="B920" s="48"/>
      <c r="C920" s="470"/>
      <c r="D920" s="69"/>
      <c r="E920" s="69"/>
      <c r="F920" s="69"/>
      <c r="G920" s="69"/>
    </row>
    <row r="921" spans="2:7">
      <c r="B921" s="48"/>
      <c r="C921" s="470"/>
      <c r="D921" s="69"/>
      <c r="E921" s="69"/>
      <c r="F921" s="69"/>
      <c r="G921" s="69"/>
    </row>
    <row r="922" spans="2:7">
      <c r="B922" s="48"/>
      <c r="C922" s="470"/>
      <c r="D922" s="69"/>
      <c r="E922" s="69"/>
      <c r="F922" s="69"/>
      <c r="G922" s="69"/>
    </row>
    <row r="923" spans="2:7">
      <c r="B923" s="48"/>
      <c r="C923" s="470"/>
      <c r="D923" s="69"/>
      <c r="E923" s="69"/>
      <c r="F923" s="69"/>
      <c r="G923" s="69"/>
    </row>
    <row r="924" spans="2:7">
      <c r="B924" s="48"/>
      <c r="C924" s="470"/>
      <c r="D924" s="69"/>
      <c r="E924" s="69"/>
      <c r="F924" s="69"/>
      <c r="G924" s="69"/>
    </row>
    <row r="925" spans="2:7">
      <c r="B925" s="48"/>
      <c r="C925" s="470"/>
      <c r="D925" s="69"/>
      <c r="E925" s="69"/>
      <c r="F925" s="69"/>
      <c r="G925" s="69"/>
    </row>
    <row r="926" spans="2:7">
      <c r="B926" s="48"/>
      <c r="C926" s="470"/>
      <c r="D926" s="69"/>
      <c r="E926" s="69"/>
      <c r="F926" s="69"/>
      <c r="G926" s="69"/>
    </row>
    <row r="927" spans="2:7">
      <c r="B927" s="48"/>
      <c r="C927" s="470"/>
      <c r="D927" s="69"/>
      <c r="E927" s="69"/>
      <c r="F927" s="69"/>
      <c r="G927" s="69"/>
    </row>
    <row r="928" spans="2:7">
      <c r="B928" s="48"/>
      <c r="C928" s="470"/>
      <c r="D928" s="69"/>
      <c r="E928" s="69"/>
      <c r="F928" s="69"/>
      <c r="G928" s="69"/>
    </row>
    <row r="929" spans="2:7">
      <c r="B929" s="48"/>
      <c r="C929" s="470"/>
      <c r="D929" s="69"/>
      <c r="E929" s="69"/>
      <c r="F929" s="69"/>
      <c r="G929" s="69"/>
    </row>
    <row r="930" spans="2:7">
      <c r="B930" s="48"/>
      <c r="C930" s="470"/>
      <c r="D930" s="69"/>
      <c r="E930" s="69"/>
      <c r="F930" s="69"/>
      <c r="G930" s="69"/>
    </row>
    <row r="931" spans="2:7">
      <c r="B931" s="48"/>
      <c r="C931" s="470"/>
      <c r="D931" s="69"/>
      <c r="E931" s="69"/>
      <c r="F931" s="69"/>
      <c r="G931" s="69"/>
    </row>
    <row r="932" spans="2:7">
      <c r="B932" s="48"/>
      <c r="C932" s="470"/>
      <c r="D932" s="69"/>
      <c r="E932" s="69"/>
      <c r="F932" s="69"/>
      <c r="G932" s="69"/>
    </row>
    <row r="933" spans="2:7">
      <c r="B933" s="48"/>
      <c r="C933" s="470"/>
      <c r="D933" s="69"/>
      <c r="E933" s="69"/>
      <c r="F933" s="69"/>
      <c r="G933" s="69"/>
    </row>
    <row r="934" spans="2:7">
      <c r="B934" s="48"/>
      <c r="C934" s="470"/>
      <c r="D934" s="69"/>
      <c r="E934" s="69"/>
      <c r="F934" s="69"/>
      <c r="G934" s="69"/>
    </row>
    <row r="935" spans="2:7">
      <c r="B935" s="48"/>
      <c r="C935" s="470"/>
      <c r="D935" s="69"/>
      <c r="E935" s="69"/>
      <c r="F935" s="69"/>
      <c r="G935" s="69"/>
    </row>
    <row r="936" spans="2:7">
      <c r="B936" s="48"/>
      <c r="C936" s="470"/>
      <c r="D936" s="69"/>
      <c r="E936" s="69"/>
      <c r="F936" s="69"/>
      <c r="G936" s="69"/>
    </row>
    <row r="937" spans="2:7">
      <c r="B937" s="48"/>
      <c r="C937" s="470"/>
      <c r="D937" s="69"/>
      <c r="E937" s="69"/>
      <c r="F937" s="69"/>
      <c r="G937" s="69"/>
    </row>
    <row r="938" spans="2:7">
      <c r="B938" s="48"/>
      <c r="C938" s="470"/>
      <c r="D938" s="69"/>
      <c r="E938" s="69"/>
      <c r="F938" s="69"/>
      <c r="G938" s="69"/>
    </row>
    <row r="939" spans="2:7">
      <c r="B939" s="48"/>
      <c r="C939" s="470"/>
      <c r="D939" s="69"/>
      <c r="E939" s="69"/>
      <c r="F939" s="69"/>
      <c r="G939" s="69"/>
    </row>
    <row r="940" spans="2:7">
      <c r="B940" s="48"/>
      <c r="C940" s="470"/>
      <c r="D940" s="69"/>
      <c r="E940" s="69"/>
      <c r="F940" s="69"/>
      <c r="G940" s="69"/>
    </row>
    <row r="941" spans="2:7">
      <c r="B941" s="48"/>
      <c r="C941" s="470"/>
      <c r="D941" s="69"/>
      <c r="E941" s="69"/>
      <c r="F941" s="69"/>
      <c r="G941" s="69"/>
    </row>
    <row r="942" spans="2:7">
      <c r="B942" s="48"/>
      <c r="C942" s="470"/>
      <c r="D942" s="69"/>
      <c r="E942" s="69"/>
      <c r="F942" s="69"/>
      <c r="G942" s="69"/>
    </row>
    <row r="943" spans="2:7">
      <c r="B943" s="48"/>
      <c r="C943" s="470"/>
      <c r="D943" s="69"/>
      <c r="E943" s="69"/>
      <c r="F943" s="69"/>
      <c r="G943" s="69"/>
    </row>
    <row r="944" spans="2:7">
      <c r="B944" s="48"/>
      <c r="C944" s="470"/>
      <c r="D944" s="69"/>
      <c r="E944" s="69"/>
      <c r="F944" s="69"/>
      <c r="G944" s="69"/>
    </row>
    <row r="945" spans="2:7">
      <c r="B945" s="48"/>
      <c r="C945" s="470"/>
      <c r="D945" s="69"/>
      <c r="E945" s="69"/>
      <c r="F945" s="69"/>
      <c r="G945" s="69"/>
    </row>
    <row r="946" spans="2:7">
      <c r="B946" s="48"/>
      <c r="C946" s="470"/>
      <c r="D946" s="69"/>
      <c r="E946" s="69"/>
      <c r="F946" s="69"/>
      <c r="G946" s="69"/>
    </row>
    <row r="947" spans="2:7">
      <c r="B947" s="48"/>
      <c r="C947" s="470"/>
      <c r="D947" s="69"/>
      <c r="E947" s="69"/>
      <c r="F947" s="69"/>
      <c r="G947" s="69"/>
    </row>
    <row r="948" spans="2:7">
      <c r="B948" s="48"/>
      <c r="C948" s="470"/>
      <c r="D948" s="69"/>
      <c r="E948" s="69"/>
      <c r="F948" s="69"/>
      <c r="G948" s="69"/>
    </row>
    <row r="949" spans="2:7">
      <c r="B949" s="48"/>
      <c r="C949" s="470"/>
      <c r="D949" s="69"/>
      <c r="E949" s="69"/>
      <c r="F949" s="69"/>
      <c r="G949" s="69"/>
    </row>
    <row r="950" spans="2:7">
      <c r="B950" s="48"/>
      <c r="C950" s="470"/>
      <c r="D950" s="69"/>
      <c r="E950" s="69"/>
      <c r="F950" s="69"/>
      <c r="G950" s="69"/>
    </row>
    <row r="951" spans="2:7">
      <c r="B951" s="48"/>
      <c r="C951" s="470"/>
      <c r="D951" s="69"/>
      <c r="E951" s="69"/>
      <c r="F951" s="69"/>
      <c r="G951" s="69"/>
    </row>
    <row r="952" spans="2:7">
      <c r="B952" s="48"/>
      <c r="C952" s="470"/>
      <c r="D952" s="69"/>
      <c r="E952" s="69"/>
      <c r="F952" s="69"/>
      <c r="G952" s="69"/>
    </row>
    <row r="953" spans="2:7">
      <c r="B953" s="48"/>
      <c r="C953" s="470"/>
      <c r="D953" s="69"/>
      <c r="E953" s="69"/>
      <c r="F953" s="69"/>
      <c r="G953" s="69"/>
    </row>
    <row r="954" spans="2:7">
      <c r="B954" s="48"/>
      <c r="C954" s="470"/>
      <c r="D954" s="69"/>
      <c r="E954" s="69"/>
      <c r="F954" s="69"/>
      <c r="G954" s="69"/>
    </row>
    <row r="955" spans="2:7">
      <c r="B955" s="48"/>
      <c r="C955" s="470"/>
      <c r="D955" s="69"/>
      <c r="E955" s="69"/>
      <c r="F955" s="69"/>
      <c r="G955" s="69"/>
    </row>
    <row r="956" spans="2:7">
      <c r="B956" s="48"/>
      <c r="C956" s="470"/>
      <c r="D956" s="69"/>
      <c r="E956" s="69"/>
      <c r="F956" s="69"/>
      <c r="G956" s="69"/>
    </row>
    <row r="957" spans="2:7">
      <c r="B957" s="48"/>
      <c r="C957" s="470"/>
      <c r="D957" s="69"/>
      <c r="E957" s="69"/>
      <c r="F957" s="69"/>
      <c r="G957" s="69"/>
    </row>
    <row r="958" spans="2:7">
      <c r="B958" s="48"/>
      <c r="C958" s="470"/>
      <c r="D958" s="69"/>
      <c r="E958" s="69"/>
      <c r="F958" s="69"/>
      <c r="G958" s="69"/>
    </row>
    <row r="959" spans="2:7">
      <c r="B959" s="48"/>
      <c r="C959" s="470"/>
      <c r="D959" s="69"/>
      <c r="E959" s="69"/>
      <c r="F959" s="69"/>
      <c r="G959" s="69"/>
    </row>
    <row r="960" spans="2:7">
      <c r="B960" s="48"/>
      <c r="C960" s="470"/>
      <c r="D960" s="69"/>
      <c r="E960" s="69"/>
      <c r="F960" s="69"/>
      <c r="G960" s="69"/>
    </row>
    <row r="961" spans="2:7">
      <c r="B961" s="48"/>
      <c r="C961" s="470"/>
      <c r="D961" s="69"/>
      <c r="E961" s="69"/>
      <c r="F961" s="69"/>
      <c r="G961" s="69"/>
    </row>
    <row r="962" spans="2:7">
      <c r="B962" s="48"/>
      <c r="C962" s="470"/>
      <c r="D962" s="69"/>
      <c r="E962" s="69"/>
      <c r="F962" s="69"/>
      <c r="G962" s="69"/>
    </row>
    <row r="963" spans="2:7">
      <c r="B963" s="48"/>
      <c r="C963" s="470"/>
      <c r="D963" s="69"/>
      <c r="E963" s="69"/>
      <c r="F963" s="69"/>
      <c r="G963" s="69"/>
    </row>
    <row r="964" spans="2:7">
      <c r="B964" s="48"/>
      <c r="C964" s="470"/>
      <c r="D964" s="69"/>
      <c r="E964" s="69"/>
      <c r="F964" s="69"/>
      <c r="G964" s="69"/>
    </row>
    <row r="965" spans="2:7">
      <c r="B965" s="48"/>
      <c r="C965" s="470"/>
      <c r="D965" s="69"/>
      <c r="E965" s="69"/>
      <c r="F965" s="69"/>
      <c r="G965" s="69"/>
    </row>
    <row r="966" spans="2:7">
      <c r="B966" s="48"/>
      <c r="C966" s="470"/>
      <c r="D966" s="69"/>
      <c r="E966" s="69"/>
      <c r="F966" s="69"/>
      <c r="G966" s="69"/>
    </row>
    <row r="967" spans="2:7">
      <c r="B967" s="48"/>
      <c r="C967" s="470"/>
      <c r="D967" s="69"/>
      <c r="E967" s="69"/>
      <c r="F967" s="69"/>
      <c r="G967" s="69"/>
    </row>
    <row r="968" spans="2:7">
      <c r="B968" s="48"/>
      <c r="C968" s="470"/>
      <c r="D968" s="69"/>
      <c r="E968" s="69"/>
      <c r="F968" s="69"/>
      <c r="G968" s="69"/>
    </row>
    <row r="969" spans="2:7">
      <c r="B969" s="48"/>
      <c r="C969" s="470"/>
      <c r="D969" s="69"/>
      <c r="E969" s="69"/>
      <c r="F969" s="69"/>
      <c r="G969" s="69"/>
    </row>
    <row r="970" spans="2:7">
      <c r="B970" s="48"/>
      <c r="C970" s="470"/>
      <c r="D970" s="69"/>
      <c r="E970" s="69"/>
      <c r="F970" s="69"/>
      <c r="G970" s="69"/>
    </row>
    <row r="971" spans="2:7">
      <c r="B971" s="48"/>
      <c r="C971" s="470"/>
      <c r="D971" s="69"/>
      <c r="E971" s="69"/>
      <c r="F971" s="69"/>
      <c r="G971" s="69"/>
    </row>
    <row r="972" spans="2:7">
      <c r="B972" s="48"/>
      <c r="C972" s="470"/>
      <c r="D972" s="69"/>
      <c r="E972" s="69"/>
      <c r="F972" s="69"/>
      <c r="G972" s="69"/>
    </row>
    <row r="973" spans="2:7">
      <c r="B973" s="48"/>
      <c r="C973" s="470"/>
      <c r="D973" s="69"/>
      <c r="E973" s="69"/>
      <c r="F973" s="69"/>
      <c r="G973" s="69"/>
    </row>
    <row r="974" spans="2:7">
      <c r="B974" s="48"/>
      <c r="C974" s="470"/>
      <c r="D974" s="69"/>
      <c r="E974" s="69"/>
      <c r="F974" s="69"/>
      <c r="G974" s="69"/>
    </row>
    <row r="975" spans="2:7">
      <c r="B975" s="48"/>
      <c r="C975" s="470"/>
      <c r="D975" s="69"/>
      <c r="E975" s="69"/>
      <c r="F975" s="69"/>
      <c r="G975" s="69"/>
    </row>
    <row r="976" spans="2:7">
      <c r="B976" s="48"/>
      <c r="C976" s="470"/>
      <c r="D976" s="69"/>
      <c r="E976" s="69"/>
      <c r="F976" s="69"/>
      <c r="G976" s="69"/>
    </row>
    <row r="977" spans="2:7">
      <c r="B977" s="48"/>
      <c r="C977" s="470"/>
      <c r="D977" s="69"/>
      <c r="E977" s="69"/>
      <c r="F977" s="69"/>
      <c r="G977" s="69"/>
    </row>
    <row r="978" spans="2:7">
      <c r="B978" s="48"/>
      <c r="C978" s="470"/>
      <c r="D978" s="69"/>
      <c r="E978" s="69"/>
      <c r="F978" s="69"/>
      <c r="G978" s="69"/>
    </row>
    <row r="979" spans="2:7">
      <c r="B979" s="48"/>
      <c r="C979" s="470"/>
      <c r="D979" s="69"/>
      <c r="E979" s="69"/>
      <c r="F979" s="69"/>
      <c r="G979" s="69"/>
    </row>
    <row r="980" spans="2:7">
      <c r="B980" s="48"/>
      <c r="C980" s="470"/>
      <c r="D980" s="69"/>
      <c r="E980" s="69"/>
      <c r="F980" s="69"/>
      <c r="G980" s="69"/>
    </row>
    <row r="981" spans="2:7">
      <c r="B981" s="48"/>
      <c r="C981" s="470"/>
      <c r="D981" s="69"/>
      <c r="E981" s="69"/>
      <c r="F981" s="69"/>
      <c r="G981" s="69"/>
    </row>
    <row r="982" spans="2:7">
      <c r="B982" s="48"/>
      <c r="C982" s="470"/>
      <c r="D982" s="69"/>
      <c r="E982" s="69"/>
      <c r="F982" s="69"/>
      <c r="G982" s="69"/>
    </row>
    <row r="983" spans="2:7">
      <c r="B983" s="48"/>
      <c r="C983" s="470"/>
      <c r="D983" s="69"/>
      <c r="E983" s="69"/>
      <c r="F983" s="69"/>
      <c r="G983" s="69"/>
    </row>
    <row r="984" spans="2:7">
      <c r="B984" s="48"/>
      <c r="C984" s="470"/>
      <c r="D984" s="69"/>
      <c r="E984" s="69"/>
      <c r="F984" s="69"/>
      <c r="G984" s="69"/>
    </row>
    <row r="985" spans="2:7">
      <c r="B985" s="48"/>
      <c r="C985" s="470"/>
      <c r="D985" s="69"/>
      <c r="E985" s="69"/>
      <c r="F985" s="69"/>
      <c r="G985" s="69"/>
    </row>
    <row r="986" spans="2:7">
      <c r="B986" s="48"/>
      <c r="C986" s="470"/>
      <c r="D986" s="69"/>
      <c r="E986" s="69"/>
      <c r="F986" s="69"/>
      <c r="G986" s="69"/>
    </row>
    <row r="987" spans="2:7">
      <c r="B987" s="48"/>
      <c r="C987" s="470"/>
      <c r="D987" s="69"/>
      <c r="E987" s="69"/>
      <c r="F987" s="69"/>
      <c r="G987" s="69"/>
    </row>
    <row r="988" spans="2:7">
      <c r="B988" s="48"/>
      <c r="C988" s="470"/>
      <c r="D988" s="69"/>
      <c r="E988" s="69"/>
      <c r="F988" s="69"/>
      <c r="G988" s="69"/>
    </row>
    <row r="989" spans="2:7">
      <c r="B989" s="48"/>
      <c r="C989" s="470"/>
      <c r="D989" s="69"/>
      <c r="E989" s="69"/>
      <c r="F989" s="69"/>
      <c r="G989" s="69"/>
    </row>
    <row r="990" spans="2:7">
      <c r="B990" s="48"/>
      <c r="C990" s="470"/>
      <c r="D990" s="69"/>
      <c r="E990" s="69"/>
      <c r="F990" s="69"/>
      <c r="G990" s="69"/>
    </row>
    <row r="991" spans="2:7">
      <c r="B991" s="48"/>
      <c r="C991" s="470"/>
      <c r="D991" s="69"/>
      <c r="E991" s="69"/>
      <c r="F991" s="69"/>
      <c r="G991" s="69"/>
    </row>
    <row r="992" spans="2:7">
      <c r="B992" s="48"/>
      <c r="C992" s="470"/>
      <c r="D992" s="69"/>
      <c r="E992" s="69"/>
      <c r="F992" s="69"/>
      <c r="G992" s="69"/>
    </row>
    <row r="993" spans="2:7">
      <c r="B993" s="48"/>
      <c r="C993" s="470"/>
      <c r="D993" s="69"/>
      <c r="E993" s="69"/>
      <c r="F993" s="69"/>
      <c r="G993" s="69"/>
    </row>
    <row r="994" spans="2:7">
      <c r="B994" s="48"/>
      <c r="C994" s="470"/>
      <c r="D994" s="69"/>
      <c r="E994" s="69"/>
      <c r="F994" s="69"/>
      <c r="G994" s="69"/>
    </row>
    <row r="995" spans="2:7">
      <c r="B995" s="48"/>
      <c r="C995" s="470"/>
      <c r="D995" s="69"/>
      <c r="E995" s="69"/>
      <c r="F995" s="69"/>
      <c r="G995" s="69"/>
    </row>
    <row r="996" spans="2:7">
      <c r="B996" s="48"/>
      <c r="C996" s="470"/>
      <c r="D996" s="69"/>
      <c r="E996" s="69"/>
      <c r="F996" s="69"/>
      <c r="G996" s="69"/>
    </row>
    <row r="997" spans="2:7">
      <c r="B997" s="48"/>
      <c r="C997" s="470"/>
      <c r="D997" s="69"/>
      <c r="E997" s="69"/>
      <c r="F997" s="69"/>
      <c r="G997" s="69"/>
    </row>
    <row r="998" spans="2:7">
      <c r="B998" s="48"/>
      <c r="C998" s="470"/>
      <c r="D998" s="69"/>
      <c r="E998" s="69"/>
      <c r="F998" s="69"/>
      <c r="G998" s="69"/>
    </row>
    <row r="999" spans="2:7">
      <c r="B999" s="48"/>
      <c r="C999" s="470"/>
      <c r="D999" s="69"/>
      <c r="E999" s="69"/>
      <c r="F999" s="69"/>
      <c r="G999" s="69"/>
    </row>
    <row r="1000" spans="2:7">
      <c r="B1000" s="48"/>
      <c r="C1000" s="470"/>
      <c r="D1000" s="69"/>
      <c r="E1000" s="69"/>
      <c r="F1000" s="69"/>
      <c r="G1000" s="69"/>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06666"/>
    <outlinePr summaryBelow="0" summaryRight="0"/>
  </sheetPr>
  <dimension ref="A1:AA954"/>
  <sheetViews>
    <sheetView showGridLines="0" workbookViewId="0">
      <selection activeCell="G66" sqref="G66"/>
    </sheetView>
  </sheetViews>
  <sheetFormatPr defaultColWidth="14.42578125" defaultRowHeight="15" customHeight="1"/>
  <cols>
    <col min="1" max="1" width="4.140625" customWidth="1"/>
    <col min="2" max="3" width="3" customWidth="1"/>
    <col min="4" max="4" width="40.28515625" customWidth="1"/>
  </cols>
  <sheetData>
    <row r="1" spans="1:27">
      <c r="A1" s="69"/>
      <c r="B1" s="69"/>
      <c r="C1" s="69"/>
      <c r="D1" s="69"/>
      <c r="E1" s="69"/>
      <c r="F1" s="69"/>
      <c r="G1" s="69"/>
      <c r="H1" s="69"/>
      <c r="I1" s="69"/>
      <c r="J1" s="69"/>
      <c r="K1" s="69"/>
      <c r="L1" s="69"/>
      <c r="M1" s="69"/>
      <c r="N1" s="69"/>
      <c r="O1" s="69"/>
      <c r="P1" s="69"/>
      <c r="Q1" s="69"/>
      <c r="R1" s="69"/>
      <c r="S1" s="69"/>
      <c r="T1" s="69"/>
      <c r="U1" s="69"/>
      <c r="V1" s="69"/>
      <c r="W1" s="69"/>
      <c r="X1" s="69"/>
      <c r="Y1" s="69"/>
      <c r="Z1" s="69"/>
      <c r="AA1" s="69"/>
    </row>
    <row r="2" spans="1:27">
      <c r="A2" s="1"/>
      <c r="B2" s="421" t="s">
        <v>943</v>
      </c>
      <c r="C2" s="421"/>
      <c r="D2" s="422"/>
      <c r="E2" s="423"/>
      <c r="F2" s="423"/>
      <c r="G2" s="423"/>
      <c r="H2" s="423"/>
      <c r="I2" s="1"/>
      <c r="J2" s="49"/>
      <c r="K2" s="325"/>
      <c r="L2" s="1"/>
      <c r="M2" s="1"/>
      <c r="N2" s="1"/>
      <c r="O2" s="1"/>
      <c r="P2" s="1"/>
      <c r="Q2" s="1"/>
      <c r="R2" s="1"/>
      <c r="S2" s="1"/>
      <c r="T2" s="1"/>
      <c r="U2" s="1"/>
      <c r="V2" s="1"/>
      <c r="W2" s="1"/>
      <c r="X2" s="1"/>
      <c r="Y2" s="1"/>
      <c r="Z2" s="1"/>
      <c r="AA2" s="1"/>
    </row>
    <row r="3" spans="1:27" ht="5.25" customHeight="1">
      <c r="A3" s="1"/>
      <c r="B3" s="12"/>
      <c r="C3" s="1"/>
      <c r="D3" s="1"/>
      <c r="E3" s="43"/>
      <c r="F3" s="27"/>
      <c r="G3" s="1"/>
      <c r="H3" s="1"/>
      <c r="I3" s="1"/>
      <c r="J3" s="1"/>
      <c r="K3" s="1"/>
      <c r="L3" s="1"/>
      <c r="M3" s="1"/>
      <c r="N3" s="1"/>
      <c r="O3" s="1"/>
      <c r="P3" s="1"/>
      <c r="Q3" s="1"/>
      <c r="R3" s="1"/>
      <c r="S3" s="1"/>
      <c r="T3" s="1"/>
      <c r="U3" s="1"/>
      <c r="V3" s="1"/>
      <c r="W3" s="1"/>
      <c r="X3" s="1"/>
      <c r="Y3" s="1"/>
      <c r="Z3" s="1"/>
      <c r="AA3" s="1"/>
    </row>
    <row r="4" spans="1:27">
      <c r="A4" s="1"/>
      <c r="B4" s="12" t="s">
        <v>944</v>
      </c>
      <c r="C4" s="1"/>
      <c r="D4" s="1"/>
      <c r="G4" s="43" t="s">
        <v>181</v>
      </c>
      <c r="H4" s="74">
        <v>2018</v>
      </c>
      <c r="I4" s="1"/>
      <c r="J4" s="1"/>
      <c r="K4" s="1"/>
      <c r="L4" s="1"/>
      <c r="M4" s="1"/>
      <c r="N4" s="1"/>
      <c r="O4" s="1"/>
      <c r="P4" s="1"/>
      <c r="Q4" s="1"/>
      <c r="R4" s="1"/>
      <c r="S4" s="1"/>
      <c r="T4" s="1"/>
      <c r="U4" s="1"/>
      <c r="V4" s="1"/>
      <c r="W4" s="1"/>
      <c r="X4" s="1"/>
      <c r="Y4" s="1"/>
      <c r="Z4" s="1"/>
      <c r="AA4" s="1"/>
    </row>
    <row r="5" spans="1:27">
      <c r="A5" s="1"/>
      <c r="B5" s="12" t="s">
        <v>945</v>
      </c>
      <c r="C5" s="6"/>
      <c r="D5" s="6"/>
      <c r="G5" s="43" t="s">
        <v>246</v>
      </c>
      <c r="H5" s="496">
        <f>Growth!C10</f>
        <v>0.2</v>
      </c>
      <c r="I5" s="1"/>
      <c r="J5" s="1"/>
      <c r="K5" s="1"/>
      <c r="L5" s="1"/>
      <c r="M5" s="1"/>
      <c r="N5" s="1"/>
      <c r="O5" s="1"/>
      <c r="P5" s="1"/>
      <c r="Q5" s="1"/>
      <c r="R5" s="1"/>
      <c r="S5" s="1"/>
      <c r="T5" s="1"/>
      <c r="U5" s="1"/>
      <c r="V5" s="1"/>
      <c r="W5" s="1"/>
      <c r="X5" s="1"/>
      <c r="Y5" s="1"/>
      <c r="Z5" s="1"/>
      <c r="AA5" s="1"/>
    </row>
    <row r="6" spans="1:27">
      <c r="A6" s="1"/>
      <c r="B6" s="497" t="s">
        <v>946</v>
      </c>
      <c r="C6" s="498"/>
      <c r="D6" s="6"/>
      <c r="G6" s="43" t="s">
        <v>181</v>
      </c>
      <c r="H6" s="74">
        <v>2028</v>
      </c>
      <c r="I6" s="1"/>
      <c r="J6" s="1"/>
      <c r="K6" s="1"/>
      <c r="L6" s="1"/>
      <c r="M6" s="1"/>
      <c r="N6" s="1"/>
      <c r="O6" s="1"/>
      <c r="P6" s="1"/>
      <c r="Q6" s="1"/>
      <c r="R6" s="1"/>
      <c r="S6" s="1"/>
      <c r="T6" s="1"/>
      <c r="U6" s="1"/>
      <c r="V6" s="1"/>
      <c r="W6" s="1"/>
      <c r="X6" s="1"/>
      <c r="Y6" s="1"/>
      <c r="Z6" s="1"/>
      <c r="AA6" s="1"/>
    </row>
    <row r="7" spans="1:27">
      <c r="A7" s="1"/>
      <c r="B7" s="1184" t="s">
        <v>947</v>
      </c>
      <c r="C7" s="1185"/>
      <c r="D7" s="1185"/>
      <c r="G7" s="43" t="s">
        <v>246</v>
      </c>
      <c r="H7" s="496">
        <f>E12</f>
        <v>0.71470637973137974</v>
      </c>
      <c r="I7" s="1"/>
      <c r="J7" s="1"/>
      <c r="K7" s="1"/>
      <c r="L7" s="1"/>
      <c r="M7" s="1"/>
      <c r="N7" s="1"/>
      <c r="O7" s="1"/>
      <c r="P7" s="1"/>
      <c r="Q7" s="1"/>
      <c r="R7" s="1"/>
      <c r="S7" s="1"/>
      <c r="T7" s="1"/>
      <c r="U7" s="1"/>
      <c r="V7" s="1"/>
      <c r="W7" s="1"/>
      <c r="X7" s="1"/>
      <c r="Y7" s="1"/>
      <c r="Z7" s="1"/>
      <c r="AA7" s="1"/>
    </row>
    <row r="8" spans="1:27">
      <c r="A8" s="1"/>
      <c r="B8" s="1"/>
      <c r="C8" s="1"/>
      <c r="D8" s="1"/>
      <c r="E8" s="1"/>
      <c r="F8" s="1"/>
      <c r="G8" s="1"/>
      <c r="H8" s="1"/>
      <c r="I8" s="1"/>
      <c r="J8" s="1"/>
      <c r="K8" s="1"/>
      <c r="L8" s="1"/>
      <c r="M8" s="1"/>
      <c r="N8" s="1"/>
      <c r="O8" s="1"/>
      <c r="P8" s="1"/>
      <c r="Q8" s="1"/>
      <c r="R8" s="1"/>
      <c r="S8" s="1"/>
      <c r="T8" s="1"/>
      <c r="U8" s="1"/>
      <c r="V8" s="1"/>
      <c r="W8" s="1"/>
      <c r="X8" s="1"/>
      <c r="Y8" s="1"/>
      <c r="Z8" s="1"/>
      <c r="AA8" s="1"/>
    </row>
    <row r="9" spans="1:27">
      <c r="A9" s="69"/>
      <c r="B9" s="69"/>
      <c r="C9" s="69"/>
      <c r="D9" s="69"/>
      <c r="E9" s="69"/>
      <c r="F9" s="69"/>
      <c r="G9" s="69"/>
      <c r="H9" s="69"/>
      <c r="I9" s="69"/>
      <c r="J9" s="69"/>
      <c r="K9" s="69"/>
      <c r="L9" s="69"/>
      <c r="M9" s="69"/>
      <c r="N9" s="69"/>
      <c r="O9" s="69"/>
      <c r="P9" s="69"/>
      <c r="Q9" s="69"/>
      <c r="R9" s="69"/>
      <c r="S9" s="69"/>
      <c r="T9" s="69"/>
      <c r="U9" s="69"/>
      <c r="V9" s="69"/>
      <c r="W9" s="69"/>
      <c r="X9" s="69"/>
      <c r="Y9" s="69"/>
      <c r="Z9" s="69"/>
      <c r="AA9" s="69"/>
    </row>
    <row r="10" spans="1:27">
      <c r="A10" s="69"/>
      <c r="B10" s="69"/>
      <c r="C10" s="69"/>
      <c r="D10" s="69"/>
      <c r="E10" s="69"/>
      <c r="F10" s="69"/>
      <c r="G10" s="69"/>
      <c r="H10" s="69"/>
      <c r="I10" s="69"/>
      <c r="J10" s="69"/>
      <c r="K10" s="69"/>
      <c r="L10" s="69"/>
      <c r="M10" s="69"/>
      <c r="N10" s="69"/>
      <c r="O10" s="69"/>
      <c r="P10" s="69"/>
      <c r="Q10" s="69"/>
      <c r="R10" s="69"/>
      <c r="S10" s="69"/>
      <c r="T10" s="69"/>
      <c r="U10" s="69"/>
      <c r="V10" s="69"/>
      <c r="W10" s="69"/>
      <c r="X10" s="69"/>
      <c r="Y10" s="69"/>
      <c r="Z10" s="69"/>
      <c r="AA10" s="69"/>
    </row>
    <row r="11" spans="1:27" hidden="1">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row>
    <row r="12" spans="1:27" hidden="1">
      <c r="A12" s="355"/>
      <c r="B12" s="499" t="s">
        <v>948</v>
      </c>
      <c r="C12" s="500"/>
      <c r="D12" s="355"/>
      <c r="E12" s="501">
        <f>100%-AVERAGE(SUM(F27,F29,F30),SUM(F41,F47),SUM(F59,F58))</f>
        <v>0.71470637973137974</v>
      </c>
      <c r="F12" s="355"/>
      <c r="G12" s="502" t="s">
        <v>949</v>
      </c>
      <c r="H12" s="500"/>
      <c r="I12" s="500"/>
      <c r="J12" s="500"/>
      <c r="K12" s="500"/>
      <c r="L12" s="500"/>
      <c r="M12" s="500"/>
      <c r="N12" s="500"/>
      <c r="O12" s="500"/>
      <c r="P12" s="500"/>
      <c r="Q12" s="500"/>
      <c r="R12" s="503"/>
      <c r="S12" s="503"/>
      <c r="T12" s="504"/>
      <c r="U12" s="504"/>
      <c r="V12" s="504"/>
      <c r="W12" s="504"/>
      <c r="X12" s="504"/>
      <c r="Y12" s="504"/>
      <c r="Z12" s="504"/>
      <c r="AA12" s="504"/>
    </row>
    <row r="13" spans="1:27" hidden="1">
      <c r="A13" s="355"/>
      <c r="B13" s="505"/>
      <c r="C13" s="355"/>
      <c r="D13" s="355"/>
      <c r="E13" s="355"/>
      <c r="F13" s="355"/>
      <c r="G13" s="355"/>
      <c r="H13" s="355"/>
      <c r="I13" s="355"/>
      <c r="J13" s="355"/>
      <c r="K13" s="355"/>
      <c r="L13" s="355"/>
      <c r="M13" s="355"/>
      <c r="N13" s="355"/>
      <c r="O13" s="355"/>
      <c r="P13" s="355"/>
      <c r="Q13" s="355"/>
      <c r="R13" s="504"/>
      <c r="S13" s="504"/>
      <c r="T13" s="504"/>
      <c r="U13" s="504"/>
      <c r="V13" s="504"/>
      <c r="W13" s="504"/>
      <c r="X13" s="504"/>
      <c r="Y13" s="504"/>
      <c r="Z13" s="504"/>
      <c r="AA13" s="504"/>
    </row>
    <row r="14" spans="1:27" hidden="1">
      <c r="A14" s="355"/>
      <c r="B14" s="506" t="s">
        <v>950</v>
      </c>
      <c r="C14" s="507" t="s">
        <v>951</v>
      </c>
      <c r="D14" s="507"/>
      <c r="E14" s="507"/>
      <c r="F14" s="508" t="s">
        <v>952</v>
      </c>
      <c r="G14" s="509"/>
      <c r="H14" s="509"/>
      <c r="I14" s="509"/>
      <c r="J14" s="507"/>
      <c r="K14" s="507"/>
      <c r="L14" s="507"/>
      <c r="M14" s="507"/>
      <c r="N14" s="507"/>
      <c r="O14" s="507"/>
      <c r="P14" s="507"/>
      <c r="Q14" s="507"/>
      <c r="R14" s="510"/>
      <c r="S14" s="510"/>
      <c r="T14" s="510"/>
      <c r="U14" s="510"/>
      <c r="V14" s="510"/>
      <c r="W14" s="510"/>
      <c r="X14" s="510"/>
      <c r="Y14" s="510"/>
      <c r="Z14" s="510"/>
      <c r="AA14" s="510"/>
    </row>
    <row r="15" spans="1:27" hidden="1">
      <c r="A15" s="355"/>
      <c r="B15" s="355"/>
      <c r="C15" s="355"/>
      <c r="D15" s="355"/>
      <c r="E15" s="355"/>
      <c r="F15" s="355"/>
      <c r="G15" s="355"/>
      <c r="H15" s="355"/>
      <c r="I15" s="355"/>
      <c r="J15" s="355"/>
      <c r="K15" s="355"/>
      <c r="L15" s="355"/>
      <c r="M15" s="355"/>
      <c r="N15" s="355"/>
      <c r="O15" s="355"/>
      <c r="P15" s="355"/>
      <c r="Q15" s="355"/>
      <c r="R15" s="504"/>
      <c r="S15" s="504"/>
      <c r="T15" s="504"/>
      <c r="U15" s="504"/>
      <c r="V15" s="504"/>
      <c r="W15" s="504"/>
      <c r="X15" s="504"/>
      <c r="Y15" s="504"/>
      <c r="Z15" s="504"/>
      <c r="AA15" s="504"/>
    </row>
    <row r="16" spans="1:27" hidden="1">
      <c r="A16" s="355"/>
      <c r="B16" s="69"/>
      <c r="C16" s="511" t="s">
        <v>953</v>
      </c>
      <c r="D16" s="355"/>
      <c r="E16" s="512" t="s">
        <v>201</v>
      </c>
      <c r="F16" s="512" t="s">
        <v>486</v>
      </c>
      <c r="G16" s="355"/>
      <c r="H16" s="355"/>
      <c r="I16" s="355"/>
      <c r="J16" s="355"/>
      <c r="K16" s="355"/>
      <c r="L16" s="355"/>
      <c r="M16" s="355"/>
      <c r="N16" s="355"/>
      <c r="O16" s="355"/>
      <c r="P16" s="355"/>
      <c r="Q16" s="355"/>
      <c r="R16" s="504"/>
      <c r="S16" s="504"/>
      <c r="T16" s="504"/>
      <c r="U16" s="504"/>
      <c r="V16" s="504"/>
      <c r="W16" s="504"/>
      <c r="X16" s="504"/>
      <c r="Y16" s="504"/>
      <c r="Z16" s="504"/>
      <c r="AA16" s="504"/>
    </row>
    <row r="17" spans="1:27" hidden="1">
      <c r="A17" s="355"/>
      <c r="B17" s="69"/>
      <c r="C17" s="502" t="s">
        <v>954</v>
      </c>
      <c r="D17" s="355"/>
      <c r="E17" s="513">
        <v>19</v>
      </c>
      <c r="F17" s="514">
        <v>9.0499999999999997E-2</v>
      </c>
      <c r="G17" s="355"/>
      <c r="H17" s="355"/>
      <c r="I17" s="355"/>
      <c r="J17" s="355"/>
      <c r="K17" s="355"/>
      <c r="L17" s="355"/>
      <c r="M17" s="355"/>
      <c r="N17" s="355"/>
      <c r="O17" s="355"/>
      <c r="P17" s="355"/>
      <c r="Q17" s="355"/>
      <c r="R17" s="504"/>
      <c r="S17" s="504"/>
      <c r="T17" s="504"/>
      <c r="U17" s="504"/>
      <c r="V17" s="504"/>
      <c r="W17" s="504"/>
      <c r="X17" s="504"/>
      <c r="Y17" s="504"/>
      <c r="Z17" s="504"/>
      <c r="AA17" s="504"/>
    </row>
    <row r="18" spans="1:27" hidden="1">
      <c r="A18" s="355"/>
      <c r="B18" s="69"/>
      <c r="C18" s="502" t="s">
        <v>955</v>
      </c>
      <c r="D18" s="355"/>
      <c r="E18" s="513">
        <v>8</v>
      </c>
      <c r="F18" s="514">
        <v>3.8100000000000002E-2</v>
      </c>
      <c r="G18" s="355"/>
      <c r="H18" s="355"/>
      <c r="I18" s="355"/>
      <c r="J18" s="355"/>
      <c r="K18" s="355"/>
      <c r="L18" s="355"/>
      <c r="M18" s="355"/>
      <c r="N18" s="355"/>
      <c r="O18" s="355"/>
      <c r="P18" s="355"/>
      <c r="Q18" s="355"/>
      <c r="R18" s="504"/>
      <c r="S18" s="504"/>
      <c r="T18" s="504"/>
      <c r="U18" s="504"/>
      <c r="V18" s="504"/>
      <c r="W18" s="504"/>
      <c r="X18" s="504"/>
      <c r="Y18" s="504"/>
      <c r="Z18" s="504"/>
      <c r="AA18" s="504"/>
    </row>
    <row r="19" spans="1:27" hidden="1">
      <c r="A19" s="355"/>
      <c r="B19" s="69"/>
      <c r="C19" s="502" t="s">
        <v>956</v>
      </c>
      <c r="D19" s="355"/>
      <c r="E19" s="513">
        <v>27</v>
      </c>
      <c r="F19" s="514">
        <v>0.12859999999999999</v>
      </c>
      <c r="G19" s="355"/>
      <c r="H19" s="355"/>
      <c r="I19" s="355"/>
      <c r="J19" s="355"/>
      <c r="K19" s="355"/>
      <c r="L19" s="355"/>
      <c r="M19" s="355"/>
      <c r="N19" s="355"/>
      <c r="O19" s="355"/>
      <c r="P19" s="355"/>
      <c r="Q19" s="355"/>
      <c r="R19" s="504"/>
      <c r="S19" s="504"/>
      <c r="T19" s="504"/>
      <c r="U19" s="504"/>
      <c r="V19" s="504"/>
      <c r="W19" s="504"/>
      <c r="X19" s="504"/>
      <c r="Y19" s="504"/>
      <c r="Z19" s="504"/>
      <c r="AA19" s="504"/>
    </row>
    <row r="20" spans="1:27" hidden="1">
      <c r="A20" s="355"/>
      <c r="B20" s="69"/>
      <c r="C20" s="502" t="s">
        <v>957</v>
      </c>
      <c r="D20" s="355"/>
      <c r="E20" s="513">
        <v>7</v>
      </c>
      <c r="F20" s="514">
        <v>3.3300000000000003E-2</v>
      </c>
      <c r="G20" s="355"/>
      <c r="H20" s="355"/>
      <c r="I20" s="355"/>
      <c r="J20" s="355"/>
      <c r="K20" s="355"/>
      <c r="L20" s="355"/>
      <c r="M20" s="355"/>
      <c r="N20" s="355"/>
      <c r="O20" s="355"/>
      <c r="P20" s="355"/>
      <c r="Q20" s="355"/>
      <c r="R20" s="504"/>
      <c r="S20" s="504"/>
      <c r="T20" s="504"/>
      <c r="U20" s="504"/>
      <c r="V20" s="504"/>
      <c r="W20" s="504"/>
      <c r="X20" s="504"/>
      <c r="Y20" s="504"/>
      <c r="Z20" s="504"/>
      <c r="AA20" s="504"/>
    </row>
    <row r="21" spans="1:27" hidden="1">
      <c r="A21" s="355"/>
      <c r="B21" s="69"/>
      <c r="C21" s="502" t="s">
        <v>958</v>
      </c>
      <c r="D21" s="355"/>
      <c r="E21" s="513">
        <v>10</v>
      </c>
      <c r="F21" s="514">
        <v>4.7600000000000003E-2</v>
      </c>
      <c r="G21" s="355"/>
      <c r="H21" s="355"/>
      <c r="I21" s="355"/>
      <c r="J21" s="355"/>
      <c r="K21" s="355"/>
      <c r="L21" s="355"/>
      <c r="M21" s="355"/>
      <c r="N21" s="355"/>
      <c r="O21" s="355"/>
      <c r="P21" s="355"/>
      <c r="Q21" s="355"/>
      <c r="R21" s="504"/>
      <c r="S21" s="504"/>
      <c r="T21" s="504"/>
      <c r="U21" s="504"/>
      <c r="V21" s="504"/>
      <c r="W21" s="504"/>
      <c r="X21" s="504"/>
      <c r="Y21" s="504"/>
      <c r="Z21" s="504"/>
      <c r="AA21" s="504"/>
    </row>
    <row r="22" spans="1:27" hidden="1">
      <c r="A22" s="355"/>
      <c r="B22" s="69"/>
      <c r="C22" s="502" t="s">
        <v>959</v>
      </c>
      <c r="D22" s="355"/>
      <c r="E22" s="513">
        <v>10</v>
      </c>
      <c r="F22" s="514">
        <v>4.7600000000000003E-2</v>
      </c>
      <c r="G22" s="355"/>
      <c r="H22" s="355"/>
      <c r="I22" s="355"/>
      <c r="J22" s="355"/>
      <c r="K22" s="355"/>
      <c r="L22" s="355"/>
      <c r="M22" s="355"/>
      <c r="N22" s="355"/>
      <c r="O22" s="355"/>
      <c r="P22" s="355"/>
      <c r="Q22" s="355"/>
      <c r="R22" s="504"/>
      <c r="S22" s="504"/>
      <c r="T22" s="504"/>
      <c r="U22" s="504"/>
      <c r="V22" s="504"/>
      <c r="W22" s="504"/>
      <c r="X22" s="504"/>
      <c r="Y22" s="504"/>
      <c r="Z22" s="504"/>
      <c r="AA22" s="504"/>
    </row>
    <row r="23" spans="1:27" hidden="1">
      <c r="A23" s="355"/>
      <c r="B23" s="69"/>
      <c r="C23" s="502" t="s">
        <v>960</v>
      </c>
      <c r="D23" s="355"/>
      <c r="E23" s="513">
        <v>8</v>
      </c>
      <c r="F23" s="514">
        <v>3.8100000000000002E-2</v>
      </c>
      <c r="G23" s="355"/>
      <c r="H23" s="355"/>
      <c r="I23" s="355"/>
      <c r="J23" s="355"/>
      <c r="K23" s="355"/>
      <c r="L23" s="355"/>
      <c r="M23" s="355"/>
      <c r="N23" s="355"/>
      <c r="O23" s="355"/>
      <c r="P23" s="355"/>
      <c r="Q23" s="355"/>
      <c r="R23" s="504"/>
      <c r="S23" s="504"/>
      <c r="T23" s="504"/>
      <c r="U23" s="504"/>
      <c r="V23" s="504"/>
      <c r="W23" s="504"/>
      <c r="X23" s="504"/>
      <c r="Y23" s="504"/>
      <c r="Z23" s="504"/>
      <c r="AA23" s="504"/>
    </row>
    <row r="24" spans="1:27" hidden="1">
      <c r="A24" s="355"/>
      <c r="B24" s="69"/>
      <c r="C24" s="502" t="s">
        <v>961</v>
      </c>
      <c r="D24" s="355"/>
      <c r="E24" s="513">
        <v>4</v>
      </c>
      <c r="F24" s="514">
        <v>1.9E-2</v>
      </c>
      <c r="G24" s="355"/>
      <c r="H24" s="355"/>
      <c r="I24" s="355"/>
      <c r="J24" s="355"/>
      <c r="K24" s="355"/>
      <c r="L24" s="355"/>
      <c r="M24" s="355"/>
      <c r="N24" s="355"/>
      <c r="O24" s="355"/>
      <c r="P24" s="355"/>
      <c r="Q24" s="355"/>
      <c r="R24" s="504"/>
      <c r="S24" s="504"/>
      <c r="T24" s="504"/>
      <c r="U24" s="504"/>
      <c r="V24" s="504"/>
      <c r="W24" s="504"/>
      <c r="X24" s="504"/>
      <c r="Y24" s="504"/>
      <c r="Z24" s="504"/>
      <c r="AA24" s="504"/>
    </row>
    <row r="25" spans="1:27" hidden="1">
      <c r="A25" s="355"/>
      <c r="B25" s="69"/>
      <c r="C25" s="502" t="s">
        <v>962</v>
      </c>
      <c r="D25" s="355"/>
      <c r="E25" s="513">
        <v>8</v>
      </c>
      <c r="F25" s="514">
        <v>3.8100000000000002E-2</v>
      </c>
      <c r="G25" s="355"/>
      <c r="H25" s="355"/>
      <c r="I25" s="355"/>
      <c r="J25" s="355"/>
      <c r="K25" s="355"/>
      <c r="L25" s="355"/>
      <c r="M25" s="355"/>
      <c r="N25" s="355"/>
      <c r="O25" s="355"/>
      <c r="P25" s="355"/>
      <c r="Q25" s="355"/>
      <c r="R25" s="504"/>
      <c r="S25" s="504"/>
      <c r="T25" s="504"/>
      <c r="U25" s="504"/>
      <c r="V25" s="504"/>
      <c r="W25" s="504"/>
      <c r="X25" s="504"/>
      <c r="Y25" s="504"/>
      <c r="Z25" s="504"/>
      <c r="AA25" s="504"/>
    </row>
    <row r="26" spans="1:27" hidden="1">
      <c r="A26" s="355"/>
      <c r="B26" s="69"/>
      <c r="C26" s="515" t="s">
        <v>963</v>
      </c>
      <c r="D26" s="516"/>
      <c r="E26" s="517">
        <v>6</v>
      </c>
      <c r="F26" s="518">
        <v>2.86E-2</v>
      </c>
      <c r="G26" s="355"/>
      <c r="H26" s="355"/>
      <c r="I26" s="355"/>
      <c r="J26" s="355"/>
      <c r="K26" s="355"/>
      <c r="L26" s="355"/>
      <c r="M26" s="355"/>
      <c r="N26" s="355"/>
      <c r="O26" s="355"/>
      <c r="P26" s="355"/>
      <c r="Q26" s="355"/>
      <c r="R26" s="504"/>
      <c r="S26" s="504"/>
      <c r="T26" s="504"/>
      <c r="U26" s="504"/>
      <c r="V26" s="504"/>
      <c r="W26" s="504"/>
      <c r="X26" s="504"/>
      <c r="Y26" s="504"/>
      <c r="Z26" s="504"/>
      <c r="AA26" s="504"/>
    </row>
    <row r="27" spans="1:27" hidden="1">
      <c r="A27" s="519"/>
      <c r="B27" s="69"/>
      <c r="C27" s="515" t="s">
        <v>964</v>
      </c>
      <c r="D27" s="516"/>
      <c r="E27" s="517">
        <v>40</v>
      </c>
      <c r="F27" s="520">
        <v>0.1905</v>
      </c>
      <c r="G27" s="355"/>
      <c r="H27" s="355"/>
      <c r="I27" s="355"/>
      <c r="J27" s="355"/>
      <c r="K27" s="355"/>
      <c r="L27" s="355"/>
      <c r="M27" s="355"/>
      <c r="N27" s="355"/>
      <c r="O27" s="355"/>
      <c r="P27" s="355"/>
      <c r="Q27" s="355"/>
      <c r="R27" s="504"/>
      <c r="S27" s="504"/>
      <c r="T27" s="504"/>
      <c r="U27" s="504"/>
      <c r="V27" s="504"/>
      <c r="W27" s="504"/>
      <c r="X27" s="504"/>
      <c r="Y27" s="504"/>
      <c r="Z27" s="504"/>
      <c r="AA27" s="504"/>
    </row>
    <row r="28" spans="1:27" hidden="1">
      <c r="A28" s="355"/>
      <c r="B28" s="69"/>
      <c r="C28" s="515" t="s">
        <v>965</v>
      </c>
      <c r="D28" s="516"/>
      <c r="E28" s="517">
        <v>1</v>
      </c>
      <c r="F28" s="518">
        <v>4.7999999999999996E-3</v>
      </c>
      <c r="G28" s="355"/>
      <c r="H28" s="355"/>
      <c r="I28" s="355"/>
      <c r="J28" s="355"/>
      <c r="K28" s="355"/>
      <c r="L28" s="355"/>
      <c r="M28" s="355"/>
      <c r="N28" s="355"/>
      <c r="O28" s="355"/>
      <c r="P28" s="355"/>
      <c r="Q28" s="355"/>
      <c r="R28" s="504"/>
      <c r="S28" s="504"/>
      <c r="T28" s="504"/>
      <c r="U28" s="504"/>
      <c r="V28" s="504"/>
      <c r="W28" s="504"/>
      <c r="X28" s="504"/>
      <c r="Y28" s="504"/>
      <c r="Z28" s="504"/>
      <c r="AA28" s="504"/>
    </row>
    <row r="29" spans="1:27" hidden="1">
      <c r="A29" s="519"/>
      <c r="B29" s="69"/>
      <c r="C29" s="502" t="s">
        <v>966</v>
      </c>
      <c r="D29" s="355"/>
      <c r="E29" s="513">
        <v>33</v>
      </c>
      <c r="F29" s="521">
        <v>0.15709999999999999</v>
      </c>
      <c r="G29" s="355"/>
      <c r="H29" s="355"/>
      <c r="I29" s="355"/>
      <c r="J29" s="355"/>
      <c r="K29" s="355"/>
      <c r="L29" s="355"/>
      <c r="M29" s="355"/>
      <c r="N29" s="355"/>
      <c r="O29" s="355"/>
      <c r="P29" s="355"/>
      <c r="Q29" s="355"/>
      <c r="R29" s="504"/>
      <c r="S29" s="504"/>
      <c r="T29" s="504"/>
      <c r="U29" s="504"/>
      <c r="V29" s="504"/>
      <c r="W29" s="504"/>
      <c r="X29" s="504"/>
      <c r="Y29" s="504"/>
      <c r="Z29" s="504"/>
      <c r="AA29" s="504"/>
    </row>
    <row r="30" spans="1:27" hidden="1">
      <c r="A30" s="519"/>
      <c r="B30" s="69"/>
      <c r="C30" s="515" t="s">
        <v>967</v>
      </c>
      <c r="D30" s="516"/>
      <c r="E30" s="517">
        <v>8</v>
      </c>
      <c r="F30" s="520">
        <v>3.8100000000000002E-2</v>
      </c>
      <c r="G30" s="355"/>
      <c r="H30" s="355"/>
      <c r="I30" s="355"/>
      <c r="J30" s="355"/>
      <c r="K30" s="355"/>
      <c r="L30" s="355"/>
      <c r="M30" s="355"/>
      <c r="N30" s="355"/>
      <c r="O30" s="355"/>
      <c r="P30" s="355"/>
      <c r="Q30" s="355"/>
      <c r="R30" s="504"/>
      <c r="S30" s="504"/>
      <c r="T30" s="504"/>
      <c r="U30" s="504"/>
      <c r="V30" s="504"/>
      <c r="W30" s="504"/>
      <c r="X30" s="504"/>
      <c r="Y30" s="504"/>
      <c r="Z30" s="504"/>
      <c r="AA30" s="504"/>
    </row>
    <row r="31" spans="1:27" hidden="1">
      <c r="A31" s="355"/>
      <c r="B31" s="69"/>
      <c r="C31" s="502" t="s">
        <v>968</v>
      </c>
      <c r="D31" s="355"/>
      <c r="E31" s="513">
        <v>13</v>
      </c>
      <c r="F31" s="514">
        <v>6.1899999999999997E-2</v>
      </c>
      <c r="G31" s="355"/>
      <c r="H31" s="355"/>
      <c r="I31" s="355"/>
      <c r="J31" s="355"/>
      <c r="K31" s="355"/>
      <c r="L31" s="355"/>
      <c r="M31" s="355"/>
      <c r="N31" s="355"/>
      <c r="O31" s="355"/>
      <c r="P31" s="355"/>
      <c r="Q31" s="355"/>
      <c r="R31" s="504"/>
      <c r="S31" s="504"/>
      <c r="T31" s="504"/>
      <c r="U31" s="504"/>
      <c r="V31" s="504"/>
      <c r="W31" s="504"/>
      <c r="X31" s="504"/>
      <c r="Y31" s="504"/>
      <c r="Z31" s="504"/>
      <c r="AA31" s="504"/>
    </row>
    <row r="32" spans="1:27" hidden="1">
      <c r="A32" s="355"/>
      <c r="B32" s="69"/>
      <c r="C32" s="502" t="s">
        <v>969</v>
      </c>
      <c r="D32" s="355"/>
      <c r="E32" s="513">
        <v>8</v>
      </c>
      <c r="F32" s="514">
        <v>3.8100000000000002E-2</v>
      </c>
      <c r="G32" s="355"/>
      <c r="H32" s="355"/>
      <c r="I32" s="355"/>
      <c r="J32" s="355"/>
      <c r="K32" s="355"/>
      <c r="L32" s="355"/>
      <c r="M32" s="355"/>
      <c r="N32" s="355"/>
      <c r="O32" s="355"/>
      <c r="P32" s="355"/>
      <c r="Q32" s="355"/>
      <c r="R32" s="504"/>
      <c r="S32" s="504"/>
      <c r="T32" s="504"/>
      <c r="U32" s="504"/>
      <c r="V32" s="504"/>
      <c r="W32" s="504"/>
      <c r="X32" s="504"/>
      <c r="Y32" s="504"/>
      <c r="Z32" s="504"/>
      <c r="AA32" s="504"/>
    </row>
    <row r="33" spans="1:27" hidden="1">
      <c r="A33" s="355"/>
      <c r="B33" s="69"/>
      <c r="C33" s="522" t="s">
        <v>772</v>
      </c>
      <c r="D33" s="355"/>
      <c r="E33" s="512">
        <v>210</v>
      </c>
      <c r="F33" s="355"/>
      <c r="G33" s="355"/>
      <c r="H33" s="355"/>
      <c r="I33" s="355"/>
      <c r="J33" s="355"/>
      <c r="K33" s="355"/>
      <c r="L33" s="355"/>
      <c r="M33" s="355"/>
      <c r="N33" s="355"/>
      <c r="O33" s="355"/>
      <c r="P33" s="355"/>
      <c r="Q33" s="355"/>
      <c r="R33" s="504"/>
      <c r="S33" s="504"/>
      <c r="T33" s="504"/>
      <c r="U33" s="504"/>
      <c r="V33" s="504"/>
      <c r="W33" s="504"/>
      <c r="X33" s="504"/>
      <c r="Y33" s="504"/>
      <c r="Z33" s="504"/>
      <c r="AA33" s="504"/>
    </row>
    <row r="34" spans="1:27" hidden="1">
      <c r="A34" s="355"/>
      <c r="B34" s="69"/>
      <c r="C34" s="511" t="s">
        <v>970</v>
      </c>
      <c r="D34" s="355"/>
      <c r="E34" s="512">
        <v>94</v>
      </c>
      <c r="F34" s="355"/>
      <c r="G34" s="355"/>
      <c r="H34" s="355"/>
      <c r="I34" s="355"/>
      <c r="J34" s="355"/>
      <c r="K34" s="355"/>
      <c r="L34" s="355"/>
      <c r="M34" s="355"/>
      <c r="N34" s="355"/>
      <c r="O34" s="355"/>
      <c r="P34" s="355"/>
      <c r="Q34" s="355"/>
      <c r="R34" s="504"/>
      <c r="S34" s="504"/>
      <c r="T34" s="504"/>
      <c r="U34" s="504"/>
      <c r="V34" s="504"/>
      <c r="W34" s="504"/>
      <c r="X34" s="504"/>
      <c r="Y34" s="504"/>
      <c r="Z34" s="504"/>
      <c r="AA34" s="504"/>
    </row>
    <row r="35" spans="1:27" hidden="1">
      <c r="A35" s="355"/>
      <c r="B35" s="355"/>
      <c r="C35" s="355"/>
      <c r="D35" s="355"/>
      <c r="E35" s="355"/>
      <c r="F35" s="355"/>
      <c r="G35" s="355"/>
      <c r="H35" s="355"/>
      <c r="I35" s="355"/>
      <c r="J35" s="355"/>
      <c r="K35" s="355"/>
      <c r="L35" s="355"/>
      <c r="M35" s="355"/>
      <c r="N35" s="355"/>
      <c r="O35" s="355"/>
      <c r="P35" s="355"/>
      <c r="Q35" s="355"/>
      <c r="R35" s="504"/>
      <c r="S35" s="504"/>
      <c r="T35" s="504"/>
      <c r="U35" s="504"/>
      <c r="V35" s="504"/>
      <c r="W35" s="504"/>
      <c r="X35" s="504"/>
      <c r="Y35" s="504"/>
      <c r="Z35" s="504"/>
      <c r="AA35" s="504"/>
    </row>
    <row r="36" spans="1:27" hidden="1">
      <c r="A36" s="355"/>
      <c r="B36" s="506" t="s">
        <v>818</v>
      </c>
      <c r="C36" s="508" t="s">
        <v>971</v>
      </c>
      <c r="D36" s="509"/>
      <c r="E36" s="507"/>
      <c r="F36" s="523" t="s">
        <v>972</v>
      </c>
      <c r="G36" s="509"/>
      <c r="H36" s="509"/>
      <c r="I36" s="507"/>
      <c r="J36" s="507"/>
      <c r="K36" s="507"/>
      <c r="L36" s="507"/>
      <c r="M36" s="507"/>
      <c r="N36" s="507"/>
      <c r="O36" s="507"/>
      <c r="P36" s="507"/>
      <c r="Q36" s="507"/>
      <c r="R36" s="510"/>
      <c r="S36" s="510"/>
      <c r="T36" s="510"/>
      <c r="U36" s="510"/>
      <c r="V36" s="510"/>
      <c r="W36" s="510"/>
      <c r="X36" s="510"/>
      <c r="Y36" s="510"/>
      <c r="Z36" s="510"/>
      <c r="AA36" s="510"/>
    </row>
    <row r="37" spans="1:27" hidden="1">
      <c r="A37" s="355"/>
      <c r="B37" s="355"/>
      <c r="C37" s="355"/>
      <c r="D37" s="355"/>
      <c r="E37" s="355"/>
      <c r="F37" s="355"/>
      <c r="G37" s="355"/>
      <c r="H37" s="355"/>
      <c r="I37" s="355"/>
      <c r="J37" s="355"/>
      <c r="K37" s="355"/>
      <c r="L37" s="355"/>
      <c r="M37" s="355"/>
      <c r="N37" s="355"/>
      <c r="O37" s="355"/>
      <c r="P37" s="355"/>
      <c r="Q37" s="355"/>
      <c r="R37" s="504"/>
      <c r="S37" s="504"/>
      <c r="T37" s="504"/>
      <c r="U37" s="504"/>
      <c r="V37" s="504"/>
      <c r="W37" s="504"/>
      <c r="X37" s="504"/>
      <c r="Y37" s="504"/>
      <c r="Z37" s="504"/>
      <c r="AA37" s="504"/>
    </row>
    <row r="38" spans="1:27" hidden="1">
      <c r="A38" s="355"/>
      <c r="B38" s="69"/>
      <c r="C38" s="511" t="s">
        <v>973</v>
      </c>
      <c r="D38" s="355"/>
      <c r="E38" s="512" t="s">
        <v>201</v>
      </c>
      <c r="F38" s="512" t="s">
        <v>486</v>
      </c>
      <c r="G38" s="355"/>
      <c r="H38" s="355"/>
      <c r="I38" s="355"/>
      <c r="J38" s="355"/>
      <c r="K38" s="355"/>
      <c r="L38" s="355"/>
      <c r="M38" s="355"/>
      <c r="N38" s="355"/>
      <c r="O38" s="355"/>
      <c r="P38" s="355"/>
      <c r="Q38" s="355"/>
      <c r="R38" s="504"/>
      <c r="S38" s="504"/>
      <c r="T38" s="504"/>
      <c r="U38" s="504"/>
      <c r="V38" s="504"/>
      <c r="W38" s="504"/>
      <c r="X38" s="504"/>
      <c r="Y38" s="504"/>
      <c r="Z38" s="504"/>
      <c r="AA38" s="504"/>
    </row>
    <row r="39" spans="1:27" hidden="1">
      <c r="A39" s="355"/>
      <c r="B39" s="69"/>
      <c r="C39" s="355" t="s">
        <v>974</v>
      </c>
      <c r="D39" s="355"/>
      <c r="E39" s="513">
        <v>603</v>
      </c>
      <c r="F39" s="514">
        <f t="shared" ref="F39:F47" si="0">E39/$E$48</f>
        <v>0.24158653846153846</v>
      </c>
      <c r="G39" s="355"/>
      <c r="H39" s="355"/>
      <c r="I39" s="355"/>
      <c r="J39" s="355"/>
      <c r="K39" s="355"/>
      <c r="L39" s="355"/>
      <c r="M39" s="355"/>
      <c r="N39" s="355"/>
      <c r="O39" s="355"/>
      <c r="P39" s="355"/>
      <c r="Q39" s="355"/>
      <c r="R39" s="504"/>
      <c r="S39" s="504"/>
      <c r="T39" s="504"/>
      <c r="U39" s="504"/>
      <c r="V39" s="504"/>
      <c r="W39" s="504"/>
      <c r="X39" s="504"/>
      <c r="Y39" s="504"/>
      <c r="Z39" s="504"/>
      <c r="AA39" s="504"/>
    </row>
    <row r="40" spans="1:27" hidden="1">
      <c r="A40" s="355"/>
      <c r="B40" s="69"/>
      <c r="C40" s="516" t="s">
        <v>975</v>
      </c>
      <c r="D40" s="516"/>
      <c r="E40" s="517">
        <v>445</v>
      </c>
      <c r="F40" s="514">
        <f t="shared" si="0"/>
        <v>0.17828525641025642</v>
      </c>
      <c r="G40" s="355"/>
      <c r="H40" s="355"/>
      <c r="I40" s="355"/>
      <c r="J40" s="355"/>
      <c r="K40" s="355"/>
      <c r="L40" s="355"/>
      <c r="M40" s="355"/>
      <c r="N40" s="355"/>
      <c r="O40" s="355"/>
      <c r="P40" s="355"/>
      <c r="Q40" s="355"/>
      <c r="R40" s="504"/>
      <c r="S40" s="504"/>
      <c r="T40" s="504"/>
      <c r="U40" s="504"/>
      <c r="V40" s="504"/>
      <c r="W40" s="504"/>
      <c r="X40" s="504"/>
      <c r="Y40" s="504"/>
      <c r="Z40" s="504"/>
      <c r="AA40" s="504"/>
    </row>
    <row r="41" spans="1:27" hidden="1">
      <c r="A41" s="519"/>
      <c r="B41" s="69"/>
      <c r="C41" s="515" t="s">
        <v>976</v>
      </c>
      <c r="D41" s="516"/>
      <c r="E41" s="517">
        <v>271</v>
      </c>
      <c r="F41" s="514">
        <f t="shared" si="0"/>
        <v>0.10857371794871795</v>
      </c>
      <c r="G41" s="355"/>
      <c r="H41" s="355"/>
      <c r="I41" s="355"/>
      <c r="J41" s="355"/>
      <c r="K41" s="355"/>
      <c r="L41" s="355"/>
      <c r="M41" s="355"/>
      <c r="N41" s="355"/>
      <c r="O41" s="355"/>
      <c r="P41" s="355"/>
      <c r="Q41" s="355"/>
      <c r="R41" s="504"/>
      <c r="S41" s="504"/>
      <c r="T41" s="504"/>
      <c r="U41" s="504"/>
      <c r="V41" s="504"/>
      <c r="W41" s="504"/>
      <c r="X41" s="504"/>
      <c r="Y41" s="504"/>
      <c r="Z41" s="504"/>
      <c r="AA41" s="504"/>
    </row>
    <row r="42" spans="1:27" hidden="1">
      <c r="A42" s="355"/>
      <c r="B42" s="69"/>
      <c r="C42" s="502" t="s">
        <v>977</v>
      </c>
      <c r="D42" s="355"/>
      <c r="E42" s="513">
        <v>264</v>
      </c>
      <c r="F42" s="514">
        <f t="shared" si="0"/>
        <v>0.10576923076923077</v>
      </c>
      <c r="G42" s="355"/>
      <c r="H42" s="355"/>
      <c r="I42" s="355"/>
      <c r="J42" s="355"/>
      <c r="K42" s="355"/>
      <c r="L42" s="355"/>
      <c r="M42" s="355"/>
      <c r="N42" s="355"/>
      <c r="O42" s="355"/>
      <c r="P42" s="355"/>
      <c r="Q42" s="355"/>
      <c r="R42" s="504"/>
      <c r="S42" s="504"/>
      <c r="T42" s="504"/>
      <c r="U42" s="504"/>
      <c r="V42" s="504"/>
      <c r="W42" s="504"/>
      <c r="X42" s="504"/>
      <c r="Y42" s="504"/>
      <c r="Z42" s="504"/>
      <c r="AA42" s="504"/>
    </row>
    <row r="43" spans="1:27" hidden="1">
      <c r="A43" s="355"/>
      <c r="B43" s="69"/>
      <c r="C43" s="355" t="s">
        <v>978</v>
      </c>
      <c r="D43" s="355"/>
      <c r="E43" s="513">
        <v>222</v>
      </c>
      <c r="F43" s="514">
        <f t="shared" si="0"/>
        <v>8.8942307692307696E-2</v>
      </c>
      <c r="G43" s="355"/>
      <c r="H43" s="355"/>
      <c r="I43" s="355"/>
      <c r="J43" s="355"/>
      <c r="K43" s="355"/>
      <c r="L43" s="355"/>
      <c r="M43" s="355"/>
      <c r="N43" s="355"/>
      <c r="O43" s="355"/>
      <c r="P43" s="355"/>
      <c r="Q43" s="355"/>
      <c r="R43" s="504"/>
      <c r="S43" s="504"/>
      <c r="T43" s="504"/>
      <c r="U43" s="504"/>
      <c r="V43" s="504"/>
      <c r="W43" s="504"/>
      <c r="X43" s="504"/>
      <c r="Y43" s="504"/>
      <c r="Z43" s="504"/>
      <c r="AA43" s="504"/>
    </row>
    <row r="44" spans="1:27" hidden="1">
      <c r="A44" s="355"/>
      <c r="B44" s="69"/>
      <c r="C44" s="502" t="s">
        <v>979</v>
      </c>
      <c r="D44" s="355"/>
      <c r="E44" s="513">
        <v>196</v>
      </c>
      <c r="F44" s="514">
        <f t="shared" si="0"/>
        <v>7.8525641025641024E-2</v>
      </c>
      <c r="G44" s="355"/>
      <c r="H44" s="355"/>
      <c r="I44" s="355"/>
      <c r="J44" s="355"/>
      <c r="K44" s="355"/>
      <c r="L44" s="355"/>
      <c r="M44" s="355"/>
      <c r="N44" s="355"/>
      <c r="O44" s="355"/>
      <c r="P44" s="355"/>
      <c r="Q44" s="355"/>
      <c r="R44" s="504"/>
      <c r="S44" s="504"/>
      <c r="T44" s="504"/>
      <c r="U44" s="504"/>
      <c r="V44" s="504"/>
      <c r="W44" s="504"/>
      <c r="X44" s="504"/>
      <c r="Y44" s="504"/>
      <c r="Z44" s="504"/>
      <c r="AA44" s="504"/>
    </row>
    <row r="45" spans="1:27" hidden="1">
      <c r="A45" s="355"/>
      <c r="B45" s="69"/>
      <c r="C45" s="355" t="s">
        <v>980</v>
      </c>
      <c r="D45" s="355"/>
      <c r="E45" s="513">
        <v>169</v>
      </c>
      <c r="F45" s="514">
        <f t="shared" si="0"/>
        <v>6.7708333333333329E-2</v>
      </c>
      <c r="G45" s="355"/>
      <c r="H45" s="355"/>
      <c r="I45" s="355"/>
      <c r="J45" s="355"/>
      <c r="K45" s="355"/>
      <c r="L45" s="355"/>
      <c r="M45" s="355"/>
      <c r="N45" s="355"/>
      <c r="O45" s="355"/>
      <c r="P45" s="355"/>
      <c r="Q45" s="355"/>
      <c r="R45" s="504"/>
      <c r="S45" s="504"/>
      <c r="T45" s="504"/>
      <c r="U45" s="504"/>
      <c r="V45" s="504"/>
      <c r="W45" s="504"/>
      <c r="X45" s="504"/>
      <c r="Y45" s="504"/>
      <c r="Z45" s="504"/>
      <c r="AA45" s="504"/>
    </row>
    <row r="46" spans="1:27" hidden="1">
      <c r="A46" s="355"/>
      <c r="B46" s="69"/>
      <c r="C46" s="515" t="s">
        <v>981</v>
      </c>
      <c r="D46" s="516"/>
      <c r="E46" s="517">
        <v>164</v>
      </c>
      <c r="F46" s="514">
        <f t="shared" si="0"/>
        <v>6.5705128205128208E-2</v>
      </c>
      <c r="G46" s="355"/>
      <c r="H46" s="355"/>
      <c r="I46" s="355"/>
      <c r="J46" s="355"/>
      <c r="K46" s="355"/>
      <c r="L46" s="355"/>
      <c r="M46" s="355"/>
      <c r="N46" s="355"/>
      <c r="O46" s="355"/>
      <c r="P46" s="355"/>
      <c r="Q46" s="355"/>
      <c r="R46" s="504"/>
      <c r="S46" s="504"/>
      <c r="T46" s="504"/>
      <c r="U46" s="504"/>
      <c r="V46" s="504"/>
      <c r="W46" s="504"/>
      <c r="X46" s="504"/>
      <c r="Y46" s="504"/>
      <c r="Z46" s="504"/>
      <c r="AA46" s="504"/>
    </row>
    <row r="47" spans="1:27" hidden="1">
      <c r="A47" s="519"/>
      <c r="B47" s="69"/>
      <c r="C47" s="515" t="s">
        <v>982</v>
      </c>
      <c r="D47" s="516"/>
      <c r="E47" s="517">
        <v>162</v>
      </c>
      <c r="F47" s="514">
        <f t="shared" si="0"/>
        <v>6.4903846153846159E-2</v>
      </c>
      <c r="G47" s="355"/>
      <c r="H47" s="355"/>
      <c r="I47" s="355"/>
      <c r="J47" s="355"/>
      <c r="K47" s="355"/>
      <c r="L47" s="355"/>
      <c r="M47" s="355"/>
      <c r="N47" s="355"/>
      <c r="O47" s="355"/>
      <c r="P47" s="355"/>
      <c r="Q47" s="355"/>
      <c r="R47" s="504"/>
      <c r="S47" s="504"/>
      <c r="T47" s="504"/>
      <c r="U47" s="504"/>
      <c r="V47" s="504"/>
      <c r="W47" s="504"/>
      <c r="X47" s="504"/>
      <c r="Y47" s="504"/>
      <c r="Z47" s="504"/>
      <c r="AA47" s="504"/>
    </row>
    <row r="48" spans="1:27" hidden="1">
      <c r="A48" s="355"/>
      <c r="B48" s="69"/>
      <c r="C48" s="522"/>
      <c r="D48" s="355"/>
      <c r="E48" s="512">
        <f>SUM(E39:E47)</f>
        <v>2496</v>
      </c>
      <c r="F48" s="355"/>
      <c r="G48" s="355"/>
      <c r="H48" s="355"/>
      <c r="I48" s="355"/>
      <c r="J48" s="355"/>
      <c r="K48" s="355"/>
      <c r="L48" s="355"/>
      <c r="M48" s="355"/>
      <c r="N48" s="355"/>
      <c r="O48" s="355"/>
      <c r="P48" s="355"/>
      <c r="Q48" s="355"/>
      <c r="R48" s="504"/>
      <c r="S48" s="504"/>
      <c r="T48" s="504"/>
      <c r="U48" s="504"/>
      <c r="V48" s="504"/>
      <c r="W48" s="504"/>
      <c r="X48" s="504"/>
      <c r="Y48" s="504"/>
      <c r="Z48" s="504"/>
      <c r="AA48" s="504"/>
    </row>
    <row r="49" spans="1:27" hidden="1">
      <c r="A49" s="355"/>
      <c r="B49" s="506" t="s">
        <v>820</v>
      </c>
      <c r="C49" s="507" t="s">
        <v>983</v>
      </c>
      <c r="D49" s="507"/>
      <c r="E49" s="507"/>
      <c r="F49" s="523" t="s">
        <v>984</v>
      </c>
      <c r="G49" s="509"/>
      <c r="H49" s="509"/>
      <c r="I49" s="507"/>
      <c r="J49" s="507"/>
      <c r="K49" s="507"/>
      <c r="L49" s="507"/>
      <c r="M49" s="507"/>
      <c r="N49" s="507"/>
      <c r="O49" s="507"/>
      <c r="P49" s="507"/>
      <c r="Q49" s="507"/>
      <c r="R49" s="510"/>
      <c r="S49" s="510"/>
      <c r="T49" s="510"/>
      <c r="U49" s="510"/>
      <c r="V49" s="510"/>
      <c r="W49" s="510"/>
      <c r="X49" s="510"/>
      <c r="Y49" s="510"/>
      <c r="Z49" s="510"/>
      <c r="AA49" s="510"/>
    </row>
    <row r="50" spans="1:27" hidden="1">
      <c r="A50" s="355"/>
      <c r="B50" s="355"/>
      <c r="C50" s="355"/>
      <c r="D50" s="355"/>
      <c r="E50" s="355"/>
      <c r="F50" s="355"/>
      <c r="G50" s="355"/>
      <c r="H50" s="355"/>
      <c r="I50" s="355"/>
      <c r="J50" s="355"/>
      <c r="K50" s="355"/>
      <c r="L50" s="355"/>
      <c r="M50" s="355"/>
      <c r="N50" s="355"/>
      <c r="O50" s="355"/>
      <c r="P50" s="355"/>
      <c r="Q50" s="355"/>
      <c r="R50" s="504"/>
      <c r="S50" s="504"/>
      <c r="T50" s="504"/>
      <c r="U50" s="504"/>
      <c r="V50" s="504"/>
      <c r="W50" s="504"/>
      <c r="X50" s="504"/>
      <c r="Y50" s="504"/>
      <c r="Z50" s="504"/>
      <c r="AA50" s="504"/>
    </row>
    <row r="51" spans="1:27" hidden="1">
      <c r="A51" s="355"/>
      <c r="B51" s="69"/>
      <c r="C51" s="69"/>
      <c r="D51" s="522" t="s">
        <v>985</v>
      </c>
      <c r="E51" s="512" t="s">
        <v>201</v>
      </c>
      <c r="F51" s="512" t="s">
        <v>486</v>
      </c>
      <c r="G51" s="355"/>
      <c r="H51" s="355"/>
      <c r="I51" s="355"/>
      <c r="J51" s="355"/>
      <c r="K51" s="355"/>
      <c r="L51" s="355"/>
      <c r="M51" s="355"/>
      <c r="N51" s="355"/>
      <c r="O51" s="355"/>
      <c r="P51" s="355"/>
      <c r="Q51" s="355"/>
      <c r="R51" s="504"/>
      <c r="S51" s="504"/>
      <c r="T51" s="504"/>
      <c r="U51" s="504"/>
      <c r="V51" s="504"/>
      <c r="W51" s="504"/>
      <c r="X51" s="504"/>
      <c r="Y51" s="504"/>
      <c r="Z51" s="504"/>
      <c r="AA51" s="504"/>
    </row>
    <row r="52" spans="1:27" hidden="1">
      <c r="A52" s="355"/>
      <c r="B52" s="69"/>
      <c r="C52" s="69"/>
      <c r="D52" s="355" t="s">
        <v>986</v>
      </c>
      <c r="E52" s="513">
        <v>3</v>
      </c>
      <c r="F52" s="514">
        <f t="shared" ref="F52:F60" si="1">E52/$E$61</f>
        <v>3.2967032967032968E-2</v>
      </c>
      <c r="G52" s="355"/>
      <c r="H52" s="355"/>
      <c r="I52" s="355"/>
      <c r="J52" s="355"/>
      <c r="K52" s="355"/>
      <c r="L52" s="355"/>
      <c r="M52" s="355"/>
      <c r="N52" s="355"/>
      <c r="O52" s="355"/>
      <c r="P52" s="355"/>
      <c r="Q52" s="355"/>
      <c r="R52" s="504"/>
      <c r="S52" s="504"/>
      <c r="T52" s="504"/>
      <c r="U52" s="504"/>
      <c r="V52" s="504"/>
      <c r="W52" s="504"/>
      <c r="X52" s="504"/>
      <c r="Y52" s="504"/>
      <c r="Z52" s="504"/>
      <c r="AA52" s="504"/>
    </row>
    <row r="53" spans="1:27" hidden="1">
      <c r="A53" s="355"/>
      <c r="B53" s="69"/>
      <c r="C53" s="69"/>
      <c r="D53" s="355" t="s">
        <v>987</v>
      </c>
      <c r="E53" s="513">
        <v>8</v>
      </c>
      <c r="F53" s="514">
        <f t="shared" si="1"/>
        <v>8.7912087912087919E-2</v>
      </c>
      <c r="G53" s="355"/>
      <c r="H53" s="355"/>
      <c r="I53" s="355"/>
      <c r="J53" s="355"/>
      <c r="K53" s="355"/>
      <c r="L53" s="355"/>
      <c r="M53" s="355"/>
      <c r="N53" s="355"/>
      <c r="O53" s="355"/>
      <c r="P53" s="355"/>
      <c r="Q53" s="355"/>
      <c r="R53" s="504"/>
      <c r="S53" s="504"/>
      <c r="T53" s="504"/>
      <c r="U53" s="504"/>
      <c r="V53" s="504"/>
      <c r="W53" s="504"/>
      <c r="X53" s="504"/>
      <c r="Y53" s="504"/>
      <c r="Z53" s="504"/>
      <c r="AA53" s="504"/>
    </row>
    <row r="54" spans="1:27" hidden="1">
      <c r="A54" s="355"/>
      <c r="B54" s="69"/>
      <c r="C54" s="69"/>
      <c r="D54" s="355" t="s">
        <v>988</v>
      </c>
      <c r="E54" s="513">
        <v>7</v>
      </c>
      <c r="F54" s="514">
        <f t="shared" si="1"/>
        <v>7.6923076923076927E-2</v>
      </c>
      <c r="G54" s="355"/>
      <c r="H54" s="355"/>
      <c r="I54" s="355"/>
      <c r="J54" s="355"/>
      <c r="K54" s="355"/>
      <c r="L54" s="355"/>
      <c r="M54" s="355"/>
      <c r="N54" s="355"/>
      <c r="O54" s="355"/>
      <c r="P54" s="355"/>
      <c r="Q54" s="355"/>
      <c r="R54" s="504"/>
      <c r="S54" s="504"/>
      <c r="T54" s="504"/>
      <c r="U54" s="504"/>
      <c r="V54" s="504"/>
      <c r="W54" s="504"/>
      <c r="X54" s="504"/>
      <c r="Y54" s="504"/>
      <c r="Z54" s="504"/>
      <c r="AA54" s="504"/>
    </row>
    <row r="55" spans="1:27" hidden="1">
      <c r="A55" s="355"/>
      <c r="B55" s="69"/>
      <c r="C55" s="69"/>
      <c r="D55" s="355" t="s">
        <v>989</v>
      </c>
      <c r="E55" s="513">
        <v>12</v>
      </c>
      <c r="F55" s="514">
        <f t="shared" si="1"/>
        <v>0.13186813186813187</v>
      </c>
      <c r="G55" s="355"/>
      <c r="H55" s="355"/>
      <c r="I55" s="355"/>
      <c r="J55" s="355"/>
      <c r="K55" s="355"/>
      <c r="L55" s="355"/>
      <c r="M55" s="355"/>
      <c r="N55" s="355"/>
      <c r="O55" s="355"/>
      <c r="P55" s="355"/>
      <c r="Q55" s="355"/>
      <c r="R55" s="504"/>
      <c r="S55" s="504"/>
      <c r="T55" s="504"/>
      <c r="U55" s="504"/>
      <c r="V55" s="504"/>
      <c r="W55" s="504"/>
      <c r="X55" s="504"/>
      <c r="Y55" s="504"/>
      <c r="Z55" s="504"/>
      <c r="AA55" s="504"/>
    </row>
    <row r="56" spans="1:27" hidden="1">
      <c r="A56" s="355"/>
      <c r="B56" s="69"/>
      <c r="C56" s="69"/>
      <c r="D56" s="355" t="s">
        <v>990</v>
      </c>
      <c r="E56" s="513">
        <v>9</v>
      </c>
      <c r="F56" s="514">
        <f t="shared" si="1"/>
        <v>9.8901098901098897E-2</v>
      </c>
      <c r="G56" s="355"/>
      <c r="H56" s="355"/>
      <c r="I56" s="355"/>
      <c r="J56" s="355"/>
      <c r="K56" s="355"/>
      <c r="L56" s="355"/>
      <c r="M56" s="355"/>
      <c r="N56" s="355"/>
      <c r="O56" s="355"/>
      <c r="P56" s="355"/>
      <c r="Q56" s="355"/>
      <c r="R56" s="504"/>
      <c r="S56" s="504"/>
      <c r="T56" s="504"/>
      <c r="U56" s="504"/>
      <c r="V56" s="504"/>
      <c r="W56" s="504"/>
      <c r="X56" s="504"/>
      <c r="Y56" s="504"/>
      <c r="Z56" s="504"/>
      <c r="AA56" s="504"/>
    </row>
    <row r="57" spans="1:27" hidden="1">
      <c r="A57" s="355"/>
      <c r="B57" s="69"/>
      <c r="C57" s="69"/>
      <c r="D57" s="516" t="s">
        <v>991</v>
      </c>
      <c r="E57" s="517">
        <v>5</v>
      </c>
      <c r="F57" s="514">
        <f t="shared" si="1"/>
        <v>5.4945054945054944E-2</v>
      </c>
      <c r="G57" s="355"/>
      <c r="H57" s="355"/>
      <c r="I57" s="355"/>
      <c r="J57" s="355"/>
      <c r="K57" s="355"/>
      <c r="L57" s="355"/>
      <c r="M57" s="355"/>
      <c r="N57" s="355"/>
      <c r="O57" s="355"/>
      <c r="P57" s="355"/>
      <c r="Q57" s="355"/>
      <c r="R57" s="504"/>
      <c r="S57" s="504"/>
      <c r="T57" s="504"/>
      <c r="U57" s="504"/>
      <c r="V57" s="504"/>
      <c r="W57" s="504"/>
      <c r="X57" s="504"/>
      <c r="Y57" s="504"/>
      <c r="Z57" s="504"/>
      <c r="AA57" s="504"/>
    </row>
    <row r="58" spans="1:27" hidden="1">
      <c r="A58" s="519"/>
      <c r="B58" s="69"/>
      <c r="C58" s="69"/>
      <c r="D58" s="355" t="s">
        <v>992</v>
      </c>
      <c r="E58" s="513">
        <v>9</v>
      </c>
      <c r="F58" s="514">
        <f t="shared" si="1"/>
        <v>9.8901098901098897E-2</v>
      </c>
      <c r="G58" s="355"/>
      <c r="H58" s="355"/>
      <c r="I58" s="355"/>
      <c r="J58" s="355"/>
      <c r="K58" s="355"/>
      <c r="L58" s="355"/>
      <c r="M58" s="355"/>
      <c r="N58" s="355"/>
      <c r="O58" s="355"/>
      <c r="P58" s="355"/>
      <c r="Q58" s="355"/>
      <c r="R58" s="504"/>
      <c r="S58" s="504"/>
      <c r="T58" s="504"/>
      <c r="U58" s="504"/>
      <c r="V58" s="504"/>
      <c r="W58" s="504"/>
      <c r="X58" s="504"/>
      <c r="Y58" s="504"/>
      <c r="Z58" s="504"/>
      <c r="AA58" s="504"/>
    </row>
    <row r="59" spans="1:27" hidden="1">
      <c r="A59" s="519"/>
      <c r="B59" s="69"/>
      <c r="C59" s="69"/>
      <c r="D59" s="516" t="s">
        <v>993</v>
      </c>
      <c r="E59" s="517">
        <v>18</v>
      </c>
      <c r="F59" s="514">
        <f t="shared" si="1"/>
        <v>0.19780219780219779</v>
      </c>
      <c r="G59" s="355"/>
      <c r="H59" s="355"/>
      <c r="I59" s="355"/>
      <c r="J59" s="355"/>
      <c r="K59" s="355"/>
      <c r="L59" s="355"/>
      <c r="M59" s="355"/>
      <c r="N59" s="355"/>
      <c r="O59" s="355"/>
      <c r="P59" s="355"/>
      <c r="Q59" s="355"/>
      <c r="R59" s="504"/>
      <c r="S59" s="504"/>
      <c r="T59" s="504"/>
      <c r="U59" s="504"/>
      <c r="V59" s="504"/>
      <c r="W59" s="504"/>
      <c r="X59" s="504"/>
      <c r="Y59" s="504"/>
      <c r="Z59" s="504"/>
      <c r="AA59" s="504"/>
    </row>
    <row r="60" spans="1:27" hidden="1">
      <c r="A60" s="355"/>
      <c r="B60" s="69"/>
      <c r="C60" s="69"/>
      <c r="D60" s="355" t="s">
        <v>994</v>
      </c>
      <c r="E60" s="513">
        <v>20</v>
      </c>
      <c r="F60" s="514">
        <f t="shared" si="1"/>
        <v>0.21978021978021978</v>
      </c>
      <c r="G60" s="355"/>
      <c r="H60" s="355"/>
      <c r="I60" s="355"/>
      <c r="J60" s="355"/>
      <c r="K60" s="355"/>
      <c r="L60" s="355"/>
      <c r="M60" s="355"/>
      <c r="N60" s="355"/>
      <c r="O60" s="355"/>
      <c r="P60" s="355"/>
      <c r="Q60" s="355"/>
      <c r="R60" s="504"/>
      <c r="S60" s="504"/>
      <c r="T60" s="504"/>
      <c r="U60" s="504"/>
      <c r="V60" s="504"/>
      <c r="W60" s="504"/>
      <c r="X60" s="504"/>
      <c r="Y60" s="504"/>
      <c r="Z60" s="504"/>
      <c r="AA60" s="504"/>
    </row>
    <row r="61" spans="1:27" hidden="1">
      <c r="A61" s="355"/>
      <c r="B61" s="69"/>
      <c r="C61" s="69"/>
      <c r="D61" s="522" t="s">
        <v>772</v>
      </c>
      <c r="E61" s="512">
        <f>SUM(E52:E60)</f>
        <v>91</v>
      </c>
      <c r="F61" s="355"/>
      <c r="G61" s="355"/>
      <c r="H61" s="355"/>
      <c r="I61" s="355"/>
      <c r="J61" s="355"/>
      <c r="K61" s="355"/>
      <c r="L61" s="355"/>
      <c r="M61" s="355"/>
      <c r="N61" s="355"/>
      <c r="O61" s="355"/>
      <c r="P61" s="355"/>
      <c r="Q61" s="355"/>
      <c r="R61" s="504"/>
      <c r="S61" s="504"/>
      <c r="T61" s="504"/>
      <c r="U61" s="504"/>
      <c r="V61" s="504"/>
      <c r="W61" s="504"/>
      <c r="X61" s="504"/>
      <c r="Y61" s="504"/>
      <c r="Z61" s="504"/>
      <c r="AA61" s="504"/>
    </row>
    <row r="62" spans="1:27">
      <c r="A62" s="69"/>
      <c r="B62" s="69"/>
      <c r="C62" s="69"/>
      <c r="D62" s="69"/>
      <c r="E62" s="69"/>
      <c r="F62" s="69"/>
      <c r="G62" s="69"/>
      <c r="H62" s="69"/>
      <c r="I62" s="69"/>
      <c r="J62" s="69"/>
      <c r="K62" s="69"/>
      <c r="L62" s="69"/>
      <c r="M62" s="69"/>
      <c r="N62" s="69"/>
      <c r="O62" s="69"/>
      <c r="P62" s="69"/>
      <c r="Q62" s="69"/>
      <c r="R62" s="69"/>
      <c r="S62" s="69"/>
      <c r="T62" s="69"/>
      <c r="U62" s="69"/>
      <c r="V62" s="69"/>
      <c r="W62" s="69"/>
      <c r="X62" s="69"/>
      <c r="Y62" s="69"/>
      <c r="Z62" s="69"/>
      <c r="AA62" s="69"/>
    </row>
    <row r="63" spans="1:27">
      <c r="A63" s="69"/>
      <c r="B63" s="69"/>
      <c r="C63" s="69"/>
      <c r="D63" s="69"/>
      <c r="E63" s="69"/>
      <c r="F63" s="69"/>
      <c r="G63" s="69"/>
      <c r="H63" s="69"/>
      <c r="I63" s="69"/>
      <c r="J63" s="69"/>
      <c r="K63" s="69"/>
      <c r="L63" s="69"/>
      <c r="M63" s="69"/>
      <c r="N63" s="69"/>
      <c r="O63" s="69"/>
      <c r="P63" s="69"/>
      <c r="Q63" s="69"/>
      <c r="R63" s="69"/>
      <c r="S63" s="69"/>
      <c r="T63" s="69"/>
      <c r="U63" s="69"/>
      <c r="V63" s="69"/>
      <c r="W63" s="69"/>
      <c r="X63" s="69"/>
      <c r="Y63" s="69"/>
      <c r="Z63" s="69"/>
      <c r="AA63" s="69"/>
    </row>
    <row r="64" spans="1:27">
      <c r="A64" s="69"/>
      <c r="B64" s="69"/>
      <c r="C64" s="69"/>
      <c r="D64" s="69"/>
      <c r="E64" s="69"/>
      <c r="F64" s="69"/>
      <c r="G64" s="69"/>
      <c r="H64" s="69"/>
      <c r="I64" s="69"/>
      <c r="J64" s="69"/>
      <c r="K64" s="69"/>
      <c r="L64" s="69"/>
      <c r="M64" s="69"/>
      <c r="N64" s="69"/>
      <c r="O64" s="69"/>
      <c r="P64" s="69"/>
      <c r="Q64" s="69"/>
      <c r="R64" s="69"/>
      <c r="S64" s="69"/>
      <c r="T64" s="69"/>
      <c r="U64" s="69"/>
      <c r="V64" s="69"/>
      <c r="W64" s="69"/>
      <c r="X64" s="69"/>
      <c r="Y64" s="69"/>
      <c r="Z64" s="69"/>
      <c r="AA64" s="69"/>
    </row>
    <row r="65" spans="1:27">
      <c r="A65" s="69"/>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row>
    <row r="66" spans="1:27">
      <c r="A66" s="69"/>
      <c r="B66" s="69"/>
      <c r="C66" s="69"/>
      <c r="D66" s="69"/>
      <c r="E66" s="69"/>
      <c r="F66" s="69"/>
      <c r="G66" s="69"/>
      <c r="H66" s="69"/>
      <c r="I66" s="69"/>
      <c r="J66" s="69"/>
      <c r="K66" s="69"/>
      <c r="L66" s="69"/>
      <c r="M66" s="69"/>
      <c r="N66" s="69"/>
      <c r="O66" s="69"/>
      <c r="P66" s="69"/>
      <c r="Q66" s="69"/>
      <c r="R66" s="69"/>
      <c r="S66" s="69"/>
      <c r="T66" s="69"/>
      <c r="U66" s="69"/>
      <c r="V66" s="69"/>
      <c r="W66" s="69"/>
      <c r="X66" s="69"/>
      <c r="Y66" s="69"/>
      <c r="Z66" s="69"/>
      <c r="AA66" s="69"/>
    </row>
    <row r="67" spans="1:27">
      <c r="A67" s="69"/>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row>
    <row r="68" spans="1:27">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row>
    <row r="69" spans="1:27">
      <c r="A69" s="69"/>
      <c r="B69" s="69"/>
      <c r="C69" s="69"/>
      <c r="D69" s="69"/>
      <c r="E69" s="69"/>
      <c r="F69" s="69"/>
      <c r="G69" s="69"/>
      <c r="H69" s="69"/>
      <c r="I69" s="69"/>
      <c r="J69" s="69"/>
      <c r="K69" s="69"/>
      <c r="L69" s="69"/>
      <c r="M69" s="69"/>
      <c r="N69" s="69"/>
      <c r="O69" s="69"/>
      <c r="P69" s="69"/>
      <c r="Q69" s="69"/>
      <c r="R69" s="69"/>
      <c r="S69" s="69"/>
      <c r="T69" s="69"/>
      <c r="U69" s="69"/>
      <c r="V69" s="69"/>
      <c r="W69" s="69"/>
      <c r="X69" s="69"/>
      <c r="Y69" s="69"/>
      <c r="Z69" s="69"/>
      <c r="AA69" s="69"/>
    </row>
    <row r="70" spans="1:27">
      <c r="A70" s="69"/>
      <c r="B70" s="69"/>
      <c r="C70" s="69"/>
      <c r="D70" s="69"/>
      <c r="E70" s="69"/>
      <c r="F70" s="69"/>
      <c r="G70" s="69"/>
      <c r="H70" s="69"/>
      <c r="I70" s="69"/>
      <c r="J70" s="69"/>
      <c r="K70" s="69"/>
      <c r="L70" s="69"/>
      <c r="M70" s="69"/>
      <c r="N70" s="69"/>
      <c r="O70" s="69"/>
      <c r="P70" s="69"/>
      <c r="Q70" s="69"/>
      <c r="R70" s="69"/>
      <c r="S70" s="69"/>
      <c r="T70" s="69"/>
      <c r="U70" s="69"/>
      <c r="V70" s="69"/>
      <c r="W70" s="69"/>
      <c r="X70" s="69"/>
      <c r="Y70" s="69"/>
      <c r="Z70" s="69"/>
      <c r="AA70" s="69"/>
    </row>
    <row r="71" spans="1:27">
      <c r="A71" s="69"/>
      <c r="B71" s="69"/>
      <c r="C71" s="69"/>
      <c r="D71" s="69"/>
      <c r="E71" s="69"/>
      <c r="F71" s="69"/>
      <c r="G71" s="69"/>
      <c r="H71" s="69"/>
      <c r="I71" s="69"/>
      <c r="J71" s="69"/>
      <c r="K71" s="69"/>
      <c r="L71" s="69"/>
      <c r="M71" s="69"/>
      <c r="N71" s="69"/>
      <c r="O71" s="69"/>
      <c r="P71" s="69"/>
      <c r="Q71" s="69"/>
      <c r="R71" s="69"/>
      <c r="S71" s="69"/>
      <c r="T71" s="69"/>
      <c r="U71" s="69"/>
      <c r="V71" s="69"/>
      <c r="W71" s="69"/>
      <c r="X71" s="69"/>
      <c r="Y71" s="69"/>
      <c r="Z71" s="69"/>
      <c r="AA71" s="69"/>
    </row>
    <row r="72" spans="1:27">
      <c r="A72" s="69"/>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row>
    <row r="73" spans="1:27">
      <c r="A73" s="69"/>
      <c r="B73" s="69"/>
      <c r="C73" s="69"/>
      <c r="D73" s="69"/>
      <c r="E73" s="69"/>
      <c r="F73" s="69"/>
      <c r="G73" s="69"/>
      <c r="H73" s="69"/>
      <c r="I73" s="69"/>
      <c r="J73" s="69"/>
      <c r="K73" s="69"/>
      <c r="L73" s="69"/>
      <c r="M73" s="69"/>
      <c r="N73" s="69"/>
      <c r="O73" s="69"/>
      <c r="P73" s="69"/>
      <c r="Q73" s="69"/>
      <c r="R73" s="69"/>
      <c r="S73" s="69"/>
      <c r="T73" s="69"/>
      <c r="U73" s="69"/>
      <c r="V73" s="69"/>
      <c r="W73" s="69"/>
      <c r="X73" s="69"/>
      <c r="Y73" s="69"/>
      <c r="Z73" s="69"/>
      <c r="AA73" s="69"/>
    </row>
    <row r="74" spans="1:27">
      <c r="A74" s="69"/>
      <c r="B74" s="69"/>
      <c r="C74" s="69"/>
      <c r="D74" s="69"/>
      <c r="E74" s="69"/>
      <c r="F74" s="69"/>
      <c r="G74" s="69"/>
      <c r="H74" s="69"/>
      <c r="I74" s="69"/>
      <c r="J74" s="69"/>
      <c r="K74" s="69"/>
      <c r="L74" s="69"/>
      <c r="M74" s="69"/>
      <c r="N74" s="69"/>
      <c r="O74" s="69"/>
      <c r="P74" s="69"/>
      <c r="Q74" s="69"/>
      <c r="R74" s="69"/>
      <c r="S74" s="69"/>
      <c r="T74" s="69"/>
      <c r="U74" s="69"/>
      <c r="V74" s="69"/>
      <c r="W74" s="69"/>
      <c r="X74" s="69"/>
      <c r="Y74" s="69"/>
      <c r="Z74" s="69"/>
      <c r="AA74" s="69"/>
    </row>
    <row r="75" spans="1:27">
      <c r="A75" s="69"/>
      <c r="B75" s="69"/>
      <c r="C75" s="69"/>
      <c r="D75" s="69"/>
      <c r="E75" s="69"/>
      <c r="F75" s="69"/>
      <c r="G75" s="69"/>
      <c r="H75" s="69"/>
      <c r="I75" s="69"/>
      <c r="J75" s="69"/>
      <c r="K75" s="69"/>
      <c r="L75" s="69"/>
      <c r="M75" s="69"/>
      <c r="N75" s="69"/>
      <c r="O75" s="69"/>
      <c r="P75" s="69"/>
      <c r="Q75" s="69"/>
      <c r="R75" s="69"/>
      <c r="S75" s="69"/>
      <c r="T75" s="69"/>
      <c r="U75" s="69"/>
      <c r="V75" s="69"/>
      <c r="W75" s="69"/>
      <c r="X75" s="69"/>
      <c r="Y75" s="69"/>
      <c r="Z75" s="69"/>
      <c r="AA75" s="69"/>
    </row>
    <row r="76" spans="1:27">
      <c r="A76" s="69"/>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row>
    <row r="77" spans="1:27">
      <c r="A77" s="69"/>
      <c r="B77" s="69"/>
      <c r="C77" s="69"/>
      <c r="D77" s="69"/>
      <c r="E77" s="69"/>
      <c r="F77" s="69"/>
      <c r="G77" s="69"/>
      <c r="H77" s="69"/>
      <c r="I77" s="69"/>
      <c r="J77" s="69"/>
      <c r="K77" s="69"/>
      <c r="L77" s="69"/>
      <c r="M77" s="69"/>
      <c r="N77" s="69"/>
      <c r="O77" s="69"/>
      <c r="P77" s="69"/>
      <c r="Q77" s="69"/>
      <c r="R77" s="69"/>
      <c r="S77" s="69"/>
      <c r="T77" s="69"/>
      <c r="U77" s="69"/>
      <c r="V77" s="69"/>
      <c r="W77" s="69"/>
      <c r="X77" s="69"/>
      <c r="Y77" s="69"/>
      <c r="Z77" s="69"/>
      <c r="AA77" s="69"/>
    </row>
    <row r="78" spans="1:27">
      <c r="A78" s="69"/>
      <c r="B78" s="69"/>
      <c r="C78" s="69"/>
      <c r="D78" s="69"/>
      <c r="E78" s="69"/>
      <c r="F78" s="69"/>
      <c r="G78" s="69"/>
      <c r="H78" s="69"/>
      <c r="I78" s="69"/>
      <c r="J78" s="69"/>
      <c r="K78" s="69"/>
      <c r="L78" s="69"/>
      <c r="M78" s="69"/>
      <c r="N78" s="69"/>
      <c r="O78" s="69"/>
      <c r="P78" s="69"/>
      <c r="Q78" s="69"/>
      <c r="R78" s="69"/>
      <c r="S78" s="69"/>
      <c r="T78" s="69"/>
      <c r="U78" s="69"/>
      <c r="V78" s="69"/>
      <c r="W78" s="69"/>
      <c r="X78" s="69"/>
      <c r="Y78" s="69"/>
      <c r="Z78" s="69"/>
      <c r="AA78" s="69"/>
    </row>
    <row r="79" spans="1:27">
      <c r="A79" s="69"/>
      <c r="B79" s="69"/>
      <c r="C79" s="69"/>
      <c r="D79" s="69"/>
      <c r="E79" s="69"/>
      <c r="F79" s="69"/>
      <c r="G79" s="69"/>
      <c r="H79" s="69"/>
      <c r="I79" s="69"/>
      <c r="J79" s="69"/>
      <c r="K79" s="69"/>
      <c r="L79" s="69"/>
      <c r="M79" s="69"/>
      <c r="N79" s="69"/>
      <c r="O79" s="69"/>
      <c r="P79" s="69"/>
      <c r="Q79" s="69"/>
      <c r="R79" s="69"/>
      <c r="S79" s="69"/>
      <c r="T79" s="69"/>
      <c r="U79" s="69"/>
      <c r="V79" s="69"/>
      <c r="W79" s="69"/>
      <c r="X79" s="69"/>
      <c r="Y79" s="69"/>
      <c r="Z79" s="69"/>
      <c r="AA79" s="69"/>
    </row>
    <row r="80" spans="1:27">
      <c r="A80" s="69"/>
      <c r="B80" s="69"/>
      <c r="C80" s="69"/>
      <c r="D80" s="69"/>
      <c r="E80" s="69"/>
      <c r="F80" s="69"/>
      <c r="G80" s="69"/>
      <c r="H80" s="69"/>
      <c r="I80" s="69"/>
      <c r="J80" s="69"/>
      <c r="K80" s="69"/>
      <c r="L80" s="69"/>
      <c r="M80" s="69"/>
      <c r="N80" s="69"/>
      <c r="O80" s="69"/>
      <c r="P80" s="69"/>
      <c r="Q80" s="69"/>
      <c r="R80" s="69"/>
      <c r="S80" s="69"/>
      <c r="T80" s="69"/>
      <c r="U80" s="69"/>
      <c r="V80" s="69"/>
      <c r="W80" s="69"/>
      <c r="X80" s="69"/>
      <c r="Y80" s="69"/>
      <c r="Z80" s="69"/>
      <c r="AA80" s="69"/>
    </row>
    <row r="81" spans="1:27">
      <c r="A81" s="69"/>
      <c r="B81" s="69"/>
      <c r="C81" s="69"/>
      <c r="D81" s="69"/>
      <c r="E81" s="69"/>
      <c r="F81" s="69"/>
      <c r="G81" s="69"/>
      <c r="H81" s="69"/>
      <c r="I81" s="69"/>
      <c r="J81" s="69"/>
      <c r="K81" s="69"/>
      <c r="L81" s="69"/>
      <c r="M81" s="69"/>
      <c r="N81" s="69"/>
      <c r="O81" s="69"/>
      <c r="P81" s="69"/>
      <c r="Q81" s="69"/>
      <c r="R81" s="69"/>
      <c r="S81" s="69"/>
      <c r="T81" s="69"/>
      <c r="U81" s="69"/>
      <c r="V81" s="69"/>
      <c r="W81" s="69"/>
      <c r="X81" s="69"/>
      <c r="Y81" s="69"/>
      <c r="Z81" s="69"/>
      <c r="AA81" s="69"/>
    </row>
    <row r="82" spans="1:27">
      <c r="A82" s="69"/>
      <c r="B82" s="69"/>
      <c r="C82" s="69"/>
      <c r="D82" s="69"/>
      <c r="E82" s="69"/>
      <c r="F82" s="69"/>
      <c r="G82" s="69"/>
      <c r="H82" s="69"/>
      <c r="I82" s="69"/>
      <c r="J82" s="69"/>
      <c r="K82" s="69"/>
      <c r="L82" s="69"/>
      <c r="M82" s="69"/>
      <c r="N82" s="69"/>
      <c r="O82" s="69"/>
      <c r="P82" s="69"/>
      <c r="Q82" s="69"/>
      <c r="R82" s="69"/>
      <c r="S82" s="69"/>
      <c r="T82" s="69"/>
      <c r="U82" s="69"/>
      <c r="V82" s="69"/>
      <c r="W82" s="69"/>
      <c r="X82" s="69"/>
      <c r="Y82" s="69"/>
      <c r="Z82" s="69"/>
      <c r="AA82" s="69"/>
    </row>
    <row r="83" spans="1:27">
      <c r="A83" s="69"/>
      <c r="B83" s="69"/>
      <c r="C83" s="69"/>
      <c r="D83" s="69"/>
      <c r="E83" s="69"/>
      <c r="F83" s="69"/>
      <c r="G83" s="69"/>
      <c r="H83" s="69"/>
      <c r="I83" s="69"/>
      <c r="J83" s="69"/>
      <c r="K83" s="69"/>
      <c r="L83" s="69"/>
      <c r="M83" s="69"/>
      <c r="N83" s="69"/>
      <c r="O83" s="69"/>
      <c r="P83" s="69"/>
      <c r="Q83" s="69"/>
      <c r="R83" s="69"/>
      <c r="S83" s="69"/>
      <c r="T83" s="69"/>
      <c r="U83" s="69"/>
      <c r="V83" s="69"/>
      <c r="W83" s="69"/>
      <c r="X83" s="69"/>
      <c r="Y83" s="69"/>
      <c r="Z83" s="69"/>
      <c r="AA83" s="69"/>
    </row>
    <row r="84" spans="1:27">
      <c r="A84" s="69"/>
      <c r="B84" s="69"/>
      <c r="C84" s="69"/>
      <c r="D84" s="69"/>
      <c r="E84" s="69"/>
      <c r="F84" s="69"/>
      <c r="G84" s="69"/>
      <c r="H84" s="69"/>
      <c r="I84" s="69"/>
      <c r="J84" s="69"/>
      <c r="K84" s="69"/>
      <c r="L84" s="69"/>
      <c r="M84" s="69"/>
      <c r="N84" s="69"/>
      <c r="O84" s="69"/>
      <c r="P84" s="69"/>
      <c r="Q84" s="69"/>
      <c r="R84" s="69"/>
      <c r="S84" s="69"/>
      <c r="T84" s="69"/>
      <c r="U84" s="69"/>
      <c r="V84" s="69"/>
      <c r="W84" s="69"/>
      <c r="X84" s="69"/>
      <c r="Y84" s="69"/>
      <c r="Z84" s="69"/>
      <c r="AA84" s="69"/>
    </row>
    <row r="85" spans="1:27">
      <c r="A85" s="69"/>
      <c r="B85" s="69"/>
      <c r="C85" s="69"/>
      <c r="D85" s="69"/>
      <c r="E85" s="69"/>
      <c r="F85" s="69"/>
      <c r="G85" s="69"/>
      <c r="H85" s="69"/>
      <c r="I85" s="69"/>
      <c r="J85" s="69"/>
      <c r="K85" s="69"/>
      <c r="L85" s="69"/>
      <c r="M85" s="69"/>
      <c r="N85" s="69"/>
      <c r="O85" s="69"/>
      <c r="P85" s="69"/>
      <c r="Q85" s="69"/>
      <c r="R85" s="69"/>
      <c r="S85" s="69"/>
      <c r="T85" s="69"/>
      <c r="U85" s="69"/>
      <c r="V85" s="69"/>
      <c r="W85" s="69"/>
      <c r="X85" s="69"/>
      <c r="Y85" s="69"/>
      <c r="Z85" s="69"/>
      <c r="AA85" s="69"/>
    </row>
    <row r="86" spans="1:27">
      <c r="A86" s="69"/>
      <c r="B86" s="69"/>
      <c r="C86" s="69"/>
      <c r="D86" s="69"/>
      <c r="E86" s="69"/>
      <c r="F86" s="69"/>
      <c r="G86" s="69"/>
      <c r="H86" s="69"/>
      <c r="I86" s="69"/>
      <c r="J86" s="69"/>
      <c r="K86" s="69"/>
      <c r="L86" s="69"/>
      <c r="M86" s="69"/>
      <c r="N86" s="69"/>
      <c r="O86" s="69"/>
      <c r="P86" s="69"/>
      <c r="Q86" s="69"/>
      <c r="R86" s="69"/>
      <c r="S86" s="69"/>
      <c r="T86" s="69"/>
      <c r="U86" s="69"/>
      <c r="V86" s="69"/>
      <c r="W86" s="69"/>
      <c r="X86" s="69"/>
      <c r="Y86" s="69"/>
      <c r="Z86" s="69"/>
      <c r="AA86" s="69"/>
    </row>
    <row r="87" spans="1:27">
      <c r="A87" s="69"/>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row>
    <row r="88" spans="1:27">
      <c r="A88" s="69"/>
      <c r="B88" s="69"/>
      <c r="C88" s="69"/>
      <c r="D88" s="69"/>
      <c r="E88" s="69"/>
      <c r="F88" s="69"/>
      <c r="G88" s="69"/>
      <c r="H88" s="69"/>
      <c r="I88" s="69"/>
      <c r="J88" s="69"/>
      <c r="K88" s="69"/>
      <c r="L88" s="69"/>
      <c r="M88" s="69"/>
      <c r="N88" s="69"/>
      <c r="O88" s="69"/>
      <c r="P88" s="69"/>
      <c r="Q88" s="69"/>
      <c r="R88" s="69"/>
      <c r="S88" s="69"/>
      <c r="T88" s="69"/>
      <c r="U88" s="69"/>
      <c r="V88" s="69"/>
      <c r="W88" s="69"/>
      <c r="X88" s="69"/>
      <c r="Y88" s="69"/>
      <c r="Z88" s="69"/>
      <c r="AA88" s="69"/>
    </row>
    <row r="89" spans="1:27">
      <c r="A89" s="69"/>
      <c r="B89" s="69"/>
      <c r="C89" s="69"/>
      <c r="D89" s="69"/>
      <c r="E89" s="69"/>
      <c r="F89" s="69"/>
      <c r="G89" s="69"/>
      <c r="H89" s="69"/>
      <c r="I89" s="69"/>
      <c r="J89" s="69"/>
      <c r="K89" s="69"/>
      <c r="L89" s="69"/>
      <c r="M89" s="69"/>
      <c r="N89" s="69"/>
      <c r="O89" s="69"/>
      <c r="P89" s="69"/>
      <c r="Q89" s="69"/>
      <c r="R89" s="69"/>
      <c r="S89" s="69"/>
      <c r="T89" s="69"/>
      <c r="U89" s="69"/>
      <c r="V89" s="69"/>
      <c r="W89" s="69"/>
      <c r="X89" s="69"/>
      <c r="Y89" s="69"/>
      <c r="Z89" s="69"/>
      <c r="AA89" s="69"/>
    </row>
    <row r="90" spans="1:27">
      <c r="A90" s="69"/>
      <c r="B90" s="69"/>
      <c r="C90" s="69"/>
      <c r="D90" s="69"/>
      <c r="E90" s="69"/>
      <c r="F90" s="69"/>
      <c r="G90" s="69"/>
      <c r="H90" s="69"/>
      <c r="I90" s="69"/>
      <c r="J90" s="69"/>
      <c r="K90" s="69"/>
      <c r="L90" s="69"/>
      <c r="M90" s="69"/>
      <c r="N90" s="69"/>
      <c r="O90" s="69"/>
      <c r="P90" s="69"/>
      <c r="Q90" s="69"/>
      <c r="R90" s="69"/>
      <c r="S90" s="69"/>
      <c r="T90" s="69"/>
      <c r="U90" s="69"/>
      <c r="V90" s="69"/>
      <c r="W90" s="69"/>
      <c r="X90" s="69"/>
      <c r="Y90" s="69"/>
      <c r="Z90" s="69"/>
      <c r="AA90" s="69"/>
    </row>
    <row r="91" spans="1:27">
      <c r="A91" s="69"/>
      <c r="B91" s="69"/>
      <c r="C91" s="69"/>
      <c r="D91" s="69"/>
      <c r="E91" s="69"/>
      <c r="F91" s="69"/>
      <c r="G91" s="69"/>
      <c r="H91" s="69"/>
      <c r="I91" s="69"/>
      <c r="J91" s="69"/>
      <c r="K91" s="69"/>
      <c r="L91" s="69"/>
      <c r="M91" s="69"/>
      <c r="N91" s="69"/>
      <c r="O91" s="69"/>
      <c r="P91" s="69"/>
      <c r="Q91" s="69"/>
      <c r="R91" s="69"/>
      <c r="S91" s="69"/>
      <c r="T91" s="69"/>
      <c r="U91" s="69"/>
      <c r="V91" s="69"/>
      <c r="W91" s="69"/>
      <c r="X91" s="69"/>
      <c r="Y91" s="69"/>
      <c r="Z91" s="69"/>
      <c r="AA91" s="69"/>
    </row>
    <row r="92" spans="1:27">
      <c r="A92" s="69"/>
      <c r="B92" s="69"/>
      <c r="C92" s="69"/>
      <c r="D92" s="69"/>
      <c r="E92" s="69"/>
      <c r="F92" s="69"/>
      <c r="G92" s="69"/>
      <c r="H92" s="69"/>
      <c r="I92" s="69"/>
      <c r="J92" s="69"/>
      <c r="K92" s="69"/>
      <c r="L92" s="69"/>
      <c r="M92" s="69"/>
      <c r="N92" s="69"/>
      <c r="O92" s="69"/>
      <c r="P92" s="69"/>
      <c r="Q92" s="69"/>
      <c r="R92" s="69"/>
      <c r="S92" s="69"/>
      <c r="T92" s="69"/>
      <c r="U92" s="69"/>
      <c r="V92" s="69"/>
      <c r="W92" s="69"/>
      <c r="X92" s="69"/>
      <c r="Y92" s="69"/>
      <c r="Z92" s="69"/>
      <c r="AA92" s="69"/>
    </row>
    <row r="93" spans="1:27">
      <c r="A93" s="69"/>
      <c r="B93" s="69"/>
      <c r="C93" s="69"/>
      <c r="D93" s="69"/>
      <c r="E93" s="69"/>
      <c r="F93" s="69"/>
      <c r="G93" s="69"/>
      <c r="H93" s="69"/>
      <c r="I93" s="69"/>
      <c r="J93" s="69"/>
      <c r="K93" s="69"/>
      <c r="L93" s="69"/>
      <c r="M93" s="69"/>
      <c r="N93" s="69"/>
      <c r="O93" s="69"/>
      <c r="P93" s="69"/>
      <c r="Q93" s="69"/>
      <c r="R93" s="69"/>
      <c r="S93" s="69"/>
      <c r="T93" s="69"/>
      <c r="U93" s="69"/>
      <c r="V93" s="69"/>
      <c r="W93" s="69"/>
      <c r="X93" s="69"/>
      <c r="Y93" s="69"/>
      <c r="Z93" s="69"/>
      <c r="AA93" s="69"/>
    </row>
    <row r="94" spans="1:27">
      <c r="A94" s="69"/>
      <c r="B94" s="69"/>
      <c r="C94" s="69"/>
      <c r="D94" s="69"/>
      <c r="E94" s="69"/>
      <c r="F94" s="69"/>
      <c r="G94" s="69"/>
      <c r="H94" s="69"/>
      <c r="I94" s="69"/>
      <c r="J94" s="69"/>
      <c r="K94" s="69"/>
      <c r="L94" s="69"/>
      <c r="M94" s="69"/>
      <c r="N94" s="69"/>
      <c r="O94" s="69"/>
      <c r="P94" s="69"/>
      <c r="Q94" s="69"/>
      <c r="R94" s="69"/>
      <c r="S94" s="69"/>
      <c r="T94" s="69"/>
      <c r="U94" s="69"/>
      <c r="V94" s="69"/>
      <c r="W94" s="69"/>
      <c r="X94" s="69"/>
      <c r="Y94" s="69"/>
      <c r="Z94" s="69"/>
      <c r="AA94" s="69"/>
    </row>
    <row r="95" spans="1:27">
      <c r="A95" s="69"/>
      <c r="B95" s="69"/>
      <c r="C95" s="69"/>
      <c r="D95" s="69"/>
      <c r="E95" s="69"/>
      <c r="F95" s="69"/>
      <c r="G95" s="69"/>
      <c r="H95" s="69"/>
      <c r="I95" s="69"/>
      <c r="J95" s="69"/>
      <c r="K95" s="69"/>
      <c r="L95" s="69"/>
      <c r="M95" s="69"/>
      <c r="N95" s="69"/>
      <c r="O95" s="69"/>
      <c r="P95" s="69"/>
      <c r="Q95" s="69"/>
      <c r="R95" s="69"/>
      <c r="S95" s="69"/>
      <c r="T95" s="69"/>
      <c r="U95" s="69"/>
      <c r="V95" s="69"/>
      <c r="W95" s="69"/>
      <c r="X95" s="69"/>
      <c r="Y95" s="69"/>
      <c r="Z95" s="69"/>
      <c r="AA95" s="69"/>
    </row>
    <row r="96" spans="1:27">
      <c r="A96" s="69"/>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row>
    <row r="97" spans="1:27">
      <c r="A97" s="69"/>
      <c r="B97" s="69"/>
      <c r="C97" s="69"/>
      <c r="D97" s="69"/>
      <c r="E97" s="69"/>
      <c r="F97" s="69"/>
      <c r="G97" s="69"/>
      <c r="H97" s="69"/>
      <c r="I97" s="69"/>
      <c r="J97" s="69"/>
      <c r="K97" s="69"/>
      <c r="L97" s="69"/>
      <c r="M97" s="69"/>
      <c r="N97" s="69"/>
      <c r="O97" s="69"/>
      <c r="P97" s="69"/>
      <c r="Q97" s="69"/>
      <c r="R97" s="69"/>
      <c r="S97" s="69"/>
      <c r="T97" s="69"/>
      <c r="U97" s="69"/>
      <c r="V97" s="69"/>
      <c r="W97" s="69"/>
      <c r="X97" s="69"/>
      <c r="Y97" s="69"/>
      <c r="Z97" s="69"/>
      <c r="AA97" s="69"/>
    </row>
    <row r="98" spans="1:27">
      <c r="A98" s="69"/>
      <c r="B98" s="69"/>
      <c r="C98" s="69"/>
      <c r="D98" s="69"/>
      <c r="E98" s="69"/>
      <c r="F98" s="69"/>
      <c r="G98" s="69"/>
      <c r="H98" s="69"/>
      <c r="I98" s="69"/>
      <c r="J98" s="69"/>
      <c r="K98" s="69"/>
      <c r="L98" s="69"/>
      <c r="M98" s="69"/>
      <c r="N98" s="69"/>
      <c r="O98" s="69"/>
      <c r="P98" s="69"/>
      <c r="Q98" s="69"/>
      <c r="R98" s="69"/>
      <c r="S98" s="69"/>
      <c r="T98" s="69"/>
      <c r="U98" s="69"/>
      <c r="V98" s="69"/>
      <c r="W98" s="69"/>
      <c r="X98" s="69"/>
      <c r="Y98" s="69"/>
      <c r="Z98" s="69"/>
      <c r="AA98" s="69"/>
    </row>
    <row r="99" spans="1:27">
      <c r="A99" s="69"/>
      <c r="B99" s="69"/>
      <c r="C99" s="69"/>
      <c r="D99" s="69"/>
      <c r="E99" s="69"/>
      <c r="F99" s="69"/>
      <c r="G99" s="69"/>
      <c r="H99" s="69"/>
      <c r="I99" s="69"/>
      <c r="J99" s="69"/>
      <c r="K99" s="69"/>
      <c r="L99" s="69"/>
      <c r="M99" s="69"/>
      <c r="N99" s="69"/>
      <c r="O99" s="69"/>
      <c r="P99" s="69"/>
      <c r="Q99" s="69"/>
      <c r="R99" s="69"/>
      <c r="S99" s="69"/>
      <c r="T99" s="69"/>
      <c r="U99" s="69"/>
      <c r="V99" s="69"/>
      <c r="W99" s="69"/>
      <c r="X99" s="69"/>
      <c r="Y99" s="69"/>
      <c r="Z99" s="69"/>
      <c r="AA99" s="69"/>
    </row>
    <row r="100" spans="1:27">
      <c r="A100" s="69"/>
      <c r="B100" s="69"/>
      <c r="C100" s="69"/>
      <c r="D100" s="69"/>
      <c r="E100" s="69"/>
      <c r="F100" s="69"/>
      <c r="G100" s="69"/>
      <c r="H100" s="69"/>
      <c r="I100" s="69"/>
      <c r="J100" s="69"/>
      <c r="K100" s="69"/>
      <c r="L100" s="69"/>
      <c r="M100" s="69"/>
      <c r="N100" s="69"/>
      <c r="O100" s="69"/>
      <c r="P100" s="69"/>
      <c r="Q100" s="69"/>
      <c r="R100" s="69"/>
      <c r="S100" s="69"/>
      <c r="T100" s="69"/>
      <c r="U100" s="69"/>
      <c r="V100" s="69"/>
      <c r="W100" s="69"/>
      <c r="X100" s="69"/>
      <c r="Y100" s="69"/>
      <c r="Z100" s="69"/>
      <c r="AA100" s="69"/>
    </row>
    <row r="101" spans="1:27">
      <c r="A101" s="69"/>
      <c r="B101" s="69"/>
      <c r="C101" s="69"/>
      <c r="D101" s="69"/>
      <c r="E101" s="69"/>
      <c r="F101" s="69"/>
      <c r="G101" s="69"/>
      <c r="H101" s="69"/>
      <c r="I101" s="69"/>
      <c r="J101" s="69"/>
      <c r="K101" s="69"/>
      <c r="L101" s="69"/>
      <c r="M101" s="69"/>
      <c r="N101" s="69"/>
      <c r="O101" s="69"/>
      <c r="P101" s="69"/>
      <c r="Q101" s="69"/>
      <c r="R101" s="69"/>
      <c r="S101" s="69"/>
      <c r="T101" s="69"/>
      <c r="U101" s="69"/>
      <c r="V101" s="69"/>
      <c r="W101" s="69"/>
      <c r="X101" s="69"/>
      <c r="Y101" s="69"/>
      <c r="Z101" s="69"/>
      <c r="AA101" s="69"/>
    </row>
    <row r="102" spans="1:27">
      <c r="A102" s="69"/>
      <c r="B102" s="69"/>
      <c r="C102" s="69"/>
      <c r="D102" s="69"/>
      <c r="E102" s="69"/>
      <c r="F102" s="69"/>
      <c r="G102" s="69"/>
      <c r="H102" s="69"/>
      <c r="I102" s="69"/>
      <c r="J102" s="69"/>
      <c r="K102" s="69"/>
      <c r="L102" s="69"/>
      <c r="M102" s="69"/>
      <c r="N102" s="69"/>
      <c r="O102" s="69"/>
      <c r="P102" s="69"/>
      <c r="Q102" s="69"/>
      <c r="R102" s="69"/>
      <c r="S102" s="69"/>
      <c r="T102" s="69"/>
      <c r="U102" s="69"/>
      <c r="V102" s="69"/>
      <c r="W102" s="69"/>
      <c r="X102" s="69"/>
      <c r="Y102" s="69"/>
      <c r="Z102" s="69"/>
      <c r="AA102" s="69"/>
    </row>
    <row r="103" spans="1:27">
      <c r="A103" s="69"/>
      <c r="B103" s="69"/>
      <c r="C103" s="69"/>
      <c r="D103" s="69"/>
      <c r="E103" s="69"/>
      <c r="F103" s="69"/>
      <c r="G103" s="69"/>
      <c r="H103" s="69"/>
      <c r="I103" s="69"/>
      <c r="J103" s="69"/>
      <c r="K103" s="69"/>
      <c r="L103" s="69"/>
      <c r="M103" s="69"/>
      <c r="N103" s="69"/>
      <c r="O103" s="69"/>
      <c r="P103" s="69"/>
      <c r="Q103" s="69"/>
      <c r="R103" s="69"/>
      <c r="S103" s="69"/>
      <c r="T103" s="69"/>
      <c r="U103" s="69"/>
      <c r="V103" s="69"/>
      <c r="W103" s="69"/>
      <c r="X103" s="69"/>
      <c r="Y103" s="69"/>
      <c r="Z103" s="69"/>
      <c r="AA103" s="69"/>
    </row>
    <row r="104" spans="1:27">
      <c r="A104" s="69"/>
      <c r="B104" s="69"/>
      <c r="C104" s="69"/>
      <c r="D104" s="69"/>
      <c r="E104" s="69"/>
      <c r="F104" s="69"/>
      <c r="G104" s="69"/>
      <c r="H104" s="69"/>
      <c r="I104" s="69"/>
      <c r="J104" s="69"/>
      <c r="K104" s="69"/>
      <c r="L104" s="69"/>
      <c r="M104" s="69"/>
      <c r="N104" s="69"/>
      <c r="O104" s="69"/>
      <c r="P104" s="69"/>
      <c r="Q104" s="69"/>
      <c r="R104" s="69"/>
      <c r="S104" s="69"/>
      <c r="T104" s="69"/>
      <c r="U104" s="69"/>
      <c r="V104" s="69"/>
      <c r="W104" s="69"/>
      <c r="X104" s="69"/>
      <c r="Y104" s="69"/>
      <c r="Z104" s="69"/>
      <c r="AA104" s="69"/>
    </row>
    <row r="105" spans="1:27">
      <c r="A105" s="69"/>
      <c r="B105" s="69"/>
      <c r="C105" s="69"/>
      <c r="D105" s="69"/>
      <c r="E105" s="69"/>
      <c r="F105" s="69"/>
      <c r="G105" s="69"/>
      <c r="H105" s="69"/>
      <c r="I105" s="69"/>
      <c r="J105" s="69"/>
      <c r="K105" s="69"/>
      <c r="L105" s="69"/>
      <c r="M105" s="69"/>
      <c r="N105" s="69"/>
      <c r="O105" s="69"/>
      <c r="P105" s="69"/>
      <c r="Q105" s="69"/>
      <c r="R105" s="69"/>
      <c r="S105" s="69"/>
      <c r="T105" s="69"/>
      <c r="U105" s="69"/>
      <c r="V105" s="69"/>
      <c r="W105" s="69"/>
      <c r="X105" s="69"/>
      <c r="Y105" s="69"/>
      <c r="Z105" s="69"/>
      <c r="AA105" s="69"/>
    </row>
    <row r="106" spans="1:27">
      <c r="A106" s="69"/>
      <c r="B106" s="69"/>
      <c r="C106" s="69"/>
      <c r="D106" s="69"/>
      <c r="E106" s="69"/>
      <c r="F106" s="69"/>
      <c r="G106" s="69"/>
      <c r="H106" s="69"/>
      <c r="I106" s="69"/>
      <c r="J106" s="69"/>
      <c r="K106" s="69"/>
      <c r="L106" s="69"/>
      <c r="M106" s="69"/>
      <c r="N106" s="69"/>
      <c r="O106" s="69"/>
      <c r="P106" s="69"/>
      <c r="Q106" s="69"/>
      <c r="R106" s="69"/>
      <c r="S106" s="69"/>
      <c r="T106" s="69"/>
      <c r="U106" s="69"/>
      <c r="V106" s="69"/>
      <c r="W106" s="69"/>
      <c r="X106" s="69"/>
      <c r="Y106" s="69"/>
      <c r="Z106" s="69"/>
      <c r="AA106" s="69"/>
    </row>
    <row r="107" spans="1:27">
      <c r="A107" s="69"/>
      <c r="B107" s="69"/>
      <c r="C107" s="69"/>
      <c r="D107" s="69"/>
      <c r="E107" s="69"/>
      <c r="F107" s="69"/>
      <c r="G107" s="69"/>
      <c r="H107" s="69"/>
      <c r="I107" s="69"/>
      <c r="J107" s="69"/>
      <c r="K107" s="69"/>
      <c r="L107" s="69"/>
      <c r="M107" s="69"/>
      <c r="N107" s="69"/>
      <c r="O107" s="69"/>
      <c r="P107" s="69"/>
      <c r="Q107" s="69"/>
      <c r="R107" s="69"/>
      <c r="S107" s="69"/>
      <c r="T107" s="69"/>
      <c r="U107" s="69"/>
      <c r="V107" s="69"/>
      <c r="W107" s="69"/>
      <c r="X107" s="69"/>
      <c r="Y107" s="69"/>
      <c r="Z107" s="69"/>
      <c r="AA107" s="69"/>
    </row>
    <row r="108" spans="1:27">
      <c r="A108" s="69"/>
      <c r="B108" s="69"/>
      <c r="C108" s="69"/>
      <c r="D108" s="69"/>
      <c r="E108" s="69"/>
      <c r="F108" s="69"/>
      <c r="G108" s="69"/>
      <c r="H108" s="69"/>
      <c r="I108" s="69"/>
      <c r="J108" s="69"/>
      <c r="K108" s="69"/>
      <c r="L108" s="69"/>
      <c r="M108" s="69"/>
      <c r="N108" s="69"/>
      <c r="O108" s="69"/>
      <c r="P108" s="69"/>
      <c r="Q108" s="69"/>
      <c r="R108" s="69"/>
      <c r="S108" s="69"/>
      <c r="T108" s="69"/>
      <c r="U108" s="69"/>
      <c r="V108" s="69"/>
      <c r="W108" s="69"/>
      <c r="X108" s="69"/>
      <c r="Y108" s="69"/>
      <c r="Z108" s="69"/>
      <c r="AA108" s="69"/>
    </row>
    <row r="109" spans="1:27">
      <c r="A109" s="69"/>
      <c r="B109" s="69"/>
      <c r="C109" s="69"/>
      <c r="D109" s="69"/>
      <c r="E109" s="69"/>
      <c r="F109" s="69"/>
      <c r="G109" s="69"/>
      <c r="H109" s="69"/>
      <c r="I109" s="69"/>
      <c r="J109" s="69"/>
      <c r="K109" s="69"/>
      <c r="L109" s="69"/>
      <c r="M109" s="69"/>
      <c r="N109" s="69"/>
      <c r="O109" s="69"/>
      <c r="P109" s="69"/>
      <c r="Q109" s="69"/>
      <c r="R109" s="69"/>
      <c r="S109" s="69"/>
      <c r="T109" s="69"/>
      <c r="U109" s="69"/>
      <c r="V109" s="69"/>
      <c r="W109" s="69"/>
      <c r="X109" s="69"/>
      <c r="Y109" s="69"/>
      <c r="Z109" s="69"/>
      <c r="AA109" s="69"/>
    </row>
    <row r="110" spans="1:27">
      <c r="A110" s="69"/>
      <c r="B110" s="69"/>
      <c r="C110" s="69"/>
      <c r="D110" s="69"/>
      <c r="E110" s="69"/>
      <c r="F110" s="69"/>
      <c r="G110" s="69"/>
      <c r="H110" s="69"/>
      <c r="I110" s="69"/>
      <c r="J110" s="69"/>
      <c r="K110" s="69"/>
      <c r="L110" s="69"/>
      <c r="M110" s="69"/>
      <c r="N110" s="69"/>
      <c r="O110" s="69"/>
      <c r="P110" s="69"/>
      <c r="Q110" s="69"/>
      <c r="R110" s="69"/>
      <c r="S110" s="69"/>
      <c r="T110" s="69"/>
      <c r="U110" s="69"/>
      <c r="V110" s="69"/>
      <c r="W110" s="69"/>
      <c r="X110" s="69"/>
      <c r="Y110" s="69"/>
      <c r="Z110" s="69"/>
      <c r="AA110" s="69"/>
    </row>
    <row r="111" spans="1:27">
      <c r="A111" s="69"/>
      <c r="B111" s="69"/>
      <c r="C111" s="69"/>
      <c r="D111" s="69"/>
      <c r="E111" s="69"/>
      <c r="F111" s="69"/>
      <c r="G111" s="69"/>
      <c r="H111" s="69"/>
      <c r="I111" s="69"/>
      <c r="J111" s="69"/>
      <c r="K111" s="69"/>
      <c r="L111" s="69"/>
      <c r="M111" s="69"/>
      <c r="N111" s="69"/>
      <c r="O111" s="69"/>
      <c r="P111" s="69"/>
      <c r="Q111" s="69"/>
      <c r="R111" s="69"/>
      <c r="S111" s="69"/>
      <c r="T111" s="69"/>
      <c r="U111" s="69"/>
      <c r="V111" s="69"/>
      <c r="W111" s="69"/>
      <c r="X111" s="69"/>
      <c r="Y111" s="69"/>
      <c r="Z111" s="69"/>
      <c r="AA111" s="69"/>
    </row>
    <row r="112" spans="1:27">
      <c r="A112" s="69"/>
      <c r="B112" s="69"/>
      <c r="C112" s="69"/>
      <c r="D112" s="69"/>
      <c r="E112" s="69"/>
      <c r="F112" s="69"/>
      <c r="G112" s="69"/>
      <c r="H112" s="69"/>
      <c r="I112" s="69"/>
      <c r="J112" s="69"/>
      <c r="K112" s="69"/>
      <c r="L112" s="69"/>
      <c r="M112" s="69"/>
      <c r="N112" s="69"/>
      <c r="O112" s="69"/>
      <c r="P112" s="69"/>
      <c r="Q112" s="69"/>
      <c r="R112" s="69"/>
      <c r="S112" s="69"/>
      <c r="T112" s="69"/>
      <c r="U112" s="69"/>
      <c r="V112" s="69"/>
      <c r="W112" s="69"/>
      <c r="X112" s="69"/>
      <c r="Y112" s="69"/>
      <c r="Z112" s="69"/>
      <c r="AA112" s="69"/>
    </row>
    <row r="113" spans="1:27">
      <c r="A113" s="69"/>
      <c r="B113" s="69"/>
      <c r="C113" s="69"/>
      <c r="D113" s="69"/>
      <c r="E113" s="69"/>
      <c r="F113" s="69"/>
      <c r="G113" s="69"/>
      <c r="H113" s="69"/>
      <c r="I113" s="69"/>
      <c r="J113" s="69"/>
      <c r="K113" s="69"/>
      <c r="L113" s="69"/>
      <c r="M113" s="69"/>
      <c r="N113" s="69"/>
      <c r="O113" s="69"/>
      <c r="P113" s="69"/>
      <c r="Q113" s="69"/>
      <c r="R113" s="69"/>
      <c r="S113" s="69"/>
      <c r="T113" s="69"/>
      <c r="U113" s="69"/>
      <c r="V113" s="69"/>
      <c r="W113" s="69"/>
      <c r="X113" s="69"/>
      <c r="Y113" s="69"/>
      <c r="Z113" s="69"/>
      <c r="AA113" s="69"/>
    </row>
    <row r="114" spans="1:27">
      <c r="A114" s="69"/>
      <c r="B114" s="69"/>
      <c r="C114" s="69"/>
      <c r="D114" s="69"/>
      <c r="E114" s="69"/>
      <c r="F114" s="69"/>
      <c r="G114" s="69"/>
      <c r="H114" s="69"/>
      <c r="I114" s="69"/>
      <c r="J114" s="69"/>
      <c r="K114" s="69"/>
      <c r="L114" s="69"/>
      <c r="M114" s="69"/>
      <c r="N114" s="69"/>
      <c r="O114" s="69"/>
      <c r="P114" s="69"/>
      <c r="Q114" s="69"/>
      <c r="R114" s="69"/>
      <c r="S114" s="69"/>
      <c r="T114" s="69"/>
      <c r="U114" s="69"/>
      <c r="V114" s="69"/>
      <c r="W114" s="69"/>
      <c r="X114" s="69"/>
      <c r="Y114" s="69"/>
      <c r="Z114" s="69"/>
      <c r="AA114" s="69"/>
    </row>
    <row r="115" spans="1:27">
      <c r="A115" s="69"/>
      <c r="B115" s="69"/>
      <c r="C115" s="69"/>
      <c r="D115" s="69"/>
      <c r="E115" s="69"/>
      <c r="F115" s="69"/>
      <c r="G115" s="69"/>
      <c r="H115" s="69"/>
      <c r="I115" s="69"/>
      <c r="J115" s="69"/>
      <c r="K115" s="69"/>
      <c r="L115" s="69"/>
      <c r="M115" s="69"/>
      <c r="N115" s="69"/>
      <c r="O115" s="69"/>
      <c r="P115" s="69"/>
      <c r="Q115" s="69"/>
      <c r="R115" s="69"/>
      <c r="S115" s="69"/>
      <c r="T115" s="69"/>
      <c r="U115" s="69"/>
      <c r="V115" s="69"/>
      <c r="W115" s="69"/>
      <c r="X115" s="69"/>
      <c r="Y115" s="69"/>
      <c r="Z115" s="69"/>
      <c r="AA115" s="69"/>
    </row>
    <row r="116" spans="1:27">
      <c r="A116" s="69"/>
      <c r="B116" s="69"/>
      <c r="C116" s="69"/>
      <c r="D116" s="69"/>
      <c r="E116" s="69"/>
      <c r="F116" s="69"/>
      <c r="G116" s="69"/>
      <c r="H116" s="69"/>
      <c r="I116" s="69"/>
      <c r="J116" s="69"/>
      <c r="K116" s="69"/>
      <c r="L116" s="69"/>
      <c r="M116" s="69"/>
      <c r="N116" s="69"/>
      <c r="O116" s="69"/>
      <c r="P116" s="69"/>
      <c r="Q116" s="69"/>
      <c r="R116" s="69"/>
      <c r="S116" s="69"/>
      <c r="T116" s="69"/>
      <c r="U116" s="69"/>
      <c r="V116" s="69"/>
      <c r="W116" s="69"/>
      <c r="X116" s="69"/>
      <c r="Y116" s="69"/>
      <c r="Z116" s="69"/>
      <c r="AA116" s="69"/>
    </row>
    <row r="117" spans="1:27">
      <c r="A117" s="69"/>
      <c r="B117" s="69"/>
      <c r="C117" s="69"/>
      <c r="D117" s="69"/>
      <c r="E117" s="69"/>
      <c r="F117" s="69"/>
      <c r="G117" s="69"/>
      <c r="H117" s="69"/>
      <c r="I117" s="69"/>
      <c r="J117" s="69"/>
      <c r="K117" s="69"/>
      <c r="L117" s="69"/>
      <c r="M117" s="69"/>
      <c r="N117" s="69"/>
      <c r="O117" s="69"/>
      <c r="P117" s="69"/>
      <c r="Q117" s="69"/>
      <c r="R117" s="69"/>
      <c r="S117" s="69"/>
      <c r="T117" s="69"/>
      <c r="U117" s="69"/>
      <c r="V117" s="69"/>
      <c r="W117" s="69"/>
      <c r="X117" s="69"/>
      <c r="Y117" s="69"/>
      <c r="Z117" s="69"/>
      <c r="AA117" s="69"/>
    </row>
    <row r="118" spans="1:27">
      <c r="A118" s="69"/>
      <c r="B118" s="69"/>
      <c r="C118" s="69"/>
      <c r="D118" s="69"/>
      <c r="E118" s="69"/>
      <c r="F118" s="69"/>
      <c r="G118" s="69"/>
      <c r="H118" s="69"/>
      <c r="I118" s="69"/>
      <c r="J118" s="69"/>
      <c r="K118" s="69"/>
      <c r="L118" s="69"/>
      <c r="M118" s="69"/>
      <c r="N118" s="69"/>
      <c r="O118" s="69"/>
      <c r="P118" s="69"/>
      <c r="Q118" s="69"/>
      <c r="R118" s="69"/>
      <c r="S118" s="69"/>
      <c r="T118" s="69"/>
      <c r="U118" s="69"/>
      <c r="V118" s="69"/>
      <c r="W118" s="69"/>
      <c r="X118" s="69"/>
      <c r="Y118" s="69"/>
      <c r="Z118" s="69"/>
      <c r="AA118" s="69"/>
    </row>
    <row r="119" spans="1:27">
      <c r="A119" s="69"/>
      <c r="B119" s="69"/>
      <c r="C119" s="69"/>
      <c r="D119" s="69"/>
      <c r="E119" s="69"/>
      <c r="F119" s="69"/>
      <c r="G119" s="69"/>
      <c r="H119" s="69"/>
      <c r="I119" s="69"/>
      <c r="J119" s="69"/>
      <c r="K119" s="69"/>
      <c r="L119" s="69"/>
      <c r="M119" s="69"/>
      <c r="N119" s="69"/>
      <c r="O119" s="69"/>
      <c r="P119" s="69"/>
      <c r="Q119" s="69"/>
      <c r="R119" s="69"/>
      <c r="S119" s="69"/>
      <c r="T119" s="69"/>
      <c r="U119" s="69"/>
      <c r="V119" s="69"/>
      <c r="W119" s="69"/>
      <c r="X119" s="69"/>
      <c r="Y119" s="69"/>
      <c r="Z119" s="69"/>
      <c r="AA119" s="69"/>
    </row>
    <row r="120" spans="1:27">
      <c r="A120" s="69"/>
      <c r="B120" s="69"/>
      <c r="C120" s="69"/>
      <c r="D120" s="69"/>
      <c r="E120" s="69"/>
      <c r="F120" s="69"/>
      <c r="G120" s="69"/>
      <c r="H120" s="69"/>
      <c r="I120" s="69"/>
      <c r="J120" s="69"/>
      <c r="K120" s="69"/>
      <c r="L120" s="69"/>
      <c r="M120" s="69"/>
      <c r="N120" s="69"/>
      <c r="O120" s="69"/>
      <c r="P120" s="69"/>
      <c r="Q120" s="69"/>
      <c r="R120" s="69"/>
      <c r="S120" s="69"/>
      <c r="T120" s="69"/>
      <c r="U120" s="69"/>
      <c r="V120" s="69"/>
      <c r="W120" s="69"/>
      <c r="X120" s="69"/>
      <c r="Y120" s="69"/>
      <c r="Z120" s="69"/>
      <c r="AA120" s="69"/>
    </row>
    <row r="121" spans="1:27">
      <c r="A121" s="69"/>
      <c r="B121" s="69"/>
      <c r="C121" s="69"/>
      <c r="D121" s="69"/>
      <c r="E121" s="69"/>
      <c r="F121" s="69"/>
      <c r="G121" s="69"/>
      <c r="H121" s="69"/>
      <c r="I121" s="69"/>
      <c r="J121" s="69"/>
      <c r="K121" s="69"/>
      <c r="L121" s="69"/>
      <c r="M121" s="69"/>
      <c r="N121" s="69"/>
      <c r="O121" s="69"/>
      <c r="P121" s="69"/>
      <c r="Q121" s="69"/>
      <c r="R121" s="69"/>
      <c r="S121" s="69"/>
      <c r="T121" s="69"/>
      <c r="U121" s="69"/>
      <c r="V121" s="69"/>
      <c r="W121" s="69"/>
      <c r="X121" s="69"/>
      <c r="Y121" s="69"/>
      <c r="Z121" s="69"/>
      <c r="AA121" s="69"/>
    </row>
    <row r="122" spans="1:27">
      <c r="A122" s="69"/>
      <c r="B122" s="69"/>
      <c r="C122" s="69"/>
      <c r="D122" s="69"/>
      <c r="E122" s="69"/>
      <c r="F122" s="69"/>
      <c r="G122" s="69"/>
      <c r="H122" s="69"/>
      <c r="I122" s="69"/>
      <c r="J122" s="69"/>
      <c r="K122" s="69"/>
      <c r="L122" s="69"/>
      <c r="M122" s="69"/>
      <c r="N122" s="69"/>
      <c r="O122" s="69"/>
      <c r="P122" s="69"/>
      <c r="Q122" s="69"/>
      <c r="R122" s="69"/>
      <c r="S122" s="69"/>
      <c r="T122" s="69"/>
      <c r="U122" s="69"/>
      <c r="V122" s="69"/>
      <c r="W122" s="69"/>
      <c r="X122" s="69"/>
      <c r="Y122" s="69"/>
      <c r="Z122" s="69"/>
      <c r="AA122" s="69"/>
    </row>
    <row r="123" spans="1:27">
      <c r="A123" s="69"/>
      <c r="B123" s="69"/>
      <c r="C123" s="69"/>
      <c r="D123" s="69"/>
      <c r="E123" s="69"/>
      <c r="F123" s="69"/>
      <c r="G123" s="69"/>
      <c r="H123" s="69"/>
      <c r="I123" s="69"/>
      <c r="J123" s="69"/>
      <c r="K123" s="69"/>
      <c r="L123" s="69"/>
      <c r="M123" s="69"/>
      <c r="N123" s="69"/>
      <c r="O123" s="69"/>
      <c r="P123" s="69"/>
      <c r="Q123" s="69"/>
      <c r="R123" s="69"/>
      <c r="S123" s="69"/>
      <c r="T123" s="69"/>
      <c r="U123" s="69"/>
      <c r="V123" s="69"/>
      <c r="W123" s="69"/>
      <c r="X123" s="69"/>
      <c r="Y123" s="69"/>
      <c r="Z123" s="69"/>
      <c r="AA123" s="69"/>
    </row>
    <row r="124" spans="1:27">
      <c r="A124" s="69"/>
      <c r="B124" s="69"/>
      <c r="C124" s="69"/>
      <c r="D124" s="69"/>
      <c r="E124" s="69"/>
      <c r="F124" s="69"/>
      <c r="G124" s="69"/>
      <c r="H124" s="69"/>
      <c r="I124" s="69"/>
      <c r="J124" s="69"/>
      <c r="K124" s="69"/>
      <c r="L124" s="69"/>
      <c r="M124" s="69"/>
      <c r="N124" s="69"/>
      <c r="O124" s="69"/>
      <c r="P124" s="69"/>
      <c r="Q124" s="69"/>
      <c r="R124" s="69"/>
      <c r="S124" s="69"/>
      <c r="T124" s="69"/>
      <c r="U124" s="69"/>
      <c r="V124" s="69"/>
      <c r="W124" s="69"/>
      <c r="X124" s="69"/>
      <c r="Y124" s="69"/>
      <c r="Z124" s="69"/>
      <c r="AA124" s="69"/>
    </row>
    <row r="125" spans="1:27">
      <c r="A125" s="69"/>
      <c r="B125" s="69"/>
      <c r="C125" s="69"/>
      <c r="D125" s="69"/>
      <c r="E125" s="69"/>
      <c r="F125" s="69"/>
      <c r="G125" s="69"/>
      <c r="H125" s="69"/>
      <c r="I125" s="69"/>
      <c r="J125" s="69"/>
      <c r="K125" s="69"/>
      <c r="L125" s="69"/>
      <c r="M125" s="69"/>
      <c r="N125" s="69"/>
      <c r="O125" s="69"/>
      <c r="P125" s="69"/>
      <c r="Q125" s="69"/>
      <c r="R125" s="69"/>
      <c r="S125" s="69"/>
      <c r="T125" s="69"/>
      <c r="U125" s="69"/>
      <c r="V125" s="69"/>
      <c r="W125" s="69"/>
      <c r="X125" s="69"/>
      <c r="Y125" s="69"/>
      <c r="Z125" s="69"/>
      <c r="AA125" s="69"/>
    </row>
    <row r="126" spans="1:27">
      <c r="A126" s="69"/>
      <c r="B126" s="69"/>
      <c r="C126" s="69"/>
      <c r="D126" s="69"/>
      <c r="E126" s="69"/>
      <c r="F126" s="69"/>
      <c r="G126" s="69"/>
      <c r="H126" s="69"/>
      <c r="I126" s="69"/>
      <c r="J126" s="69"/>
      <c r="K126" s="69"/>
      <c r="L126" s="69"/>
      <c r="M126" s="69"/>
      <c r="N126" s="69"/>
      <c r="O126" s="69"/>
      <c r="P126" s="69"/>
      <c r="Q126" s="69"/>
      <c r="R126" s="69"/>
      <c r="S126" s="69"/>
      <c r="T126" s="69"/>
      <c r="U126" s="69"/>
      <c r="V126" s="69"/>
      <c r="W126" s="69"/>
      <c r="X126" s="69"/>
      <c r="Y126" s="69"/>
      <c r="Z126" s="69"/>
      <c r="AA126" s="69"/>
    </row>
    <row r="127" spans="1:27">
      <c r="A127" s="69"/>
      <c r="B127" s="69"/>
      <c r="C127" s="69"/>
      <c r="D127" s="69"/>
      <c r="E127" s="69"/>
      <c r="F127" s="69"/>
      <c r="G127" s="69"/>
      <c r="H127" s="69"/>
      <c r="I127" s="69"/>
      <c r="J127" s="69"/>
      <c r="K127" s="69"/>
      <c r="L127" s="69"/>
      <c r="M127" s="69"/>
      <c r="N127" s="69"/>
      <c r="O127" s="69"/>
      <c r="P127" s="69"/>
      <c r="Q127" s="69"/>
      <c r="R127" s="69"/>
      <c r="S127" s="69"/>
      <c r="T127" s="69"/>
      <c r="U127" s="69"/>
      <c r="V127" s="69"/>
      <c r="W127" s="69"/>
      <c r="X127" s="69"/>
      <c r="Y127" s="69"/>
      <c r="Z127" s="69"/>
      <c r="AA127" s="69"/>
    </row>
    <row r="128" spans="1:27">
      <c r="A128" s="69"/>
      <c r="B128" s="69"/>
      <c r="C128" s="69"/>
      <c r="D128" s="69"/>
      <c r="E128" s="69"/>
      <c r="F128" s="69"/>
      <c r="G128" s="69"/>
      <c r="H128" s="69"/>
      <c r="I128" s="69"/>
      <c r="J128" s="69"/>
      <c r="K128" s="69"/>
      <c r="L128" s="69"/>
      <c r="M128" s="69"/>
      <c r="N128" s="69"/>
      <c r="O128" s="69"/>
      <c r="P128" s="69"/>
      <c r="Q128" s="69"/>
      <c r="R128" s="69"/>
      <c r="S128" s="69"/>
      <c r="T128" s="69"/>
      <c r="U128" s="69"/>
      <c r="V128" s="69"/>
      <c r="W128" s="69"/>
      <c r="X128" s="69"/>
      <c r="Y128" s="69"/>
      <c r="Z128" s="69"/>
      <c r="AA128" s="69"/>
    </row>
    <row r="129" spans="1:27">
      <c r="A129" s="69"/>
      <c r="B129" s="69"/>
      <c r="C129" s="69"/>
      <c r="D129" s="69"/>
      <c r="E129" s="69"/>
      <c r="F129" s="69"/>
      <c r="G129" s="69"/>
      <c r="H129" s="69"/>
      <c r="I129" s="69"/>
      <c r="J129" s="69"/>
      <c r="K129" s="69"/>
      <c r="L129" s="69"/>
      <c r="M129" s="69"/>
      <c r="N129" s="69"/>
      <c r="O129" s="69"/>
      <c r="P129" s="69"/>
      <c r="Q129" s="69"/>
      <c r="R129" s="69"/>
      <c r="S129" s="69"/>
      <c r="T129" s="69"/>
      <c r="U129" s="69"/>
      <c r="V129" s="69"/>
      <c r="W129" s="69"/>
      <c r="X129" s="69"/>
      <c r="Y129" s="69"/>
      <c r="Z129" s="69"/>
      <c r="AA129" s="69"/>
    </row>
    <row r="130" spans="1:27">
      <c r="A130" s="69"/>
      <c r="B130" s="69"/>
      <c r="C130" s="69"/>
      <c r="D130" s="69"/>
      <c r="E130" s="69"/>
      <c r="F130" s="69"/>
      <c r="G130" s="69"/>
      <c r="H130" s="69"/>
      <c r="I130" s="69"/>
      <c r="J130" s="69"/>
      <c r="K130" s="69"/>
      <c r="L130" s="69"/>
      <c r="M130" s="69"/>
      <c r="N130" s="69"/>
      <c r="O130" s="69"/>
      <c r="P130" s="69"/>
      <c r="Q130" s="69"/>
      <c r="R130" s="69"/>
      <c r="S130" s="69"/>
      <c r="T130" s="69"/>
      <c r="U130" s="69"/>
      <c r="V130" s="69"/>
      <c r="W130" s="69"/>
      <c r="X130" s="69"/>
      <c r="Y130" s="69"/>
      <c r="Z130" s="69"/>
      <c r="AA130" s="69"/>
    </row>
    <row r="131" spans="1:27">
      <c r="A131" s="69"/>
      <c r="B131" s="69"/>
      <c r="C131" s="69"/>
      <c r="D131" s="69"/>
      <c r="E131" s="69"/>
      <c r="F131" s="69"/>
      <c r="G131" s="69"/>
      <c r="H131" s="69"/>
      <c r="I131" s="69"/>
      <c r="J131" s="69"/>
      <c r="K131" s="69"/>
      <c r="L131" s="69"/>
      <c r="M131" s="69"/>
      <c r="N131" s="69"/>
      <c r="O131" s="69"/>
      <c r="P131" s="69"/>
      <c r="Q131" s="69"/>
      <c r="R131" s="69"/>
      <c r="S131" s="69"/>
      <c r="T131" s="69"/>
      <c r="U131" s="69"/>
      <c r="V131" s="69"/>
      <c r="W131" s="69"/>
      <c r="X131" s="69"/>
      <c r="Y131" s="69"/>
      <c r="Z131" s="69"/>
      <c r="AA131" s="69"/>
    </row>
    <row r="132" spans="1:27">
      <c r="A132" s="69"/>
      <c r="B132" s="69"/>
      <c r="C132" s="69"/>
      <c r="D132" s="69"/>
      <c r="E132" s="69"/>
      <c r="F132" s="69"/>
      <c r="G132" s="69"/>
      <c r="H132" s="69"/>
      <c r="I132" s="69"/>
      <c r="J132" s="69"/>
      <c r="K132" s="69"/>
      <c r="L132" s="69"/>
      <c r="M132" s="69"/>
      <c r="N132" s="69"/>
      <c r="O132" s="69"/>
      <c r="P132" s="69"/>
      <c r="Q132" s="69"/>
      <c r="R132" s="69"/>
      <c r="S132" s="69"/>
      <c r="T132" s="69"/>
      <c r="U132" s="69"/>
      <c r="V132" s="69"/>
      <c r="W132" s="69"/>
      <c r="X132" s="69"/>
      <c r="Y132" s="69"/>
      <c r="Z132" s="69"/>
      <c r="AA132" s="69"/>
    </row>
    <row r="133" spans="1:27">
      <c r="A133" s="69"/>
      <c r="B133" s="69"/>
      <c r="C133" s="69"/>
      <c r="D133" s="69"/>
      <c r="E133" s="69"/>
      <c r="F133" s="69"/>
      <c r="G133" s="69"/>
      <c r="H133" s="69"/>
      <c r="I133" s="69"/>
      <c r="J133" s="69"/>
      <c r="K133" s="69"/>
      <c r="L133" s="69"/>
      <c r="M133" s="69"/>
      <c r="N133" s="69"/>
      <c r="O133" s="69"/>
      <c r="P133" s="69"/>
      <c r="Q133" s="69"/>
      <c r="R133" s="69"/>
      <c r="S133" s="69"/>
      <c r="T133" s="69"/>
      <c r="U133" s="69"/>
      <c r="V133" s="69"/>
      <c r="W133" s="69"/>
      <c r="X133" s="69"/>
      <c r="Y133" s="69"/>
      <c r="Z133" s="69"/>
      <c r="AA133" s="69"/>
    </row>
    <row r="134" spans="1:27">
      <c r="A134" s="69"/>
      <c r="B134" s="69"/>
      <c r="C134" s="69"/>
      <c r="D134" s="69"/>
      <c r="E134" s="69"/>
      <c r="F134" s="69"/>
      <c r="G134" s="69"/>
      <c r="H134" s="69"/>
      <c r="I134" s="69"/>
      <c r="J134" s="69"/>
      <c r="K134" s="69"/>
      <c r="L134" s="69"/>
      <c r="M134" s="69"/>
      <c r="N134" s="69"/>
      <c r="O134" s="69"/>
      <c r="P134" s="69"/>
      <c r="Q134" s="69"/>
      <c r="R134" s="69"/>
      <c r="S134" s="69"/>
      <c r="T134" s="69"/>
      <c r="U134" s="69"/>
      <c r="V134" s="69"/>
      <c r="W134" s="69"/>
      <c r="X134" s="69"/>
      <c r="Y134" s="69"/>
      <c r="Z134" s="69"/>
      <c r="AA134" s="69"/>
    </row>
    <row r="135" spans="1:27">
      <c r="A135" s="69"/>
      <c r="B135" s="69"/>
      <c r="C135" s="69"/>
      <c r="D135" s="69"/>
      <c r="E135" s="69"/>
      <c r="F135" s="69"/>
      <c r="G135" s="69"/>
      <c r="H135" s="69"/>
      <c r="I135" s="69"/>
      <c r="J135" s="69"/>
      <c r="K135" s="69"/>
      <c r="L135" s="69"/>
      <c r="M135" s="69"/>
      <c r="N135" s="69"/>
      <c r="O135" s="69"/>
      <c r="P135" s="69"/>
      <c r="Q135" s="69"/>
      <c r="R135" s="69"/>
      <c r="S135" s="69"/>
      <c r="T135" s="69"/>
      <c r="U135" s="69"/>
      <c r="V135" s="69"/>
      <c r="W135" s="69"/>
      <c r="X135" s="69"/>
      <c r="Y135" s="69"/>
      <c r="Z135" s="69"/>
      <c r="AA135" s="69"/>
    </row>
    <row r="136" spans="1:27">
      <c r="A136" s="69"/>
      <c r="B136" s="69"/>
      <c r="C136" s="69"/>
      <c r="D136" s="69"/>
      <c r="E136" s="69"/>
      <c r="F136" s="69"/>
      <c r="G136" s="69"/>
      <c r="H136" s="69"/>
      <c r="I136" s="69"/>
      <c r="J136" s="69"/>
      <c r="K136" s="69"/>
      <c r="L136" s="69"/>
      <c r="M136" s="69"/>
      <c r="N136" s="69"/>
      <c r="O136" s="69"/>
      <c r="P136" s="69"/>
      <c r="Q136" s="69"/>
      <c r="R136" s="69"/>
      <c r="S136" s="69"/>
      <c r="T136" s="69"/>
      <c r="U136" s="69"/>
      <c r="V136" s="69"/>
      <c r="W136" s="69"/>
      <c r="X136" s="69"/>
      <c r="Y136" s="69"/>
      <c r="Z136" s="69"/>
      <c r="AA136" s="69"/>
    </row>
    <row r="137" spans="1:27">
      <c r="A137" s="69"/>
      <c r="B137" s="69"/>
      <c r="C137" s="69"/>
      <c r="D137" s="69"/>
      <c r="E137" s="69"/>
      <c r="F137" s="69"/>
      <c r="G137" s="69"/>
      <c r="H137" s="69"/>
      <c r="I137" s="69"/>
      <c r="J137" s="69"/>
      <c r="K137" s="69"/>
      <c r="L137" s="69"/>
      <c r="M137" s="69"/>
      <c r="N137" s="69"/>
      <c r="O137" s="69"/>
      <c r="P137" s="69"/>
      <c r="Q137" s="69"/>
      <c r="R137" s="69"/>
      <c r="S137" s="69"/>
      <c r="T137" s="69"/>
      <c r="U137" s="69"/>
      <c r="V137" s="69"/>
      <c r="W137" s="69"/>
      <c r="X137" s="69"/>
      <c r="Y137" s="69"/>
      <c r="Z137" s="69"/>
      <c r="AA137" s="69"/>
    </row>
    <row r="138" spans="1:27">
      <c r="A138" s="69"/>
      <c r="B138" s="69"/>
      <c r="C138" s="69"/>
      <c r="D138" s="69"/>
      <c r="E138" s="69"/>
      <c r="F138" s="69"/>
      <c r="G138" s="69"/>
      <c r="H138" s="69"/>
      <c r="I138" s="69"/>
      <c r="J138" s="69"/>
      <c r="K138" s="69"/>
      <c r="L138" s="69"/>
      <c r="M138" s="69"/>
      <c r="N138" s="69"/>
      <c r="O138" s="69"/>
      <c r="P138" s="69"/>
      <c r="Q138" s="69"/>
      <c r="R138" s="69"/>
      <c r="S138" s="69"/>
      <c r="T138" s="69"/>
      <c r="U138" s="69"/>
      <c r="V138" s="69"/>
      <c r="W138" s="69"/>
      <c r="X138" s="69"/>
      <c r="Y138" s="69"/>
      <c r="Z138" s="69"/>
      <c r="AA138" s="69"/>
    </row>
    <row r="139" spans="1:27">
      <c r="A139" s="69"/>
      <c r="B139" s="69"/>
      <c r="C139" s="69"/>
      <c r="D139" s="69"/>
      <c r="E139" s="69"/>
      <c r="F139" s="69"/>
      <c r="G139" s="69"/>
      <c r="H139" s="69"/>
      <c r="I139" s="69"/>
      <c r="J139" s="69"/>
      <c r="K139" s="69"/>
      <c r="L139" s="69"/>
      <c r="M139" s="69"/>
      <c r="N139" s="69"/>
      <c r="O139" s="69"/>
      <c r="P139" s="69"/>
      <c r="Q139" s="69"/>
      <c r="R139" s="69"/>
      <c r="S139" s="69"/>
      <c r="T139" s="69"/>
      <c r="U139" s="69"/>
      <c r="V139" s="69"/>
      <c r="W139" s="69"/>
      <c r="X139" s="69"/>
      <c r="Y139" s="69"/>
      <c r="Z139" s="69"/>
      <c r="AA139" s="69"/>
    </row>
    <row r="140" spans="1:27">
      <c r="A140" s="69"/>
      <c r="B140" s="69"/>
      <c r="C140" s="69"/>
      <c r="D140" s="69"/>
      <c r="E140" s="69"/>
      <c r="F140" s="69"/>
      <c r="G140" s="69"/>
      <c r="H140" s="69"/>
      <c r="I140" s="69"/>
      <c r="J140" s="69"/>
      <c r="K140" s="69"/>
      <c r="L140" s="69"/>
      <c r="M140" s="69"/>
      <c r="N140" s="69"/>
      <c r="O140" s="69"/>
      <c r="P140" s="69"/>
      <c r="Q140" s="69"/>
      <c r="R140" s="69"/>
      <c r="S140" s="69"/>
      <c r="T140" s="69"/>
      <c r="U140" s="69"/>
      <c r="V140" s="69"/>
      <c r="W140" s="69"/>
      <c r="X140" s="69"/>
      <c r="Y140" s="69"/>
      <c r="Z140" s="69"/>
      <c r="AA140" s="69"/>
    </row>
    <row r="141" spans="1:27">
      <c r="A141" s="69"/>
      <c r="B141" s="69"/>
      <c r="C141" s="69"/>
      <c r="D141" s="69"/>
      <c r="E141" s="69"/>
      <c r="F141" s="69"/>
      <c r="G141" s="69"/>
      <c r="H141" s="69"/>
      <c r="I141" s="69"/>
      <c r="J141" s="69"/>
      <c r="K141" s="69"/>
      <c r="L141" s="69"/>
      <c r="M141" s="69"/>
      <c r="N141" s="69"/>
      <c r="O141" s="69"/>
      <c r="P141" s="69"/>
      <c r="Q141" s="69"/>
      <c r="R141" s="69"/>
      <c r="S141" s="69"/>
      <c r="T141" s="69"/>
      <c r="U141" s="69"/>
      <c r="V141" s="69"/>
      <c r="W141" s="69"/>
      <c r="X141" s="69"/>
      <c r="Y141" s="69"/>
      <c r="Z141" s="69"/>
      <c r="AA141" s="69"/>
    </row>
    <row r="142" spans="1:27">
      <c r="A142" s="69"/>
      <c r="B142" s="69"/>
      <c r="C142" s="69"/>
      <c r="D142" s="69"/>
      <c r="E142" s="69"/>
      <c r="F142" s="69"/>
      <c r="G142" s="69"/>
      <c r="H142" s="69"/>
      <c r="I142" s="69"/>
      <c r="J142" s="69"/>
      <c r="K142" s="69"/>
      <c r="L142" s="69"/>
      <c r="M142" s="69"/>
      <c r="N142" s="69"/>
      <c r="O142" s="69"/>
      <c r="P142" s="69"/>
      <c r="Q142" s="69"/>
      <c r="R142" s="69"/>
      <c r="S142" s="69"/>
      <c r="T142" s="69"/>
      <c r="U142" s="69"/>
      <c r="V142" s="69"/>
      <c r="W142" s="69"/>
      <c r="X142" s="69"/>
      <c r="Y142" s="69"/>
      <c r="Z142" s="69"/>
      <c r="AA142" s="69"/>
    </row>
    <row r="143" spans="1:27">
      <c r="A143" s="69"/>
      <c r="B143" s="69"/>
      <c r="C143" s="69"/>
      <c r="D143" s="69"/>
      <c r="E143" s="69"/>
      <c r="F143" s="69"/>
      <c r="G143" s="69"/>
      <c r="H143" s="69"/>
      <c r="I143" s="69"/>
      <c r="J143" s="69"/>
      <c r="K143" s="69"/>
      <c r="L143" s="69"/>
      <c r="M143" s="69"/>
      <c r="N143" s="69"/>
      <c r="O143" s="69"/>
      <c r="P143" s="69"/>
      <c r="Q143" s="69"/>
      <c r="R143" s="69"/>
      <c r="S143" s="69"/>
      <c r="T143" s="69"/>
      <c r="U143" s="69"/>
      <c r="V143" s="69"/>
      <c r="W143" s="69"/>
      <c r="X143" s="69"/>
      <c r="Y143" s="69"/>
      <c r="Z143" s="69"/>
      <c r="AA143" s="69"/>
    </row>
    <row r="144" spans="1:27">
      <c r="A144" s="69"/>
      <c r="B144" s="69"/>
      <c r="C144" s="69"/>
      <c r="D144" s="69"/>
      <c r="E144" s="69"/>
      <c r="F144" s="69"/>
      <c r="G144" s="69"/>
      <c r="H144" s="69"/>
      <c r="I144" s="69"/>
      <c r="J144" s="69"/>
      <c r="K144" s="69"/>
      <c r="L144" s="69"/>
      <c r="M144" s="69"/>
      <c r="N144" s="69"/>
      <c r="O144" s="69"/>
      <c r="P144" s="69"/>
      <c r="Q144" s="69"/>
      <c r="R144" s="69"/>
      <c r="S144" s="69"/>
      <c r="T144" s="69"/>
      <c r="U144" s="69"/>
      <c r="V144" s="69"/>
      <c r="W144" s="69"/>
      <c r="X144" s="69"/>
      <c r="Y144" s="69"/>
      <c r="Z144" s="69"/>
      <c r="AA144" s="69"/>
    </row>
    <row r="145" spans="1:27">
      <c r="A145" s="69"/>
      <c r="B145" s="69"/>
      <c r="C145" s="69"/>
      <c r="D145" s="69"/>
      <c r="E145" s="69"/>
      <c r="F145" s="69"/>
      <c r="G145" s="69"/>
      <c r="H145" s="69"/>
      <c r="I145" s="69"/>
      <c r="J145" s="69"/>
      <c r="K145" s="69"/>
      <c r="L145" s="69"/>
      <c r="M145" s="69"/>
      <c r="N145" s="69"/>
      <c r="O145" s="69"/>
      <c r="P145" s="69"/>
      <c r="Q145" s="69"/>
      <c r="R145" s="69"/>
      <c r="S145" s="69"/>
      <c r="T145" s="69"/>
      <c r="U145" s="69"/>
      <c r="V145" s="69"/>
      <c r="W145" s="69"/>
      <c r="X145" s="69"/>
      <c r="Y145" s="69"/>
      <c r="Z145" s="69"/>
      <c r="AA145" s="69"/>
    </row>
    <row r="146" spans="1:27">
      <c r="A146" s="69"/>
      <c r="B146" s="69"/>
      <c r="C146" s="69"/>
      <c r="D146" s="69"/>
      <c r="E146" s="69"/>
      <c r="F146" s="69"/>
      <c r="G146" s="69"/>
      <c r="H146" s="69"/>
      <c r="I146" s="69"/>
      <c r="J146" s="69"/>
      <c r="K146" s="69"/>
      <c r="L146" s="69"/>
      <c r="M146" s="69"/>
      <c r="N146" s="69"/>
      <c r="O146" s="69"/>
      <c r="P146" s="69"/>
      <c r="Q146" s="69"/>
      <c r="R146" s="69"/>
      <c r="S146" s="69"/>
      <c r="T146" s="69"/>
      <c r="U146" s="69"/>
      <c r="V146" s="69"/>
      <c r="W146" s="69"/>
      <c r="X146" s="69"/>
      <c r="Y146" s="69"/>
      <c r="Z146" s="69"/>
      <c r="AA146" s="69"/>
    </row>
    <row r="147" spans="1:27">
      <c r="A147" s="69"/>
      <c r="B147" s="69"/>
      <c r="C147" s="69"/>
      <c r="D147" s="69"/>
      <c r="E147" s="69"/>
      <c r="F147" s="69"/>
      <c r="G147" s="69"/>
      <c r="H147" s="69"/>
      <c r="I147" s="69"/>
      <c r="J147" s="69"/>
      <c r="K147" s="69"/>
      <c r="L147" s="69"/>
      <c r="M147" s="69"/>
      <c r="N147" s="69"/>
      <c r="O147" s="69"/>
      <c r="P147" s="69"/>
      <c r="Q147" s="69"/>
      <c r="R147" s="69"/>
      <c r="S147" s="69"/>
      <c r="T147" s="69"/>
      <c r="U147" s="69"/>
      <c r="V147" s="69"/>
      <c r="W147" s="69"/>
      <c r="X147" s="69"/>
      <c r="Y147" s="69"/>
      <c r="Z147" s="69"/>
      <c r="AA147" s="69"/>
    </row>
    <row r="148" spans="1:27">
      <c r="A148" s="69"/>
      <c r="B148" s="69"/>
      <c r="C148" s="69"/>
      <c r="D148" s="69"/>
      <c r="E148" s="69"/>
      <c r="F148" s="69"/>
      <c r="G148" s="69"/>
      <c r="H148" s="69"/>
      <c r="I148" s="69"/>
      <c r="J148" s="69"/>
      <c r="K148" s="69"/>
      <c r="L148" s="69"/>
      <c r="M148" s="69"/>
      <c r="N148" s="69"/>
      <c r="O148" s="69"/>
      <c r="P148" s="69"/>
      <c r="Q148" s="69"/>
      <c r="R148" s="69"/>
      <c r="S148" s="69"/>
      <c r="T148" s="69"/>
      <c r="U148" s="69"/>
      <c r="V148" s="69"/>
      <c r="W148" s="69"/>
      <c r="X148" s="69"/>
      <c r="Y148" s="69"/>
      <c r="Z148" s="69"/>
      <c r="AA148" s="69"/>
    </row>
    <row r="149" spans="1:27">
      <c r="A149" s="69"/>
      <c r="B149" s="69"/>
      <c r="C149" s="69"/>
      <c r="D149" s="69"/>
      <c r="E149" s="69"/>
      <c r="F149" s="69"/>
      <c r="G149" s="69"/>
      <c r="H149" s="69"/>
      <c r="I149" s="69"/>
      <c r="J149" s="69"/>
      <c r="K149" s="69"/>
      <c r="L149" s="69"/>
      <c r="M149" s="69"/>
      <c r="N149" s="69"/>
      <c r="O149" s="69"/>
      <c r="P149" s="69"/>
      <c r="Q149" s="69"/>
      <c r="R149" s="69"/>
      <c r="S149" s="69"/>
      <c r="T149" s="69"/>
      <c r="U149" s="69"/>
      <c r="V149" s="69"/>
      <c r="W149" s="69"/>
      <c r="X149" s="69"/>
      <c r="Y149" s="69"/>
      <c r="Z149" s="69"/>
      <c r="AA149" s="69"/>
    </row>
    <row r="150" spans="1:27">
      <c r="A150" s="69"/>
      <c r="B150" s="69"/>
      <c r="C150" s="69"/>
      <c r="D150" s="69"/>
      <c r="E150" s="69"/>
      <c r="F150" s="69"/>
      <c r="G150" s="69"/>
      <c r="H150" s="69"/>
      <c r="I150" s="69"/>
      <c r="J150" s="69"/>
      <c r="K150" s="69"/>
      <c r="L150" s="69"/>
      <c r="M150" s="69"/>
      <c r="N150" s="69"/>
      <c r="O150" s="69"/>
      <c r="P150" s="69"/>
      <c r="Q150" s="69"/>
      <c r="R150" s="69"/>
      <c r="S150" s="69"/>
      <c r="T150" s="69"/>
      <c r="U150" s="69"/>
      <c r="V150" s="69"/>
      <c r="W150" s="69"/>
      <c r="X150" s="69"/>
      <c r="Y150" s="69"/>
      <c r="Z150" s="69"/>
      <c r="AA150" s="69"/>
    </row>
    <row r="151" spans="1:27">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row>
    <row r="152" spans="1:27">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row>
    <row r="153" spans="1:27">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row>
    <row r="154" spans="1:27">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row>
    <row r="155" spans="1:27">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row>
    <row r="156" spans="1:27">
      <c r="A156" s="69"/>
      <c r="B156" s="69"/>
      <c r="C156" s="69"/>
      <c r="D156" s="69"/>
      <c r="E156" s="69"/>
      <c r="F156" s="69"/>
      <c r="G156" s="69"/>
      <c r="H156" s="69"/>
      <c r="I156" s="69"/>
      <c r="J156" s="69"/>
      <c r="K156" s="69"/>
      <c r="L156" s="69"/>
      <c r="M156" s="69"/>
      <c r="N156" s="69"/>
      <c r="O156" s="69"/>
      <c r="P156" s="69"/>
      <c r="Q156" s="69"/>
      <c r="R156" s="69"/>
      <c r="S156" s="69"/>
      <c r="T156" s="69"/>
      <c r="U156" s="69"/>
      <c r="V156" s="69"/>
      <c r="W156" s="69"/>
      <c r="X156" s="69"/>
      <c r="Y156" s="69"/>
      <c r="Z156" s="69"/>
      <c r="AA156" s="69"/>
    </row>
    <row r="157" spans="1:27">
      <c r="A157" s="69"/>
      <c r="B157" s="69"/>
      <c r="C157" s="69"/>
      <c r="D157" s="69"/>
      <c r="E157" s="69"/>
      <c r="F157" s="69"/>
      <c r="G157" s="69"/>
      <c r="H157" s="69"/>
      <c r="I157" s="69"/>
      <c r="J157" s="69"/>
      <c r="K157" s="69"/>
      <c r="L157" s="69"/>
      <c r="M157" s="69"/>
      <c r="N157" s="69"/>
      <c r="O157" s="69"/>
      <c r="P157" s="69"/>
      <c r="Q157" s="69"/>
      <c r="R157" s="69"/>
      <c r="S157" s="69"/>
      <c r="T157" s="69"/>
      <c r="U157" s="69"/>
      <c r="V157" s="69"/>
      <c r="W157" s="69"/>
      <c r="X157" s="69"/>
      <c r="Y157" s="69"/>
      <c r="Z157" s="69"/>
      <c r="AA157" s="69"/>
    </row>
    <row r="158" spans="1:27">
      <c r="A158" s="69"/>
      <c r="B158" s="69"/>
      <c r="C158" s="69"/>
      <c r="D158" s="69"/>
      <c r="E158" s="69"/>
      <c r="F158" s="69"/>
      <c r="G158" s="69"/>
      <c r="H158" s="69"/>
      <c r="I158" s="69"/>
      <c r="J158" s="69"/>
      <c r="K158" s="69"/>
      <c r="L158" s="69"/>
      <c r="M158" s="69"/>
      <c r="N158" s="69"/>
      <c r="O158" s="69"/>
      <c r="P158" s="69"/>
      <c r="Q158" s="69"/>
      <c r="R158" s="69"/>
      <c r="S158" s="69"/>
      <c r="T158" s="69"/>
      <c r="U158" s="69"/>
      <c r="V158" s="69"/>
      <c r="W158" s="69"/>
      <c r="X158" s="69"/>
      <c r="Y158" s="69"/>
      <c r="Z158" s="69"/>
      <c r="AA158" s="69"/>
    </row>
    <row r="159" spans="1:27">
      <c r="A159" s="69"/>
      <c r="B159" s="69"/>
      <c r="C159" s="69"/>
      <c r="D159" s="69"/>
      <c r="E159" s="69"/>
      <c r="F159" s="69"/>
      <c r="G159" s="69"/>
      <c r="H159" s="69"/>
      <c r="I159" s="69"/>
      <c r="J159" s="69"/>
      <c r="K159" s="69"/>
      <c r="L159" s="69"/>
      <c r="M159" s="69"/>
      <c r="N159" s="69"/>
      <c r="O159" s="69"/>
      <c r="P159" s="69"/>
      <c r="Q159" s="69"/>
      <c r="R159" s="69"/>
      <c r="S159" s="69"/>
      <c r="T159" s="69"/>
      <c r="U159" s="69"/>
      <c r="V159" s="69"/>
      <c r="W159" s="69"/>
      <c r="X159" s="69"/>
      <c r="Y159" s="69"/>
      <c r="Z159" s="69"/>
      <c r="AA159" s="69"/>
    </row>
    <row r="160" spans="1:27">
      <c r="A160" s="69"/>
      <c r="B160" s="69"/>
      <c r="C160" s="69"/>
      <c r="D160" s="69"/>
      <c r="E160" s="69"/>
      <c r="F160" s="69"/>
      <c r="G160" s="69"/>
      <c r="H160" s="69"/>
      <c r="I160" s="69"/>
      <c r="J160" s="69"/>
      <c r="K160" s="69"/>
      <c r="L160" s="69"/>
      <c r="M160" s="69"/>
      <c r="N160" s="69"/>
      <c r="O160" s="69"/>
      <c r="P160" s="69"/>
      <c r="Q160" s="69"/>
      <c r="R160" s="69"/>
      <c r="S160" s="69"/>
      <c r="T160" s="69"/>
      <c r="U160" s="69"/>
      <c r="V160" s="69"/>
      <c r="W160" s="69"/>
      <c r="X160" s="69"/>
      <c r="Y160" s="69"/>
      <c r="Z160" s="69"/>
      <c r="AA160" s="69"/>
    </row>
    <row r="161" spans="1:27">
      <c r="A161" s="69"/>
      <c r="B161" s="69"/>
      <c r="C161" s="69"/>
      <c r="D161" s="69"/>
      <c r="E161" s="69"/>
      <c r="F161" s="69"/>
      <c r="G161" s="69"/>
      <c r="H161" s="69"/>
      <c r="I161" s="69"/>
      <c r="J161" s="69"/>
      <c r="K161" s="69"/>
      <c r="L161" s="69"/>
      <c r="M161" s="69"/>
      <c r="N161" s="69"/>
      <c r="O161" s="69"/>
      <c r="P161" s="69"/>
      <c r="Q161" s="69"/>
      <c r="R161" s="69"/>
      <c r="S161" s="69"/>
      <c r="T161" s="69"/>
      <c r="U161" s="69"/>
      <c r="V161" s="69"/>
      <c r="W161" s="69"/>
      <c r="X161" s="69"/>
      <c r="Y161" s="69"/>
      <c r="Z161" s="69"/>
      <c r="AA161" s="69"/>
    </row>
    <row r="162" spans="1:27">
      <c r="A162" s="69"/>
      <c r="B162" s="69"/>
      <c r="C162" s="69"/>
      <c r="D162" s="69"/>
      <c r="E162" s="69"/>
      <c r="F162" s="69"/>
      <c r="G162" s="69"/>
      <c r="H162" s="69"/>
      <c r="I162" s="69"/>
      <c r="J162" s="69"/>
      <c r="K162" s="69"/>
      <c r="L162" s="69"/>
      <c r="M162" s="69"/>
      <c r="N162" s="69"/>
      <c r="O162" s="69"/>
      <c r="P162" s="69"/>
      <c r="Q162" s="69"/>
      <c r="R162" s="69"/>
      <c r="S162" s="69"/>
      <c r="T162" s="69"/>
      <c r="U162" s="69"/>
      <c r="V162" s="69"/>
      <c r="W162" s="69"/>
      <c r="X162" s="69"/>
      <c r="Y162" s="69"/>
      <c r="Z162" s="69"/>
      <c r="AA162" s="69"/>
    </row>
    <row r="163" spans="1:27">
      <c r="A163" s="69"/>
      <c r="B163" s="69"/>
      <c r="C163" s="69"/>
      <c r="D163" s="69"/>
      <c r="E163" s="69"/>
      <c r="F163" s="69"/>
      <c r="G163" s="69"/>
      <c r="H163" s="69"/>
      <c r="I163" s="69"/>
      <c r="J163" s="69"/>
      <c r="K163" s="69"/>
      <c r="L163" s="69"/>
      <c r="M163" s="69"/>
      <c r="N163" s="69"/>
      <c r="O163" s="69"/>
      <c r="P163" s="69"/>
      <c r="Q163" s="69"/>
      <c r="R163" s="69"/>
      <c r="S163" s="69"/>
      <c r="T163" s="69"/>
      <c r="U163" s="69"/>
      <c r="V163" s="69"/>
      <c r="W163" s="69"/>
      <c r="X163" s="69"/>
      <c r="Y163" s="69"/>
      <c r="Z163" s="69"/>
      <c r="AA163" s="69"/>
    </row>
    <row r="164" spans="1:27">
      <c r="A164" s="69"/>
      <c r="B164" s="69"/>
      <c r="C164" s="69"/>
      <c r="D164" s="69"/>
      <c r="E164" s="69"/>
      <c r="F164" s="69"/>
      <c r="G164" s="69"/>
      <c r="H164" s="69"/>
      <c r="I164" s="69"/>
      <c r="J164" s="69"/>
      <c r="K164" s="69"/>
      <c r="L164" s="69"/>
      <c r="M164" s="69"/>
      <c r="N164" s="69"/>
      <c r="O164" s="69"/>
      <c r="P164" s="69"/>
      <c r="Q164" s="69"/>
      <c r="R164" s="69"/>
      <c r="S164" s="69"/>
      <c r="T164" s="69"/>
      <c r="U164" s="69"/>
      <c r="V164" s="69"/>
      <c r="W164" s="69"/>
      <c r="X164" s="69"/>
      <c r="Y164" s="69"/>
      <c r="Z164" s="69"/>
      <c r="AA164" s="69"/>
    </row>
    <row r="165" spans="1:27">
      <c r="A165" s="69"/>
      <c r="B165" s="69"/>
      <c r="C165" s="69"/>
      <c r="D165" s="69"/>
      <c r="E165" s="69"/>
      <c r="F165" s="69"/>
      <c r="G165" s="69"/>
      <c r="H165" s="69"/>
      <c r="I165" s="69"/>
      <c r="J165" s="69"/>
      <c r="K165" s="69"/>
      <c r="L165" s="69"/>
      <c r="M165" s="69"/>
      <c r="N165" s="69"/>
      <c r="O165" s="69"/>
      <c r="P165" s="69"/>
      <c r="Q165" s="69"/>
      <c r="R165" s="69"/>
      <c r="S165" s="69"/>
      <c r="T165" s="69"/>
      <c r="U165" s="69"/>
      <c r="V165" s="69"/>
      <c r="W165" s="69"/>
      <c r="X165" s="69"/>
      <c r="Y165" s="69"/>
      <c r="Z165" s="69"/>
      <c r="AA165" s="69"/>
    </row>
    <row r="166" spans="1:27">
      <c r="A166" s="69"/>
      <c r="B166" s="69"/>
      <c r="C166" s="69"/>
      <c r="D166" s="69"/>
      <c r="E166" s="69"/>
      <c r="F166" s="69"/>
      <c r="G166" s="69"/>
      <c r="H166" s="69"/>
      <c r="I166" s="69"/>
      <c r="J166" s="69"/>
      <c r="K166" s="69"/>
      <c r="L166" s="69"/>
      <c r="M166" s="69"/>
      <c r="N166" s="69"/>
      <c r="O166" s="69"/>
      <c r="P166" s="69"/>
      <c r="Q166" s="69"/>
      <c r="R166" s="69"/>
      <c r="S166" s="69"/>
      <c r="T166" s="69"/>
      <c r="U166" s="69"/>
      <c r="V166" s="69"/>
      <c r="W166" s="69"/>
      <c r="X166" s="69"/>
      <c r="Y166" s="69"/>
      <c r="Z166" s="69"/>
      <c r="AA166" s="69"/>
    </row>
    <row r="167" spans="1:27">
      <c r="A167" s="69"/>
      <c r="B167" s="69"/>
      <c r="C167" s="69"/>
      <c r="D167" s="69"/>
      <c r="E167" s="69"/>
      <c r="F167" s="69"/>
      <c r="G167" s="69"/>
      <c r="H167" s="69"/>
      <c r="I167" s="69"/>
      <c r="J167" s="69"/>
      <c r="K167" s="69"/>
      <c r="L167" s="69"/>
      <c r="M167" s="69"/>
      <c r="N167" s="69"/>
      <c r="O167" s="69"/>
      <c r="P167" s="69"/>
      <c r="Q167" s="69"/>
      <c r="R167" s="69"/>
      <c r="S167" s="69"/>
      <c r="T167" s="69"/>
      <c r="U167" s="69"/>
      <c r="V167" s="69"/>
      <c r="W167" s="69"/>
      <c r="X167" s="69"/>
      <c r="Y167" s="69"/>
      <c r="Z167" s="69"/>
      <c r="AA167" s="69"/>
    </row>
    <row r="168" spans="1:27">
      <c r="A168" s="69"/>
      <c r="B168" s="69"/>
      <c r="C168" s="69"/>
      <c r="D168" s="69"/>
      <c r="E168" s="69"/>
      <c r="F168" s="69"/>
      <c r="G168" s="69"/>
      <c r="H168" s="69"/>
      <c r="I168" s="69"/>
      <c r="J168" s="69"/>
      <c r="K168" s="69"/>
      <c r="L168" s="69"/>
      <c r="M168" s="69"/>
      <c r="N168" s="69"/>
      <c r="O168" s="69"/>
      <c r="P168" s="69"/>
      <c r="Q168" s="69"/>
      <c r="R168" s="69"/>
      <c r="S168" s="69"/>
      <c r="T168" s="69"/>
      <c r="U168" s="69"/>
      <c r="V168" s="69"/>
      <c r="W168" s="69"/>
      <c r="X168" s="69"/>
      <c r="Y168" s="69"/>
      <c r="Z168" s="69"/>
      <c r="AA168" s="69"/>
    </row>
    <row r="169" spans="1:27">
      <c r="A169" s="69"/>
      <c r="B169" s="69"/>
      <c r="C169" s="69"/>
      <c r="D169" s="69"/>
      <c r="E169" s="69"/>
      <c r="F169" s="69"/>
      <c r="G169" s="69"/>
      <c r="H169" s="69"/>
      <c r="I169" s="69"/>
      <c r="J169" s="69"/>
      <c r="K169" s="69"/>
      <c r="L169" s="69"/>
      <c r="M169" s="69"/>
      <c r="N169" s="69"/>
      <c r="O169" s="69"/>
      <c r="P169" s="69"/>
      <c r="Q169" s="69"/>
      <c r="R169" s="69"/>
      <c r="S169" s="69"/>
      <c r="T169" s="69"/>
      <c r="U169" s="69"/>
      <c r="V169" s="69"/>
      <c r="W169" s="69"/>
      <c r="X169" s="69"/>
      <c r="Y169" s="69"/>
      <c r="Z169" s="69"/>
      <c r="AA169" s="69"/>
    </row>
    <row r="170" spans="1:27">
      <c r="A170" s="69"/>
      <c r="B170" s="69"/>
      <c r="C170" s="69"/>
      <c r="D170" s="69"/>
      <c r="E170" s="69"/>
      <c r="F170" s="69"/>
      <c r="G170" s="69"/>
      <c r="H170" s="69"/>
      <c r="I170" s="69"/>
      <c r="J170" s="69"/>
      <c r="K170" s="69"/>
      <c r="L170" s="69"/>
      <c r="M170" s="69"/>
      <c r="N170" s="69"/>
      <c r="O170" s="69"/>
      <c r="P170" s="69"/>
      <c r="Q170" s="69"/>
      <c r="R170" s="69"/>
      <c r="S170" s="69"/>
      <c r="T170" s="69"/>
      <c r="U170" s="69"/>
      <c r="V170" s="69"/>
      <c r="W170" s="69"/>
      <c r="X170" s="69"/>
      <c r="Y170" s="69"/>
      <c r="Z170" s="69"/>
      <c r="AA170" s="69"/>
    </row>
    <row r="171" spans="1:27">
      <c r="A171" s="69"/>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row>
    <row r="172" spans="1:27">
      <c r="A172" s="69"/>
      <c r="B172" s="69"/>
      <c r="C172" s="69"/>
      <c r="D172" s="69"/>
      <c r="E172" s="69"/>
      <c r="F172" s="69"/>
      <c r="G172" s="69"/>
      <c r="H172" s="69"/>
      <c r="I172" s="69"/>
      <c r="J172" s="69"/>
      <c r="K172" s="69"/>
      <c r="L172" s="69"/>
      <c r="M172" s="69"/>
      <c r="N172" s="69"/>
      <c r="O172" s="69"/>
      <c r="P172" s="69"/>
      <c r="Q172" s="69"/>
      <c r="R172" s="69"/>
      <c r="S172" s="69"/>
      <c r="T172" s="69"/>
      <c r="U172" s="69"/>
      <c r="V172" s="69"/>
      <c r="W172" s="69"/>
      <c r="X172" s="69"/>
      <c r="Y172" s="69"/>
      <c r="Z172" s="69"/>
      <c r="AA172" s="69"/>
    </row>
    <row r="173" spans="1:27">
      <c r="A173" s="69"/>
      <c r="B173" s="69"/>
      <c r="C173" s="69"/>
      <c r="D173" s="69"/>
      <c r="E173" s="69"/>
      <c r="F173" s="69"/>
      <c r="G173" s="69"/>
      <c r="H173" s="69"/>
      <c r="I173" s="69"/>
      <c r="J173" s="69"/>
      <c r="K173" s="69"/>
      <c r="L173" s="69"/>
      <c r="M173" s="69"/>
      <c r="N173" s="69"/>
      <c r="O173" s="69"/>
      <c r="P173" s="69"/>
      <c r="Q173" s="69"/>
      <c r="R173" s="69"/>
      <c r="S173" s="69"/>
      <c r="T173" s="69"/>
      <c r="U173" s="69"/>
      <c r="V173" s="69"/>
      <c r="W173" s="69"/>
      <c r="X173" s="69"/>
      <c r="Y173" s="69"/>
      <c r="Z173" s="69"/>
      <c r="AA173" s="69"/>
    </row>
    <row r="174" spans="1:27">
      <c r="A174" s="69"/>
      <c r="B174" s="69"/>
      <c r="C174" s="69"/>
      <c r="D174" s="69"/>
      <c r="E174" s="69"/>
      <c r="F174" s="69"/>
      <c r="G174" s="69"/>
      <c r="H174" s="69"/>
      <c r="I174" s="69"/>
      <c r="J174" s="69"/>
      <c r="K174" s="69"/>
      <c r="L174" s="69"/>
      <c r="M174" s="69"/>
      <c r="N174" s="69"/>
      <c r="O174" s="69"/>
      <c r="P174" s="69"/>
      <c r="Q174" s="69"/>
      <c r="R174" s="69"/>
      <c r="S174" s="69"/>
      <c r="T174" s="69"/>
      <c r="U174" s="69"/>
      <c r="V174" s="69"/>
      <c r="W174" s="69"/>
      <c r="X174" s="69"/>
      <c r="Y174" s="69"/>
      <c r="Z174" s="69"/>
      <c r="AA174" s="69"/>
    </row>
    <row r="175" spans="1:27">
      <c r="A175" s="69"/>
      <c r="B175" s="69"/>
      <c r="C175" s="69"/>
      <c r="D175" s="69"/>
      <c r="E175" s="69"/>
      <c r="F175" s="69"/>
      <c r="G175" s="69"/>
      <c r="H175" s="69"/>
      <c r="I175" s="69"/>
      <c r="J175" s="69"/>
      <c r="K175" s="69"/>
      <c r="L175" s="69"/>
      <c r="M175" s="69"/>
      <c r="N175" s="69"/>
      <c r="O175" s="69"/>
      <c r="P175" s="69"/>
      <c r="Q175" s="69"/>
      <c r="R175" s="69"/>
      <c r="S175" s="69"/>
      <c r="T175" s="69"/>
      <c r="U175" s="69"/>
      <c r="V175" s="69"/>
      <c r="W175" s="69"/>
      <c r="X175" s="69"/>
      <c r="Y175" s="69"/>
      <c r="Z175" s="69"/>
      <c r="AA175" s="69"/>
    </row>
    <row r="176" spans="1:27">
      <c r="A176" s="69"/>
      <c r="B176" s="69"/>
      <c r="C176" s="69"/>
      <c r="D176" s="69"/>
      <c r="E176" s="69"/>
      <c r="F176" s="69"/>
      <c r="G176" s="69"/>
      <c r="H176" s="69"/>
      <c r="I176" s="69"/>
      <c r="J176" s="69"/>
      <c r="K176" s="69"/>
      <c r="L176" s="69"/>
      <c r="M176" s="69"/>
      <c r="N176" s="69"/>
      <c r="O176" s="69"/>
      <c r="P176" s="69"/>
      <c r="Q176" s="69"/>
      <c r="R176" s="69"/>
      <c r="S176" s="69"/>
      <c r="T176" s="69"/>
      <c r="U176" s="69"/>
      <c r="V176" s="69"/>
      <c r="W176" s="69"/>
      <c r="X176" s="69"/>
      <c r="Y176" s="69"/>
      <c r="Z176" s="69"/>
      <c r="AA176" s="69"/>
    </row>
    <row r="177" spans="1:27">
      <c r="A177" s="69"/>
      <c r="B177" s="69"/>
      <c r="C177" s="69"/>
      <c r="D177" s="69"/>
      <c r="E177" s="69"/>
      <c r="F177" s="69"/>
      <c r="G177" s="69"/>
      <c r="H177" s="69"/>
      <c r="I177" s="69"/>
      <c r="J177" s="69"/>
      <c r="K177" s="69"/>
      <c r="L177" s="69"/>
      <c r="M177" s="69"/>
      <c r="N177" s="69"/>
      <c r="O177" s="69"/>
      <c r="P177" s="69"/>
      <c r="Q177" s="69"/>
      <c r="R177" s="69"/>
      <c r="S177" s="69"/>
      <c r="T177" s="69"/>
      <c r="U177" s="69"/>
      <c r="V177" s="69"/>
      <c r="W177" s="69"/>
      <c r="X177" s="69"/>
      <c r="Y177" s="69"/>
      <c r="Z177" s="69"/>
      <c r="AA177" s="69"/>
    </row>
    <row r="178" spans="1:27">
      <c r="A178" s="69"/>
      <c r="B178" s="69"/>
      <c r="C178" s="69"/>
      <c r="D178" s="69"/>
      <c r="E178" s="69"/>
      <c r="F178" s="69"/>
      <c r="G178" s="69"/>
      <c r="H178" s="69"/>
      <c r="I178" s="69"/>
      <c r="J178" s="69"/>
      <c r="K178" s="69"/>
      <c r="L178" s="69"/>
      <c r="M178" s="69"/>
      <c r="N178" s="69"/>
      <c r="O178" s="69"/>
      <c r="P178" s="69"/>
      <c r="Q178" s="69"/>
      <c r="R178" s="69"/>
      <c r="S178" s="69"/>
      <c r="T178" s="69"/>
      <c r="U178" s="69"/>
      <c r="V178" s="69"/>
      <c r="W178" s="69"/>
      <c r="X178" s="69"/>
      <c r="Y178" s="69"/>
      <c r="Z178" s="69"/>
      <c r="AA178" s="69"/>
    </row>
    <row r="179" spans="1:27">
      <c r="A179" s="69"/>
      <c r="B179" s="69"/>
      <c r="C179" s="69"/>
      <c r="D179" s="69"/>
      <c r="E179" s="69"/>
      <c r="F179" s="69"/>
      <c r="G179" s="69"/>
      <c r="H179" s="69"/>
      <c r="I179" s="69"/>
      <c r="J179" s="69"/>
      <c r="K179" s="69"/>
      <c r="L179" s="69"/>
      <c r="M179" s="69"/>
      <c r="N179" s="69"/>
      <c r="O179" s="69"/>
      <c r="P179" s="69"/>
      <c r="Q179" s="69"/>
      <c r="R179" s="69"/>
      <c r="S179" s="69"/>
      <c r="T179" s="69"/>
      <c r="U179" s="69"/>
      <c r="V179" s="69"/>
      <c r="W179" s="69"/>
      <c r="X179" s="69"/>
      <c r="Y179" s="69"/>
      <c r="Z179" s="69"/>
      <c r="AA179" s="69"/>
    </row>
    <row r="180" spans="1:27">
      <c r="A180" s="69"/>
      <c r="B180" s="69"/>
      <c r="C180" s="69"/>
      <c r="D180" s="69"/>
      <c r="E180" s="69"/>
      <c r="F180" s="69"/>
      <c r="G180" s="69"/>
      <c r="H180" s="69"/>
      <c r="I180" s="69"/>
      <c r="J180" s="69"/>
      <c r="K180" s="69"/>
      <c r="L180" s="69"/>
      <c r="M180" s="69"/>
      <c r="N180" s="69"/>
      <c r="O180" s="69"/>
      <c r="P180" s="69"/>
      <c r="Q180" s="69"/>
      <c r="R180" s="69"/>
      <c r="S180" s="69"/>
      <c r="T180" s="69"/>
      <c r="U180" s="69"/>
      <c r="V180" s="69"/>
      <c r="W180" s="69"/>
      <c r="X180" s="69"/>
      <c r="Y180" s="69"/>
      <c r="Z180" s="69"/>
      <c r="AA180" s="69"/>
    </row>
    <row r="181" spans="1:27">
      <c r="A181" s="69"/>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row>
    <row r="182" spans="1:27">
      <c r="A182" s="69"/>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row>
    <row r="183" spans="1:27">
      <c r="A183" s="69"/>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row>
    <row r="184" spans="1:27">
      <c r="A184" s="69"/>
      <c r="B184" s="69"/>
      <c r="C184" s="69"/>
      <c r="D184" s="69"/>
      <c r="E184" s="69"/>
      <c r="F184" s="69"/>
      <c r="G184" s="69"/>
      <c r="H184" s="69"/>
      <c r="I184" s="69"/>
      <c r="J184" s="69"/>
      <c r="K184" s="69"/>
      <c r="L184" s="69"/>
      <c r="M184" s="69"/>
      <c r="N184" s="69"/>
      <c r="O184" s="69"/>
      <c r="P184" s="69"/>
      <c r="Q184" s="69"/>
      <c r="R184" s="69"/>
      <c r="S184" s="69"/>
      <c r="T184" s="69"/>
      <c r="U184" s="69"/>
      <c r="V184" s="69"/>
      <c r="W184" s="69"/>
      <c r="X184" s="69"/>
      <c r="Y184" s="69"/>
      <c r="Z184" s="69"/>
      <c r="AA184" s="69"/>
    </row>
    <row r="185" spans="1:27">
      <c r="A185" s="69"/>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row>
    <row r="186" spans="1:27">
      <c r="A186" s="69"/>
      <c r="B186" s="69"/>
      <c r="C186" s="69"/>
      <c r="D186" s="69"/>
      <c r="E186" s="69"/>
      <c r="F186" s="69"/>
      <c r="G186" s="69"/>
      <c r="H186" s="69"/>
      <c r="I186" s="69"/>
      <c r="J186" s="69"/>
      <c r="K186" s="69"/>
      <c r="L186" s="69"/>
      <c r="M186" s="69"/>
      <c r="N186" s="69"/>
      <c r="O186" s="69"/>
      <c r="P186" s="69"/>
      <c r="Q186" s="69"/>
      <c r="R186" s="69"/>
      <c r="S186" s="69"/>
      <c r="T186" s="69"/>
      <c r="U186" s="69"/>
      <c r="V186" s="69"/>
      <c r="W186" s="69"/>
      <c r="X186" s="69"/>
      <c r="Y186" s="69"/>
      <c r="Z186" s="69"/>
      <c r="AA186" s="69"/>
    </row>
    <row r="187" spans="1:27">
      <c r="A187" s="69"/>
      <c r="B187" s="69"/>
      <c r="C187" s="69"/>
      <c r="D187" s="69"/>
      <c r="E187" s="69"/>
      <c r="F187" s="69"/>
      <c r="G187" s="69"/>
      <c r="H187" s="69"/>
      <c r="I187" s="69"/>
      <c r="J187" s="69"/>
      <c r="K187" s="69"/>
      <c r="L187" s="69"/>
      <c r="M187" s="69"/>
      <c r="N187" s="69"/>
      <c r="O187" s="69"/>
      <c r="P187" s="69"/>
      <c r="Q187" s="69"/>
      <c r="R187" s="69"/>
      <c r="S187" s="69"/>
      <c r="T187" s="69"/>
      <c r="U187" s="69"/>
      <c r="V187" s="69"/>
      <c r="W187" s="69"/>
      <c r="X187" s="69"/>
      <c r="Y187" s="69"/>
      <c r="Z187" s="69"/>
      <c r="AA187" s="69"/>
    </row>
    <row r="188" spans="1:27">
      <c r="A188" s="69"/>
      <c r="B188" s="69"/>
      <c r="C188" s="69"/>
      <c r="D188" s="69"/>
      <c r="E188" s="69"/>
      <c r="F188" s="69"/>
      <c r="G188" s="69"/>
      <c r="H188" s="69"/>
      <c r="I188" s="69"/>
      <c r="J188" s="69"/>
      <c r="K188" s="69"/>
      <c r="L188" s="69"/>
      <c r="M188" s="69"/>
      <c r="N188" s="69"/>
      <c r="O188" s="69"/>
      <c r="P188" s="69"/>
      <c r="Q188" s="69"/>
      <c r="R188" s="69"/>
      <c r="S188" s="69"/>
      <c r="T188" s="69"/>
      <c r="U188" s="69"/>
      <c r="V188" s="69"/>
      <c r="W188" s="69"/>
      <c r="X188" s="69"/>
      <c r="Y188" s="69"/>
      <c r="Z188" s="69"/>
      <c r="AA188" s="69"/>
    </row>
    <row r="189" spans="1:27">
      <c r="A189" s="69"/>
      <c r="B189" s="69"/>
      <c r="C189" s="69"/>
      <c r="D189" s="69"/>
      <c r="E189" s="69"/>
      <c r="F189" s="69"/>
      <c r="G189" s="69"/>
      <c r="H189" s="69"/>
      <c r="I189" s="69"/>
      <c r="J189" s="69"/>
      <c r="K189" s="69"/>
      <c r="L189" s="69"/>
      <c r="M189" s="69"/>
      <c r="N189" s="69"/>
      <c r="O189" s="69"/>
      <c r="P189" s="69"/>
      <c r="Q189" s="69"/>
      <c r="R189" s="69"/>
      <c r="S189" s="69"/>
      <c r="T189" s="69"/>
      <c r="U189" s="69"/>
      <c r="V189" s="69"/>
      <c r="W189" s="69"/>
      <c r="X189" s="69"/>
      <c r="Y189" s="69"/>
      <c r="Z189" s="69"/>
      <c r="AA189" s="69"/>
    </row>
    <row r="190" spans="1:27">
      <c r="A190" s="69"/>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row>
    <row r="191" spans="1:27">
      <c r="A191" s="69"/>
      <c r="B191" s="69"/>
      <c r="C191" s="69"/>
      <c r="D191" s="69"/>
      <c r="E191" s="69"/>
      <c r="F191" s="69"/>
      <c r="G191" s="69"/>
      <c r="H191" s="69"/>
      <c r="I191" s="69"/>
      <c r="J191" s="69"/>
      <c r="K191" s="69"/>
      <c r="L191" s="69"/>
      <c r="M191" s="69"/>
      <c r="N191" s="69"/>
      <c r="O191" s="69"/>
      <c r="P191" s="69"/>
      <c r="Q191" s="69"/>
      <c r="R191" s="69"/>
      <c r="S191" s="69"/>
      <c r="T191" s="69"/>
      <c r="U191" s="69"/>
      <c r="V191" s="69"/>
      <c r="W191" s="69"/>
      <c r="X191" s="69"/>
      <c r="Y191" s="69"/>
      <c r="Z191" s="69"/>
      <c r="AA191" s="69"/>
    </row>
    <row r="192" spans="1:27">
      <c r="A192" s="69"/>
      <c r="B192" s="69"/>
      <c r="C192" s="69"/>
      <c r="D192" s="69"/>
      <c r="E192" s="69"/>
      <c r="F192" s="69"/>
      <c r="G192" s="69"/>
      <c r="H192" s="69"/>
      <c r="I192" s="69"/>
      <c r="J192" s="69"/>
      <c r="K192" s="69"/>
      <c r="L192" s="69"/>
      <c r="M192" s="69"/>
      <c r="N192" s="69"/>
      <c r="O192" s="69"/>
      <c r="P192" s="69"/>
      <c r="Q192" s="69"/>
      <c r="R192" s="69"/>
      <c r="S192" s="69"/>
      <c r="T192" s="69"/>
      <c r="U192" s="69"/>
      <c r="V192" s="69"/>
      <c r="W192" s="69"/>
      <c r="X192" s="69"/>
      <c r="Y192" s="69"/>
      <c r="Z192" s="69"/>
      <c r="AA192" s="69"/>
    </row>
    <row r="193" spans="1:27">
      <c r="A193" s="69"/>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row>
    <row r="194" spans="1:27">
      <c r="A194" s="69"/>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row>
    <row r="195" spans="1:27">
      <c r="A195" s="69"/>
      <c r="B195" s="69"/>
      <c r="C195" s="69"/>
      <c r="D195" s="69"/>
      <c r="E195" s="69"/>
      <c r="F195" s="69"/>
      <c r="G195" s="69"/>
      <c r="H195" s="69"/>
      <c r="I195" s="69"/>
      <c r="J195" s="69"/>
      <c r="K195" s="69"/>
      <c r="L195" s="69"/>
      <c r="M195" s="69"/>
      <c r="N195" s="69"/>
      <c r="O195" s="69"/>
      <c r="P195" s="69"/>
      <c r="Q195" s="69"/>
      <c r="R195" s="69"/>
      <c r="S195" s="69"/>
      <c r="T195" s="69"/>
      <c r="U195" s="69"/>
      <c r="V195" s="69"/>
      <c r="W195" s="69"/>
      <c r="X195" s="69"/>
      <c r="Y195" s="69"/>
      <c r="Z195" s="69"/>
      <c r="AA195" s="69"/>
    </row>
    <row r="196" spans="1:27">
      <c r="A196" s="69"/>
      <c r="B196" s="69"/>
      <c r="C196" s="69"/>
      <c r="D196" s="69"/>
      <c r="E196" s="69"/>
      <c r="F196" s="69"/>
      <c r="G196" s="69"/>
      <c r="H196" s="69"/>
      <c r="I196" s="69"/>
      <c r="J196" s="69"/>
      <c r="K196" s="69"/>
      <c r="L196" s="69"/>
      <c r="M196" s="69"/>
      <c r="N196" s="69"/>
      <c r="O196" s="69"/>
      <c r="P196" s="69"/>
      <c r="Q196" s="69"/>
      <c r="R196" s="69"/>
      <c r="S196" s="69"/>
      <c r="T196" s="69"/>
      <c r="U196" s="69"/>
      <c r="V196" s="69"/>
      <c r="W196" s="69"/>
      <c r="X196" s="69"/>
      <c r="Y196" s="69"/>
      <c r="Z196" s="69"/>
      <c r="AA196" s="69"/>
    </row>
    <row r="197" spans="1:27">
      <c r="A197" s="69"/>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row>
    <row r="198" spans="1:27">
      <c r="A198" s="69"/>
      <c r="B198" s="69"/>
      <c r="C198" s="69"/>
      <c r="D198" s="69"/>
      <c r="E198" s="69"/>
      <c r="F198" s="69"/>
      <c r="G198" s="69"/>
      <c r="H198" s="69"/>
      <c r="I198" s="69"/>
      <c r="J198" s="69"/>
      <c r="K198" s="69"/>
      <c r="L198" s="69"/>
      <c r="M198" s="69"/>
      <c r="N198" s="69"/>
      <c r="O198" s="69"/>
      <c r="P198" s="69"/>
      <c r="Q198" s="69"/>
      <c r="R198" s="69"/>
      <c r="S198" s="69"/>
      <c r="T198" s="69"/>
      <c r="U198" s="69"/>
      <c r="V198" s="69"/>
      <c r="W198" s="69"/>
      <c r="X198" s="69"/>
      <c r="Y198" s="69"/>
      <c r="Z198" s="69"/>
      <c r="AA198" s="69"/>
    </row>
    <row r="199" spans="1:27">
      <c r="A199" s="69"/>
      <c r="B199" s="69"/>
      <c r="C199" s="69"/>
      <c r="D199" s="69"/>
      <c r="E199" s="69"/>
      <c r="F199" s="69"/>
      <c r="G199" s="69"/>
      <c r="H199" s="69"/>
      <c r="I199" s="69"/>
      <c r="J199" s="69"/>
      <c r="K199" s="69"/>
      <c r="L199" s="69"/>
      <c r="M199" s="69"/>
      <c r="N199" s="69"/>
      <c r="O199" s="69"/>
      <c r="P199" s="69"/>
      <c r="Q199" s="69"/>
      <c r="R199" s="69"/>
      <c r="S199" s="69"/>
      <c r="T199" s="69"/>
      <c r="U199" s="69"/>
      <c r="V199" s="69"/>
      <c r="W199" s="69"/>
      <c r="X199" s="69"/>
      <c r="Y199" s="69"/>
      <c r="Z199" s="69"/>
      <c r="AA199" s="69"/>
    </row>
    <row r="200" spans="1:27">
      <c r="A200" s="69"/>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row>
    <row r="201" spans="1:27">
      <c r="A201" s="69"/>
      <c r="B201" s="69"/>
      <c r="C201" s="69"/>
      <c r="D201" s="69"/>
      <c r="E201" s="69"/>
      <c r="F201" s="69"/>
      <c r="G201" s="69"/>
      <c r="H201" s="69"/>
      <c r="I201" s="69"/>
      <c r="J201" s="69"/>
      <c r="K201" s="69"/>
      <c r="L201" s="69"/>
      <c r="M201" s="69"/>
      <c r="N201" s="69"/>
      <c r="O201" s="69"/>
      <c r="P201" s="69"/>
      <c r="Q201" s="69"/>
      <c r="R201" s="69"/>
      <c r="S201" s="69"/>
      <c r="T201" s="69"/>
      <c r="U201" s="69"/>
      <c r="V201" s="69"/>
      <c r="W201" s="69"/>
      <c r="X201" s="69"/>
      <c r="Y201" s="69"/>
      <c r="Z201" s="69"/>
      <c r="AA201" s="69"/>
    </row>
    <row r="202" spans="1:27">
      <c r="A202" s="69"/>
      <c r="B202" s="69"/>
      <c r="C202" s="69"/>
      <c r="D202" s="69"/>
      <c r="E202" s="69"/>
      <c r="F202" s="69"/>
      <c r="G202" s="69"/>
      <c r="H202" s="69"/>
      <c r="I202" s="69"/>
      <c r="J202" s="69"/>
      <c r="K202" s="69"/>
      <c r="L202" s="69"/>
      <c r="M202" s="69"/>
      <c r="N202" s="69"/>
      <c r="O202" s="69"/>
      <c r="P202" s="69"/>
      <c r="Q202" s="69"/>
      <c r="R202" s="69"/>
      <c r="S202" s="69"/>
      <c r="T202" s="69"/>
      <c r="U202" s="69"/>
      <c r="V202" s="69"/>
      <c r="W202" s="69"/>
      <c r="X202" s="69"/>
      <c r="Y202" s="69"/>
      <c r="Z202" s="69"/>
      <c r="AA202" s="69"/>
    </row>
    <row r="203" spans="1:27">
      <c r="A203" s="69"/>
      <c r="B203" s="69"/>
      <c r="C203" s="69"/>
      <c r="D203" s="69"/>
      <c r="E203" s="69"/>
      <c r="F203" s="69"/>
      <c r="G203" s="69"/>
      <c r="H203" s="69"/>
      <c r="I203" s="69"/>
      <c r="J203" s="69"/>
      <c r="K203" s="69"/>
      <c r="L203" s="69"/>
      <c r="M203" s="69"/>
      <c r="N203" s="69"/>
      <c r="O203" s="69"/>
      <c r="P203" s="69"/>
      <c r="Q203" s="69"/>
      <c r="R203" s="69"/>
      <c r="S203" s="69"/>
      <c r="T203" s="69"/>
      <c r="U203" s="69"/>
      <c r="V203" s="69"/>
      <c r="W203" s="69"/>
      <c r="X203" s="69"/>
      <c r="Y203" s="69"/>
      <c r="Z203" s="69"/>
      <c r="AA203" s="69"/>
    </row>
    <row r="204" spans="1:27">
      <c r="A204" s="69"/>
      <c r="B204" s="69"/>
      <c r="C204" s="69"/>
      <c r="D204" s="69"/>
      <c r="E204" s="69"/>
      <c r="F204" s="69"/>
      <c r="G204" s="69"/>
      <c r="H204" s="69"/>
      <c r="I204" s="69"/>
      <c r="J204" s="69"/>
      <c r="K204" s="69"/>
      <c r="L204" s="69"/>
      <c r="M204" s="69"/>
      <c r="N204" s="69"/>
      <c r="O204" s="69"/>
      <c r="P204" s="69"/>
      <c r="Q204" s="69"/>
      <c r="R204" s="69"/>
      <c r="S204" s="69"/>
      <c r="T204" s="69"/>
      <c r="U204" s="69"/>
      <c r="V204" s="69"/>
      <c r="W204" s="69"/>
      <c r="X204" s="69"/>
      <c r="Y204" s="69"/>
      <c r="Z204" s="69"/>
      <c r="AA204" s="69"/>
    </row>
    <row r="205" spans="1:27">
      <c r="A205" s="69"/>
      <c r="B205" s="69"/>
      <c r="C205" s="69"/>
      <c r="D205" s="69"/>
      <c r="E205" s="69"/>
      <c r="F205" s="69"/>
      <c r="G205" s="69"/>
      <c r="H205" s="69"/>
      <c r="I205" s="69"/>
      <c r="J205" s="69"/>
      <c r="K205" s="69"/>
      <c r="L205" s="69"/>
      <c r="M205" s="69"/>
      <c r="N205" s="69"/>
      <c r="O205" s="69"/>
      <c r="P205" s="69"/>
      <c r="Q205" s="69"/>
      <c r="R205" s="69"/>
      <c r="S205" s="69"/>
      <c r="T205" s="69"/>
      <c r="U205" s="69"/>
      <c r="V205" s="69"/>
      <c r="W205" s="69"/>
      <c r="X205" s="69"/>
      <c r="Y205" s="69"/>
      <c r="Z205" s="69"/>
      <c r="AA205" s="69"/>
    </row>
    <row r="206" spans="1:27">
      <c r="A206" s="69"/>
      <c r="B206" s="69"/>
      <c r="C206" s="69"/>
      <c r="D206" s="69"/>
      <c r="E206" s="69"/>
      <c r="F206" s="69"/>
      <c r="G206" s="69"/>
      <c r="H206" s="69"/>
      <c r="I206" s="69"/>
      <c r="J206" s="69"/>
      <c r="K206" s="69"/>
      <c r="L206" s="69"/>
      <c r="M206" s="69"/>
      <c r="N206" s="69"/>
      <c r="O206" s="69"/>
      <c r="P206" s="69"/>
      <c r="Q206" s="69"/>
      <c r="R206" s="69"/>
      <c r="S206" s="69"/>
      <c r="T206" s="69"/>
      <c r="U206" s="69"/>
      <c r="V206" s="69"/>
      <c r="W206" s="69"/>
      <c r="X206" s="69"/>
      <c r="Y206" s="69"/>
      <c r="Z206" s="69"/>
      <c r="AA206" s="69"/>
    </row>
    <row r="207" spans="1:27">
      <c r="A207" s="69"/>
      <c r="B207" s="69"/>
      <c r="C207" s="69"/>
      <c r="D207" s="69"/>
      <c r="E207" s="69"/>
      <c r="F207" s="69"/>
      <c r="G207" s="69"/>
      <c r="H207" s="69"/>
      <c r="I207" s="69"/>
      <c r="J207" s="69"/>
      <c r="K207" s="69"/>
      <c r="L207" s="69"/>
      <c r="M207" s="69"/>
      <c r="N207" s="69"/>
      <c r="O207" s="69"/>
      <c r="P207" s="69"/>
      <c r="Q207" s="69"/>
      <c r="R207" s="69"/>
      <c r="S207" s="69"/>
      <c r="T207" s="69"/>
      <c r="U207" s="69"/>
      <c r="V207" s="69"/>
      <c r="W207" s="69"/>
      <c r="X207" s="69"/>
      <c r="Y207" s="69"/>
      <c r="Z207" s="69"/>
      <c r="AA207" s="69"/>
    </row>
    <row r="208" spans="1:27">
      <c r="A208" s="69"/>
      <c r="B208" s="69"/>
      <c r="C208" s="69"/>
      <c r="D208" s="69"/>
      <c r="E208" s="69"/>
      <c r="F208" s="69"/>
      <c r="G208" s="69"/>
      <c r="H208" s="69"/>
      <c r="I208" s="69"/>
      <c r="J208" s="69"/>
      <c r="K208" s="69"/>
      <c r="L208" s="69"/>
      <c r="M208" s="69"/>
      <c r="N208" s="69"/>
      <c r="O208" s="69"/>
      <c r="P208" s="69"/>
      <c r="Q208" s="69"/>
      <c r="R208" s="69"/>
      <c r="S208" s="69"/>
      <c r="T208" s="69"/>
      <c r="U208" s="69"/>
      <c r="V208" s="69"/>
      <c r="W208" s="69"/>
      <c r="X208" s="69"/>
      <c r="Y208" s="69"/>
      <c r="Z208" s="69"/>
      <c r="AA208" s="69"/>
    </row>
    <row r="209" spans="1:27">
      <c r="A209" s="69"/>
      <c r="B209" s="69"/>
      <c r="C209" s="69"/>
      <c r="D209" s="69"/>
      <c r="E209" s="69"/>
      <c r="F209" s="69"/>
      <c r="G209" s="69"/>
      <c r="H209" s="69"/>
      <c r="I209" s="69"/>
      <c r="J209" s="69"/>
      <c r="K209" s="69"/>
      <c r="L209" s="69"/>
      <c r="M209" s="69"/>
      <c r="N209" s="69"/>
      <c r="O209" s="69"/>
      <c r="P209" s="69"/>
      <c r="Q209" s="69"/>
      <c r="R209" s="69"/>
      <c r="S209" s="69"/>
      <c r="T209" s="69"/>
      <c r="U209" s="69"/>
      <c r="V209" s="69"/>
      <c r="W209" s="69"/>
      <c r="X209" s="69"/>
      <c r="Y209" s="69"/>
      <c r="Z209" s="69"/>
      <c r="AA209" s="69"/>
    </row>
    <row r="210" spans="1:27">
      <c r="A210" s="69"/>
      <c r="B210" s="69"/>
      <c r="C210" s="69"/>
      <c r="D210" s="69"/>
      <c r="E210" s="69"/>
      <c r="F210" s="69"/>
      <c r="G210" s="69"/>
      <c r="H210" s="69"/>
      <c r="I210" s="69"/>
      <c r="J210" s="69"/>
      <c r="K210" s="69"/>
      <c r="L210" s="69"/>
      <c r="M210" s="69"/>
      <c r="N210" s="69"/>
      <c r="O210" s="69"/>
      <c r="P210" s="69"/>
      <c r="Q210" s="69"/>
      <c r="R210" s="69"/>
      <c r="S210" s="69"/>
      <c r="T210" s="69"/>
      <c r="U210" s="69"/>
      <c r="V210" s="69"/>
      <c r="W210" s="69"/>
      <c r="X210" s="69"/>
      <c r="Y210" s="69"/>
      <c r="Z210" s="69"/>
      <c r="AA210" s="69"/>
    </row>
    <row r="211" spans="1:27">
      <c r="A211" s="69"/>
      <c r="B211" s="69"/>
      <c r="C211" s="69"/>
      <c r="D211" s="69"/>
      <c r="E211" s="69"/>
      <c r="F211" s="69"/>
      <c r="G211" s="69"/>
      <c r="H211" s="69"/>
      <c r="I211" s="69"/>
      <c r="J211" s="69"/>
      <c r="K211" s="69"/>
      <c r="L211" s="69"/>
      <c r="M211" s="69"/>
      <c r="N211" s="69"/>
      <c r="O211" s="69"/>
      <c r="P211" s="69"/>
      <c r="Q211" s="69"/>
      <c r="R211" s="69"/>
      <c r="S211" s="69"/>
      <c r="T211" s="69"/>
      <c r="U211" s="69"/>
      <c r="V211" s="69"/>
      <c r="W211" s="69"/>
      <c r="X211" s="69"/>
      <c r="Y211" s="69"/>
      <c r="Z211" s="69"/>
      <c r="AA211" s="69"/>
    </row>
    <row r="212" spans="1:27">
      <c r="A212" s="69"/>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row>
    <row r="213" spans="1:27">
      <c r="A213" s="69"/>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row>
    <row r="214" spans="1:27">
      <c r="A214" s="69"/>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row>
    <row r="215" spans="1:27">
      <c r="A215" s="69"/>
      <c r="B215" s="69"/>
      <c r="C215" s="69"/>
      <c r="D215" s="69"/>
      <c r="E215" s="69"/>
      <c r="F215" s="69"/>
      <c r="G215" s="69"/>
      <c r="H215" s="69"/>
      <c r="I215" s="69"/>
      <c r="J215" s="69"/>
      <c r="K215" s="69"/>
      <c r="L215" s="69"/>
      <c r="M215" s="69"/>
      <c r="N215" s="69"/>
      <c r="O215" s="69"/>
      <c r="P215" s="69"/>
      <c r="Q215" s="69"/>
      <c r="R215" s="69"/>
      <c r="S215" s="69"/>
      <c r="T215" s="69"/>
      <c r="U215" s="69"/>
      <c r="V215" s="69"/>
      <c r="W215" s="69"/>
      <c r="X215" s="69"/>
      <c r="Y215" s="69"/>
      <c r="Z215" s="69"/>
      <c r="AA215" s="69"/>
    </row>
    <row r="216" spans="1:27">
      <c r="A216" s="69"/>
      <c r="B216" s="69"/>
      <c r="C216" s="69"/>
      <c r="D216" s="69"/>
      <c r="E216" s="69"/>
      <c r="F216" s="69"/>
      <c r="G216" s="69"/>
      <c r="H216" s="69"/>
      <c r="I216" s="69"/>
      <c r="J216" s="69"/>
      <c r="K216" s="69"/>
      <c r="L216" s="69"/>
      <c r="M216" s="69"/>
      <c r="N216" s="69"/>
      <c r="O216" s="69"/>
      <c r="P216" s="69"/>
      <c r="Q216" s="69"/>
      <c r="R216" s="69"/>
      <c r="S216" s="69"/>
      <c r="T216" s="69"/>
      <c r="U216" s="69"/>
      <c r="V216" s="69"/>
      <c r="W216" s="69"/>
      <c r="X216" s="69"/>
      <c r="Y216" s="69"/>
      <c r="Z216" s="69"/>
      <c r="AA216" s="69"/>
    </row>
    <row r="217" spans="1:27">
      <c r="A217" s="69"/>
      <c r="B217" s="69"/>
      <c r="C217" s="69"/>
      <c r="D217" s="69"/>
      <c r="E217" s="69"/>
      <c r="F217" s="69"/>
      <c r="G217" s="69"/>
      <c r="H217" s="69"/>
      <c r="I217" s="69"/>
      <c r="J217" s="69"/>
      <c r="K217" s="69"/>
      <c r="L217" s="69"/>
      <c r="M217" s="69"/>
      <c r="N217" s="69"/>
      <c r="O217" s="69"/>
      <c r="P217" s="69"/>
      <c r="Q217" s="69"/>
      <c r="R217" s="69"/>
      <c r="S217" s="69"/>
      <c r="T217" s="69"/>
      <c r="U217" s="69"/>
      <c r="V217" s="69"/>
      <c r="W217" s="69"/>
      <c r="X217" s="69"/>
      <c r="Y217" s="69"/>
      <c r="Z217" s="69"/>
      <c r="AA217" s="69"/>
    </row>
    <row r="218" spans="1:27">
      <c r="A218" s="69"/>
      <c r="B218" s="69"/>
      <c r="C218" s="69"/>
      <c r="D218" s="69"/>
      <c r="E218" s="69"/>
      <c r="F218" s="69"/>
      <c r="G218" s="69"/>
      <c r="H218" s="69"/>
      <c r="I218" s="69"/>
      <c r="J218" s="69"/>
      <c r="K218" s="69"/>
      <c r="L218" s="69"/>
      <c r="M218" s="69"/>
      <c r="N218" s="69"/>
      <c r="O218" s="69"/>
      <c r="P218" s="69"/>
      <c r="Q218" s="69"/>
      <c r="R218" s="69"/>
      <c r="S218" s="69"/>
      <c r="T218" s="69"/>
      <c r="U218" s="69"/>
      <c r="V218" s="69"/>
      <c r="W218" s="69"/>
      <c r="X218" s="69"/>
      <c r="Y218" s="69"/>
      <c r="Z218" s="69"/>
      <c r="AA218" s="69"/>
    </row>
    <row r="219" spans="1:27">
      <c r="A219" s="69"/>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row>
    <row r="220" spans="1:27">
      <c r="A220" s="69"/>
      <c r="B220" s="69"/>
      <c r="C220" s="69"/>
      <c r="D220" s="69"/>
      <c r="E220" s="69"/>
      <c r="F220" s="69"/>
      <c r="G220" s="69"/>
      <c r="H220" s="69"/>
      <c r="I220" s="69"/>
      <c r="J220" s="69"/>
      <c r="K220" s="69"/>
      <c r="L220" s="69"/>
      <c r="M220" s="69"/>
      <c r="N220" s="69"/>
      <c r="O220" s="69"/>
      <c r="P220" s="69"/>
      <c r="Q220" s="69"/>
      <c r="R220" s="69"/>
      <c r="S220" s="69"/>
      <c r="T220" s="69"/>
      <c r="U220" s="69"/>
      <c r="V220" s="69"/>
      <c r="W220" s="69"/>
      <c r="X220" s="69"/>
      <c r="Y220" s="69"/>
      <c r="Z220" s="69"/>
      <c r="AA220" s="69"/>
    </row>
    <row r="221" spans="1:27">
      <c r="A221" s="69"/>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row>
    <row r="222" spans="1:27">
      <c r="A222" s="69"/>
      <c r="B222" s="69"/>
      <c r="C222" s="69"/>
      <c r="D222" s="69"/>
      <c r="E222" s="69"/>
      <c r="F222" s="69"/>
      <c r="G222" s="69"/>
      <c r="H222" s="69"/>
      <c r="I222" s="69"/>
      <c r="J222" s="69"/>
      <c r="K222" s="69"/>
      <c r="L222" s="69"/>
      <c r="M222" s="69"/>
      <c r="N222" s="69"/>
      <c r="O222" s="69"/>
      <c r="P222" s="69"/>
      <c r="Q222" s="69"/>
      <c r="R222" s="69"/>
      <c r="S222" s="69"/>
      <c r="T222" s="69"/>
      <c r="U222" s="69"/>
      <c r="V222" s="69"/>
      <c r="W222" s="69"/>
      <c r="X222" s="69"/>
      <c r="Y222" s="69"/>
      <c r="Z222" s="69"/>
      <c r="AA222" s="69"/>
    </row>
    <row r="223" spans="1:27">
      <c r="A223" s="69"/>
      <c r="B223" s="69"/>
      <c r="C223" s="69"/>
      <c r="D223" s="69"/>
      <c r="E223" s="69"/>
      <c r="F223" s="69"/>
      <c r="G223" s="69"/>
      <c r="H223" s="69"/>
      <c r="I223" s="69"/>
      <c r="J223" s="69"/>
      <c r="K223" s="69"/>
      <c r="L223" s="69"/>
      <c r="M223" s="69"/>
      <c r="N223" s="69"/>
      <c r="O223" s="69"/>
      <c r="P223" s="69"/>
      <c r="Q223" s="69"/>
      <c r="R223" s="69"/>
      <c r="S223" s="69"/>
      <c r="T223" s="69"/>
      <c r="U223" s="69"/>
      <c r="V223" s="69"/>
      <c r="W223" s="69"/>
      <c r="X223" s="69"/>
      <c r="Y223" s="69"/>
      <c r="Z223" s="69"/>
      <c r="AA223" s="69"/>
    </row>
    <row r="224" spans="1:27">
      <c r="A224" s="69"/>
      <c r="B224" s="69"/>
      <c r="C224" s="69"/>
      <c r="D224" s="69"/>
      <c r="E224" s="69"/>
      <c r="F224" s="69"/>
      <c r="G224" s="69"/>
      <c r="H224" s="69"/>
      <c r="I224" s="69"/>
      <c r="J224" s="69"/>
      <c r="K224" s="69"/>
      <c r="L224" s="69"/>
      <c r="M224" s="69"/>
      <c r="N224" s="69"/>
      <c r="O224" s="69"/>
      <c r="P224" s="69"/>
      <c r="Q224" s="69"/>
      <c r="R224" s="69"/>
      <c r="S224" s="69"/>
      <c r="T224" s="69"/>
      <c r="U224" s="69"/>
      <c r="V224" s="69"/>
      <c r="W224" s="69"/>
      <c r="X224" s="69"/>
      <c r="Y224" s="69"/>
      <c r="Z224" s="69"/>
      <c r="AA224" s="69"/>
    </row>
    <row r="225" spans="1:27">
      <c r="A225" s="69"/>
      <c r="B225" s="69"/>
      <c r="C225" s="69"/>
      <c r="D225" s="69"/>
      <c r="E225" s="69"/>
      <c r="F225" s="69"/>
      <c r="G225" s="69"/>
      <c r="H225" s="69"/>
      <c r="I225" s="69"/>
      <c r="J225" s="69"/>
      <c r="K225" s="69"/>
      <c r="L225" s="69"/>
      <c r="M225" s="69"/>
      <c r="N225" s="69"/>
      <c r="O225" s="69"/>
      <c r="P225" s="69"/>
      <c r="Q225" s="69"/>
      <c r="R225" s="69"/>
      <c r="S225" s="69"/>
      <c r="T225" s="69"/>
      <c r="U225" s="69"/>
      <c r="V225" s="69"/>
      <c r="W225" s="69"/>
      <c r="X225" s="69"/>
      <c r="Y225" s="69"/>
      <c r="Z225" s="69"/>
      <c r="AA225" s="69"/>
    </row>
    <row r="226" spans="1:27">
      <c r="A226" s="69"/>
      <c r="B226" s="69"/>
      <c r="C226" s="69"/>
      <c r="D226" s="69"/>
      <c r="E226" s="69"/>
      <c r="F226" s="69"/>
      <c r="G226" s="69"/>
      <c r="H226" s="69"/>
      <c r="I226" s="69"/>
      <c r="J226" s="69"/>
      <c r="K226" s="69"/>
      <c r="L226" s="69"/>
      <c r="M226" s="69"/>
      <c r="N226" s="69"/>
      <c r="O226" s="69"/>
      <c r="P226" s="69"/>
      <c r="Q226" s="69"/>
      <c r="R226" s="69"/>
      <c r="S226" s="69"/>
      <c r="T226" s="69"/>
      <c r="U226" s="69"/>
      <c r="V226" s="69"/>
      <c r="W226" s="69"/>
      <c r="X226" s="69"/>
      <c r="Y226" s="69"/>
      <c r="Z226" s="69"/>
      <c r="AA226" s="69"/>
    </row>
    <row r="227" spans="1:27">
      <c r="A227" s="69"/>
      <c r="B227" s="69"/>
      <c r="C227" s="69"/>
      <c r="D227" s="69"/>
      <c r="E227" s="69"/>
      <c r="F227" s="69"/>
      <c r="G227" s="69"/>
      <c r="H227" s="69"/>
      <c r="I227" s="69"/>
      <c r="J227" s="69"/>
      <c r="K227" s="69"/>
      <c r="L227" s="69"/>
      <c r="M227" s="69"/>
      <c r="N227" s="69"/>
      <c r="O227" s="69"/>
      <c r="P227" s="69"/>
      <c r="Q227" s="69"/>
      <c r="R227" s="69"/>
      <c r="S227" s="69"/>
      <c r="T227" s="69"/>
      <c r="U227" s="69"/>
      <c r="V227" s="69"/>
      <c r="W227" s="69"/>
      <c r="X227" s="69"/>
      <c r="Y227" s="69"/>
      <c r="Z227" s="69"/>
      <c r="AA227" s="69"/>
    </row>
    <row r="228" spans="1:27">
      <c r="A228" s="69"/>
      <c r="B228" s="69"/>
      <c r="C228" s="69"/>
      <c r="D228" s="69"/>
      <c r="E228" s="69"/>
      <c r="F228" s="69"/>
      <c r="G228" s="69"/>
      <c r="H228" s="69"/>
      <c r="I228" s="69"/>
      <c r="J228" s="69"/>
      <c r="K228" s="69"/>
      <c r="L228" s="69"/>
      <c r="M228" s="69"/>
      <c r="N228" s="69"/>
      <c r="O228" s="69"/>
      <c r="P228" s="69"/>
      <c r="Q228" s="69"/>
      <c r="R228" s="69"/>
      <c r="S228" s="69"/>
      <c r="T228" s="69"/>
      <c r="U228" s="69"/>
      <c r="V228" s="69"/>
      <c r="W228" s="69"/>
      <c r="X228" s="69"/>
      <c r="Y228" s="69"/>
      <c r="Z228" s="69"/>
      <c r="AA228" s="69"/>
    </row>
    <row r="229" spans="1:27">
      <c r="A229" s="69"/>
      <c r="B229" s="69"/>
      <c r="C229" s="69"/>
      <c r="D229" s="69"/>
      <c r="E229" s="69"/>
      <c r="F229" s="69"/>
      <c r="G229" s="69"/>
      <c r="H229" s="69"/>
      <c r="I229" s="69"/>
      <c r="J229" s="69"/>
      <c r="K229" s="69"/>
      <c r="L229" s="69"/>
      <c r="M229" s="69"/>
      <c r="N229" s="69"/>
      <c r="O229" s="69"/>
      <c r="P229" s="69"/>
      <c r="Q229" s="69"/>
      <c r="R229" s="69"/>
      <c r="S229" s="69"/>
      <c r="T229" s="69"/>
      <c r="U229" s="69"/>
      <c r="V229" s="69"/>
      <c r="W229" s="69"/>
      <c r="X229" s="69"/>
      <c r="Y229" s="69"/>
      <c r="Z229" s="69"/>
      <c r="AA229" s="69"/>
    </row>
    <row r="230" spans="1:27">
      <c r="A230" s="69"/>
      <c r="B230" s="69"/>
      <c r="C230" s="69"/>
      <c r="D230" s="69"/>
      <c r="E230" s="69"/>
      <c r="F230" s="69"/>
      <c r="G230" s="69"/>
      <c r="H230" s="69"/>
      <c r="I230" s="69"/>
      <c r="J230" s="69"/>
      <c r="K230" s="69"/>
      <c r="L230" s="69"/>
      <c r="M230" s="69"/>
      <c r="N230" s="69"/>
      <c r="O230" s="69"/>
      <c r="P230" s="69"/>
      <c r="Q230" s="69"/>
      <c r="R230" s="69"/>
      <c r="S230" s="69"/>
      <c r="T230" s="69"/>
      <c r="U230" s="69"/>
      <c r="V230" s="69"/>
      <c r="W230" s="69"/>
      <c r="X230" s="69"/>
      <c r="Y230" s="69"/>
      <c r="Z230" s="69"/>
      <c r="AA230" s="69"/>
    </row>
    <row r="231" spans="1:27">
      <c r="A231" s="69"/>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row>
    <row r="232" spans="1:27">
      <c r="A232" s="69"/>
      <c r="B232" s="69"/>
      <c r="C232" s="69"/>
      <c r="D232" s="69"/>
      <c r="E232" s="69"/>
      <c r="F232" s="69"/>
      <c r="G232" s="69"/>
      <c r="H232" s="69"/>
      <c r="I232" s="69"/>
      <c r="J232" s="69"/>
      <c r="K232" s="69"/>
      <c r="L232" s="69"/>
      <c r="M232" s="69"/>
      <c r="N232" s="69"/>
      <c r="O232" s="69"/>
      <c r="P232" s="69"/>
      <c r="Q232" s="69"/>
      <c r="R232" s="69"/>
      <c r="S232" s="69"/>
      <c r="T232" s="69"/>
      <c r="U232" s="69"/>
      <c r="V232" s="69"/>
      <c r="W232" s="69"/>
      <c r="X232" s="69"/>
      <c r="Y232" s="69"/>
      <c r="Z232" s="69"/>
      <c r="AA232" s="69"/>
    </row>
    <row r="233" spans="1:27">
      <c r="A233" s="69"/>
      <c r="B233" s="69"/>
      <c r="C233" s="69"/>
      <c r="D233" s="69"/>
      <c r="E233" s="69"/>
      <c r="F233" s="69"/>
      <c r="G233" s="69"/>
      <c r="H233" s="69"/>
      <c r="I233" s="69"/>
      <c r="J233" s="69"/>
      <c r="K233" s="69"/>
      <c r="L233" s="69"/>
      <c r="M233" s="69"/>
      <c r="N233" s="69"/>
      <c r="O233" s="69"/>
      <c r="P233" s="69"/>
      <c r="Q233" s="69"/>
      <c r="R233" s="69"/>
      <c r="S233" s="69"/>
      <c r="T233" s="69"/>
      <c r="U233" s="69"/>
      <c r="V233" s="69"/>
      <c r="W233" s="69"/>
      <c r="X233" s="69"/>
      <c r="Y233" s="69"/>
      <c r="Z233" s="69"/>
      <c r="AA233" s="69"/>
    </row>
    <row r="234" spans="1:27">
      <c r="A234" s="69"/>
      <c r="B234" s="69"/>
      <c r="C234" s="69"/>
      <c r="D234" s="69"/>
      <c r="E234" s="69"/>
      <c r="F234" s="69"/>
      <c r="G234" s="69"/>
      <c r="H234" s="69"/>
      <c r="I234" s="69"/>
      <c r="J234" s="69"/>
      <c r="K234" s="69"/>
      <c r="L234" s="69"/>
      <c r="M234" s="69"/>
      <c r="N234" s="69"/>
      <c r="O234" s="69"/>
      <c r="P234" s="69"/>
      <c r="Q234" s="69"/>
      <c r="R234" s="69"/>
      <c r="S234" s="69"/>
      <c r="T234" s="69"/>
      <c r="U234" s="69"/>
      <c r="V234" s="69"/>
      <c r="W234" s="69"/>
      <c r="X234" s="69"/>
      <c r="Y234" s="69"/>
      <c r="Z234" s="69"/>
      <c r="AA234" s="69"/>
    </row>
    <row r="235" spans="1:27">
      <c r="A235" s="69"/>
      <c r="B235" s="69"/>
      <c r="C235" s="69"/>
      <c r="D235" s="69"/>
      <c r="E235" s="69"/>
      <c r="F235" s="69"/>
      <c r="G235" s="69"/>
      <c r="H235" s="69"/>
      <c r="I235" s="69"/>
      <c r="J235" s="69"/>
      <c r="K235" s="69"/>
      <c r="L235" s="69"/>
      <c r="M235" s="69"/>
      <c r="N235" s="69"/>
      <c r="O235" s="69"/>
      <c r="P235" s="69"/>
      <c r="Q235" s="69"/>
      <c r="R235" s="69"/>
      <c r="S235" s="69"/>
      <c r="T235" s="69"/>
      <c r="U235" s="69"/>
      <c r="V235" s="69"/>
      <c r="W235" s="69"/>
      <c r="X235" s="69"/>
      <c r="Y235" s="69"/>
      <c r="Z235" s="69"/>
      <c r="AA235" s="69"/>
    </row>
    <row r="236" spans="1:27">
      <c r="A236" s="69"/>
      <c r="B236" s="69"/>
      <c r="C236" s="69"/>
      <c r="D236" s="69"/>
      <c r="E236" s="69"/>
      <c r="F236" s="69"/>
      <c r="G236" s="69"/>
      <c r="H236" s="69"/>
      <c r="I236" s="69"/>
      <c r="J236" s="69"/>
      <c r="K236" s="69"/>
      <c r="L236" s="69"/>
      <c r="M236" s="69"/>
      <c r="N236" s="69"/>
      <c r="O236" s="69"/>
      <c r="P236" s="69"/>
      <c r="Q236" s="69"/>
      <c r="R236" s="69"/>
      <c r="S236" s="69"/>
      <c r="T236" s="69"/>
      <c r="U236" s="69"/>
      <c r="V236" s="69"/>
      <c r="W236" s="69"/>
      <c r="X236" s="69"/>
      <c r="Y236" s="69"/>
      <c r="Z236" s="69"/>
      <c r="AA236" s="69"/>
    </row>
    <row r="237" spans="1:27">
      <c r="A237" s="69"/>
      <c r="B237" s="69"/>
      <c r="C237" s="69"/>
      <c r="D237" s="69"/>
      <c r="E237" s="69"/>
      <c r="F237" s="69"/>
      <c r="G237" s="69"/>
      <c r="H237" s="69"/>
      <c r="I237" s="69"/>
      <c r="J237" s="69"/>
      <c r="K237" s="69"/>
      <c r="L237" s="69"/>
      <c r="M237" s="69"/>
      <c r="N237" s="69"/>
      <c r="O237" s="69"/>
      <c r="P237" s="69"/>
      <c r="Q237" s="69"/>
      <c r="R237" s="69"/>
      <c r="S237" s="69"/>
      <c r="T237" s="69"/>
      <c r="U237" s="69"/>
      <c r="V237" s="69"/>
      <c r="W237" s="69"/>
      <c r="X237" s="69"/>
      <c r="Y237" s="69"/>
      <c r="Z237" s="69"/>
      <c r="AA237" s="69"/>
    </row>
    <row r="238" spans="1:27">
      <c r="A238" s="69"/>
      <c r="B238" s="69"/>
      <c r="C238" s="69"/>
      <c r="D238" s="69"/>
      <c r="E238" s="69"/>
      <c r="F238" s="69"/>
      <c r="G238" s="69"/>
      <c r="H238" s="69"/>
      <c r="I238" s="69"/>
      <c r="J238" s="69"/>
      <c r="K238" s="69"/>
      <c r="L238" s="69"/>
      <c r="M238" s="69"/>
      <c r="N238" s="69"/>
      <c r="O238" s="69"/>
      <c r="P238" s="69"/>
      <c r="Q238" s="69"/>
      <c r="R238" s="69"/>
      <c r="S238" s="69"/>
      <c r="T238" s="69"/>
      <c r="U238" s="69"/>
      <c r="V238" s="69"/>
      <c r="W238" s="69"/>
      <c r="X238" s="69"/>
      <c r="Y238" s="69"/>
      <c r="Z238" s="69"/>
      <c r="AA238" s="69"/>
    </row>
    <row r="239" spans="1:27">
      <c r="A239" s="69"/>
      <c r="B239" s="69"/>
      <c r="C239" s="69"/>
      <c r="D239" s="69"/>
      <c r="E239" s="69"/>
      <c r="F239" s="69"/>
      <c r="G239" s="69"/>
      <c r="H239" s="69"/>
      <c r="I239" s="69"/>
      <c r="J239" s="69"/>
      <c r="K239" s="69"/>
      <c r="L239" s="69"/>
      <c r="M239" s="69"/>
      <c r="N239" s="69"/>
      <c r="O239" s="69"/>
      <c r="P239" s="69"/>
      <c r="Q239" s="69"/>
      <c r="R239" s="69"/>
      <c r="S239" s="69"/>
      <c r="T239" s="69"/>
      <c r="U239" s="69"/>
      <c r="V239" s="69"/>
      <c r="W239" s="69"/>
      <c r="X239" s="69"/>
      <c r="Y239" s="69"/>
      <c r="Z239" s="69"/>
      <c r="AA239" s="69"/>
    </row>
    <row r="240" spans="1:27">
      <c r="A240" s="69"/>
      <c r="B240" s="69"/>
      <c r="C240" s="69"/>
      <c r="D240" s="69"/>
      <c r="E240" s="69"/>
      <c r="F240" s="69"/>
      <c r="G240" s="69"/>
      <c r="H240" s="69"/>
      <c r="I240" s="69"/>
      <c r="J240" s="69"/>
      <c r="K240" s="69"/>
      <c r="L240" s="69"/>
      <c r="M240" s="69"/>
      <c r="N240" s="69"/>
      <c r="O240" s="69"/>
      <c r="P240" s="69"/>
      <c r="Q240" s="69"/>
      <c r="R240" s="69"/>
      <c r="S240" s="69"/>
      <c r="T240" s="69"/>
      <c r="U240" s="69"/>
      <c r="V240" s="69"/>
      <c r="W240" s="69"/>
      <c r="X240" s="69"/>
      <c r="Y240" s="69"/>
      <c r="Z240" s="69"/>
      <c r="AA240" s="69"/>
    </row>
    <row r="241" spans="1:27">
      <c r="A241" s="69"/>
      <c r="B241" s="69"/>
      <c r="C241" s="69"/>
      <c r="D241" s="69"/>
      <c r="E241" s="69"/>
      <c r="F241" s="69"/>
      <c r="G241" s="69"/>
      <c r="H241" s="69"/>
      <c r="I241" s="69"/>
      <c r="J241" s="69"/>
      <c r="K241" s="69"/>
      <c r="L241" s="69"/>
      <c r="M241" s="69"/>
      <c r="N241" s="69"/>
      <c r="O241" s="69"/>
      <c r="P241" s="69"/>
      <c r="Q241" s="69"/>
      <c r="R241" s="69"/>
      <c r="S241" s="69"/>
      <c r="T241" s="69"/>
      <c r="U241" s="69"/>
      <c r="V241" s="69"/>
      <c r="W241" s="69"/>
      <c r="X241" s="69"/>
      <c r="Y241" s="69"/>
      <c r="Z241" s="69"/>
      <c r="AA241" s="69"/>
    </row>
    <row r="242" spans="1:27">
      <c r="A242" s="69"/>
      <c r="B242" s="69"/>
      <c r="C242" s="69"/>
      <c r="D242" s="69"/>
      <c r="E242" s="69"/>
      <c r="F242" s="69"/>
      <c r="G242" s="69"/>
      <c r="H242" s="69"/>
      <c r="I242" s="69"/>
      <c r="J242" s="69"/>
      <c r="K242" s="69"/>
      <c r="L242" s="69"/>
      <c r="M242" s="69"/>
      <c r="N242" s="69"/>
      <c r="O242" s="69"/>
      <c r="P242" s="69"/>
      <c r="Q242" s="69"/>
      <c r="R242" s="69"/>
      <c r="S242" s="69"/>
      <c r="T242" s="69"/>
      <c r="U242" s="69"/>
      <c r="V242" s="69"/>
      <c r="W242" s="69"/>
      <c r="X242" s="69"/>
      <c r="Y242" s="69"/>
      <c r="Z242" s="69"/>
      <c r="AA242" s="69"/>
    </row>
    <row r="243" spans="1:27">
      <c r="A243" s="69"/>
      <c r="B243" s="69"/>
      <c r="C243" s="69"/>
      <c r="D243" s="69"/>
      <c r="E243" s="69"/>
      <c r="F243" s="69"/>
      <c r="G243" s="69"/>
      <c r="H243" s="69"/>
      <c r="I243" s="69"/>
      <c r="J243" s="69"/>
      <c r="K243" s="69"/>
      <c r="L243" s="69"/>
      <c r="M243" s="69"/>
      <c r="N243" s="69"/>
      <c r="O243" s="69"/>
      <c r="P243" s="69"/>
      <c r="Q243" s="69"/>
      <c r="R243" s="69"/>
      <c r="S243" s="69"/>
      <c r="T243" s="69"/>
      <c r="U243" s="69"/>
      <c r="V243" s="69"/>
      <c r="W243" s="69"/>
      <c r="X243" s="69"/>
      <c r="Y243" s="69"/>
      <c r="Z243" s="69"/>
      <c r="AA243" s="69"/>
    </row>
    <row r="244" spans="1:27">
      <c r="A244" s="69"/>
      <c r="B244" s="69"/>
      <c r="C244" s="69"/>
      <c r="D244" s="69"/>
      <c r="E244" s="69"/>
      <c r="F244" s="69"/>
      <c r="G244" s="69"/>
      <c r="H244" s="69"/>
      <c r="I244" s="69"/>
      <c r="J244" s="69"/>
      <c r="K244" s="69"/>
      <c r="L244" s="69"/>
      <c r="M244" s="69"/>
      <c r="N244" s="69"/>
      <c r="O244" s="69"/>
      <c r="P244" s="69"/>
      <c r="Q244" s="69"/>
      <c r="R244" s="69"/>
      <c r="S244" s="69"/>
      <c r="T244" s="69"/>
      <c r="U244" s="69"/>
      <c r="V244" s="69"/>
      <c r="W244" s="69"/>
      <c r="X244" s="69"/>
      <c r="Y244" s="69"/>
      <c r="Z244" s="69"/>
      <c r="AA244" s="69"/>
    </row>
    <row r="245" spans="1:27">
      <c r="A245" s="69"/>
      <c r="B245" s="69"/>
      <c r="C245" s="69"/>
      <c r="D245" s="69"/>
      <c r="E245" s="69"/>
      <c r="F245" s="69"/>
      <c r="G245" s="69"/>
      <c r="H245" s="69"/>
      <c r="I245" s="69"/>
      <c r="J245" s="69"/>
      <c r="K245" s="69"/>
      <c r="L245" s="69"/>
      <c r="M245" s="69"/>
      <c r="N245" s="69"/>
      <c r="O245" s="69"/>
      <c r="P245" s="69"/>
      <c r="Q245" s="69"/>
      <c r="R245" s="69"/>
      <c r="S245" s="69"/>
      <c r="T245" s="69"/>
      <c r="U245" s="69"/>
      <c r="V245" s="69"/>
      <c r="W245" s="69"/>
      <c r="X245" s="69"/>
      <c r="Y245" s="69"/>
      <c r="Z245" s="69"/>
      <c r="AA245" s="69"/>
    </row>
    <row r="246" spans="1:27">
      <c r="A246" s="69"/>
      <c r="B246" s="69"/>
      <c r="C246" s="69"/>
      <c r="D246" s="69"/>
      <c r="E246" s="69"/>
      <c r="F246" s="69"/>
      <c r="G246" s="69"/>
      <c r="H246" s="69"/>
      <c r="I246" s="69"/>
      <c r="J246" s="69"/>
      <c r="K246" s="69"/>
      <c r="L246" s="69"/>
      <c r="M246" s="69"/>
      <c r="N246" s="69"/>
      <c r="O246" s="69"/>
      <c r="P246" s="69"/>
      <c r="Q246" s="69"/>
      <c r="R246" s="69"/>
      <c r="S246" s="69"/>
      <c r="T246" s="69"/>
      <c r="U246" s="69"/>
      <c r="V246" s="69"/>
      <c r="W246" s="69"/>
      <c r="X246" s="69"/>
      <c r="Y246" s="69"/>
      <c r="Z246" s="69"/>
      <c r="AA246" s="69"/>
    </row>
    <row r="247" spans="1:27">
      <c r="A247" s="69"/>
      <c r="B247" s="69"/>
      <c r="C247" s="69"/>
      <c r="D247" s="69"/>
      <c r="E247" s="69"/>
      <c r="F247" s="69"/>
      <c r="G247" s="69"/>
      <c r="H247" s="69"/>
      <c r="I247" s="69"/>
      <c r="J247" s="69"/>
      <c r="K247" s="69"/>
      <c r="L247" s="69"/>
      <c r="M247" s="69"/>
      <c r="N247" s="69"/>
      <c r="O247" s="69"/>
      <c r="P247" s="69"/>
      <c r="Q247" s="69"/>
      <c r="R247" s="69"/>
      <c r="S247" s="69"/>
      <c r="T247" s="69"/>
      <c r="U247" s="69"/>
      <c r="V247" s="69"/>
      <c r="W247" s="69"/>
      <c r="X247" s="69"/>
      <c r="Y247" s="69"/>
      <c r="Z247" s="69"/>
      <c r="AA247" s="69"/>
    </row>
    <row r="248" spans="1:27">
      <c r="A248" s="69"/>
      <c r="B248" s="69"/>
      <c r="C248" s="69"/>
      <c r="D248" s="69"/>
      <c r="E248" s="69"/>
      <c r="F248" s="69"/>
      <c r="G248" s="69"/>
      <c r="H248" s="69"/>
      <c r="I248" s="69"/>
      <c r="J248" s="69"/>
      <c r="K248" s="69"/>
      <c r="L248" s="69"/>
      <c r="M248" s="69"/>
      <c r="N248" s="69"/>
      <c r="O248" s="69"/>
      <c r="P248" s="69"/>
      <c r="Q248" s="69"/>
      <c r="R248" s="69"/>
      <c r="S248" s="69"/>
      <c r="T248" s="69"/>
      <c r="U248" s="69"/>
      <c r="V248" s="69"/>
      <c r="W248" s="69"/>
      <c r="X248" s="69"/>
      <c r="Y248" s="69"/>
      <c r="Z248" s="69"/>
      <c r="AA248" s="69"/>
    </row>
    <row r="249" spans="1:27">
      <c r="A249" s="69"/>
      <c r="B249" s="69"/>
      <c r="C249" s="69"/>
      <c r="D249" s="69"/>
      <c r="E249" s="69"/>
      <c r="F249" s="69"/>
      <c r="G249" s="69"/>
      <c r="H249" s="69"/>
      <c r="I249" s="69"/>
      <c r="J249" s="69"/>
      <c r="K249" s="69"/>
      <c r="L249" s="69"/>
      <c r="M249" s="69"/>
      <c r="N249" s="69"/>
      <c r="O249" s="69"/>
      <c r="P249" s="69"/>
      <c r="Q249" s="69"/>
      <c r="R249" s="69"/>
      <c r="S249" s="69"/>
      <c r="T249" s="69"/>
      <c r="U249" s="69"/>
      <c r="V249" s="69"/>
      <c r="W249" s="69"/>
      <c r="X249" s="69"/>
      <c r="Y249" s="69"/>
      <c r="Z249" s="69"/>
      <c r="AA249" s="69"/>
    </row>
    <row r="250" spans="1:27">
      <c r="A250" s="69"/>
      <c r="B250" s="69"/>
      <c r="C250" s="69"/>
      <c r="D250" s="69"/>
      <c r="E250" s="69"/>
      <c r="F250" s="69"/>
      <c r="G250" s="69"/>
      <c r="H250" s="69"/>
      <c r="I250" s="69"/>
      <c r="J250" s="69"/>
      <c r="K250" s="69"/>
      <c r="L250" s="69"/>
      <c r="M250" s="69"/>
      <c r="N250" s="69"/>
      <c r="O250" s="69"/>
      <c r="P250" s="69"/>
      <c r="Q250" s="69"/>
      <c r="R250" s="69"/>
      <c r="S250" s="69"/>
      <c r="T250" s="69"/>
      <c r="U250" s="69"/>
      <c r="V250" s="69"/>
      <c r="W250" s="69"/>
      <c r="X250" s="69"/>
      <c r="Y250" s="69"/>
      <c r="Z250" s="69"/>
      <c r="AA250" s="69"/>
    </row>
    <row r="251" spans="1:27">
      <c r="A251" s="69"/>
      <c r="B251" s="69"/>
      <c r="C251" s="69"/>
      <c r="D251" s="69"/>
      <c r="E251" s="69"/>
      <c r="F251" s="69"/>
      <c r="G251" s="69"/>
      <c r="H251" s="69"/>
      <c r="I251" s="69"/>
      <c r="J251" s="69"/>
      <c r="K251" s="69"/>
      <c r="L251" s="69"/>
      <c r="M251" s="69"/>
      <c r="N251" s="69"/>
      <c r="O251" s="69"/>
      <c r="P251" s="69"/>
      <c r="Q251" s="69"/>
      <c r="R251" s="69"/>
      <c r="S251" s="69"/>
      <c r="T251" s="69"/>
      <c r="U251" s="69"/>
      <c r="V251" s="69"/>
      <c r="W251" s="69"/>
      <c r="X251" s="69"/>
      <c r="Y251" s="69"/>
      <c r="Z251" s="69"/>
      <c r="AA251" s="69"/>
    </row>
    <row r="252" spans="1:27">
      <c r="A252" s="69"/>
      <c r="B252" s="69"/>
      <c r="C252" s="69"/>
      <c r="D252" s="69"/>
      <c r="E252" s="69"/>
      <c r="F252" s="69"/>
      <c r="G252" s="69"/>
      <c r="H252" s="69"/>
      <c r="I252" s="69"/>
      <c r="J252" s="69"/>
      <c r="K252" s="69"/>
      <c r="L252" s="69"/>
      <c r="M252" s="69"/>
      <c r="N252" s="69"/>
      <c r="O252" s="69"/>
      <c r="P252" s="69"/>
      <c r="Q252" s="69"/>
      <c r="R252" s="69"/>
      <c r="S252" s="69"/>
      <c r="T252" s="69"/>
      <c r="U252" s="69"/>
      <c r="V252" s="69"/>
      <c r="W252" s="69"/>
      <c r="X252" s="69"/>
      <c r="Y252" s="69"/>
      <c r="Z252" s="69"/>
      <c r="AA252" s="69"/>
    </row>
    <row r="253" spans="1:27">
      <c r="A253" s="69"/>
      <c r="B253" s="69"/>
      <c r="C253" s="69"/>
      <c r="D253" s="69"/>
      <c r="E253" s="69"/>
      <c r="F253" s="69"/>
      <c r="G253" s="69"/>
      <c r="H253" s="69"/>
      <c r="I253" s="69"/>
      <c r="J253" s="69"/>
      <c r="K253" s="69"/>
      <c r="L253" s="69"/>
      <c r="M253" s="69"/>
      <c r="N253" s="69"/>
      <c r="O253" s="69"/>
      <c r="P253" s="69"/>
      <c r="Q253" s="69"/>
      <c r="R253" s="69"/>
      <c r="S253" s="69"/>
      <c r="T253" s="69"/>
      <c r="U253" s="69"/>
      <c r="V253" s="69"/>
      <c r="W253" s="69"/>
      <c r="X253" s="69"/>
      <c r="Y253" s="69"/>
      <c r="Z253" s="69"/>
      <c r="AA253" s="69"/>
    </row>
    <row r="254" spans="1:27">
      <c r="A254" s="69"/>
      <c r="B254" s="69"/>
      <c r="C254" s="69"/>
      <c r="D254" s="69"/>
      <c r="E254" s="69"/>
      <c r="F254" s="69"/>
      <c r="G254" s="69"/>
      <c r="H254" s="69"/>
      <c r="I254" s="69"/>
      <c r="J254" s="69"/>
      <c r="K254" s="69"/>
      <c r="L254" s="69"/>
      <c r="M254" s="69"/>
      <c r="N254" s="69"/>
      <c r="O254" s="69"/>
      <c r="P254" s="69"/>
      <c r="Q254" s="69"/>
      <c r="R254" s="69"/>
      <c r="S254" s="69"/>
      <c r="T254" s="69"/>
      <c r="U254" s="69"/>
      <c r="V254" s="69"/>
      <c r="W254" s="69"/>
      <c r="X254" s="69"/>
      <c r="Y254" s="69"/>
      <c r="Z254" s="69"/>
      <c r="AA254" s="69"/>
    </row>
    <row r="255" spans="1:27">
      <c r="A255" s="69"/>
      <c r="B255" s="69"/>
      <c r="C255" s="69"/>
      <c r="D255" s="69"/>
      <c r="E255" s="69"/>
      <c r="F255" s="69"/>
      <c r="G255" s="69"/>
      <c r="H255" s="69"/>
      <c r="I255" s="69"/>
      <c r="J255" s="69"/>
      <c r="K255" s="69"/>
      <c r="L255" s="69"/>
      <c r="M255" s="69"/>
      <c r="N255" s="69"/>
      <c r="O255" s="69"/>
      <c r="P255" s="69"/>
      <c r="Q255" s="69"/>
      <c r="R255" s="69"/>
      <c r="S255" s="69"/>
      <c r="T255" s="69"/>
      <c r="U255" s="69"/>
      <c r="V255" s="69"/>
      <c r="W255" s="69"/>
      <c r="X255" s="69"/>
      <c r="Y255" s="69"/>
      <c r="Z255" s="69"/>
      <c r="AA255" s="69"/>
    </row>
    <row r="256" spans="1:27">
      <c r="A256" s="69"/>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row>
    <row r="257" spans="1:27">
      <c r="A257" s="69"/>
      <c r="B257" s="69"/>
      <c r="C257" s="69"/>
      <c r="D257" s="69"/>
      <c r="E257" s="69"/>
      <c r="F257" s="69"/>
      <c r="G257" s="69"/>
      <c r="H257" s="69"/>
      <c r="I257" s="69"/>
      <c r="J257" s="69"/>
      <c r="K257" s="69"/>
      <c r="L257" s="69"/>
      <c r="M257" s="69"/>
      <c r="N257" s="69"/>
      <c r="O257" s="69"/>
      <c r="P257" s="69"/>
      <c r="Q257" s="69"/>
      <c r="R257" s="69"/>
      <c r="S257" s="69"/>
      <c r="T257" s="69"/>
      <c r="U257" s="69"/>
      <c r="V257" s="69"/>
      <c r="W257" s="69"/>
      <c r="X257" s="69"/>
      <c r="Y257" s="69"/>
      <c r="Z257" s="69"/>
      <c r="AA257" s="69"/>
    </row>
    <row r="258" spans="1:27">
      <c r="A258" s="69"/>
      <c r="B258" s="69"/>
      <c r="C258" s="69"/>
      <c r="D258" s="69"/>
      <c r="E258" s="69"/>
      <c r="F258" s="69"/>
      <c r="G258" s="69"/>
      <c r="H258" s="69"/>
      <c r="I258" s="69"/>
      <c r="J258" s="69"/>
      <c r="K258" s="69"/>
      <c r="L258" s="69"/>
      <c r="M258" s="69"/>
      <c r="N258" s="69"/>
      <c r="O258" s="69"/>
      <c r="P258" s="69"/>
      <c r="Q258" s="69"/>
      <c r="R258" s="69"/>
      <c r="S258" s="69"/>
      <c r="T258" s="69"/>
      <c r="U258" s="69"/>
      <c r="V258" s="69"/>
      <c r="W258" s="69"/>
      <c r="X258" s="69"/>
      <c r="Y258" s="69"/>
      <c r="Z258" s="69"/>
      <c r="AA258" s="69"/>
    </row>
    <row r="259" spans="1:27">
      <c r="A259" s="69"/>
      <c r="B259" s="69"/>
      <c r="C259" s="69"/>
      <c r="D259" s="69"/>
      <c r="E259" s="69"/>
      <c r="F259" s="69"/>
      <c r="G259" s="69"/>
      <c r="H259" s="69"/>
      <c r="I259" s="69"/>
      <c r="J259" s="69"/>
      <c r="K259" s="69"/>
      <c r="L259" s="69"/>
      <c r="M259" s="69"/>
      <c r="N259" s="69"/>
      <c r="O259" s="69"/>
      <c r="P259" s="69"/>
      <c r="Q259" s="69"/>
      <c r="R259" s="69"/>
      <c r="S259" s="69"/>
      <c r="T259" s="69"/>
      <c r="U259" s="69"/>
      <c r="V259" s="69"/>
      <c r="W259" s="69"/>
      <c r="X259" s="69"/>
      <c r="Y259" s="69"/>
      <c r="Z259" s="69"/>
      <c r="AA259" s="69"/>
    </row>
    <row r="260" spans="1:27">
      <c r="A260" s="69"/>
      <c r="B260" s="69"/>
      <c r="C260" s="69"/>
      <c r="D260" s="69"/>
      <c r="E260" s="69"/>
      <c r="F260" s="69"/>
      <c r="G260" s="69"/>
      <c r="H260" s="69"/>
      <c r="I260" s="69"/>
      <c r="J260" s="69"/>
      <c r="K260" s="69"/>
      <c r="L260" s="69"/>
      <c r="M260" s="69"/>
      <c r="N260" s="69"/>
      <c r="O260" s="69"/>
      <c r="P260" s="69"/>
      <c r="Q260" s="69"/>
      <c r="R260" s="69"/>
      <c r="S260" s="69"/>
      <c r="T260" s="69"/>
      <c r="U260" s="69"/>
      <c r="V260" s="69"/>
      <c r="W260" s="69"/>
      <c r="X260" s="69"/>
      <c r="Y260" s="69"/>
      <c r="Z260" s="69"/>
      <c r="AA260" s="69"/>
    </row>
    <row r="261" spans="1:27">
      <c r="A261" s="69"/>
      <c r="B261" s="69"/>
      <c r="C261" s="69"/>
      <c r="D261" s="69"/>
      <c r="E261" s="69"/>
      <c r="F261" s="69"/>
      <c r="G261" s="69"/>
      <c r="H261" s="69"/>
      <c r="I261" s="69"/>
      <c r="J261" s="69"/>
      <c r="K261" s="69"/>
      <c r="L261" s="69"/>
      <c r="M261" s="69"/>
      <c r="N261" s="69"/>
      <c r="O261" s="69"/>
      <c r="P261" s="69"/>
      <c r="Q261" s="69"/>
      <c r="R261" s="69"/>
      <c r="S261" s="69"/>
      <c r="T261" s="69"/>
      <c r="U261" s="69"/>
      <c r="V261" s="69"/>
      <c r="W261" s="69"/>
      <c r="X261" s="69"/>
      <c r="Y261" s="69"/>
      <c r="Z261" s="69"/>
      <c r="AA261" s="69"/>
    </row>
    <row r="262" spans="1:27">
      <c r="A262" s="69"/>
      <c r="B262" s="69"/>
      <c r="C262" s="69"/>
      <c r="D262" s="69"/>
      <c r="E262" s="69"/>
      <c r="F262" s="69"/>
      <c r="G262" s="69"/>
      <c r="H262" s="69"/>
      <c r="I262" s="69"/>
      <c r="J262" s="69"/>
      <c r="K262" s="69"/>
      <c r="L262" s="69"/>
      <c r="M262" s="69"/>
      <c r="N262" s="69"/>
      <c r="O262" s="69"/>
      <c r="P262" s="69"/>
      <c r="Q262" s="69"/>
      <c r="R262" s="69"/>
      <c r="S262" s="69"/>
      <c r="T262" s="69"/>
      <c r="U262" s="69"/>
      <c r="V262" s="69"/>
      <c r="W262" s="69"/>
      <c r="X262" s="69"/>
      <c r="Y262" s="69"/>
      <c r="Z262" s="69"/>
      <c r="AA262" s="69"/>
    </row>
    <row r="263" spans="1:27">
      <c r="A263" s="69"/>
      <c r="B263" s="69"/>
      <c r="C263" s="69"/>
      <c r="D263" s="69"/>
      <c r="E263" s="69"/>
      <c r="F263" s="69"/>
      <c r="G263" s="69"/>
      <c r="H263" s="69"/>
      <c r="I263" s="69"/>
      <c r="J263" s="69"/>
      <c r="K263" s="69"/>
      <c r="L263" s="69"/>
      <c r="M263" s="69"/>
      <c r="N263" s="69"/>
      <c r="O263" s="69"/>
      <c r="P263" s="69"/>
      <c r="Q263" s="69"/>
      <c r="R263" s="69"/>
      <c r="S263" s="69"/>
      <c r="T263" s="69"/>
      <c r="U263" s="69"/>
      <c r="V263" s="69"/>
      <c r="W263" s="69"/>
      <c r="X263" s="69"/>
      <c r="Y263" s="69"/>
      <c r="Z263" s="69"/>
      <c r="AA263" s="69"/>
    </row>
    <row r="264" spans="1:27">
      <c r="A264" s="69"/>
      <c r="B264" s="69"/>
      <c r="C264" s="69"/>
      <c r="D264" s="69"/>
      <c r="E264" s="69"/>
      <c r="F264" s="69"/>
      <c r="G264" s="69"/>
      <c r="H264" s="69"/>
      <c r="I264" s="69"/>
      <c r="J264" s="69"/>
      <c r="K264" s="69"/>
      <c r="L264" s="69"/>
      <c r="M264" s="69"/>
      <c r="N264" s="69"/>
      <c r="O264" s="69"/>
      <c r="P264" s="69"/>
      <c r="Q264" s="69"/>
      <c r="R264" s="69"/>
      <c r="S264" s="69"/>
      <c r="T264" s="69"/>
      <c r="U264" s="69"/>
      <c r="V264" s="69"/>
      <c r="W264" s="69"/>
      <c r="X264" s="69"/>
      <c r="Y264" s="69"/>
      <c r="Z264" s="69"/>
      <c r="AA264" s="69"/>
    </row>
    <row r="265" spans="1:27">
      <c r="A265" s="69"/>
      <c r="B265" s="69"/>
      <c r="C265" s="69"/>
      <c r="D265" s="69"/>
      <c r="E265" s="69"/>
      <c r="F265" s="69"/>
      <c r="G265" s="69"/>
      <c r="H265" s="69"/>
      <c r="I265" s="69"/>
      <c r="J265" s="69"/>
      <c r="K265" s="69"/>
      <c r="L265" s="69"/>
      <c r="M265" s="69"/>
      <c r="N265" s="69"/>
      <c r="O265" s="69"/>
      <c r="P265" s="69"/>
      <c r="Q265" s="69"/>
      <c r="R265" s="69"/>
      <c r="S265" s="69"/>
      <c r="T265" s="69"/>
      <c r="U265" s="69"/>
      <c r="V265" s="69"/>
      <c r="W265" s="69"/>
      <c r="X265" s="69"/>
      <c r="Y265" s="69"/>
      <c r="Z265" s="69"/>
      <c r="AA265" s="69"/>
    </row>
    <row r="266" spans="1:27">
      <c r="A266" s="69"/>
      <c r="B266" s="69"/>
      <c r="C266" s="69"/>
      <c r="D266" s="69"/>
      <c r="E266" s="69"/>
      <c r="F266" s="69"/>
      <c r="G266" s="69"/>
      <c r="H266" s="69"/>
      <c r="I266" s="69"/>
      <c r="J266" s="69"/>
      <c r="K266" s="69"/>
      <c r="L266" s="69"/>
      <c r="M266" s="69"/>
      <c r="N266" s="69"/>
      <c r="O266" s="69"/>
      <c r="P266" s="69"/>
      <c r="Q266" s="69"/>
      <c r="R266" s="69"/>
      <c r="S266" s="69"/>
      <c r="T266" s="69"/>
      <c r="U266" s="69"/>
      <c r="V266" s="69"/>
      <c r="W266" s="69"/>
      <c r="X266" s="69"/>
      <c r="Y266" s="69"/>
      <c r="Z266" s="69"/>
      <c r="AA266" s="69"/>
    </row>
    <row r="267" spans="1:27">
      <c r="A267" s="69"/>
      <c r="B267" s="69"/>
      <c r="C267" s="69"/>
      <c r="D267" s="69"/>
      <c r="E267" s="69"/>
      <c r="F267" s="69"/>
      <c r="G267" s="69"/>
      <c r="H267" s="69"/>
      <c r="I267" s="69"/>
      <c r="J267" s="69"/>
      <c r="K267" s="69"/>
      <c r="L267" s="69"/>
      <c r="M267" s="69"/>
      <c r="N267" s="69"/>
      <c r="O267" s="69"/>
      <c r="P267" s="69"/>
      <c r="Q267" s="69"/>
      <c r="R267" s="69"/>
      <c r="S267" s="69"/>
      <c r="T267" s="69"/>
      <c r="U267" s="69"/>
      <c r="V267" s="69"/>
      <c r="W267" s="69"/>
      <c r="X267" s="69"/>
      <c r="Y267" s="69"/>
      <c r="Z267" s="69"/>
      <c r="AA267" s="69"/>
    </row>
    <row r="268" spans="1:27">
      <c r="A268" s="69"/>
      <c r="B268" s="69"/>
      <c r="C268" s="69"/>
      <c r="D268" s="69"/>
      <c r="E268" s="69"/>
      <c r="F268" s="69"/>
      <c r="G268" s="69"/>
      <c r="H268" s="69"/>
      <c r="I268" s="69"/>
      <c r="J268" s="69"/>
      <c r="K268" s="69"/>
      <c r="L268" s="69"/>
      <c r="M268" s="69"/>
      <c r="N268" s="69"/>
      <c r="O268" s="69"/>
      <c r="P268" s="69"/>
      <c r="Q268" s="69"/>
      <c r="R268" s="69"/>
      <c r="S268" s="69"/>
      <c r="T268" s="69"/>
      <c r="U268" s="69"/>
      <c r="V268" s="69"/>
      <c r="W268" s="69"/>
      <c r="X268" s="69"/>
      <c r="Y268" s="69"/>
      <c r="Z268" s="69"/>
      <c r="AA268" s="69"/>
    </row>
    <row r="269" spans="1:27">
      <c r="A269" s="69"/>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row>
    <row r="270" spans="1:27">
      <c r="A270" s="69"/>
      <c r="B270" s="69"/>
      <c r="C270" s="69"/>
      <c r="D270" s="69"/>
      <c r="E270" s="69"/>
      <c r="F270" s="69"/>
      <c r="G270" s="69"/>
      <c r="H270" s="69"/>
      <c r="I270" s="69"/>
      <c r="J270" s="69"/>
      <c r="K270" s="69"/>
      <c r="L270" s="69"/>
      <c r="M270" s="69"/>
      <c r="N270" s="69"/>
      <c r="O270" s="69"/>
      <c r="P270" s="69"/>
      <c r="Q270" s="69"/>
      <c r="R270" s="69"/>
      <c r="S270" s="69"/>
      <c r="T270" s="69"/>
      <c r="U270" s="69"/>
      <c r="V270" s="69"/>
      <c r="W270" s="69"/>
      <c r="X270" s="69"/>
      <c r="Y270" s="69"/>
      <c r="Z270" s="69"/>
      <c r="AA270" s="69"/>
    </row>
    <row r="271" spans="1:27">
      <c r="A271" s="69"/>
      <c r="B271" s="69"/>
      <c r="C271" s="69"/>
      <c r="D271" s="69"/>
      <c r="E271" s="69"/>
      <c r="F271" s="69"/>
      <c r="G271" s="69"/>
      <c r="H271" s="69"/>
      <c r="I271" s="69"/>
      <c r="J271" s="69"/>
      <c r="K271" s="69"/>
      <c r="L271" s="69"/>
      <c r="M271" s="69"/>
      <c r="N271" s="69"/>
      <c r="O271" s="69"/>
      <c r="P271" s="69"/>
      <c r="Q271" s="69"/>
      <c r="R271" s="69"/>
      <c r="S271" s="69"/>
      <c r="T271" s="69"/>
      <c r="U271" s="69"/>
      <c r="V271" s="69"/>
      <c r="W271" s="69"/>
      <c r="X271" s="69"/>
      <c r="Y271" s="69"/>
      <c r="Z271" s="69"/>
      <c r="AA271" s="69"/>
    </row>
    <row r="272" spans="1:27">
      <c r="A272" s="69"/>
      <c r="B272" s="69"/>
      <c r="C272" s="69"/>
      <c r="D272" s="69"/>
      <c r="E272" s="69"/>
      <c r="F272" s="69"/>
      <c r="G272" s="69"/>
      <c r="H272" s="69"/>
      <c r="I272" s="69"/>
      <c r="J272" s="69"/>
      <c r="K272" s="69"/>
      <c r="L272" s="69"/>
      <c r="M272" s="69"/>
      <c r="N272" s="69"/>
      <c r="O272" s="69"/>
      <c r="P272" s="69"/>
      <c r="Q272" s="69"/>
      <c r="R272" s="69"/>
      <c r="S272" s="69"/>
      <c r="T272" s="69"/>
      <c r="U272" s="69"/>
      <c r="V272" s="69"/>
      <c r="W272" s="69"/>
      <c r="X272" s="69"/>
      <c r="Y272" s="69"/>
      <c r="Z272" s="69"/>
      <c r="AA272" s="69"/>
    </row>
    <row r="273" spans="1:27">
      <c r="A273" s="69"/>
      <c r="B273" s="69"/>
      <c r="C273" s="69"/>
      <c r="D273" s="69"/>
      <c r="E273" s="69"/>
      <c r="F273" s="69"/>
      <c r="G273" s="69"/>
      <c r="H273" s="69"/>
      <c r="I273" s="69"/>
      <c r="J273" s="69"/>
      <c r="K273" s="69"/>
      <c r="L273" s="69"/>
      <c r="M273" s="69"/>
      <c r="N273" s="69"/>
      <c r="O273" s="69"/>
      <c r="P273" s="69"/>
      <c r="Q273" s="69"/>
      <c r="R273" s="69"/>
      <c r="S273" s="69"/>
      <c r="T273" s="69"/>
      <c r="U273" s="69"/>
      <c r="V273" s="69"/>
      <c r="W273" s="69"/>
      <c r="X273" s="69"/>
      <c r="Y273" s="69"/>
      <c r="Z273" s="69"/>
      <c r="AA273" s="69"/>
    </row>
    <row r="274" spans="1:27">
      <c r="A274" s="69"/>
      <c r="B274" s="69"/>
      <c r="C274" s="69"/>
      <c r="D274" s="69"/>
      <c r="E274" s="69"/>
      <c r="F274" s="69"/>
      <c r="G274" s="69"/>
      <c r="H274" s="69"/>
      <c r="I274" s="69"/>
      <c r="J274" s="69"/>
      <c r="K274" s="69"/>
      <c r="L274" s="69"/>
      <c r="M274" s="69"/>
      <c r="N274" s="69"/>
      <c r="O274" s="69"/>
      <c r="P274" s="69"/>
      <c r="Q274" s="69"/>
      <c r="R274" s="69"/>
      <c r="S274" s="69"/>
      <c r="T274" s="69"/>
      <c r="U274" s="69"/>
      <c r="V274" s="69"/>
      <c r="W274" s="69"/>
      <c r="X274" s="69"/>
      <c r="Y274" s="69"/>
      <c r="Z274" s="69"/>
      <c r="AA274" s="69"/>
    </row>
    <row r="275" spans="1:27">
      <c r="A275" s="69"/>
      <c r="B275" s="69"/>
      <c r="C275" s="69"/>
      <c r="D275" s="69"/>
      <c r="E275" s="69"/>
      <c r="F275" s="69"/>
      <c r="G275" s="69"/>
      <c r="H275" s="69"/>
      <c r="I275" s="69"/>
      <c r="J275" s="69"/>
      <c r="K275" s="69"/>
      <c r="L275" s="69"/>
      <c r="M275" s="69"/>
      <c r="N275" s="69"/>
      <c r="O275" s="69"/>
      <c r="P275" s="69"/>
      <c r="Q275" s="69"/>
      <c r="R275" s="69"/>
      <c r="S275" s="69"/>
      <c r="T275" s="69"/>
      <c r="U275" s="69"/>
      <c r="V275" s="69"/>
      <c r="W275" s="69"/>
      <c r="X275" s="69"/>
      <c r="Y275" s="69"/>
      <c r="Z275" s="69"/>
      <c r="AA275" s="69"/>
    </row>
    <row r="276" spans="1:27">
      <c r="A276" s="69"/>
      <c r="B276" s="69"/>
      <c r="C276" s="69"/>
      <c r="D276" s="69"/>
      <c r="E276" s="69"/>
      <c r="F276" s="69"/>
      <c r="G276" s="69"/>
      <c r="H276" s="69"/>
      <c r="I276" s="69"/>
      <c r="J276" s="69"/>
      <c r="K276" s="69"/>
      <c r="L276" s="69"/>
      <c r="M276" s="69"/>
      <c r="N276" s="69"/>
      <c r="O276" s="69"/>
      <c r="P276" s="69"/>
      <c r="Q276" s="69"/>
      <c r="R276" s="69"/>
      <c r="S276" s="69"/>
      <c r="T276" s="69"/>
      <c r="U276" s="69"/>
      <c r="V276" s="69"/>
      <c r="W276" s="69"/>
      <c r="X276" s="69"/>
      <c r="Y276" s="69"/>
      <c r="Z276" s="69"/>
      <c r="AA276" s="69"/>
    </row>
    <row r="277" spans="1:27">
      <c r="A277" s="69"/>
      <c r="B277" s="69"/>
      <c r="C277" s="69"/>
      <c r="D277" s="69"/>
      <c r="E277" s="69"/>
      <c r="F277" s="69"/>
      <c r="G277" s="69"/>
      <c r="H277" s="69"/>
      <c r="I277" s="69"/>
      <c r="J277" s="69"/>
      <c r="K277" s="69"/>
      <c r="L277" s="69"/>
      <c r="M277" s="69"/>
      <c r="N277" s="69"/>
      <c r="O277" s="69"/>
      <c r="P277" s="69"/>
      <c r="Q277" s="69"/>
      <c r="R277" s="69"/>
      <c r="S277" s="69"/>
      <c r="T277" s="69"/>
      <c r="U277" s="69"/>
      <c r="V277" s="69"/>
      <c r="W277" s="69"/>
      <c r="X277" s="69"/>
      <c r="Y277" s="69"/>
      <c r="Z277" s="69"/>
      <c r="AA277" s="69"/>
    </row>
    <row r="278" spans="1:27">
      <c r="A278" s="69"/>
      <c r="B278" s="69"/>
      <c r="C278" s="69"/>
      <c r="D278" s="69"/>
      <c r="E278" s="69"/>
      <c r="F278" s="69"/>
      <c r="G278" s="69"/>
      <c r="H278" s="69"/>
      <c r="I278" s="69"/>
      <c r="J278" s="69"/>
      <c r="K278" s="69"/>
      <c r="L278" s="69"/>
      <c r="M278" s="69"/>
      <c r="N278" s="69"/>
      <c r="O278" s="69"/>
      <c r="P278" s="69"/>
      <c r="Q278" s="69"/>
      <c r="R278" s="69"/>
      <c r="S278" s="69"/>
      <c r="T278" s="69"/>
      <c r="U278" s="69"/>
      <c r="V278" s="69"/>
      <c r="W278" s="69"/>
      <c r="X278" s="69"/>
      <c r="Y278" s="69"/>
      <c r="Z278" s="69"/>
      <c r="AA278" s="69"/>
    </row>
    <row r="279" spans="1:27">
      <c r="A279" s="69"/>
      <c r="B279" s="69"/>
      <c r="C279" s="69"/>
      <c r="D279" s="69"/>
      <c r="E279" s="69"/>
      <c r="F279" s="69"/>
      <c r="G279" s="69"/>
      <c r="H279" s="69"/>
      <c r="I279" s="69"/>
      <c r="J279" s="69"/>
      <c r="K279" s="69"/>
      <c r="L279" s="69"/>
      <c r="M279" s="69"/>
      <c r="N279" s="69"/>
      <c r="O279" s="69"/>
      <c r="P279" s="69"/>
      <c r="Q279" s="69"/>
      <c r="R279" s="69"/>
      <c r="S279" s="69"/>
      <c r="T279" s="69"/>
      <c r="U279" s="69"/>
      <c r="V279" s="69"/>
      <c r="W279" s="69"/>
      <c r="X279" s="69"/>
      <c r="Y279" s="69"/>
      <c r="Z279" s="69"/>
      <c r="AA279" s="69"/>
    </row>
    <row r="280" spans="1:27">
      <c r="A280" s="69"/>
      <c r="B280" s="69"/>
      <c r="C280" s="69"/>
      <c r="D280" s="69"/>
      <c r="E280" s="69"/>
      <c r="F280" s="69"/>
      <c r="G280" s="69"/>
      <c r="H280" s="69"/>
      <c r="I280" s="69"/>
      <c r="J280" s="69"/>
      <c r="K280" s="69"/>
      <c r="L280" s="69"/>
      <c r="M280" s="69"/>
      <c r="N280" s="69"/>
      <c r="O280" s="69"/>
      <c r="P280" s="69"/>
      <c r="Q280" s="69"/>
      <c r="R280" s="69"/>
      <c r="S280" s="69"/>
      <c r="T280" s="69"/>
      <c r="U280" s="69"/>
      <c r="V280" s="69"/>
      <c r="W280" s="69"/>
      <c r="X280" s="69"/>
      <c r="Y280" s="69"/>
      <c r="Z280" s="69"/>
      <c r="AA280" s="69"/>
    </row>
    <row r="281" spans="1:27">
      <c r="A281" s="69"/>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row>
    <row r="282" spans="1:27">
      <c r="A282" s="69"/>
      <c r="B282" s="69"/>
      <c r="C282" s="69"/>
      <c r="D282" s="69"/>
      <c r="E282" s="69"/>
      <c r="F282" s="69"/>
      <c r="G282" s="69"/>
      <c r="H282" s="69"/>
      <c r="I282" s="69"/>
      <c r="J282" s="69"/>
      <c r="K282" s="69"/>
      <c r="L282" s="69"/>
      <c r="M282" s="69"/>
      <c r="N282" s="69"/>
      <c r="O282" s="69"/>
      <c r="P282" s="69"/>
      <c r="Q282" s="69"/>
      <c r="R282" s="69"/>
      <c r="S282" s="69"/>
      <c r="T282" s="69"/>
      <c r="U282" s="69"/>
      <c r="V282" s="69"/>
      <c r="W282" s="69"/>
      <c r="X282" s="69"/>
      <c r="Y282" s="69"/>
      <c r="Z282" s="69"/>
      <c r="AA282" s="69"/>
    </row>
    <row r="283" spans="1:27">
      <c r="A283" s="69"/>
      <c r="B283" s="69"/>
      <c r="C283" s="69"/>
      <c r="D283" s="69"/>
      <c r="E283" s="69"/>
      <c r="F283" s="69"/>
      <c r="G283" s="69"/>
      <c r="H283" s="69"/>
      <c r="I283" s="69"/>
      <c r="J283" s="69"/>
      <c r="K283" s="69"/>
      <c r="L283" s="69"/>
      <c r="M283" s="69"/>
      <c r="N283" s="69"/>
      <c r="O283" s="69"/>
      <c r="P283" s="69"/>
      <c r="Q283" s="69"/>
      <c r="R283" s="69"/>
      <c r="S283" s="69"/>
      <c r="T283" s="69"/>
      <c r="U283" s="69"/>
      <c r="V283" s="69"/>
      <c r="W283" s="69"/>
      <c r="X283" s="69"/>
      <c r="Y283" s="69"/>
      <c r="Z283" s="69"/>
      <c r="AA283" s="69"/>
    </row>
    <row r="284" spans="1:27">
      <c r="A284" s="69"/>
      <c r="B284" s="69"/>
      <c r="C284" s="69"/>
      <c r="D284" s="69"/>
      <c r="E284" s="69"/>
      <c r="F284" s="69"/>
      <c r="G284" s="69"/>
      <c r="H284" s="69"/>
      <c r="I284" s="69"/>
      <c r="J284" s="69"/>
      <c r="K284" s="69"/>
      <c r="L284" s="69"/>
      <c r="M284" s="69"/>
      <c r="N284" s="69"/>
      <c r="O284" s="69"/>
      <c r="P284" s="69"/>
      <c r="Q284" s="69"/>
      <c r="R284" s="69"/>
      <c r="S284" s="69"/>
      <c r="T284" s="69"/>
      <c r="U284" s="69"/>
      <c r="V284" s="69"/>
      <c r="W284" s="69"/>
      <c r="X284" s="69"/>
      <c r="Y284" s="69"/>
      <c r="Z284" s="69"/>
      <c r="AA284" s="69"/>
    </row>
    <row r="285" spans="1:27">
      <c r="A285" s="69"/>
      <c r="B285" s="69"/>
      <c r="C285" s="69"/>
      <c r="D285" s="69"/>
      <c r="E285" s="69"/>
      <c r="F285" s="69"/>
      <c r="G285" s="69"/>
      <c r="H285" s="69"/>
      <c r="I285" s="69"/>
      <c r="J285" s="69"/>
      <c r="K285" s="69"/>
      <c r="L285" s="69"/>
      <c r="M285" s="69"/>
      <c r="N285" s="69"/>
      <c r="O285" s="69"/>
      <c r="P285" s="69"/>
      <c r="Q285" s="69"/>
      <c r="R285" s="69"/>
      <c r="S285" s="69"/>
      <c r="T285" s="69"/>
      <c r="U285" s="69"/>
      <c r="V285" s="69"/>
      <c r="W285" s="69"/>
      <c r="X285" s="69"/>
      <c r="Y285" s="69"/>
      <c r="Z285" s="69"/>
      <c r="AA285" s="69"/>
    </row>
    <row r="286" spans="1:27">
      <c r="A286" s="69"/>
      <c r="B286" s="69"/>
      <c r="C286" s="69"/>
      <c r="D286" s="69"/>
      <c r="E286" s="69"/>
      <c r="F286" s="69"/>
      <c r="G286" s="69"/>
      <c r="H286" s="69"/>
      <c r="I286" s="69"/>
      <c r="J286" s="69"/>
      <c r="K286" s="69"/>
      <c r="L286" s="69"/>
      <c r="M286" s="69"/>
      <c r="N286" s="69"/>
      <c r="O286" s="69"/>
      <c r="P286" s="69"/>
      <c r="Q286" s="69"/>
      <c r="R286" s="69"/>
      <c r="S286" s="69"/>
      <c r="T286" s="69"/>
      <c r="U286" s="69"/>
      <c r="V286" s="69"/>
      <c r="W286" s="69"/>
      <c r="X286" s="69"/>
      <c r="Y286" s="69"/>
      <c r="Z286" s="69"/>
      <c r="AA286" s="69"/>
    </row>
    <row r="287" spans="1:27">
      <c r="A287" s="69"/>
      <c r="B287" s="69"/>
      <c r="C287" s="69"/>
      <c r="D287" s="69"/>
      <c r="E287" s="69"/>
      <c r="F287" s="69"/>
      <c r="G287" s="69"/>
      <c r="H287" s="69"/>
      <c r="I287" s="69"/>
      <c r="J287" s="69"/>
      <c r="K287" s="69"/>
      <c r="L287" s="69"/>
      <c r="M287" s="69"/>
      <c r="N287" s="69"/>
      <c r="O287" s="69"/>
      <c r="P287" s="69"/>
      <c r="Q287" s="69"/>
      <c r="R287" s="69"/>
      <c r="S287" s="69"/>
      <c r="T287" s="69"/>
      <c r="U287" s="69"/>
      <c r="V287" s="69"/>
      <c r="W287" s="69"/>
      <c r="X287" s="69"/>
      <c r="Y287" s="69"/>
      <c r="Z287" s="69"/>
      <c r="AA287" s="69"/>
    </row>
    <row r="288" spans="1:27">
      <c r="A288" s="69"/>
      <c r="B288" s="69"/>
      <c r="C288" s="69"/>
      <c r="D288" s="69"/>
      <c r="E288" s="69"/>
      <c r="F288" s="69"/>
      <c r="G288" s="69"/>
      <c r="H288" s="69"/>
      <c r="I288" s="69"/>
      <c r="J288" s="69"/>
      <c r="K288" s="69"/>
      <c r="L288" s="69"/>
      <c r="M288" s="69"/>
      <c r="N288" s="69"/>
      <c r="O288" s="69"/>
      <c r="P288" s="69"/>
      <c r="Q288" s="69"/>
      <c r="R288" s="69"/>
      <c r="S288" s="69"/>
      <c r="T288" s="69"/>
      <c r="U288" s="69"/>
      <c r="V288" s="69"/>
      <c r="W288" s="69"/>
      <c r="X288" s="69"/>
      <c r="Y288" s="69"/>
      <c r="Z288" s="69"/>
      <c r="AA288" s="69"/>
    </row>
    <row r="289" spans="1:27">
      <c r="A289" s="69"/>
      <c r="B289" s="69"/>
      <c r="C289" s="69"/>
      <c r="D289" s="69"/>
      <c r="E289" s="69"/>
      <c r="F289" s="69"/>
      <c r="G289" s="69"/>
      <c r="H289" s="69"/>
      <c r="I289" s="69"/>
      <c r="J289" s="69"/>
      <c r="K289" s="69"/>
      <c r="L289" s="69"/>
      <c r="M289" s="69"/>
      <c r="N289" s="69"/>
      <c r="O289" s="69"/>
      <c r="P289" s="69"/>
      <c r="Q289" s="69"/>
      <c r="R289" s="69"/>
      <c r="S289" s="69"/>
      <c r="T289" s="69"/>
      <c r="U289" s="69"/>
      <c r="V289" s="69"/>
      <c r="W289" s="69"/>
      <c r="X289" s="69"/>
      <c r="Y289" s="69"/>
      <c r="Z289" s="69"/>
      <c r="AA289" s="69"/>
    </row>
    <row r="290" spans="1:27">
      <c r="A290" s="69"/>
      <c r="B290" s="69"/>
      <c r="C290" s="69"/>
      <c r="D290" s="69"/>
      <c r="E290" s="69"/>
      <c r="F290" s="69"/>
      <c r="G290" s="69"/>
      <c r="H290" s="69"/>
      <c r="I290" s="69"/>
      <c r="J290" s="69"/>
      <c r="K290" s="69"/>
      <c r="L290" s="69"/>
      <c r="M290" s="69"/>
      <c r="N290" s="69"/>
      <c r="O290" s="69"/>
      <c r="P290" s="69"/>
      <c r="Q290" s="69"/>
      <c r="R290" s="69"/>
      <c r="S290" s="69"/>
      <c r="T290" s="69"/>
      <c r="U290" s="69"/>
      <c r="V290" s="69"/>
      <c r="W290" s="69"/>
      <c r="X290" s="69"/>
      <c r="Y290" s="69"/>
      <c r="Z290" s="69"/>
      <c r="AA290" s="69"/>
    </row>
    <row r="291" spans="1:27">
      <c r="A291" s="69"/>
      <c r="B291" s="69"/>
      <c r="C291" s="69"/>
      <c r="D291" s="69"/>
      <c r="E291" s="69"/>
      <c r="F291" s="69"/>
      <c r="G291" s="69"/>
      <c r="H291" s="69"/>
      <c r="I291" s="69"/>
      <c r="J291" s="69"/>
      <c r="K291" s="69"/>
      <c r="L291" s="69"/>
      <c r="M291" s="69"/>
      <c r="N291" s="69"/>
      <c r="O291" s="69"/>
      <c r="P291" s="69"/>
      <c r="Q291" s="69"/>
      <c r="R291" s="69"/>
      <c r="S291" s="69"/>
      <c r="T291" s="69"/>
      <c r="U291" s="69"/>
      <c r="V291" s="69"/>
      <c r="W291" s="69"/>
      <c r="X291" s="69"/>
      <c r="Y291" s="69"/>
      <c r="Z291" s="69"/>
      <c r="AA291" s="69"/>
    </row>
    <row r="292" spans="1:27">
      <c r="A292" s="69"/>
      <c r="B292" s="69"/>
      <c r="C292" s="69"/>
      <c r="D292" s="69"/>
      <c r="E292" s="69"/>
      <c r="F292" s="69"/>
      <c r="G292" s="69"/>
      <c r="H292" s="69"/>
      <c r="I292" s="69"/>
      <c r="J292" s="69"/>
      <c r="K292" s="69"/>
      <c r="L292" s="69"/>
      <c r="M292" s="69"/>
      <c r="N292" s="69"/>
      <c r="O292" s="69"/>
      <c r="P292" s="69"/>
      <c r="Q292" s="69"/>
      <c r="R292" s="69"/>
      <c r="S292" s="69"/>
      <c r="T292" s="69"/>
      <c r="U292" s="69"/>
      <c r="V292" s="69"/>
      <c r="W292" s="69"/>
      <c r="X292" s="69"/>
      <c r="Y292" s="69"/>
      <c r="Z292" s="69"/>
      <c r="AA292" s="69"/>
    </row>
    <row r="293" spans="1:27">
      <c r="A293" s="69"/>
      <c r="B293" s="69"/>
      <c r="C293" s="69"/>
      <c r="D293" s="69"/>
      <c r="E293" s="69"/>
      <c r="F293" s="69"/>
      <c r="G293" s="69"/>
      <c r="H293" s="69"/>
      <c r="I293" s="69"/>
      <c r="J293" s="69"/>
      <c r="K293" s="69"/>
      <c r="L293" s="69"/>
      <c r="M293" s="69"/>
      <c r="N293" s="69"/>
      <c r="O293" s="69"/>
      <c r="P293" s="69"/>
      <c r="Q293" s="69"/>
      <c r="R293" s="69"/>
      <c r="S293" s="69"/>
      <c r="T293" s="69"/>
      <c r="U293" s="69"/>
      <c r="V293" s="69"/>
      <c r="W293" s="69"/>
      <c r="X293" s="69"/>
      <c r="Y293" s="69"/>
      <c r="Z293" s="69"/>
      <c r="AA293" s="69"/>
    </row>
    <row r="294" spans="1:27">
      <c r="A294" s="69"/>
      <c r="B294" s="69"/>
      <c r="C294" s="69"/>
      <c r="D294" s="69"/>
      <c r="E294" s="69"/>
      <c r="F294" s="69"/>
      <c r="G294" s="69"/>
      <c r="H294" s="69"/>
      <c r="I294" s="69"/>
      <c r="J294" s="69"/>
      <c r="K294" s="69"/>
      <c r="L294" s="69"/>
      <c r="M294" s="69"/>
      <c r="N294" s="69"/>
      <c r="O294" s="69"/>
      <c r="P294" s="69"/>
      <c r="Q294" s="69"/>
      <c r="R294" s="69"/>
      <c r="S294" s="69"/>
      <c r="T294" s="69"/>
      <c r="U294" s="69"/>
      <c r="V294" s="69"/>
      <c r="W294" s="69"/>
      <c r="X294" s="69"/>
      <c r="Y294" s="69"/>
      <c r="Z294" s="69"/>
      <c r="AA294" s="69"/>
    </row>
    <row r="295" spans="1:27">
      <c r="A295" s="69"/>
      <c r="B295" s="69"/>
      <c r="C295" s="69"/>
      <c r="D295" s="69"/>
      <c r="E295" s="69"/>
      <c r="F295" s="69"/>
      <c r="G295" s="69"/>
      <c r="H295" s="69"/>
      <c r="I295" s="69"/>
      <c r="J295" s="69"/>
      <c r="K295" s="69"/>
      <c r="L295" s="69"/>
      <c r="M295" s="69"/>
      <c r="N295" s="69"/>
      <c r="O295" s="69"/>
      <c r="P295" s="69"/>
      <c r="Q295" s="69"/>
      <c r="R295" s="69"/>
      <c r="S295" s="69"/>
      <c r="T295" s="69"/>
      <c r="U295" s="69"/>
      <c r="V295" s="69"/>
      <c r="W295" s="69"/>
      <c r="X295" s="69"/>
      <c r="Y295" s="69"/>
      <c r="Z295" s="69"/>
      <c r="AA295" s="69"/>
    </row>
    <row r="296" spans="1:27">
      <c r="A296" s="69"/>
      <c r="B296" s="69"/>
      <c r="C296" s="69"/>
      <c r="D296" s="69"/>
      <c r="E296" s="69"/>
      <c r="F296" s="69"/>
      <c r="G296" s="69"/>
      <c r="H296" s="69"/>
      <c r="I296" s="69"/>
      <c r="J296" s="69"/>
      <c r="K296" s="69"/>
      <c r="L296" s="69"/>
      <c r="M296" s="69"/>
      <c r="N296" s="69"/>
      <c r="O296" s="69"/>
      <c r="P296" s="69"/>
      <c r="Q296" s="69"/>
      <c r="R296" s="69"/>
      <c r="S296" s="69"/>
      <c r="T296" s="69"/>
      <c r="U296" s="69"/>
      <c r="V296" s="69"/>
      <c r="W296" s="69"/>
      <c r="X296" s="69"/>
      <c r="Y296" s="69"/>
      <c r="Z296" s="69"/>
      <c r="AA296" s="69"/>
    </row>
    <row r="297" spans="1:27">
      <c r="A297" s="69"/>
      <c r="B297" s="69"/>
      <c r="C297" s="69"/>
      <c r="D297" s="69"/>
      <c r="E297" s="69"/>
      <c r="F297" s="69"/>
      <c r="G297" s="69"/>
      <c r="H297" s="69"/>
      <c r="I297" s="69"/>
      <c r="J297" s="69"/>
      <c r="K297" s="69"/>
      <c r="L297" s="69"/>
      <c r="M297" s="69"/>
      <c r="N297" s="69"/>
      <c r="O297" s="69"/>
      <c r="P297" s="69"/>
      <c r="Q297" s="69"/>
      <c r="R297" s="69"/>
      <c r="S297" s="69"/>
      <c r="T297" s="69"/>
      <c r="U297" s="69"/>
      <c r="V297" s="69"/>
      <c r="W297" s="69"/>
      <c r="X297" s="69"/>
      <c r="Y297" s="69"/>
      <c r="Z297" s="69"/>
      <c r="AA297" s="69"/>
    </row>
    <row r="298" spans="1:27">
      <c r="A298" s="69"/>
      <c r="B298" s="69"/>
      <c r="C298" s="69"/>
      <c r="D298" s="69"/>
      <c r="E298" s="69"/>
      <c r="F298" s="69"/>
      <c r="G298" s="69"/>
      <c r="H298" s="69"/>
      <c r="I298" s="69"/>
      <c r="J298" s="69"/>
      <c r="K298" s="69"/>
      <c r="L298" s="69"/>
      <c r="M298" s="69"/>
      <c r="N298" s="69"/>
      <c r="O298" s="69"/>
      <c r="P298" s="69"/>
      <c r="Q298" s="69"/>
      <c r="R298" s="69"/>
      <c r="S298" s="69"/>
      <c r="T298" s="69"/>
      <c r="U298" s="69"/>
      <c r="V298" s="69"/>
      <c r="W298" s="69"/>
      <c r="X298" s="69"/>
      <c r="Y298" s="69"/>
      <c r="Z298" s="69"/>
      <c r="AA298" s="69"/>
    </row>
    <row r="299" spans="1:27">
      <c r="A299" s="69"/>
      <c r="B299" s="69"/>
      <c r="C299" s="69"/>
      <c r="D299" s="69"/>
      <c r="E299" s="69"/>
      <c r="F299" s="69"/>
      <c r="G299" s="69"/>
      <c r="H299" s="69"/>
      <c r="I299" s="69"/>
      <c r="J299" s="69"/>
      <c r="K299" s="69"/>
      <c r="L299" s="69"/>
      <c r="M299" s="69"/>
      <c r="N299" s="69"/>
      <c r="O299" s="69"/>
      <c r="P299" s="69"/>
      <c r="Q299" s="69"/>
      <c r="R299" s="69"/>
      <c r="S299" s="69"/>
      <c r="T299" s="69"/>
      <c r="U299" s="69"/>
      <c r="V299" s="69"/>
      <c r="W299" s="69"/>
      <c r="X299" s="69"/>
      <c r="Y299" s="69"/>
      <c r="Z299" s="69"/>
      <c r="AA299" s="69"/>
    </row>
    <row r="300" spans="1:27">
      <c r="A300" s="69"/>
      <c r="B300" s="69"/>
      <c r="C300" s="69"/>
      <c r="D300" s="69"/>
      <c r="E300" s="69"/>
      <c r="F300" s="69"/>
      <c r="G300" s="69"/>
      <c r="H300" s="69"/>
      <c r="I300" s="69"/>
      <c r="J300" s="69"/>
      <c r="K300" s="69"/>
      <c r="L300" s="69"/>
      <c r="M300" s="69"/>
      <c r="N300" s="69"/>
      <c r="O300" s="69"/>
      <c r="P300" s="69"/>
      <c r="Q300" s="69"/>
      <c r="R300" s="69"/>
      <c r="S300" s="69"/>
      <c r="T300" s="69"/>
      <c r="U300" s="69"/>
      <c r="V300" s="69"/>
      <c r="W300" s="69"/>
      <c r="X300" s="69"/>
      <c r="Y300" s="69"/>
      <c r="Z300" s="69"/>
      <c r="AA300" s="69"/>
    </row>
    <row r="301" spans="1:27">
      <c r="A301" s="69"/>
      <c r="B301" s="69"/>
      <c r="C301" s="69"/>
      <c r="D301" s="69"/>
      <c r="E301" s="69"/>
      <c r="F301" s="69"/>
      <c r="G301" s="69"/>
      <c r="H301" s="69"/>
      <c r="I301" s="69"/>
      <c r="J301" s="69"/>
      <c r="K301" s="69"/>
      <c r="L301" s="69"/>
      <c r="M301" s="69"/>
      <c r="N301" s="69"/>
      <c r="O301" s="69"/>
      <c r="P301" s="69"/>
      <c r="Q301" s="69"/>
      <c r="R301" s="69"/>
      <c r="S301" s="69"/>
      <c r="T301" s="69"/>
      <c r="U301" s="69"/>
      <c r="V301" s="69"/>
      <c r="W301" s="69"/>
      <c r="X301" s="69"/>
      <c r="Y301" s="69"/>
      <c r="Z301" s="69"/>
      <c r="AA301" s="69"/>
    </row>
    <row r="302" spans="1:27">
      <c r="A302" s="69"/>
      <c r="B302" s="69"/>
      <c r="C302" s="69"/>
      <c r="D302" s="69"/>
      <c r="E302" s="69"/>
      <c r="F302" s="69"/>
      <c r="G302" s="69"/>
      <c r="H302" s="69"/>
      <c r="I302" s="69"/>
      <c r="J302" s="69"/>
      <c r="K302" s="69"/>
      <c r="L302" s="69"/>
      <c r="M302" s="69"/>
      <c r="N302" s="69"/>
      <c r="O302" s="69"/>
      <c r="P302" s="69"/>
      <c r="Q302" s="69"/>
      <c r="R302" s="69"/>
      <c r="S302" s="69"/>
      <c r="T302" s="69"/>
      <c r="U302" s="69"/>
      <c r="V302" s="69"/>
      <c r="W302" s="69"/>
      <c r="X302" s="69"/>
      <c r="Y302" s="69"/>
      <c r="Z302" s="69"/>
      <c r="AA302" s="69"/>
    </row>
    <row r="303" spans="1:27">
      <c r="A303" s="69"/>
      <c r="B303" s="69"/>
      <c r="C303" s="69"/>
      <c r="D303" s="69"/>
      <c r="E303" s="69"/>
      <c r="F303" s="69"/>
      <c r="G303" s="69"/>
      <c r="H303" s="69"/>
      <c r="I303" s="69"/>
      <c r="J303" s="69"/>
      <c r="K303" s="69"/>
      <c r="L303" s="69"/>
      <c r="M303" s="69"/>
      <c r="N303" s="69"/>
      <c r="O303" s="69"/>
      <c r="P303" s="69"/>
      <c r="Q303" s="69"/>
      <c r="R303" s="69"/>
      <c r="S303" s="69"/>
      <c r="T303" s="69"/>
      <c r="U303" s="69"/>
      <c r="V303" s="69"/>
      <c r="W303" s="69"/>
      <c r="X303" s="69"/>
      <c r="Y303" s="69"/>
      <c r="Z303" s="69"/>
      <c r="AA303" s="69"/>
    </row>
    <row r="304" spans="1:27">
      <c r="A304" s="69"/>
      <c r="B304" s="69"/>
      <c r="C304" s="69"/>
      <c r="D304" s="69"/>
      <c r="E304" s="69"/>
      <c r="F304" s="69"/>
      <c r="G304" s="69"/>
      <c r="H304" s="69"/>
      <c r="I304" s="69"/>
      <c r="J304" s="69"/>
      <c r="K304" s="69"/>
      <c r="L304" s="69"/>
      <c r="M304" s="69"/>
      <c r="N304" s="69"/>
      <c r="O304" s="69"/>
      <c r="P304" s="69"/>
      <c r="Q304" s="69"/>
      <c r="R304" s="69"/>
      <c r="S304" s="69"/>
      <c r="T304" s="69"/>
      <c r="U304" s="69"/>
      <c r="V304" s="69"/>
      <c r="W304" s="69"/>
      <c r="X304" s="69"/>
      <c r="Y304" s="69"/>
      <c r="Z304" s="69"/>
      <c r="AA304" s="69"/>
    </row>
    <row r="305" spans="1:27">
      <c r="A305" s="69"/>
      <c r="B305" s="69"/>
      <c r="C305" s="69"/>
      <c r="D305" s="69"/>
      <c r="E305" s="69"/>
      <c r="F305" s="69"/>
      <c r="G305" s="69"/>
      <c r="H305" s="69"/>
      <c r="I305" s="69"/>
      <c r="J305" s="69"/>
      <c r="K305" s="69"/>
      <c r="L305" s="69"/>
      <c r="M305" s="69"/>
      <c r="N305" s="69"/>
      <c r="O305" s="69"/>
      <c r="P305" s="69"/>
      <c r="Q305" s="69"/>
      <c r="R305" s="69"/>
      <c r="S305" s="69"/>
      <c r="T305" s="69"/>
      <c r="U305" s="69"/>
      <c r="V305" s="69"/>
      <c r="W305" s="69"/>
      <c r="X305" s="69"/>
      <c r="Y305" s="69"/>
      <c r="Z305" s="69"/>
      <c r="AA305" s="69"/>
    </row>
    <row r="306" spans="1:27">
      <c r="A306" s="69"/>
      <c r="B306" s="69"/>
      <c r="C306" s="69"/>
      <c r="D306" s="69"/>
      <c r="E306" s="69"/>
      <c r="F306" s="69"/>
      <c r="G306" s="69"/>
      <c r="H306" s="69"/>
      <c r="I306" s="69"/>
      <c r="J306" s="69"/>
      <c r="K306" s="69"/>
      <c r="L306" s="69"/>
      <c r="M306" s="69"/>
      <c r="N306" s="69"/>
      <c r="O306" s="69"/>
      <c r="P306" s="69"/>
      <c r="Q306" s="69"/>
      <c r="R306" s="69"/>
      <c r="S306" s="69"/>
      <c r="T306" s="69"/>
      <c r="U306" s="69"/>
      <c r="V306" s="69"/>
      <c r="W306" s="69"/>
      <c r="X306" s="69"/>
      <c r="Y306" s="69"/>
      <c r="Z306" s="69"/>
      <c r="AA306" s="69"/>
    </row>
    <row r="307" spans="1:27">
      <c r="A307" s="69"/>
      <c r="B307" s="69"/>
      <c r="C307" s="69"/>
      <c r="D307" s="69"/>
      <c r="E307" s="69"/>
      <c r="F307" s="69"/>
      <c r="G307" s="69"/>
      <c r="H307" s="69"/>
      <c r="I307" s="69"/>
      <c r="J307" s="69"/>
      <c r="K307" s="69"/>
      <c r="L307" s="69"/>
      <c r="M307" s="69"/>
      <c r="N307" s="69"/>
      <c r="O307" s="69"/>
      <c r="P307" s="69"/>
      <c r="Q307" s="69"/>
      <c r="R307" s="69"/>
      <c r="S307" s="69"/>
      <c r="T307" s="69"/>
      <c r="U307" s="69"/>
      <c r="V307" s="69"/>
      <c r="W307" s="69"/>
      <c r="X307" s="69"/>
      <c r="Y307" s="69"/>
      <c r="Z307" s="69"/>
      <c r="AA307" s="69"/>
    </row>
    <row r="308" spans="1:27">
      <c r="A308" s="69"/>
      <c r="B308" s="69"/>
      <c r="C308" s="69"/>
      <c r="D308" s="69"/>
      <c r="E308" s="69"/>
      <c r="F308" s="69"/>
      <c r="G308" s="69"/>
      <c r="H308" s="69"/>
      <c r="I308" s="69"/>
      <c r="J308" s="69"/>
      <c r="K308" s="69"/>
      <c r="L308" s="69"/>
      <c r="M308" s="69"/>
      <c r="N308" s="69"/>
      <c r="O308" s="69"/>
      <c r="P308" s="69"/>
      <c r="Q308" s="69"/>
      <c r="R308" s="69"/>
      <c r="S308" s="69"/>
      <c r="T308" s="69"/>
      <c r="U308" s="69"/>
      <c r="V308" s="69"/>
      <c r="W308" s="69"/>
      <c r="X308" s="69"/>
      <c r="Y308" s="69"/>
      <c r="Z308" s="69"/>
      <c r="AA308" s="69"/>
    </row>
    <row r="309" spans="1:27">
      <c r="A309" s="69"/>
      <c r="B309" s="69"/>
      <c r="C309" s="69"/>
      <c r="D309" s="69"/>
      <c r="E309" s="69"/>
      <c r="F309" s="69"/>
      <c r="G309" s="69"/>
      <c r="H309" s="69"/>
      <c r="I309" s="69"/>
      <c r="J309" s="69"/>
      <c r="K309" s="69"/>
      <c r="L309" s="69"/>
      <c r="M309" s="69"/>
      <c r="N309" s="69"/>
      <c r="O309" s="69"/>
      <c r="P309" s="69"/>
      <c r="Q309" s="69"/>
      <c r="R309" s="69"/>
      <c r="S309" s="69"/>
      <c r="T309" s="69"/>
      <c r="U309" s="69"/>
      <c r="V309" s="69"/>
      <c r="W309" s="69"/>
      <c r="X309" s="69"/>
      <c r="Y309" s="69"/>
      <c r="Z309" s="69"/>
      <c r="AA309" s="69"/>
    </row>
    <row r="310" spans="1:27">
      <c r="A310" s="69"/>
      <c r="B310" s="69"/>
      <c r="C310" s="69"/>
      <c r="D310" s="69"/>
      <c r="E310" s="69"/>
      <c r="F310" s="69"/>
      <c r="G310" s="69"/>
      <c r="H310" s="69"/>
      <c r="I310" s="69"/>
      <c r="J310" s="69"/>
      <c r="K310" s="69"/>
      <c r="L310" s="69"/>
      <c r="M310" s="69"/>
      <c r="N310" s="69"/>
      <c r="O310" s="69"/>
      <c r="P310" s="69"/>
      <c r="Q310" s="69"/>
      <c r="R310" s="69"/>
      <c r="S310" s="69"/>
      <c r="T310" s="69"/>
      <c r="U310" s="69"/>
      <c r="V310" s="69"/>
      <c r="W310" s="69"/>
      <c r="X310" s="69"/>
      <c r="Y310" s="69"/>
      <c r="Z310" s="69"/>
      <c r="AA310" s="69"/>
    </row>
    <row r="311" spans="1:27">
      <c r="A311" s="69"/>
      <c r="B311" s="69"/>
      <c r="C311" s="69"/>
      <c r="D311" s="69"/>
      <c r="E311" s="69"/>
      <c r="F311" s="69"/>
      <c r="G311" s="69"/>
      <c r="H311" s="69"/>
      <c r="I311" s="69"/>
      <c r="J311" s="69"/>
      <c r="K311" s="69"/>
      <c r="L311" s="69"/>
      <c r="M311" s="69"/>
      <c r="N311" s="69"/>
      <c r="O311" s="69"/>
      <c r="P311" s="69"/>
      <c r="Q311" s="69"/>
      <c r="R311" s="69"/>
      <c r="S311" s="69"/>
      <c r="T311" s="69"/>
      <c r="U311" s="69"/>
      <c r="V311" s="69"/>
      <c r="W311" s="69"/>
      <c r="X311" s="69"/>
      <c r="Y311" s="69"/>
      <c r="Z311" s="69"/>
      <c r="AA311" s="69"/>
    </row>
    <row r="312" spans="1:27">
      <c r="A312" s="69"/>
      <c r="B312" s="69"/>
      <c r="C312" s="69"/>
      <c r="D312" s="69"/>
      <c r="E312" s="69"/>
      <c r="F312" s="69"/>
      <c r="G312" s="69"/>
      <c r="H312" s="69"/>
      <c r="I312" s="69"/>
      <c r="J312" s="69"/>
      <c r="K312" s="69"/>
      <c r="L312" s="69"/>
      <c r="M312" s="69"/>
      <c r="N312" s="69"/>
      <c r="O312" s="69"/>
      <c r="P312" s="69"/>
      <c r="Q312" s="69"/>
      <c r="R312" s="69"/>
      <c r="S312" s="69"/>
      <c r="T312" s="69"/>
      <c r="U312" s="69"/>
      <c r="V312" s="69"/>
      <c r="W312" s="69"/>
      <c r="X312" s="69"/>
      <c r="Y312" s="69"/>
      <c r="Z312" s="69"/>
      <c r="AA312" s="69"/>
    </row>
    <row r="313" spans="1:27">
      <c r="A313" s="69"/>
      <c r="B313" s="69"/>
      <c r="C313" s="69"/>
      <c r="D313" s="69"/>
      <c r="E313" s="69"/>
      <c r="F313" s="69"/>
      <c r="G313" s="69"/>
      <c r="H313" s="69"/>
      <c r="I313" s="69"/>
      <c r="J313" s="69"/>
      <c r="K313" s="69"/>
      <c r="L313" s="69"/>
      <c r="M313" s="69"/>
      <c r="N313" s="69"/>
      <c r="O313" s="69"/>
      <c r="P313" s="69"/>
      <c r="Q313" s="69"/>
      <c r="R313" s="69"/>
      <c r="S313" s="69"/>
      <c r="T313" s="69"/>
      <c r="U313" s="69"/>
      <c r="V313" s="69"/>
      <c r="W313" s="69"/>
      <c r="X313" s="69"/>
      <c r="Y313" s="69"/>
      <c r="Z313" s="69"/>
      <c r="AA313" s="69"/>
    </row>
    <row r="314" spans="1:27">
      <c r="A314" s="69"/>
      <c r="B314" s="69"/>
      <c r="C314" s="69"/>
      <c r="D314" s="69"/>
      <c r="E314" s="69"/>
      <c r="F314" s="69"/>
      <c r="G314" s="69"/>
      <c r="H314" s="69"/>
      <c r="I314" s="69"/>
      <c r="J314" s="69"/>
      <c r="K314" s="69"/>
      <c r="L314" s="69"/>
      <c r="M314" s="69"/>
      <c r="N314" s="69"/>
      <c r="O314" s="69"/>
      <c r="P314" s="69"/>
      <c r="Q314" s="69"/>
      <c r="R314" s="69"/>
      <c r="S314" s="69"/>
      <c r="T314" s="69"/>
      <c r="U314" s="69"/>
      <c r="V314" s="69"/>
      <c r="W314" s="69"/>
      <c r="X314" s="69"/>
      <c r="Y314" s="69"/>
      <c r="Z314" s="69"/>
      <c r="AA314" s="69"/>
    </row>
    <row r="315" spans="1:27">
      <c r="A315" s="69"/>
      <c r="B315" s="69"/>
      <c r="C315" s="69"/>
      <c r="D315" s="69"/>
      <c r="E315" s="69"/>
      <c r="F315" s="69"/>
      <c r="G315" s="69"/>
      <c r="H315" s="69"/>
      <c r="I315" s="69"/>
      <c r="J315" s="69"/>
      <c r="K315" s="69"/>
      <c r="L315" s="69"/>
      <c r="M315" s="69"/>
      <c r="N315" s="69"/>
      <c r="O315" s="69"/>
      <c r="P315" s="69"/>
      <c r="Q315" s="69"/>
      <c r="R315" s="69"/>
      <c r="S315" s="69"/>
      <c r="T315" s="69"/>
      <c r="U315" s="69"/>
      <c r="V315" s="69"/>
      <c r="W315" s="69"/>
      <c r="X315" s="69"/>
      <c r="Y315" s="69"/>
      <c r="Z315" s="69"/>
      <c r="AA315" s="69"/>
    </row>
    <row r="316" spans="1:27">
      <c r="A316" s="69"/>
      <c r="B316" s="69"/>
      <c r="C316" s="69"/>
      <c r="D316" s="69"/>
      <c r="E316" s="69"/>
      <c r="F316" s="69"/>
      <c r="G316" s="69"/>
      <c r="H316" s="69"/>
      <c r="I316" s="69"/>
      <c r="J316" s="69"/>
      <c r="K316" s="69"/>
      <c r="L316" s="69"/>
      <c r="M316" s="69"/>
      <c r="N316" s="69"/>
      <c r="O316" s="69"/>
      <c r="P316" s="69"/>
      <c r="Q316" s="69"/>
      <c r="R316" s="69"/>
      <c r="S316" s="69"/>
      <c r="T316" s="69"/>
      <c r="U316" s="69"/>
      <c r="V316" s="69"/>
      <c r="W316" s="69"/>
      <c r="X316" s="69"/>
      <c r="Y316" s="69"/>
      <c r="Z316" s="69"/>
      <c r="AA316" s="69"/>
    </row>
    <row r="317" spans="1:27">
      <c r="A317" s="69"/>
      <c r="B317" s="69"/>
      <c r="C317" s="69"/>
      <c r="D317" s="69"/>
      <c r="E317" s="69"/>
      <c r="F317" s="69"/>
      <c r="G317" s="69"/>
      <c r="H317" s="69"/>
      <c r="I317" s="69"/>
      <c r="J317" s="69"/>
      <c r="K317" s="69"/>
      <c r="L317" s="69"/>
      <c r="M317" s="69"/>
      <c r="N317" s="69"/>
      <c r="O317" s="69"/>
      <c r="P317" s="69"/>
      <c r="Q317" s="69"/>
      <c r="R317" s="69"/>
      <c r="S317" s="69"/>
      <c r="T317" s="69"/>
      <c r="U317" s="69"/>
      <c r="V317" s="69"/>
      <c r="W317" s="69"/>
      <c r="X317" s="69"/>
      <c r="Y317" s="69"/>
      <c r="Z317" s="69"/>
      <c r="AA317" s="69"/>
    </row>
    <row r="318" spans="1:27">
      <c r="A318" s="69"/>
      <c r="B318" s="69"/>
      <c r="C318" s="69"/>
      <c r="D318" s="69"/>
      <c r="E318" s="69"/>
      <c r="F318" s="69"/>
      <c r="G318" s="69"/>
      <c r="H318" s="69"/>
      <c r="I318" s="69"/>
      <c r="J318" s="69"/>
      <c r="K318" s="69"/>
      <c r="L318" s="69"/>
      <c r="M318" s="69"/>
      <c r="N318" s="69"/>
      <c r="O318" s="69"/>
      <c r="P318" s="69"/>
      <c r="Q318" s="69"/>
      <c r="R318" s="69"/>
      <c r="S318" s="69"/>
      <c r="T318" s="69"/>
      <c r="U318" s="69"/>
      <c r="V318" s="69"/>
      <c r="W318" s="69"/>
      <c r="X318" s="69"/>
      <c r="Y318" s="69"/>
      <c r="Z318" s="69"/>
      <c r="AA318" s="69"/>
    </row>
    <row r="319" spans="1:27">
      <c r="A319" s="69"/>
      <c r="B319" s="69"/>
      <c r="C319" s="69"/>
      <c r="D319" s="69"/>
      <c r="E319" s="69"/>
      <c r="F319" s="69"/>
      <c r="G319" s="69"/>
      <c r="H319" s="69"/>
      <c r="I319" s="69"/>
      <c r="J319" s="69"/>
      <c r="K319" s="69"/>
      <c r="L319" s="69"/>
      <c r="M319" s="69"/>
      <c r="N319" s="69"/>
      <c r="O319" s="69"/>
      <c r="P319" s="69"/>
      <c r="Q319" s="69"/>
      <c r="R319" s="69"/>
      <c r="S319" s="69"/>
      <c r="T319" s="69"/>
      <c r="U319" s="69"/>
      <c r="V319" s="69"/>
      <c r="W319" s="69"/>
      <c r="X319" s="69"/>
      <c r="Y319" s="69"/>
      <c r="Z319" s="69"/>
      <c r="AA319" s="69"/>
    </row>
    <row r="320" spans="1:27">
      <c r="A320" s="69"/>
      <c r="B320" s="69"/>
      <c r="C320" s="69"/>
      <c r="D320" s="69"/>
      <c r="E320" s="69"/>
      <c r="F320" s="69"/>
      <c r="G320" s="69"/>
      <c r="H320" s="69"/>
      <c r="I320" s="69"/>
      <c r="J320" s="69"/>
      <c r="K320" s="69"/>
      <c r="L320" s="69"/>
      <c r="M320" s="69"/>
      <c r="N320" s="69"/>
      <c r="O320" s="69"/>
      <c r="P320" s="69"/>
      <c r="Q320" s="69"/>
      <c r="R320" s="69"/>
      <c r="S320" s="69"/>
      <c r="T320" s="69"/>
      <c r="U320" s="69"/>
      <c r="V320" s="69"/>
      <c r="W320" s="69"/>
      <c r="X320" s="69"/>
      <c r="Y320" s="69"/>
      <c r="Z320" s="69"/>
      <c r="AA320" s="69"/>
    </row>
    <row r="321" spans="1:27">
      <c r="A321" s="69"/>
      <c r="B321" s="69"/>
      <c r="C321" s="69"/>
      <c r="D321" s="69"/>
      <c r="E321" s="69"/>
      <c r="F321" s="69"/>
      <c r="G321" s="69"/>
      <c r="H321" s="69"/>
      <c r="I321" s="69"/>
      <c r="J321" s="69"/>
      <c r="K321" s="69"/>
      <c r="L321" s="69"/>
      <c r="M321" s="69"/>
      <c r="N321" s="69"/>
      <c r="O321" s="69"/>
      <c r="P321" s="69"/>
      <c r="Q321" s="69"/>
      <c r="R321" s="69"/>
      <c r="S321" s="69"/>
      <c r="T321" s="69"/>
      <c r="U321" s="69"/>
      <c r="V321" s="69"/>
      <c r="W321" s="69"/>
      <c r="X321" s="69"/>
      <c r="Y321" s="69"/>
      <c r="Z321" s="69"/>
      <c r="AA321" s="69"/>
    </row>
    <row r="322" spans="1:27">
      <c r="A322" s="69"/>
      <c r="B322" s="69"/>
      <c r="C322" s="69"/>
      <c r="D322" s="69"/>
      <c r="E322" s="69"/>
      <c r="F322" s="69"/>
      <c r="G322" s="69"/>
      <c r="H322" s="69"/>
      <c r="I322" s="69"/>
      <c r="J322" s="69"/>
      <c r="K322" s="69"/>
      <c r="L322" s="69"/>
      <c r="M322" s="69"/>
      <c r="N322" s="69"/>
      <c r="O322" s="69"/>
      <c r="P322" s="69"/>
      <c r="Q322" s="69"/>
      <c r="R322" s="69"/>
      <c r="S322" s="69"/>
      <c r="T322" s="69"/>
      <c r="U322" s="69"/>
      <c r="V322" s="69"/>
      <c r="W322" s="69"/>
      <c r="X322" s="69"/>
      <c r="Y322" s="69"/>
      <c r="Z322" s="69"/>
      <c r="AA322" s="69"/>
    </row>
    <row r="323" spans="1:27">
      <c r="A323" s="69"/>
      <c r="B323" s="69"/>
      <c r="C323" s="69"/>
      <c r="D323" s="69"/>
      <c r="E323" s="69"/>
      <c r="F323" s="69"/>
      <c r="G323" s="69"/>
      <c r="H323" s="69"/>
      <c r="I323" s="69"/>
      <c r="J323" s="69"/>
      <c r="K323" s="69"/>
      <c r="L323" s="69"/>
      <c r="M323" s="69"/>
      <c r="N323" s="69"/>
      <c r="O323" s="69"/>
      <c r="P323" s="69"/>
      <c r="Q323" s="69"/>
      <c r="R323" s="69"/>
      <c r="S323" s="69"/>
      <c r="T323" s="69"/>
      <c r="U323" s="69"/>
      <c r="V323" s="69"/>
      <c r="W323" s="69"/>
      <c r="X323" s="69"/>
      <c r="Y323" s="69"/>
      <c r="Z323" s="69"/>
      <c r="AA323" s="69"/>
    </row>
    <row r="324" spans="1:27">
      <c r="A324" s="69"/>
      <c r="B324" s="69"/>
      <c r="C324" s="69"/>
      <c r="D324" s="69"/>
      <c r="E324" s="69"/>
      <c r="F324" s="69"/>
      <c r="G324" s="69"/>
      <c r="H324" s="69"/>
      <c r="I324" s="69"/>
      <c r="J324" s="69"/>
      <c r="K324" s="69"/>
      <c r="L324" s="69"/>
      <c r="M324" s="69"/>
      <c r="N324" s="69"/>
      <c r="O324" s="69"/>
      <c r="P324" s="69"/>
      <c r="Q324" s="69"/>
      <c r="R324" s="69"/>
      <c r="S324" s="69"/>
      <c r="T324" s="69"/>
      <c r="U324" s="69"/>
      <c r="V324" s="69"/>
      <c r="W324" s="69"/>
      <c r="X324" s="69"/>
      <c r="Y324" s="69"/>
      <c r="Z324" s="69"/>
      <c r="AA324" s="69"/>
    </row>
    <row r="325" spans="1:27">
      <c r="A325" s="69"/>
      <c r="B325" s="69"/>
      <c r="C325" s="69"/>
      <c r="D325" s="69"/>
      <c r="E325" s="69"/>
      <c r="F325" s="69"/>
      <c r="G325" s="69"/>
      <c r="H325" s="69"/>
      <c r="I325" s="69"/>
      <c r="J325" s="69"/>
      <c r="K325" s="69"/>
      <c r="L325" s="69"/>
      <c r="M325" s="69"/>
      <c r="N325" s="69"/>
      <c r="O325" s="69"/>
      <c r="P325" s="69"/>
      <c r="Q325" s="69"/>
      <c r="R325" s="69"/>
      <c r="S325" s="69"/>
      <c r="T325" s="69"/>
      <c r="U325" s="69"/>
      <c r="V325" s="69"/>
      <c r="W325" s="69"/>
      <c r="X325" s="69"/>
      <c r="Y325" s="69"/>
      <c r="Z325" s="69"/>
      <c r="AA325" s="69"/>
    </row>
    <row r="326" spans="1:27">
      <c r="A326" s="69"/>
      <c r="B326" s="69"/>
      <c r="C326" s="69"/>
      <c r="D326" s="69"/>
      <c r="E326" s="69"/>
      <c r="F326" s="69"/>
      <c r="G326" s="69"/>
      <c r="H326" s="69"/>
      <c r="I326" s="69"/>
      <c r="J326" s="69"/>
      <c r="K326" s="69"/>
      <c r="L326" s="69"/>
      <c r="M326" s="69"/>
      <c r="N326" s="69"/>
      <c r="O326" s="69"/>
      <c r="P326" s="69"/>
      <c r="Q326" s="69"/>
      <c r="R326" s="69"/>
      <c r="S326" s="69"/>
      <c r="T326" s="69"/>
      <c r="U326" s="69"/>
      <c r="V326" s="69"/>
      <c r="W326" s="69"/>
      <c r="X326" s="69"/>
      <c r="Y326" s="69"/>
      <c r="Z326" s="69"/>
      <c r="AA326" s="69"/>
    </row>
    <row r="327" spans="1:27">
      <c r="A327" s="69"/>
      <c r="B327" s="69"/>
      <c r="C327" s="69"/>
      <c r="D327" s="69"/>
      <c r="E327" s="69"/>
      <c r="F327" s="69"/>
      <c r="G327" s="69"/>
      <c r="H327" s="69"/>
      <c r="I327" s="69"/>
      <c r="J327" s="69"/>
      <c r="K327" s="69"/>
      <c r="L327" s="69"/>
      <c r="M327" s="69"/>
      <c r="N327" s="69"/>
      <c r="O327" s="69"/>
      <c r="P327" s="69"/>
      <c r="Q327" s="69"/>
      <c r="R327" s="69"/>
      <c r="S327" s="69"/>
      <c r="T327" s="69"/>
      <c r="U327" s="69"/>
      <c r="V327" s="69"/>
      <c r="W327" s="69"/>
      <c r="X327" s="69"/>
      <c r="Y327" s="69"/>
      <c r="Z327" s="69"/>
      <c r="AA327" s="69"/>
    </row>
    <row r="328" spans="1:27">
      <c r="A328" s="69"/>
      <c r="B328" s="69"/>
      <c r="C328" s="69"/>
      <c r="D328" s="69"/>
      <c r="E328" s="69"/>
      <c r="F328" s="69"/>
      <c r="G328" s="69"/>
      <c r="H328" s="69"/>
      <c r="I328" s="69"/>
      <c r="J328" s="69"/>
      <c r="K328" s="69"/>
      <c r="L328" s="69"/>
      <c r="M328" s="69"/>
      <c r="N328" s="69"/>
      <c r="O328" s="69"/>
      <c r="P328" s="69"/>
      <c r="Q328" s="69"/>
      <c r="R328" s="69"/>
      <c r="S328" s="69"/>
      <c r="T328" s="69"/>
      <c r="U328" s="69"/>
      <c r="V328" s="69"/>
      <c r="W328" s="69"/>
      <c r="X328" s="69"/>
      <c r="Y328" s="69"/>
      <c r="Z328" s="69"/>
      <c r="AA328" s="69"/>
    </row>
    <row r="329" spans="1:27">
      <c r="A329" s="69"/>
      <c r="B329" s="69"/>
      <c r="C329" s="69"/>
      <c r="D329" s="69"/>
      <c r="E329" s="69"/>
      <c r="F329" s="69"/>
      <c r="G329" s="69"/>
      <c r="H329" s="69"/>
      <c r="I329" s="69"/>
      <c r="J329" s="69"/>
      <c r="K329" s="69"/>
      <c r="L329" s="69"/>
      <c r="M329" s="69"/>
      <c r="N329" s="69"/>
      <c r="O329" s="69"/>
      <c r="P329" s="69"/>
      <c r="Q329" s="69"/>
      <c r="R329" s="69"/>
      <c r="S329" s="69"/>
      <c r="T329" s="69"/>
      <c r="U329" s="69"/>
      <c r="V329" s="69"/>
      <c r="W329" s="69"/>
      <c r="X329" s="69"/>
      <c r="Y329" s="69"/>
      <c r="Z329" s="69"/>
      <c r="AA329" s="69"/>
    </row>
    <row r="330" spans="1:27">
      <c r="A330" s="69"/>
      <c r="B330" s="69"/>
      <c r="C330" s="69"/>
      <c r="D330" s="69"/>
      <c r="E330" s="69"/>
      <c r="F330" s="69"/>
      <c r="G330" s="69"/>
      <c r="H330" s="69"/>
      <c r="I330" s="69"/>
      <c r="J330" s="69"/>
      <c r="K330" s="69"/>
      <c r="L330" s="69"/>
      <c r="M330" s="69"/>
      <c r="N330" s="69"/>
      <c r="O330" s="69"/>
      <c r="P330" s="69"/>
      <c r="Q330" s="69"/>
      <c r="R330" s="69"/>
      <c r="S330" s="69"/>
      <c r="T330" s="69"/>
      <c r="U330" s="69"/>
      <c r="V330" s="69"/>
      <c r="W330" s="69"/>
      <c r="X330" s="69"/>
      <c r="Y330" s="69"/>
      <c r="Z330" s="69"/>
      <c r="AA330" s="69"/>
    </row>
    <row r="331" spans="1:27">
      <c r="A331" s="69"/>
      <c r="B331" s="69"/>
      <c r="C331" s="69"/>
      <c r="D331" s="69"/>
      <c r="E331" s="69"/>
      <c r="F331" s="69"/>
      <c r="G331" s="69"/>
      <c r="H331" s="69"/>
      <c r="I331" s="69"/>
      <c r="J331" s="69"/>
      <c r="K331" s="69"/>
      <c r="L331" s="69"/>
      <c r="M331" s="69"/>
      <c r="N331" s="69"/>
      <c r="O331" s="69"/>
      <c r="P331" s="69"/>
      <c r="Q331" s="69"/>
      <c r="R331" s="69"/>
      <c r="S331" s="69"/>
      <c r="T331" s="69"/>
      <c r="U331" s="69"/>
      <c r="V331" s="69"/>
      <c r="W331" s="69"/>
      <c r="X331" s="69"/>
      <c r="Y331" s="69"/>
      <c r="Z331" s="69"/>
      <c r="AA331" s="69"/>
    </row>
    <row r="332" spans="1:27">
      <c r="A332" s="69"/>
      <c r="B332" s="69"/>
      <c r="C332" s="69"/>
      <c r="D332" s="69"/>
      <c r="E332" s="69"/>
      <c r="F332" s="69"/>
      <c r="G332" s="69"/>
      <c r="H332" s="69"/>
      <c r="I332" s="69"/>
      <c r="J332" s="69"/>
      <c r="K332" s="69"/>
      <c r="L332" s="69"/>
      <c r="M332" s="69"/>
      <c r="N332" s="69"/>
      <c r="O332" s="69"/>
      <c r="P332" s="69"/>
      <c r="Q332" s="69"/>
      <c r="R332" s="69"/>
      <c r="S332" s="69"/>
      <c r="T332" s="69"/>
      <c r="U332" s="69"/>
      <c r="V332" s="69"/>
      <c r="W332" s="69"/>
      <c r="X332" s="69"/>
      <c r="Y332" s="69"/>
      <c r="Z332" s="69"/>
      <c r="AA332" s="69"/>
    </row>
    <row r="333" spans="1:27">
      <c r="A333" s="69"/>
      <c r="B333" s="69"/>
      <c r="C333" s="69"/>
      <c r="D333" s="69"/>
      <c r="E333" s="69"/>
      <c r="F333" s="69"/>
      <c r="G333" s="69"/>
      <c r="H333" s="69"/>
      <c r="I333" s="69"/>
      <c r="J333" s="69"/>
      <c r="K333" s="69"/>
      <c r="L333" s="69"/>
      <c r="M333" s="69"/>
      <c r="N333" s="69"/>
      <c r="O333" s="69"/>
      <c r="P333" s="69"/>
      <c r="Q333" s="69"/>
      <c r="R333" s="69"/>
      <c r="S333" s="69"/>
      <c r="T333" s="69"/>
      <c r="U333" s="69"/>
      <c r="V333" s="69"/>
      <c r="W333" s="69"/>
      <c r="X333" s="69"/>
      <c r="Y333" s="69"/>
      <c r="Z333" s="69"/>
      <c r="AA333" s="69"/>
    </row>
    <row r="334" spans="1:27">
      <c r="A334" s="69"/>
      <c r="B334" s="69"/>
      <c r="C334" s="69"/>
      <c r="D334" s="69"/>
      <c r="E334" s="69"/>
      <c r="F334" s="69"/>
      <c r="G334" s="69"/>
      <c r="H334" s="69"/>
      <c r="I334" s="69"/>
      <c r="J334" s="69"/>
      <c r="K334" s="69"/>
      <c r="L334" s="69"/>
      <c r="M334" s="69"/>
      <c r="N334" s="69"/>
      <c r="O334" s="69"/>
      <c r="P334" s="69"/>
      <c r="Q334" s="69"/>
      <c r="R334" s="69"/>
      <c r="S334" s="69"/>
      <c r="T334" s="69"/>
      <c r="U334" s="69"/>
      <c r="V334" s="69"/>
      <c r="W334" s="69"/>
      <c r="X334" s="69"/>
      <c r="Y334" s="69"/>
      <c r="Z334" s="69"/>
      <c r="AA334" s="69"/>
    </row>
    <row r="335" spans="1:27">
      <c r="A335" s="69"/>
      <c r="B335" s="69"/>
      <c r="C335" s="69"/>
      <c r="D335" s="69"/>
      <c r="E335" s="69"/>
      <c r="F335" s="69"/>
      <c r="G335" s="69"/>
      <c r="H335" s="69"/>
      <c r="I335" s="69"/>
      <c r="J335" s="69"/>
      <c r="K335" s="69"/>
      <c r="L335" s="69"/>
      <c r="M335" s="69"/>
      <c r="N335" s="69"/>
      <c r="O335" s="69"/>
      <c r="P335" s="69"/>
      <c r="Q335" s="69"/>
      <c r="R335" s="69"/>
      <c r="S335" s="69"/>
      <c r="T335" s="69"/>
      <c r="U335" s="69"/>
      <c r="V335" s="69"/>
      <c r="W335" s="69"/>
      <c r="X335" s="69"/>
      <c r="Y335" s="69"/>
      <c r="Z335" s="69"/>
      <c r="AA335" s="69"/>
    </row>
    <row r="336" spans="1:27">
      <c r="A336" s="69"/>
      <c r="B336" s="69"/>
      <c r="C336" s="69"/>
      <c r="D336" s="69"/>
      <c r="E336" s="69"/>
      <c r="F336" s="69"/>
      <c r="G336" s="69"/>
      <c r="H336" s="69"/>
      <c r="I336" s="69"/>
      <c r="J336" s="69"/>
      <c r="K336" s="69"/>
      <c r="L336" s="69"/>
      <c r="M336" s="69"/>
      <c r="N336" s="69"/>
      <c r="O336" s="69"/>
      <c r="P336" s="69"/>
      <c r="Q336" s="69"/>
      <c r="R336" s="69"/>
      <c r="S336" s="69"/>
      <c r="T336" s="69"/>
      <c r="U336" s="69"/>
      <c r="V336" s="69"/>
      <c r="W336" s="69"/>
      <c r="X336" s="69"/>
      <c r="Y336" s="69"/>
      <c r="Z336" s="69"/>
      <c r="AA336" s="69"/>
    </row>
    <row r="337" spans="1:27">
      <c r="A337" s="69"/>
      <c r="B337" s="69"/>
      <c r="C337" s="69"/>
      <c r="D337" s="69"/>
      <c r="E337" s="69"/>
      <c r="F337" s="69"/>
      <c r="G337" s="69"/>
      <c r="H337" s="69"/>
      <c r="I337" s="69"/>
      <c r="J337" s="69"/>
      <c r="K337" s="69"/>
      <c r="L337" s="69"/>
      <c r="M337" s="69"/>
      <c r="N337" s="69"/>
      <c r="O337" s="69"/>
      <c r="P337" s="69"/>
      <c r="Q337" s="69"/>
      <c r="R337" s="69"/>
      <c r="S337" s="69"/>
      <c r="T337" s="69"/>
      <c r="U337" s="69"/>
      <c r="V337" s="69"/>
      <c r="W337" s="69"/>
      <c r="X337" s="69"/>
      <c r="Y337" s="69"/>
      <c r="Z337" s="69"/>
      <c r="AA337" s="69"/>
    </row>
    <row r="338" spans="1:27">
      <c r="A338" s="69"/>
      <c r="B338" s="69"/>
      <c r="C338" s="69"/>
      <c r="D338" s="69"/>
      <c r="E338" s="69"/>
      <c r="F338" s="69"/>
      <c r="G338" s="69"/>
      <c r="H338" s="69"/>
      <c r="I338" s="69"/>
      <c r="J338" s="69"/>
      <c r="K338" s="69"/>
      <c r="L338" s="69"/>
      <c r="M338" s="69"/>
      <c r="N338" s="69"/>
      <c r="O338" s="69"/>
      <c r="P338" s="69"/>
      <c r="Q338" s="69"/>
      <c r="R338" s="69"/>
      <c r="S338" s="69"/>
      <c r="T338" s="69"/>
      <c r="U338" s="69"/>
      <c r="V338" s="69"/>
      <c r="W338" s="69"/>
      <c r="X338" s="69"/>
      <c r="Y338" s="69"/>
      <c r="Z338" s="69"/>
      <c r="AA338" s="69"/>
    </row>
    <row r="339" spans="1:27">
      <c r="A339" s="69"/>
      <c r="B339" s="69"/>
      <c r="C339" s="69"/>
      <c r="D339" s="69"/>
      <c r="E339" s="69"/>
      <c r="F339" s="69"/>
      <c r="G339" s="69"/>
      <c r="H339" s="69"/>
      <c r="I339" s="69"/>
      <c r="J339" s="69"/>
      <c r="K339" s="69"/>
      <c r="L339" s="69"/>
      <c r="M339" s="69"/>
      <c r="N339" s="69"/>
      <c r="O339" s="69"/>
      <c r="P339" s="69"/>
      <c r="Q339" s="69"/>
      <c r="R339" s="69"/>
      <c r="S339" s="69"/>
      <c r="T339" s="69"/>
      <c r="U339" s="69"/>
      <c r="V339" s="69"/>
      <c r="W339" s="69"/>
      <c r="X339" s="69"/>
      <c r="Y339" s="69"/>
      <c r="Z339" s="69"/>
      <c r="AA339" s="69"/>
    </row>
    <row r="340" spans="1:27">
      <c r="A340" s="69"/>
      <c r="B340" s="69"/>
      <c r="C340" s="69"/>
      <c r="D340" s="69"/>
      <c r="E340" s="69"/>
      <c r="F340" s="69"/>
      <c r="G340" s="69"/>
      <c r="H340" s="69"/>
      <c r="I340" s="69"/>
      <c r="J340" s="69"/>
      <c r="K340" s="69"/>
      <c r="L340" s="69"/>
      <c r="M340" s="69"/>
      <c r="N340" s="69"/>
      <c r="O340" s="69"/>
      <c r="P340" s="69"/>
      <c r="Q340" s="69"/>
      <c r="R340" s="69"/>
      <c r="S340" s="69"/>
      <c r="T340" s="69"/>
      <c r="U340" s="69"/>
      <c r="V340" s="69"/>
      <c r="W340" s="69"/>
      <c r="X340" s="69"/>
      <c r="Y340" s="69"/>
      <c r="Z340" s="69"/>
      <c r="AA340" s="69"/>
    </row>
    <row r="341" spans="1:27">
      <c r="A341" s="69"/>
      <c r="B341" s="69"/>
      <c r="C341" s="69"/>
      <c r="D341" s="69"/>
      <c r="E341" s="69"/>
      <c r="F341" s="69"/>
      <c r="G341" s="69"/>
      <c r="H341" s="69"/>
      <c r="I341" s="69"/>
      <c r="J341" s="69"/>
      <c r="K341" s="69"/>
      <c r="L341" s="69"/>
      <c r="M341" s="69"/>
      <c r="N341" s="69"/>
      <c r="O341" s="69"/>
      <c r="P341" s="69"/>
      <c r="Q341" s="69"/>
      <c r="R341" s="69"/>
      <c r="S341" s="69"/>
      <c r="T341" s="69"/>
      <c r="U341" s="69"/>
      <c r="V341" s="69"/>
      <c r="W341" s="69"/>
      <c r="X341" s="69"/>
      <c r="Y341" s="69"/>
      <c r="Z341" s="69"/>
      <c r="AA341" s="69"/>
    </row>
    <row r="342" spans="1:27">
      <c r="A342" s="69"/>
      <c r="B342" s="69"/>
      <c r="C342" s="69"/>
      <c r="D342" s="69"/>
      <c r="E342" s="69"/>
      <c r="F342" s="69"/>
      <c r="G342" s="69"/>
      <c r="H342" s="69"/>
      <c r="I342" s="69"/>
      <c r="J342" s="69"/>
      <c r="K342" s="69"/>
      <c r="L342" s="69"/>
      <c r="M342" s="69"/>
      <c r="N342" s="69"/>
      <c r="O342" s="69"/>
      <c r="P342" s="69"/>
      <c r="Q342" s="69"/>
      <c r="R342" s="69"/>
      <c r="S342" s="69"/>
      <c r="T342" s="69"/>
      <c r="U342" s="69"/>
      <c r="V342" s="69"/>
      <c r="W342" s="69"/>
      <c r="X342" s="69"/>
      <c r="Y342" s="69"/>
      <c r="Z342" s="69"/>
      <c r="AA342" s="69"/>
    </row>
    <row r="343" spans="1:27">
      <c r="A343" s="69"/>
      <c r="B343" s="69"/>
      <c r="C343" s="69"/>
      <c r="D343" s="69"/>
      <c r="E343" s="69"/>
      <c r="F343" s="69"/>
      <c r="G343" s="69"/>
      <c r="H343" s="69"/>
      <c r="I343" s="69"/>
      <c r="J343" s="69"/>
      <c r="K343" s="69"/>
      <c r="L343" s="69"/>
      <c r="M343" s="69"/>
      <c r="N343" s="69"/>
      <c r="O343" s="69"/>
      <c r="P343" s="69"/>
      <c r="Q343" s="69"/>
      <c r="R343" s="69"/>
      <c r="S343" s="69"/>
      <c r="T343" s="69"/>
      <c r="U343" s="69"/>
      <c r="V343" s="69"/>
      <c r="W343" s="69"/>
      <c r="X343" s="69"/>
      <c r="Y343" s="69"/>
      <c r="Z343" s="69"/>
      <c r="AA343" s="69"/>
    </row>
    <row r="344" spans="1:27">
      <c r="A344" s="69"/>
      <c r="B344" s="69"/>
      <c r="C344" s="69"/>
      <c r="D344" s="69"/>
      <c r="E344" s="69"/>
      <c r="F344" s="69"/>
      <c r="G344" s="69"/>
      <c r="H344" s="69"/>
      <c r="I344" s="69"/>
      <c r="J344" s="69"/>
      <c r="K344" s="69"/>
      <c r="L344" s="69"/>
      <c r="M344" s="69"/>
      <c r="N344" s="69"/>
      <c r="O344" s="69"/>
      <c r="P344" s="69"/>
      <c r="Q344" s="69"/>
      <c r="R344" s="69"/>
      <c r="S344" s="69"/>
      <c r="T344" s="69"/>
      <c r="U344" s="69"/>
      <c r="V344" s="69"/>
      <c r="W344" s="69"/>
      <c r="X344" s="69"/>
      <c r="Y344" s="69"/>
      <c r="Z344" s="69"/>
      <c r="AA344" s="69"/>
    </row>
    <row r="345" spans="1:27">
      <c r="A345" s="69"/>
      <c r="B345" s="69"/>
      <c r="C345" s="69"/>
      <c r="D345" s="69"/>
      <c r="E345" s="69"/>
      <c r="F345" s="69"/>
      <c r="G345" s="69"/>
      <c r="H345" s="69"/>
      <c r="I345" s="69"/>
      <c r="J345" s="69"/>
      <c r="K345" s="69"/>
      <c r="L345" s="69"/>
      <c r="M345" s="69"/>
      <c r="N345" s="69"/>
      <c r="O345" s="69"/>
      <c r="P345" s="69"/>
      <c r="Q345" s="69"/>
      <c r="R345" s="69"/>
      <c r="S345" s="69"/>
      <c r="T345" s="69"/>
      <c r="U345" s="69"/>
      <c r="V345" s="69"/>
      <c r="W345" s="69"/>
      <c r="X345" s="69"/>
      <c r="Y345" s="69"/>
      <c r="Z345" s="69"/>
      <c r="AA345" s="69"/>
    </row>
    <row r="346" spans="1:27">
      <c r="A346" s="69"/>
      <c r="B346" s="69"/>
      <c r="C346" s="69"/>
      <c r="D346" s="69"/>
      <c r="E346" s="69"/>
      <c r="F346" s="69"/>
      <c r="G346" s="69"/>
      <c r="H346" s="69"/>
      <c r="I346" s="69"/>
      <c r="J346" s="69"/>
      <c r="K346" s="69"/>
      <c r="L346" s="69"/>
      <c r="M346" s="69"/>
      <c r="N346" s="69"/>
      <c r="O346" s="69"/>
      <c r="P346" s="69"/>
      <c r="Q346" s="69"/>
      <c r="R346" s="69"/>
      <c r="S346" s="69"/>
      <c r="T346" s="69"/>
      <c r="U346" s="69"/>
      <c r="V346" s="69"/>
      <c r="W346" s="69"/>
      <c r="X346" s="69"/>
      <c r="Y346" s="69"/>
      <c r="Z346" s="69"/>
      <c r="AA346" s="69"/>
    </row>
    <row r="347" spans="1:27">
      <c r="A347" s="69"/>
      <c r="B347" s="69"/>
      <c r="C347" s="69"/>
      <c r="D347" s="69"/>
      <c r="E347" s="69"/>
      <c r="F347" s="69"/>
      <c r="G347" s="69"/>
      <c r="H347" s="69"/>
      <c r="I347" s="69"/>
      <c r="J347" s="69"/>
      <c r="K347" s="69"/>
      <c r="L347" s="69"/>
      <c r="M347" s="69"/>
      <c r="N347" s="69"/>
      <c r="O347" s="69"/>
      <c r="P347" s="69"/>
      <c r="Q347" s="69"/>
      <c r="R347" s="69"/>
      <c r="S347" s="69"/>
      <c r="T347" s="69"/>
      <c r="U347" s="69"/>
      <c r="V347" s="69"/>
      <c r="W347" s="69"/>
      <c r="X347" s="69"/>
      <c r="Y347" s="69"/>
      <c r="Z347" s="69"/>
      <c r="AA347" s="69"/>
    </row>
    <row r="348" spans="1:27">
      <c r="A348" s="69"/>
      <c r="B348" s="69"/>
      <c r="C348" s="69"/>
      <c r="D348" s="69"/>
      <c r="E348" s="69"/>
      <c r="F348" s="69"/>
      <c r="G348" s="69"/>
      <c r="H348" s="69"/>
      <c r="I348" s="69"/>
      <c r="J348" s="69"/>
      <c r="K348" s="69"/>
      <c r="L348" s="69"/>
      <c r="M348" s="69"/>
      <c r="N348" s="69"/>
      <c r="O348" s="69"/>
      <c r="P348" s="69"/>
      <c r="Q348" s="69"/>
      <c r="R348" s="69"/>
      <c r="S348" s="69"/>
      <c r="T348" s="69"/>
      <c r="U348" s="69"/>
      <c r="V348" s="69"/>
      <c r="W348" s="69"/>
      <c r="X348" s="69"/>
      <c r="Y348" s="69"/>
      <c r="Z348" s="69"/>
      <c r="AA348" s="69"/>
    </row>
    <row r="349" spans="1:27">
      <c r="A349" s="69"/>
      <c r="B349" s="69"/>
      <c r="C349" s="69"/>
      <c r="D349" s="69"/>
      <c r="E349" s="69"/>
      <c r="F349" s="69"/>
      <c r="G349" s="69"/>
      <c r="H349" s="69"/>
      <c r="I349" s="69"/>
      <c r="J349" s="69"/>
      <c r="K349" s="69"/>
      <c r="L349" s="69"/>
      <c r="M349" s="69"/>
      <c r="N349" s="69"/>
      <c r="O349" s="69"/>
      <c r="P349" s="69"/>
      <c r="Q349" s="69"/>
      <c r="R349" s="69"/>
      <c r="S349" s="69"/>
      <c r="T349" s="69"/>
      <c r="U349" s="69"/>
      <c r="V349" s="69"/>
      <c r="W349" s="69"/>
      <c r="X349" s="69"/>
      <c r="Y349" s="69"/>
      <c r="Z349" s="69"/>
      <c r="AA349" s="69"/>
    </row>
    <row r="350" spans="1:27">
      <c r="A350" s="69"/>
      <c r="B350" s="69"/>
      <c r="C350" s="69"/>
      <c r="D350" s="69"/>
      <c r="E350" s="69"/>
      <c r="F350" s="69"/>
      <c r="G350" s="69"/>
      <c r="H350" s="69"/>
      <c r="I350" s="69"/>
      <c r="J350" s="69"/>
      <c r="K350" s="69"/>
      <c r="L350" s="69"/>
      <c r="M350" s="69"/>
      <c r="N350" s="69"/>
      <c r="O350" s="69"/>
      <c r="P350" s="69"/>
      <c r="Q350" s="69"/>
      <c r="R350" s="69"/>
      <c r="S350" s="69"/>
      <c r="T350" s="69"/>
      <c r="U350" s="69"/>
      <c r="V350" s="69"/>
      <c r="W350" s="69"/>
      <c r="X350" s="69"/>
      <c r="Y350" s="69"/>
      <c r="Z350" s="69"/>
      <c r="AA350" s="69"/>
    </row>
    <row r="351" spans="1:27">
      <c r="A351" s="69"/>
      <c r="B351" s="69"/>
      <c r="C351" s="69"/>
      <c r="D351" s="69"/>
      <c r="E351" s="69"/>
      <c r="F351" s="69"/>
      <c r="G351" s="69"/>
      <c r="H351" s="69"/>
      <c r="I351" s="69"/>
      <c r="J351" s="69"/>
      <c r="K351" s="69"/>
      <c r="L351" s="69"/>
      <c r="M351" s="69"/>
      <c r="N351" s="69"/>
      <c r="O351" s="69"/>
      <c r="P351" s="69"/>
      <c r="Q351" s="69"/>
      <c r="R351" s="69"/>
      <c r="S351" s="69"/>
      <c r="T351" s="69"/>
      <c r="U351" s="69"/>
      <c r="V351" s="69"/>
      <c r="W351" s="69"/>
      <c r="X351" s="69"/>
      <c r="Y351" s="69"/>
      <c r="Z351" s="69"/>
      <c r="AA351" s="69"/>
    </row>
    <row r="352" spans="1:27">
      <c r="A352" s="69"/>
      <c r="B352" s="69"/>
      <c r="C352" s="69"/>
      <c r="D352" s="69"/>
      <c r="E352" s="69"/>
      <c r="F352" s="69"/>
      <c r="G352" s="69"/>
      <c r="H352" s="69"/>
      <c r="I352" s="69"/>
      <c r="J352" s="69"/>
      <c r="K352" s="69"/>
      <c r="L352" s="69"/>
      <c r="M352" s="69"/>
      <c r="N352" s="69"/>
      <c r="O352" s="69"/>
      <c r="P352" s="69"/>
      <c r="Q352" s="69"/>
      <c r="R352" s="69"/>
      <c r="S352" s="69"/>
      <c r="T352" s="69"/>
      <c r="U352" s="69"/>
      <c r="V352" s="69"/>
      <c r="W352" s="69"/>
      <c r="X352" s="69"/>
      <c r="Y352" s="69"/>
      <c r="Z352" s="69"/>
      <c r="AA352" s="69"/>
    </row>
    <row r="353" spans="1:27">
      <c r="A353" s="69"/>
      <c r="B353" s="69"/>
      <c r="C353" s="69"/>
      <c r="D353" s="69"/>
      <c r="E353" s="69"/>
      <c r="F353" s="69"/>
      <c r="G353" s="69"/>
      <c r="H353" s="69"/>
      <c r="I353" s="69"/>
      <c r="J353" s="69"/>
      <c r="K353" s="69"/>
      <c r="L353" s="69"/>
      <c r="M353" s="69"/>
      <c r="N353" s="69"/>
      <c r="O353" s="69"/>
      <c r="P353" s="69"/>
      <c r="Q353" s="69"/>
      <c r="R353" s="69"/>
      <c r="S353" s="69"/>
      <c r="T353" s="69"/>
      <c r="U353" s="69"/>
      <c r="V353" s="69"/>
      <c r="W353" s="69"/>
      <c r="X353" s="69"/>
      <c r="Y353" s="69"/>
      <c r="Z353" s="69"/>
      <c r="AA353" s="69"/>
    </row>
    <row r="354" spans="1:27">
      <c r="A354" s="69"/>
      <c r="B354" s="69"/>
      <c r="C354" s="69"/>
      <c r="D354" s="69"/>
      <c r="E354" s="69"/>
      <c r="F354" s="69"/>
      <c r="G354" s="69"/>
      <c r="H354" s="69"/>
      <c r="I354" s="69"/>
      <c r="J354" s="69"/>
      <c r="K354" s="69"/>
      <c r="L354" s="69"/>
      <c r="M354" s="69"/>
      <c r="N354" s="69"/>
      <c r="O354" s="69"/>
      <c r="P354" s="69"/>
      <c r="Q354" s="69"/>
      <c r="R354" s="69"/>
      <c r="S354" s="69"/>
      <c r="T354" s="69"/>
      <c r="U354" s="69"/>
      <c r="V354" s="69"/>
      <c r="W354" s="69"/>
      <c r="X354" s="69"/>
      <c r="Y354" s="69"/>
      <c r="Z354" s="69"/>
      <c r="AA354" s="69"/>
    </row>
    <row r="355" spans="1:27">
      <c r="A355" s="69"/>
      <c r="B355" s="69"/>
      <c r="C355" s="69"/>
      <c r="D355" s="69"/>
      <c r="E355" s="69"/>
      <c r="F355" s="69"/>
      <c r="G355" s="69"/>
      <c r="H355" s="69"/>
      <c r="I355" s="69"/>
      <c r="J355" s="69"/>
      <c r="K355" s="69"/>
      <c r="L355" s="69"/>
      <c r="M355" s="69"/>
      <c r="N355" s="69"/>
      <c r="O355" s="69"/>
      <c r="P355" s="69"/>
      <c r="Q355" s="69"/>
      <c r="R355" s="69"/>
      <c r="S355" s="69"/>
      <c r="T355" s="69"/>
      <c r="U355" s="69"/>
      <c r="V355" s="69"/>
      <c r="W355" s="69"/>
      <c r="X355" s="69"/>
      <c r="Y355" s="69"/>
      <c r="Z355" s="69"/>
      <c r="AA355" s="69"/>
    </row>
    <row r="356" spans="1:27">
      <c r="A356" s="69"/>
      <c r="B356" s="69"/>
      <c r="C356" s="69"/>
      <c r="D356" s="69"/>
      <c r="E356" s="69"/>
      <c r="F356" s="69"/>
      <c r="G356" s="69"/>
      <c r="H356" s="69"/>
      <c r="I356" s="69"/>
      <c r="J356" s="69"/>
      <c r="K356" s="69"/>
      <c r="L356" s="69"/>
      <c r="M356" s="69"/>
      <c r="N356" s="69"/>
      <c r="O356" s="69"/>
      <c r="P356" s="69"/>
      <c r="Q356" s="69"/>
      <c r="R356" s="69"/>
      <c r="S356" s="69"/>
      <c r="T356" s="69"/>
      <c r="U356" s="69"/>
      <c r="V356" s="69"/>
      <c r="W356" s="69"/>
      <c r="X356" s="69"/>
      <c r="Y356" s="69"/>
      <c r="Z356" s="69"/>
      <c r="AA356" s="69"/>
    </row>
    <row r="357" spans="1:27">
      <c r="A357" s="69"/>
      <c r="B357" s="69"/>
      <c r="C357" s="69"/>
      <c r="D357" s="69"/>
      <c r="E357" s="69"/>
      <c r="F357" s="69"/>
      <c r="G357" s="69"/>
      <c r="H357" s="69"/>
      <c r="I357" s="69"/>
      <c r="J357" s="69"/>
      <c r="K357" s="69"/>
      <c r="L357" s="69"/>
      <c r="M357" s="69"/>
      <c r="N357" s="69"/>
      <c r="O357" s="69"/>
      <c r="P357" s="69"/>
      <c r="Q357" s="69"/>
      <c r="R357" s="69"/>
      <c r="S357" s="69"/>
      <c r="T357" s="69"/>
      <c r="U357" s="69"/>
      <c r="V357" s="69"/>
      <c r="W357" s="69"/>
      <c r="X357" s="69"/>
      <c r="Y357" s="69"/>
      <c r="Z357" s="69"/>
      <c r="AA357" s="69"/>
    </row>
    <row r="358" spans="1:27">
      <c r="A358" s="69"/>
      <c r="B358" s="69"/>
      <c r="C358" s="69"/>
      <c r="D358" s="69"/>
      <c r="E358" s="69"/>
      <c r="F358" s="69"/>
      <c r="G358" s="69"/>
      <c r="H358" s="69"/>
      <c r="I358" s="69"/>
      <c r="J358" s="69"/>
      <c r="K358" s="69"/>
      <c r="L358" s="69"/>
      <c r="M358" s="69"/>
      <c r="N358" s="69"/>
      <c r="O358" s="69"/>
      <c r="P358" s="69"/>
      <c r="Q358" s="69"/>
      <c r="R358" s="69"/>
      <c r="S358" s="69"/>
      <c r="T358" s="69"/>
      <c r="U358" s="69"/>
      <c r="V358" s="69"/>
      <c r="W358" s="69"/>
      <c r="X358" s="69"/>
      <c r="Y358" s="69"/>
      <c r="Z358" s="69"/>
      <c r="AA358" s="69"/>
    </row>
    <row r="359" spans="1:27">
      <c r="A359" s="69"/>
      <c r="B359" s="69"/>
      <c r="C359" s="69"/>
      <c r="D359" s="69"/>
      <c r="E359" s="69"/>
      <c r="F359" s="69"/>
      <c r="G359" s="69"/>
      <c r="H359" s="69"/>
      <c r="I359" s="69"/>
      <c r="J359" s="69"/>
      <c r="K359" s="69"/>
      <c r="L359" s="69"/>
      <c r="M359" s="69"/>
      <c r="N359" s="69"/>
      <c r="O359" s="69"/>
      <c r="P359" s="69"/>
      <c r="Q359" s="69"/>
      <c r="R359" s="69"/>
      <c r="S359" s="69"/>
      <c r="T359" s="69"/>
      <c r="U359" s="69"/>
      <c r="V359" s="69"/>
      <c r="W359" s="69"/>
      <c r="X359" s="69"/>
      <c r="Y359" s="69"/>
      <c r="Z359" s="69"/>
      <c r="AA359" s="69"/>
    </row>
    <row r="360" spans="1:27">
      <c r="A360" s="69"/>
      <c r="B360" s="69"/>
      <c r="C360" s="69"/>
      <c r="D360" s="69"/>
      <c r="E360" s="69"/>
      <c r="F360" s="69"/>
      <c r="G360" s="69"/>
      <c r="H360" s="69"/>
      <c r="I360" s="69"/>
      <c r="J360" s="69"/>
      <c r="K360" s="69"/>
      <c r="L360" s="69"/>
      <c r="M360" s="69"/>
      <c r="N360" s="69"/>
      <c r="O360" s="69"/>
      <c r="P360" s="69"/>
      <c r="Q360" s="69"/>
      <c r="R360" s="69"/>
      <c r="S360" s="69"/>
      <c r="T360" s="69"/>
      <c r="U360" s="69"/>
      <c r="V360" s="69"/>
      <c r="W360" s="69"/>
      <c r="X360" s="69"/>
      <c r="Y360" s="69"/>
      <c r="Z360" s="69"/>
      <c r="AA360" s="69"/>
    </row>
    <row r="361" spans="1:27">
      <c r="A361" s="69"/>
      <c r="B361" s="69"/>
      <c r="C361" s="69"/>
      <c r="D361" s="69"/>
      <c r="E361" s="69"/>
      <c r="F361" s="69"/>
      <c r="G361" s="69"/>
      <c r="H361" s="69"/>
      <c r="I361" s="69"/>
      <c r="J361" s="69"/>
      <c r="K361" s="69"/>
      <c r="L361" s="69"/>
      <c r="M361" s="69"/>
      <c r="N361" s="69"/>
      <c r="O361" s="69"/>
      <c r="P361" s="69"/>
      <c r="Q361" s="69"/>
      <c r="R361" s="69"/>
      <c r="S361" s="69"/>
      <c r="T361" s="69"/>
      <c r="U361" s="69"/>
      <c r="V361" s="69"/>
      <c r="W361" s="69"/>
      <c r="X361" s="69"/>
      <c r="Y361" s="69"/>
      <c r="Z361" s="69"/>
      <c r="AA361" s="69"/>
    </row>
    <row r="362" spans="1:27">
      <c r="A362" s="69"/>
      <c r="B362" s="69"/>
      <c r="C362" s="69"/>
      <c r="D362" s="69"/>
      <c r="E362" s="69"/>
      <c r="F362" s="69"/>
      <c r="G362" s="69"/>
      <c r="H362" s="69"/>
      <c r="I362" s="69"/>
      <c r="J362" s="69"/>
      <c r="K362" s="69"/>
      <c r="L362" s="69"/>
      <c r="M362" s="69"/>
      <c r="N362" s="69"/>
      <c r="O362" s="69"/>
      <c r="P362" s="69"/>
      <c r="Q362" s="69"/>
      <c r="R362" s="69"/>
      <c r="S362" s="69"/>
      <c r="T362" s="69"/>
      <c r="U362" s="69"/>
      <c r="V362" s="69"/>
      <c r="W362" s="69"/>
      <c r="X362" s="69"/>
      <c r="Y362" s="69"/>
      <c r="Z362" s="69"/>
      <c r="AA362" s="69"/>
    </row>
    <row r="363" spans="1:27">
      <c r="A363" s="69"/>
      <c r="B363" s="69"/>
      <c r="C363" s="69"/>
      <c r="D363" s="69"/>
      <c r="E363" s="69"/>
      <c r="F363" s="69"/>
      <c r="G363" s="69"/>
      <c r="H363" s="69"/>
      <c r="I363" s="69"/>
      <c r="J363" s="69"/>
      <c r="K363" s="69"/>
      <c r="L363" s="69"/>
      <c r="M363" s="69"/>
      <c r="N363" s="69"/>
      <c r="O363" s="69"/>
      <c r="P363" s="69"/>
      <c r="Q363" s="69"/>
      <c r="R363" s="69"/>
      <c r="S363" s="69"/>
      <c r="T363" s="69"/>
      <c r="U363" s="69"/>
      <c r="V363" s="69"/>
      <c r="W363" s="69"/>
      <c r="X363" s="69"/>
      <c r="Y363" s="69"/>
      <c r="Z363" s="69"/>
      <c r="AA363" s="69"/>
    </row>
    <row r="364" spans="1:27">
      <c r="A364" s="69"/>
      <c r="B364" s="69"/>
      <c r="C364" s="69"/>
      <c r="D364" s="69"/>
      <c r="E364" s="69"/>
      <c r="F364" s="69"/>
      <c r="G364" s="69"/>
      <c r="H364" s="69"/>
      <c r="I364" s="69"/>
      <c r="J364" s="69"/>
      <c r="K364" s="69"/>
      <c r="L364" s="69"/>
      <c r="M364" s="69"/>
      <c r="N364" s="69"/>
      <c r="O364" s="69"/>
      <c r="P364" s="69"/>
      <c r="Q364" s="69"/>
      <c r="R364" s="69"/>
      <c r="S364" s="69"/>
      <c r="T364" s="69"/>
      <c r="U364" s="69"/>
      <c r="V364" s="69"/>
      <c r="W364" s="69"/>
      <c r="X364" s="69"/>
      <c r="Y364" s="69"/>
      <c r="Z364" s="69"/>
      <c r="AA364" s="69"/>
    </row>
    <row r="365" spans="1:27">
      <c r="A365" s="69"/>
      <c r="B365" s="69"/>
      <c r="C365" s="69"/>
      <c r="D365" s="69"/>
      <c r="E365" s="69"/>
      <c r="F365" s="69"/>
      <c r="G365" s="69"/>
      <c r="H365" s="69"/>
      <c r="I365" s="69"/>
      <c r="J365" s="69"/>
      <c r="K365" s="69"/>
      <c r="L365" s="69"/>
      <c r="M365" s="69"/>
      <c r="N365" s="69"/>
      <c r="O365" s="69"/>
      <c r="P365" s="69"/>
      <c r="Q365" s="69"/>
      <c r="R365" s="69"/>
      <c r="S365" s="69"/>
      <c r="T365" s="69"/>
      <c r="U365" s="69"/>
      <c r="V365" s="69"/>
      <c r="W365" s="69"/>
      <c r="X365" s="69"/>
      <c r="Y365" s="69"/>
      <c r="Z365" s="69"/>
      <c r="AA365" s="69"/>
    </row>
    <row r="366" spans="1:27">
      <c r="A366" s="69"/>
      <c r="B366" s="69"/>
      <c r="C366" s="69"/>
      <c r="D366" s="69"/>
      <c r="E366" s="69"/>
      <c r="F366" s="69"/>
      <c r="G366" s="69"/>
      <c r="H366" s="69"/>
      <c r="I366" s="69"/>
      <c r="J366" s="69"/>
      <c r="K366" s="69"/>
      <c r="L366" s="69"/>
      <c r="M366" s="69"/>
      <c r="N366" s="69"/>
      <c r="O366" s="69"/>
      <c r="P366" s="69"/>
      <c r="Q366" s="69"/>
      <c r="R366" s="69"/>
      <c r="S366" s="69"/>
      <c r="T366" s="69"/>
      <c r="U366" s="69"/>
      <c r="V366" s="69"/>
      <c r="W366" s="69"/>
      <c r="X366" s="69"/>
      <c r="Y366" s="69"/>
      <c r="Z366" s="69"/>
      <c r="AA366" s="69"/>
    </row>
    <row r="367" spans="1:27">
      <c r="A367" s="69"/>
      <c r="B367" s="69"/>
      <c r="C367" s="69"/>
      <c r="D367" s="69"/>
      <c r="E367" s="69"/>
      <c r="F367" s="69"/>
      <c r="G367" s="69"/>
      <c r="H367" s="69"/>
      <c r="I367" s="69"/>
      <c r="J367" s="69"/>
      <c r="K367" s="69"/>
      <c r="L367" s="69"/>
      <c r="M367" s="69"/>
      <c r="N367" s="69"/>
      <c r="O367" s="69"/>
      <c r="P367" s="69"/>
      <c r="Q367" s="69"/>
      <c r="R367" s="69"/>
      <c r="S367" s="69"/>
      <c r="T367" s="69"/>
      <c r="U367" s="69"/>
      <c r="V367" s="69"/>
      <c r="W367" s="69"/>
      <c r="X367" s="69"/>
      <c r="Y367" s="69"/>
      <c r="Z367" s="69"/>
      <c r="AA367" s="69"/>
    </row>
    <row r="368" spans="1:27">
      <c r="A368" s="69"/>
      <c r="B368" s="69"/>
      <c r="C368" s="69"/>
      <c r="D368" s="69"/>
      <c r="E368" s="69"/>
      <c r="F368" s="69"/>
      <c r="G368" s="69"/>
      <c r="H368" s="69"/>
      <c r="I368" s="69"/>
      <c r="J368" s="69"/>
      <c r="K368" s="69"/>
      <c r="L368" s="69"/>
      <c r="M368" s="69"/>
      <c r="N368" s="69"/>
      <c r="O368" s="69"/>
      <c r="P368" s="69"/>
      <c r="Q368" s="69"/>
      <c r="R368" s="69"/>
      <c r="S368" s="69"/>
      <c r="T368" s="69"/>
      <c r="U368" s="69"/>
      <c r="V368" s="69"/>
      <c r="W368" s="69"/>
      <c r="X368" s="69"/>
      <c r="Y368" s="69"/>
      <c r="Z368" s="69"/>
      <c r="AA368" s="69"/>
    </row>
    <row r="369" spans="1:27">
      <c r="A369" s="69"/>
      <c r="B369" s="69"/>
      <c r="C369" s="69"/>
      <c r="D369" s="69"/>
      <c r="E369" s="69"/>
      <c r="F369" s="69"/>
      <c r="G369" s="69"/>
      <c r="H369" s="69"/>
      <c r="I369" s="69"/>
      <c r="J369" s="69"/>
      <c r="K369" s="69"/>
      <c r="L369" s="69"/>
      <c r="M369" s="69"/>
      <c r="N369" s="69"/>
      <c r="O369" s="69"/>
      <c r="P369" s="69"/>
      <c r="Q369" s="69"/>
      <c r="R369" s="69"/>
      <c r="S369" s="69"/>
      <c r="T369" s="69"/>
      <c r="U369" s="69"/>
      <c r="V369" s="69"/>
      <c r="W369" s="69"/>
      <c r="X369" s="69"/>
      <c r="Y369" s="69"/>
      <c r="Z369" s="69"/>
      <c r="AA369" s="69"/>
    </row>
    <row r="370" spans="1:27">
      <c r="A370" s="69"/>
      <c r="B370" s="69"/>
      <c r="C370" s="69"/>
      <c r="D370" s="69"/>
      <c r="E370" s="69"/>
      <c r="F370" s="69"/>
      <c r="G370" s="69"/>
      <c r="H370" s="69"/>
      <c r="I370" s="69"/>
      <c r="J370" s="69"/>
      <c r="K370" s="69"/>
      <c r="L370" s="69"/>
      <c r="M370" s="69"/>
      <c r="N370" s="69"/>
      <c r="O370" s="69"/>
      <c r="P370" s="69"/>
      <c r="Q370" s="69"/>
      <c r="R370" s="69"/>
      <c r="S370" s="69"/>
      <c r="T370" s="69"/>
      <c r="U370" s="69"/>
      <c r="V370" s="69"/>
      <c r="W370" s="69"/>
      <c r="X370" s="69"/>
      <c r="Y370" s="69"/>
      <c r="Z370" s="69"/>
      <c r="AA370" s="69"/>
    </row>
    <row r="371" spans="1:27">
      <c r="A371" s="69"/>
      <c r="B371" s="69"/>
      <c r="C371" s="69"/>
      <c r="D371" s="69"/>
      <c r="E371" s="69"/>
      <c r="F371" s="69"/>
      <c r="G371" s="69"/>
      <c r="H371" s="69"/>
      <c r="I371" s="69"/>
      <c r="J371" s="69"/>
      <c r="K371" s="69"/>
      <c r="L371" s="69"/>
      <c r="M371" s="69"/>
      <c r="N371" s="69"/>
      <c r="O371" s="69"/>
      <c r="P371" s="69"/>
      <c r="Q371" s="69"/>
      <c r="R371" s="69"/>
      <c r="S371" s="69"/>
      <c r="T371" s="69"/>
      <c r="U371" s="69"/>
      <c r="V371" s="69"/>
      <c r="W371" s="69"/>
      <c r="X371" s="69"/>
      <c r="Y371" s="69"/>
      <c r="Z371" s="69"/>
      <c r="AA371" s="69"/>
    </row>
    <row r="372" spans="1:27">
      <c r="A372" s="69"/>
      <c r="B372" s="69"/>
      <c r="C372" s="69"/>
      <c r="D372" s="69"/>
      <c r="E372" s="69"/>
      <c r="F372" s="69"/>
      <c r="G372" s="69"/>
      <c r="H372" s="69"/>
      <c r="I372" s="69"/>
      <c r="J372" s="69"/>
      <c r="K372" s="69"/>
      <c r="L372" s="69"/>
      <c r="M372" s="69"/>
      <c r="N372" s="69"/>
      <c r="O372" s="69"/>
      <c r="P372" s="69"/>
      <c r="Q372" s="69"/>
      <c r="R372" s="69"/>
      <c r="S372" s="69"/>
      <c r="T372" s="69"/>
      <c r="U372" s="69"/>
      <c r="V372" s="69"/>
      <c r="W372" s="69"/>
      <c r="X372" s="69"/>
      <c r="Y372" s="69"/>
      <c r="Z372" s="69"/>
      <c r="AA372" s="69"/>
    </row>
    <row r="373" spans="1:27">
      <c r="A373" s="69"/>
      <c r="B373" s="69"/>
      <c r="C373" s="69"/>
      <c r="D373" s="69"/>
      <c r="E373" s="69"/>
      <c r="F373" s="69"/>
      <c r="G373" s="69"/>
      <c r="H373" s="69"/>
      <c r="I373" s="69"/>
      <c r="J373" s="69"/>
      <c r="K373" s="69"/>
      <c r="L373" s="69"/>
      <c r="M373" s="69"/>
      <c r="N373" s="69"/>
      <c r="O373" s="69"/>
      <c r="P373" s="69"/>
      <c r="Q373" s="69"/>
      <c r="R373" s="69"/>
      <c r="S373" s="69"/>
      <c r="T373" s="69"/>
      <c r="U373" s="69"/>
      <c r="V373" s="69"/>
      <c r="W373" s="69"/>
      <c r="X373" s="69"/>
      <c r="Y373" s="69"/>
      <c r="Z373" s="69"/>
      <c r="AA373" s="69"/>
    </row>
    <row r="374" spans="1:27">
      <c r="A374" s="69"/>
      <c r="B374" s="69"/>
      <c r="C374" s="69"/>
      <c r="D374" s="69"/>
      <c r="E374" s="69"/>
      <c r="F374" s="69"/>
      <c r="G374" s="69"/>
      <c r="H374" s="69"/>
      <c r="I374" s="69"/>
      <c r="J374" s="69"/>
      <c r="K374" s="69"/>
      <c r="L374" s="69"/>
      <c r="M374" s="69"/>
      <c r="N374" s="69"/>
      <c r="O374" s="69"/>
      <c r="P374" s="69"/>
      <c r="Q374" s="69"/>
      <c r="R374" s="69"/>
      <c r="S374" s="69"/>
      <c r="T374" s="69"/>
      <c r="U374" s="69"/>
      <c r="V374" s="69"/>
      <c r="W374" s="69"/>
      <c r="X374" s="69"/>
      <c r="Y374" s="69"/>
      <c r="Z374" s="69"/>
      <c r="AA374" s="69"/>
    </row>
    <row r="375" spans="1:27">
      <c r="A375" s="69"/>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row>
    <row r="376" spans="1:27">
      <c r="A376" s="69"/>
      <c r="B376" s="69"/>
      <c r="C376" s="69"/>
      <c r="D376" s="69"/>
      <c r="E376" s="69"/>
      <c r="F376" s="69"/>
      <c r="G376" s="69"/>
      <c r="H376" s="69"/>
      <c r="I376" s="69"/>
      <c r="J376" s="69"/>
      <c r="K376" s="69"/>
      <c r="L376" s="69"/>
      <c r="M376" s="69"/>
      <c r="N376" s="69"/>
      <c r="O376" s="69"/>
      <c r="P376" s="69"/>
      <c r="Q376" s="69"/>
      <c r="R376" s="69"/>
      <c r="S376" s="69"/>
      <c r="T376" s="69"/>
      <c r="U376" s="69"/>
      <c r="V376" s="69"/>
      <c r="W376" s="69"/>
      <c r="X376" s="69"/>
      <c r="Y376" s="69"/>
      <c r="Z376" s="69"/>
      <c r="AA376" s="69"/>
    </row>
    <row r="377" spans="1:27">
      <c r="A377" s="69"/>
      <c r="B377" s="69"/>
      <c r="C377" s="69"/>
      <c r="D377" s="69"/>
      <c r="E377" s="69"/>
      <c r="F377" s="69"/>
      <c r="G377" s="69"/>
      <c r="H377" s="69"/>
      <c r="I377" s="69"/>
      <c r="J377" s="69"/>
      <c r="K377" s="69"/>
      <c r="L377" s="69"/>
      <c r="M377" s="69"/>
      <c r="N377" s="69"/>
      <c r="O377" s="69"/>
      <c r="P377" s="69"/>
      <c r="Q377" s="69"/>
      <c r="R377" s="69"/>
      <c r="S377" s="69"/>
      <c r="T377" s="69"/>
      <c r="U377" s="69"/>
      <c r="V377" s="69"/>
      <c r="W377" s="69"/>
      <c r="X377" s="69"/>
      <c r="Y377" s="69"/>
      <c r="Z377" s="69"/>
      <c r="AA377" s="69"/>
    </row>
    <row r="378" spans="1:27">
      <c r="A378" s="69"/>
      <c r="B378" s="69"/>
      <c r="C378" s="69"/>
      <c r="D378" s="69"/>
      <c r="E378" s="69"/>
      <c r="F378" s="69"/>
      <c r="G378" s="69"/>
      <c r="H378" s="69"/>
      <c r="I378" s="69"/>
      <c r="J378" s="69"/>
      <c r="K378" s="69"/>
      <c r="L378" s="69"/>
      <c r="M378" s="69"/>
      <c r="N378" s="69"/>
      <c r="O378" s="69"/>
      <c r="P378" s="69"/>
      <c r="Q378" s="69"/>
      <c r="R378" s="69"/>
      <c r="S378" s="69"/>
      <c r="T378" s="69"/>
      <c r="U378" s="69"/>
      <c r="V378" s="69"/>
      <c r="W378" s="69"/>
      <c r="X378" s="69"/>
      <c r="Y378" s="69"/>
      <c r="Z378" s="69"/>
      <c r="AA378" s="69"/>
    </row>
    <row r="379" spans="1:27">
      <c r="A379" s="69"/>
      <c r="B379" s="69"/>
      <c r="C379" s="69"/>
      <c r="D379" s="69"/>
      <c r="E379" s="69"/>
      <c r="F379" s="69"/>
      <c r="G379" s="69"/>
      <c r="H379" s="69"/>
      <c r="I379" s="69"/>
      <c r="J379" s="69"/>
      <c r="K379" s="69"/>
      <c r="L379" s="69"/>
      <c r="M379" s="69"/>
      <c r="N379" s="69"/>
      <c r="O379" s="69"/>
      <c r="P379" s="69"/>
      <c r="Q379" s="69"/>
      <c r="R379" s="69"/>
      <c r="S379" s="69"/>
      <c r="T379" s="69"/>
      <c r="U379" s="69"/>
      <c r="V379" s="69"/>
      <c r="W379" s="69"/>
      <c r="X379" s="69"/>
      <c r="Y379" s="69"/>
      <c r="Z379" s="69"/>
      <c r="AA379" s="69"/>
    </row>
    <row r="380" spans="1:27">
      <c r="A380" s="69"/>
      <c r="B380" s="69"/>
      <c r="C380" s="69"/>
      <c r="D380" s="69"/>
      <c r="E380" s="69"/>
      <c r="F380" s="69"/>
      <c r="G380" s="69"/>
      <c r="H380" s="69"/>
      <c r="I380" s="69"/>
      <c r="J380" s="69"/>
      <c r="K380" s="69"/>
      <c r="L380" s="69"/>
      <c r="M380" s="69"/>
      <c r="N380" s="69"/>
      <c r="O380" s="69"/>
      <c r="P380" s="69"/>
      <c r="Q380" s="69"/>
      <c r="R380" s="69"/>
      <c r="S380" s="69"/>
      <c r="T380" s="69"/>
      <c r="U380" s="69"/>
      <c r="V380" s="69"/>
      <c r="W380" s="69"/>
      <c r="X380" s="69"/>
      <c r="Y380" s="69"/>
      <c r="Z380" s="69"/>
      <c r="AA380" s="69"/>
    </row>
    <row r="381" spans="1:27">
      <c r="A381" s="69"/>
      <c r="B381" s="69"/>
      <c r="C381" s="69"/>
      <c r="D381" s="69"/>
      <c r="E381" s="69"/>
      <c r="F381" s="69"/>
      <c r="G381" s="69"/>
      <c r="H381" s="69"/>
      <c r="I381" s="69"/>
      <c r="J381" s="69"/>
      <c r="K381" s="69"/>
      <c r="L381" s="69"/>
      <c r="M381" s="69"/>
      <c r="N381" s="69"/>
      <c r="O381" s="69"/>
      <c r="P381" s="69"/>
      <c r="Q381" s="69"/>
      <c r="R381" s="69"/>
      <c r="S381" s="69"/>
      <c r="T381" s="69"/>
      <c r="U381" s="69"/>
      <c r="V381" s="69"/>
      <c r="W381" s="69"/>
      <c r="X381" s="69"/>
      <c r="Y381" s="69"/>
      <c r="Z381" s="69"/>
      <c r="AA381" s="69"/>
    </row>
    <row r="382" spans="1:27">
      <c r="A382" s="69"/>
      <c r="B382" s="69"/>
      <c r="C382" s="69"/>
      <c r="D382" s="69"/>
      <c r="E382" s="69"/>
      <c r="F382" s="69"/>
      <c r="G382" s="69"/>
      <c r="H382" s="69"/>
      <c r="I382" s="69"/>
      <c r="J382" s="69"/>
      <c r="K382" s="69"/>
      <c r="L382" s="69"/>
      <c r="M382" s="69"/>
      <c r="N382" s="69"/>
      <c r="O382" s="69"/>
      <c r="P382" s="69"/>
      <c r="Q382" s="69"/>
      <c r="R382" s="69"/>
      <c r="S382" s="69"/>
      <c r="T382" s="69"/>
      <c r="U382" s="69"/>
      <c r="V382" s="69"/>
      <c r="W382" s="69"/>
      <c r="X382" s="69"/>
      <c r="Y382" s="69"/>
      <c r="Z382" s="69"/>
      <c r="AA382" s="69"/>
    </row>
    <row r="383" spans="1:27">
      <c r="A383" s="69"/>
      <c r="B383" s="69"/>
      <c r="C383" s="69"/>
      <c r="D383" s="69"/>
      <c r="E383" s="69"/>
      <c r="F383" s="69"/>
      <c r="G383" s="69"/>
      <c r="H383" s="69"/>
      <c r="I383" s="69"/>
      <c r="J383" s="69"/>
      <c r="K383" s="69"/>
      <c r="L383" s="69"/>
      <c r="M383" s="69"/>
      <c r="N383" s="69"/>
      <c r="O383" s="69"/>
      <c r="P383" s="69"/>
      <c r="Q383" s="69"/>
      <c r="R383" s="69"/>
      <c r="S383" s="69"/>
      <c r="T383" s="69"/>
      <c r="U383" s="69"/>
      <c r="V383" s="69"/>
      <c r="W383" s="69"/>
      <c r="X383" s="69"/>
      <c r="Y383" s="69"/>
      <c r="Z383" s="69"/>
      <c r="AA383" s="69"/>
    </row>
    <row r="384" spans="1:27">
      <c r="A384" s="69"/>
      <c r="B384" s="69"/>
      <c r="C384" s="69"/>
      <c r="D384" s="69"/>
      <c r="E384" s="69"/>
      <c r="F384" s="69"/>
      <c r="G384" s="69"/>
      <c r="H384" s="69"/>
      <c r="I384" s="69"/>
      <c r="J384" s="69"/>
      <c r="K384" s="69"/>
      <c r="L384" s="69"/>
      <c r="M384" s="69"/>
      <c r="N384" s="69"/>
      <c r="O384" s="69"/>
      <c r="P384" s="69"/>
      <c r="Q384" s="69"/>
      <c r="R384" s="69"/>
      <c r="S384" s="69"/>
      <c r="T384" s="69"/>
      <c r="U384" s="69"/>
      <c r="V384" s="69"/>
      <c r="W384" s="69"/>
      <c r="X384" s="69"/>
      <c r="Y384" s="69"/>
      <c r="Z384" s="69"/>
      <c r="AA384" s="69"/>
    </row>
    <row r="385" spans="1:27">
      <c r="A385" s="69"/>
      <c r="B385" s="69"/>
      <c r="C385" s="69"/>
      <c r="D385" s="69"/>
      <c r="E385" s="69"/>
      <c r="F385" s="69"/>
      <c r="G385" s="69"/>
      <c r="H385" s="69"/>
      <c r="I385" s="69"/>
      <c r="J385" s="69"/>
      <c r="K385" s="69"/>
      <c r="L385" s="69"/>
      <c r="M385" s="69"/>
      <c r="N385" s="69"/>
      <c r="O385" s="69"/>
      <c r="P385" s="69"/>
      <c r="Q385" s="69"/>
      <c r="R385" s="69"/>
      <c r="S385" s="69"/>
      <c r="T385" s="69"/>
      <c r="U385" s="69"/>
      <c r="V385" s="69"/>
      <c r="W385" s="69"/>
      <c r="X385" s="69"/>
      <c r="Y385" s="69"/>
      <c r="Z385" s="69"/>
      <c r="AA385" s="69"/>
    </row>
    <row r="386" spans="1:27">
      <c r="A386" s="69"/>
      <c r="B386" s="69"/>
      <c r="C386" s="69"/>
      <c r="D386" s="69"/>
      <c r="E386" s="69"/>
      <c r="F386" s="69"/>
      <c r="G386" s="69"/>
      <c r="H386" s="69"/>
      <c r="I386" s="69"/>
      <c r="J386" s="69"/>
      <c r="K386" s="69"/>
      <c r="L386" s="69"/>
      <c r="M386" s="69"/>
      <c r="N386" s="69"/>
      <c r="O386" s="69"/>
      <c r="P386" s="69"/>
      <c r="Q386" s="69"/>
      <c r="R386" s="69"/>
      <c r="S386" s="69"/>
      <c r="T386" s="69"/>
      <c r="U386" s="69"/>
      <c r="V386" s="69"/>
      <c r="W386" s="69"/>
      <c r="X386" s="69"/>
      <c r="Y386" s="69"/>
      <c r="Z386" s="69"/>
      <c r="AA386" s="69"/>
    </row>
    <row r="387" spans="1:27">
      <c r="A387" s="69"/>
      <c r="B387" s="69"/>
      <c r="C387" s="69"/>
      <c r="D387" s="69"/>
      <c r="E387" s="69"/>
      <c r="F387" s="69"/>
      <c r="G387" s="69"/>
      <c r="H387" s="69"/>
      <c r="I387" s="69"/>
      <c r="J387" s="69"/>
      <c r="K387" s="69"/>
      <c r="L387" s="69"/>
      <c r="M387" s="69"/>
      <c r="N387" s="69"/>
      <c r="O387" s="69"/>
      <c r="P387" s="69"/>
      <c r="Q387" s="69"/>
      <c r="R387" s="69"/>
      <c r="S387" s="69"/>
      <c r="T387" s="69"/>
      <c r="U387" s="69"/>
      <c r="V387" s="69"/>
      <c r="W387" s="69"/>
      <c r="X387" s="69"/>
      <c r="Y387" s="69"/>
      <c r="Z387" s="69"/>
      <c r="AA387" s="69"/>
    </row>
    <row r="388" spans="1:27">
      <c r="A388" s="69"/>
      <c r="B388" s="69"/>
      <c r="C388" s="69"/>
      <c r="D388" s="69"/>
      <c r="E388" s="69"/>
      <c r="F388" s="69"/>
      <c r="G388" s="69"/>
      <c r="H388" s="69"/>
      <c r="I388" s="69"/>
      <c r="J388" s="69"/>
      <c r="K388" s="69"/>
      <c r="L388" s="69"/>
      <c r="M388" s="69"/>
      <c r="N388" s="69"/>
      <c r="O388" s="69"/>
      <c r="P388" s="69"/>
      <c r="Q388" s="69"/>
      <c r="R388" s="69"/>
      <c r="S388" s="69"/>
      <c r="T388" s="69"/>
      <c r="U388" s="69"/>
      <c r="V388" s="69"/>
      <c r="W388" s="69"/>
      <c r="X388" s="69"/>
      <c r="Y388" s="69"/>
      <c r="Z388" s="69"/>
      <c r="AA388" s="69"/>
    </row>
    <row r="389" spans="1:27">
      <c r="A389" s="69"/>
      <c r="B389" s="69"/>
      <c r="C389" s="69"/>
      <c r="D389" s="69"/>
      <c r="E389" s="69"/>
      <c r="F389" s="69"/>
      <c r="G389" s="69"/>
      <c r="H389" s="69"/>
      <c r="I389" s="69"/>
      <c r="J389" s="69"/>
      <c r="K389" s="69"/>
      <c r="L389" s="69"/>
      <c r="M389" s="69"/>
      <c r="N389" s="69"/>
      <c r="O389" s="69"/>
      <c r="P389" s="69"/>
      <c r="Q389" s="69"/>
      <c r="R389" s="69"/>
      <c r="S389" s="69"/>
      <c r="T389" s="69"/>
      <c r="U389" s="69"/>
      <c r="V389" s="69"/>
      <c r="W389" s="69"/>
      <c r="X389" s="69"/>
      <c r="Y389" s="69"/>
      <c r="Z389" s="69"/>
      <c r="AA389" s="69"/>
    </row>
    <row r="390" spans="1:27">
      <c r="A390" s="69"/>
      <c r="B390" s="69"/>
      <c r="C390" s="69"/>
      <c r="D390" s="69"/>
      <c r="E390" s="69"/>
      <c r="F390" s="69"/>
      <c r="G390" s="69"/>
      <c r="H390" s="69"/>
      <c r="I390" s="69"/>
      <c r="J390" s="69"/>
      <c r="K390" s="69"/>
      <c r="L390" s="69"/>
      <c r="M390" s="69"/>
      <c r="N390" s="69"/>
      <c r="O390" s="69"/>
      <c r="P390" s="69"/>
      <c r="Q390" s="69"/>
      <c r="R390" s="69"/>
      <c r="S390" s="69"/>
      <c r="T390" s="69"/>
      <c r="U390" s="69"/>
      <c r="V390" s="69"/>
      <c r="W390" s="69"/>
      <c r="X390" s="69"/>
      <c r="Y390" s="69"/>
      <c r="Z390" s="69"/>
      <c r="AA390" s="69"/>
    </row>
    <row r="391" spans="1:27">
      <c r="A391" s="69"/>
      <c r="B391" s="69"/>
      <c r="C391" s="69"/>
      <c r="D391" s="69"/>
      <c r="E391" s="69"/>
      <c r="F391" s="69"/>
      <c r="G391" s="69"/>
      <c r="H391" s="69"/>
      <c r="I391" s="69"/>
      <c r="J391" s="69"/>
      <c r="K391" s="69"/>
      <c r="L391" s="69"/>
      <c r="M391" s="69"/>
      <c r="N391" s="69"/>
      <c r="O391" s="69"/>
      <c r="P391" s="69"/>
      <c r="Q391" s="69"/>
      <c r="R391" s="69"/>
      <c r="S391" s="69"/>
      <c r="T391" s="69"/>
      <c r="U391" s="69"/>
      <c r="V391" s="69"/>
      <c r="W391" s="69"/>
      <c r="X391" s="69"/>
      <c r="Y391" s="69"/>
      <c r="Z391" s="69"/>
      <c r="AA391" s="69"/>
    </row>
    <row r="392" spans="1:27">
      <c r="A392" s="69"/>
      <c r="B392" s="69"/>
      <c r="C392" s="69"/>
      <c r="D392" s="69"/>
      <c r="E392" s="69"/>
      <c r="F392" s="69"/>
      <c r="G392" s="69"/>
      <c r="H392" s="69"/>
      <c r="I392" s="69"/>
      <c r="J392" s="69"/>
      <c r="K392" s="69"/>
      <c r="L392" s="69"/>
      <c r="M392" s="69"/>
      <c r="N392" s="69"/>
      <c r="O392" s="69"/>
      <c r="P392" s="69"/>
      <c r="Q392" s="69"/>
      <c r="R392" s="69"/>
      <c r="S392" s="69"/>
      <c r="T392" s="69"/>
      <c r="U392" s="69"/>
      <c r="V392" s="69"/>
      <c r="W392" s="69"/>
      <c r="X392" s="69"/>
      <c r="Y392" s="69"/>
      <c r="Z392" s="69"/>
      <c r="AA392" s="69"/>
    </row>
    <row r="393" spans="1:27">
      <c r="A393" s="69"/>
      <c r="B393" s="69"/>
      <c r="C393" s="69"/>
      <c r="D393" s="69"/>
      <c r="E393" s="69"/>
      <c r="F393" s="69"/>
      <c r="G393" s="69"/>
      <c r="H393" s="69"/>
      <c r="I393" s="69"/>
      <c r="J393" s="69"/>
      <c r="K393" s="69"/>
      <c r="L393" s="69"/>
      <c r="M393" s="69"/>
      <c r="N393" s="69"/>
      <c r="O393" s="69"/>
      <c r="P393" s="69"/>
      <c r="Q393" s="69"/>
      <c r="R393" s="69"/>
      <c r="S393" s="69"/>
      <c r="T393" s="69"/>
      <c r="U393" s="69"/>
      <c r="V393" s="69"/>
      <c r="W393" s="69"/>
      <c r="X393" s="69"/>
      <c r="Y393" s="69"/>
      <c r="Z393" s="69"/>
      <c r="AA393" s="69"/>
    </row>
    <row r="394" spans="1:27">
      <c r="A394" s="69"/>
      <c r="B394" s="69"/>
      <c r="C394" s="69"/>
      <c r="D394" s="69"/>
      <c r="E394" s="69"/>
      <c r="F394" s="69"/>
      <c r="G394" s="69"/>
      <c r="H394" s="69"/>
      <c r="I394" s="69"/>
      <c r="J394" s="69"/>
      <c r="K394" s="69"/>
      <c r="L394" s="69"/>
      <c r="M394" s="69"/>
      <c r="N394" s="69"/>
      <c r="O394" s="69"/>
      <c r="P394" s="69"/>
      <c r="Q394" s="69"/>
      <c r="R394" s="69"/>
      <c r="S394" s="69"/>
      <c r="T394" s="69"/>
      <c r="U394" s="69"/>
      <c r="V394" s="69"/>
      <c r="W394" s="69"/>
      <c r="X394" s="69"/>
      <c r="Y394" s="69"/>
      <c r="Z394" s="69"/>
      <c r="AA394" s="69"/>
    </row>
    <row r="395" spans="1:27">
      <c r="A395" s="69"/>
      <c r="B395" s="69"/>
      <c r="C395" s="69"/>
      <c r="D395" s="69"/>
      <c r="E395" s="69"/>
      <c r="F395" s="69"/>
      <c r="G395" s="69"/>
      <c r="H395" s="69"/>
      <c r="I395" s="69"/>
      <c r="J395" s="69"/>
      <c r="K395" s="69"/>
      <c r="L395" s="69"/>
      <c r="M395" s="69"/>
      <c r="N395" s="69"/>
      <c r="O395" s="69"/>
      <c r="P395" s="69"/>
      <c r="Q395" s="69"/>
      <c r="R395" s="69"/>
      <c r="S395" s="69"/>
      <c r="T395" s="69"/>
      <c r="U395" s="69"/>
      <c r="V395" s="69"/>
      <c r="W395" s="69"/>
      <c r="X395" s="69"/>
      <c r="Y395" s="69"/>
      <c r="Z395" s="69"/>
      <c r="AA395" s="69"/>
    </row>
    <row r="396" spans="1:27">
      <c r="A396" s="69"/>
      <c r="B396" s="69"/>
      <c r="C396" s="69"/>
      <c r="D396" s="69"/>
      <c r="E396" s="69"/>
      <c r="F396" s="69"/>
      <c r="G396" s="69"/>
      <c r="H396" s="69"/>
      <c r="I396" s="69"/>
      <c r="J396" s="69"/>
      <c r="K396" s="69"/>
      <c r="L396" s="69"/>
      <c r="M396" s="69"/>
      <c r="N396" s="69"/>
      <c r="O396" s="69"/>
      <c r="P396" s="69"/>
      <c r="Q396" s="69"/>
      <c r="R396" s="69"/>
      <c r="S396" s="69"/>
      <c r="T396" s="69"/>
      <c r="U396" s="69"/>
      <c r="V396" s="69"/>
      <c r="W396" s="69"/>
      <c r="X396" s="69"/>
      <c r="Y396" s="69"/>
      <c r="Z396" s="69"/>
      <c r="AA396" s="69"/>
    </row>
    <row r="397" spans="1:27">
      <c r="A397" s="69"/>
      <c r="B397" s="69"/>
      <c r="C397" s="69"/>
      <c r="D397" s="69"/>
      <c r="E397" s="69"/>
      <c r="F397" s="69"/>
      <c r="G397" s="69"/>
      <c r="H397" s="69"/>
      <c r="I397" s="69"/>
      <c r="J397" s="69"/>
      <c r="K397" s="69"/>
      <c r="L397" s="69"/>
      <c r="M397" s="69"/>
      <c r="N397" s="69"/>
      <c r="O397" s="69"/>
      <c r="P397" s="69"/>
      <c r="Q397" s="69"/>
      <c r="R397" s="69"/>
      <c r="S397" s="69"/>
      <c r="T397" s="69"/>
      <c r="U397" s="69"/>
      <c r="V397" s="69"/>
      <c r="W397" s="69"/>
      <c r="X397" s="69"/>
      <c r="Y397" s="69"/>
      <c r="Z397" s="69"/>
      <c r="AA397" s="69"/>
    </row>
    <row r="398" spans="1:27">
      <c r="A398" s="69"/>
      <c r="B398" s="69"/>
      <c r="C398" s="69"/>
      <c r="D398" s="69"/>
      <c r="E398" s="69"/>
      <c r="F398" s="69"/>
      <c r="G398" s="69"/>
      <c r="H398" s="69"/>
      <c r="I398" s="69"/>
      <c r="J398" s="69"/>
      <c r="K398" s="69"/>
      <c r="L398" s="69"/>
      <c r="M398" s="69"/>
      <c r="N398" s="69"/>
      <c r="O398" s="69"/>
      <c r="P398" s="69"/>
      <c r="Q398" s="69"/>
      <c r="R398" s="69"/>
      <c r="S398" s="69"/>
      <c r="T398" s="69"/>
      <c r="U398" s="69"/>
      <c r="V398" s="69"/>
      <c r="W398" s="69"/>
      <c r="X398" s="69"/>
      <c r="Y398" s="69"/>
      <c r="Z398" s="69"/>
      <c r="AA398" s="69"/>
    </row>
    <row r="399" spans="1:27">
      <c r="A399" s="69"/>
      <c r="B399" s="69"/>
      <c r="C399" s="69"/>
      <c r="D399" s="69"/>
      <c r="E399" s="69"/>
      <c r="F399" s="69"/>
      <c r="G399" s="69"/>
      <c r="H399" s="69"/>
      <c r="I399" s="69"/>
      <c r="J399" s="69"/>
      <c r="K399" s="69"/>
      <c r="L399" s="69"/>
      <c r="M399" s="69"/>
      <c r="N399" s="69"/>
      <c r="O399" s="69"/>
      <c r="P399" s="69"/>
      <c r="Q399" s="69"/>
      <c r="R399" s="69"/>
      <c r="S399" s="69"/>
      <c r="T399" s="69"/>
      <c r="U399" s="69"/>
      <c r="V399" s="69"/>
      <c r="W399" s="69"/>
      <c r="X399" s="69"/>
      <c r="Y399" s="69"/>
      <c r="Z399" s="69"/>
      <c r="AA399" s="69"/>
    </row>
    <row r="400" spans="1:27">
      <c r="A400" s="69"/>
      <c r="B400" s="69"/>
      <c r="C400" s="69"/>
      <c r="D400" s="69"/>
      <c r="E400" s="69"/>
      <c r="F400" s="69"/>
      <c r="G400" s="69"/>
      <c r="H400" s="69"/>
      <c r="I400" s="69"/>
      <c r="J400" s="69"/>
      <c r="K400" s="69"/>
      <c r="L400" s="69"/>
      <c r="M400" s="69"/>
      <c r="N400" s="69"/>
      <c r="O400" s="69"/>
      <c r="P400" s="69"/>
      <c r="Q400" s="69"/>
      <c r="R400" s="69"/>
      <c r="S400" s="69"/>
      <c r="T400" s="69"/>
      <c r="U400" s="69"/>
      <c r="V400" s="69"/>
      <c r="W400" s="69"/>
      <c r="X400" s="69"/>
      <c r="Y400" s="69"/>
      <c r="Z400" s="69"/>
      <c r="AA400" s="69"/>
    </row>
    <row r="401" spans="1:27">
      <c r="A401" s="69"/>
      <c r="B401" s="69"/>
      <c r="C401" s="69"/>
      <c r="D401" s="69"/>
      <c r="E401" s="69"/>
      <c r="F401" s="69"/>
      <c r="G401" s="69"/>
      <c r="H401" s="69"/>
      <c r="I401" s="69"/>
      <c r="J401" s="69"/>
      <c r="K401" s="69"/>
      <c r="L401" s="69"/>
      <c r="M401" s="69"/>
      <c r="N401" s="69"/>
      <c r="O401" s="69"/>
      <c r="P401" s="69"/>
      <c r="Q401" s="69"/>
      <c r="R401" s="69"/>
      <c r="S401" s="69"/>
      <c r="T401" s="69"/>
      <c r="U401" s="69"/>
      <c r="V401" s="69"/>
      <c r="W401" s="69"/>
      <c r="X401" s="69"/>
      <c r="Y401" s="69"/>
      <c r="Z401" s="69"/>
      <c r="AA401" s="69"/>
    </row>
    <row r="402" spans="1:27">
      <c r="A402" s="69"/>
      <c r="B402" s="69"/>
      <c r="C402" s="69"/>
      <c r="D402" s="69"/>
      <c r="E402" s="69"/>
      <c r="F402" s="69"/>
      <c r="G402" s="69"/>
      <c r="H402" s="69"/>
      <c r="I402" s="69"/>
      <c r="J402" s="69"/>
      <c r="K402" s="69"/>
      <c r="L402" s="69"/>
      <c r="M402" s="69"/>
      <c r="N402" s="69"/>
      <c r="O402" s="69"/>
      <c r="P402" s="69"/>
      <c r="Q402" s="69"/>
      <c r="R402" s="69"/>
      <c r="S402" s="69"/>
      <c r="T402" s="69"/>
      <c r="U402" s="69"/>
      <c r="V402" s="69"/>
      <c r="W402" s="69"/>
      <c r="X402" s="69"/>
      <c r="Y402" s="69"/>
      <c r="Z402" s="69"/>
      <c r="AA402" s="69"/>
    </row>
    <row r="403" spans="1:27">
      <c r="A403" s="69"/>
      <c r="B403" s="69"/>
      <c r="C403" s="69"/>
      <c r="D403" s="69"/>
      <c r="E403" s="69"/>
      <c r="F403" s="69"/>
      <c r="G403" s="69"/>
      <c r="H403" s="69"/>
      <c r="I403" s="69"/>
      <c r="J403" s="69"/>
      <c r="K403" s="69"/>
      <c r="L403" s="69"/>
      <c r="M403" s="69"/>
      <c r="N403" s="69"/>
      <c r="O403" s="69"/>
      <c r="P403" s="69"/>
      <c r="Q403" s="69"/>
      <c r="R403" s="69"/>
      <c r="S403" s="69"/>
      <c r="T403" s="69"/>
      <c r="U403" s="69"/>
      <c r="V403" s="69"/>
      <c r="W403" s="69"/>
      <c r="X403" s="69"/>
      <c r="Y403" s="69"/>
      <c r="Z403" s="69"/>
      <c r="AA403" s="69"/>
    </row>
    <row r="404" spans="1:27">
      <c r="A404" s="69"/>
      <c r="B404" s="69"/>
      <c r="C404" s="69"/>
      <c r="D404" s="69"/>
      <c r="E404" s="69"/>
      <c r="F404" s="69"/>
      <c r="G404" s="69"/>
      <c r="H404" s="69"/>
      <c r="I404" s="69"/>
      <c r="J404" s="69"/>
      <c r="K404" s="69"/>
      <c r="L404" s="69"/>
      <c r="M404" s="69"/>
      <c r="N404" s="69"/>
      <c r="O404" s="69"/>
      <c r="P404" s="69"/>
      <c r="Q404" s="69"/>
      <c r="R404" s="69"/>
      <c r="S404" s="69"/>
      <c r="T404" s="69"/>
      <c r="U404" s="69"/>
      <c r="V404" s="69"/>
      <c r="W404" s="69"/>
      <c r="X404" s="69"/>
      <c r="Y404" s="69"/>
      <c r="Z404" s="69"/>
      <c r="AA404" s="69"/>
    </row>
    <row r="405" spans="1:27">
      <c r="A405" s="69"/>
      <c r="B405" s="69"/>
      <c r="C405" s="69"/>
      <c r="D405" s="69"/>
      <c r="E405" s="69"/>
      <c r="F405" s="69"/>
      <c r="G405" s="69"/>
      <c r="H405" s="69"/>
      <c r="I405" s="69"/>
      <c r="J405" s="69"/>
      <c r="K405" s="69"/>
      <c r="L405" s="69"/>
      <c r="M405" s="69"/>
      <c r="N405" s="69"/>
      <c r="O405" s="69"/>
      <c r="P405" s="69"/>
      <c r="Q405" s="69"/>
      <c r="R405" s="69"/>
      <c r="S405" s="69"/>
      <c r="T405" s="69"/>
      <c r="U405" s="69"/>
      <c r="V405" s="69"/>
      <c r="W405" s="69"/>
      <c r="X405" s="69"/>
      <c r="Y405" s="69"/>
      <c r="Z405" s="69"/>
      <c r="AA405" s="69"/>
    </row>
    <row r="406" spans="1:27">
      <c r="A406" s="69"/>
      <c r="B406" s="69"/>
      <c r="C406" s="69"/>
      <c r="D406" s="69"/>
      <c r="E406" s="69"/>
      <c r="F406" s="69"/>
      <c r="G406" s="69"/>
      <c r="H406" s="69"/>
      <c r="I406" s="69"/>
      <c r="J406" s="69"/>
      <c r="K406" s="69"/>
      <c r="L406" s="69"/>
      <c r="M406" s="69"/>
      <c r="N406" s="69"/>
      <c r="O406" s="69"/>
      <c r="P406" s="69"/>
      <c r="Q406" s="69"/>
      <c r="R406" s="69"/>
      <c r="S406" s="69"/>
      <c r="T406" s="69"/>
      <c r="U406" s="69"/>
      <c r="V406" s="69"/>
      <c r="W406" s="69"/>
      <c r="X406" s="69"/>
      <c r="Y406" s="69"/>
      <c r="Z406" s="69"/>
      <c r="AA406" s="69"/>
    </row>
    <row r="407" spans="1:27">
      <c r="A407" s="69"/>
      <c r="B407" s="69"/>
      <c r="C407" s="69"/>
      <c r="D407" s="69"/>
      <c r="E407" s="69"/>
      <c r="F407" s="69"/>
      <c r="G407" s="69"/>
      <c r="H407" s="69"/>
      <c r="I407" s="69"/>
      <c r="J407" s="69"/>
      <c r="K407" s="69"/>
      <c r="L407" s="69"/>
      <c r="M407" s="69"/>
      <c r="N407" s="69"/>
      <c r="O407" s="69"/>
      <c r="P407" s="69"/>
      <c r="Q407" s="69"/>
      <c r="R407" s="69"/>
      <c r="S407" s="69"/>
      <c r="T407" s="69"/>
      <c r="U407" s="69"/>
      <c r="V407" s="69"/>
      <c r="W407" s="69"/>
      <c r="X407" s="69"/>
      <c r="Y407" s="69"/>
      <c r="Z407" s="69"/>
      <c r="AA407" s="69"/>
    </row>
    <row r="408" spans="1:27">
      <c r="A408" s="69"/>
      <c r="B408" s="69"/>
      <c r="C408" s="69"/>
      <c r="D408" s="69"/>
      <c r="E408" s="69"/>
      <c r="F408" s="69"/>
      <c r="G408" s="69"/>
      <c r="H408" s="69"/>
      <c r="I408" s="69"/>
      <c r="J408" s="69"/>
      <c r="K408" s="69"/>
      <c r="L408" s="69"/>
      <c r="M408" s="69"/>
      <c r="N408" s="69"/>
      <c r="O408" s="69"/>
      <c r="P408" s="69"/>
      <c r="Q408" s="69"/>
      <c r="R408" s="69"/>
      <c r="S408" s="69"/>
      <c r="T408" s="69"/>
      <c r="U408" s="69"/>
      <c r="V408" s="69"/>
      <c r="W408" s="69"/>
      <c r="X408" s="69"/>
      <c r="Y408" s="69"/>
      <c r="Z408" s="69"/>
      <c r="AA408" s="69"/>
    </row>
    <row r="409" spans="1:27">
      <c r="A409" s="69"/>
      <c r="B409" s="69"/>
      <c r="C409" s="69"/>
      <c r="D409" s="69"/>
      <c r="E409" s="69"/>
      <c r="F409" s="69"/>
      <c r="G409" s="69"/>
      <c r="H409" s="69"/>
      <c r="I409" s="69"/>
      <c r="J409" s="69"/>
      <c r="K409" s="69"/>
      <c r="L409" s="69"/>
      <c r="M409" s="69"/>
      <c r="N409" s="69"/>
      <c r="O409" s="69"/>
      <c r="P409" s="69"/>
      <c r="Q409" s="69"/>
      <c r="R409" s="69"/>
      <c r="S409" s="69"/>
      <c r="T409" s="69"/>
      <c r="U409" s="69"/>
      <c r="V409" s="69"/>
      <c r="W409" s="69"/>
      <c r="X409" s="69"/>
      <c r="Y409" s="69"/>
      <c r="Z409" s="69"/>
      <c r="AA409" s="69"/>
    </row>
    <row r="410" spans="1:27">
      <c r="A410" s="69"/>
      <c r="B410" s="69"/>
      <c r="C410" s="69"/>
      <c r="D410" s="69"/>
      <c r="E410" s="69"/>
      <c r="F410" s="69"/>
      <c r="G410" s="69"/>
      <c r="H410" s="69"/>
      <c r="I410" s="69"/>
      <c r="J410" s="69"/>
      <c r="K410" s="69"/>
      <c r="L410" s="69"/>
      <c r="M410" s="69"/>
      <c r="N410" s="69"/>
      <c r="O410" s="69"/>
      <c r="P410" s="69"/>
      <c r="Q410" s="69"/>
      <c r="R410" s="69"/>
      <c r="S410" s="69"/>
      <c r="T410" s="69"/>
      <c r="U410" s="69"/>
      <c r="V410" s="69"/>
      <c r="W410" s="69"/>
      <c r="X410" s="69"/>
      <c r="Y410" s="69"/>
      <c r="Z410" s="69"/>
      <c r="AA410" s="69"/>
    </row>
    <row r="411" spans="1:27">
      <c r="A411" s="69"/>
      <c r="B411" s="69"/>
      <c r="C411" s="69"/>
      <c r="D411" s="69"/>
      <c r="E411" s="69"/>
      <c r="F411" s="69"/>
      <c r="G411" s="69"/>
      <c r="H411" s="69"/>
      <c r="I411" s="69"/>
      <c r="J411" s="69"/>
      <c r="K411" s="69"/>
      <c r="L411" s="69"/>
      <c r="M411" s="69"/>
      <c r="N411" s="69"/>
      <c r="O411" s="69"/>
      <c r="P411" s="69"/>
      <c r="Q411" s="69"/>
      <c r="R411" s="69"/>
      <c r="S411" s="69"/>
      <c r="T411" s="69"/>
      <c r="U411" s="69"/>
      <c r="V411" s="69"/>
      <c r="W411" s="69"/>
      <c r="X411" s="69"/>
      <c r="Y411" s="69"/>
      <c r="Z411" s="69"/>
      <c r="AA411" s="69"/>
    </row>
    <row r="412" spans="1:27">
      <c r="A412" s="69"/>
      <c r="B412" s="69"/>
      <c r="C412" s="69"/>
      <c r="D412" s="69"/>
      <c r="E412" s="69"/>
      <c r="F412" s="69"/>
      <c r="G412" s="69"/>
      <c r="H412" s="69"/>
      <c r="I412" s="69"/>
      <c r="J412" s="69"/>
      <c r="K412" s="69"/>
      <c r="L412" s="69"/>
      <c r="M412" s="69"/>
      <c r="N412" s="69"/>
      <c r="O412" s="69"/>
      <c r="P412" s="69"/>
      <c r="Q412" s="69"/>
      <c r="R412" s="69"/>
      <c r="S412" s="69"/>
      <c r="T412" s="69"/>
      <c r="U412" s="69"/>
      <c r="V412" s="69"/>
      <c r="W412" s="69"/>
      <c r="X412" s="69"/>
      <c r="Y412" s="69"/>
      <c r="Z412" s="69"/>
      <c r="AA412" s="69"/>
    </row>
    <row r="413" spans="1:27">
      <c r="A413" s="69"/>
      <c r="B413" s="69"/>
      <c r="C413" s="69"/>
      <c r="D413" s="69"/>
      <c r="E413" s="69"/>
      <c r="F413" s="69"/>
      <c r="G413" s="69"/>
      <c r="H413" s="69"/>
      <c r="I413" s="69"/>
      <c r="J413" s="69"/>
      <c r="K413" s="69"/>
      <c r="L413" s="69"/>
      <c r="M413" s="69"/>
      <c r="N413" s="69"/>
      <c r="O413" s="69"/>
      <c r="P413" s="69"/>
      <c r="Q413" s="69"/>
      <c r="R413" s="69"/>
      <c r="S413" s="69"/>
      <c r="T413" s="69"/>
      <c r="U413" s="69"/>
      <c r="V413" s="69"/>
      <c r="W413" s="69"/>
      <c r="X413" s="69"/>
      <c r="Y413" s="69"/>
      <c r="Z413" s="69"/>
      <c r="AA413" s="69"/>
    </row>
    <row r="414" spans="1:27">
      <c r="A414" s="69"/>
      <c r="B414" s="69"/>
      <c r="C414" s="69"/>
      <c r="D414" s="69"/>
      <c r="E414" s="69"/>
      <c r="F414" s="69"/>
      <c r="G414" s="69"/>
      <c r="H414" s="69"/>
      <c r="I414" s="69"/>
      <c r="J414" s="69"/>
      <c r="K414" s="69"/>
      <c r="L414" s="69"/>
      <c r="M414" s="69"/>
      <c r="N414" s="69"/>
      <c r="O414" s="69"/>
      <c r="P414" s="69"/>
      <c r="Q414" s="69"/>
      <c r="R414" s="69"/>
      <c r="S414" s="69"/>
      <c r="T414" s="69"/>
      <c r="U414" s="69"/>
      <c r="V414" s="69"/>
      <c r="W414" s="69"/>
      <c r="X414" s="69"/>
      <c r="Y414" s="69"/>
      <c r="Z414" s="69"/>
      <c r="AA414" s="69"/>
    </row>
    <row r="415" spans="1:27">
      <c r="A415" s="69"/>
      <c r="B415" s="69"/>
      <c r="C415" s="69"/>
      <c r="D415" s="69"/>
      <c r="E415" s="69"/>
      <c r="F415" s="69"/>
      <c r="G415" s="69"/>
      <c r="H415" s="69"/>
      <c r="I415" s="69"/>
      <c r="J415" s="69"/>
      <c r="K415" s="69"/>
      <c r="L415" s="69"/>
      <c r="M415" s="69"/>
      <c r="N415" s="69"/>
      <c r="O415" s="69"/>
      <c r="P415" s="69"/>
      <c r="Q415" s="69"/>
      <c r="R415" s="69"/>
      <c r="S415" s="69"/>
      <c r="T415" s="69"/>
      <c r="U415" s="69"/>
      <c r="V415" s="69"/>
      <c r="W415" s="69"/>
      <c r="X415" s="69"/>
      <c r="Y415" s="69"/>
      <c r="Z415" s="69"/>
      <c r="AA415" s="69"/>
    </row>
    <row r="416" spans="1:27">
      <c r="A416" s="69"/>
      <c r="B416" s="69"/>
      <c r="C416" s="69"/>
      <c r="D416" s="69"/>
      <c r="E416" s="69"/>
      <c r="F416" s="69"/>
      <c r="G416" s="69"/>
      <c r="H416" s="69"/>
      <c r="I416" s="69"/>
      <c r="J416" s="69"/>
      <c r="K416" s="69"/>
      <c r="L416" s="69"/>
      <c r="M416" s="69"/>
      <c r="N416" s="69"/>
      <c r="O416" s="69"/>
      <c r="P416" s="69"/>
      <c r="Q416" s="69"/>
      <c r="R416" s="69"/>
      <c r="S416" s="69"/>
      <c r="T416" s="69"/>
      <c r="U416" s="69"/>
      <c r="V416" s="69"/>
      <c r="W416" s="69"/>
      <c r="X416" s="69"/>
      <c r="Y416" s="69"/>
      <c r="Z416" s="69"/>
      <c r="AA416" s="69"/>
    </row>
    <row r="417" spans="1:27">
      <c r="A417" s="69"/>
      <c r="B417" s="69"/>
      <c r="C417" s="69"/>
      <c r="D417" s="69"/>
      <c r="E417" s="69"/>
      <c r="F417" s="69"/>
      <c r="G417" s="69"/>
      <c r="H417" s="69"/>
      <c r="I417" s="69"/>
      <c r="J417" s="69"/>
      <c r="K417" s="69"/>
      <c r="L417" s="69"/>
      <c r="M417" s="69"/>
      <c r="N417" s="69"/>
      <c r="O417" s="69"/>
      <c r="P417" s="69"/>
      <c r="Q417" s="69"/>
      <c r="R417" s="69"/>
      <c r="S417" s="69"/>
      <c r="T417" s="69"/>
      <c r="U417" s="69"/>
      <c r="V417" s="69"/>
      <c r="W417" s="69"/>
      <c r="X417" s="69"/>
      <c r="Y417" s="69"/>
      <c r="Z417" s="69"/>
      <c r="AA417" s="69"/>
    </row>
    <row r="418" spans="1:27">
      <c r="A418" s="69"/>
      <c r="B418" s="69"/>
      <c r="C418" s="69"/>
      <c r="D418" s="69"/>
      <c r="E418" s="69"/>
      <c r="F418" s="69"/>
      <c r="G418" s="69"/>
      <c r="H418" s="69"/>
      <c r="I418" s="69"/>
      <c r="J418" s="69"/>
      <c r="K418" s="69"/>
      <c r="L418" s="69"/>
      <c r="M418" s="69"/>
      <c r="N418" s="69"/>
      <c r="O418" s="69"/>
      <c r="P418" s="69"/>
      <c r="Q418" s="69"/>
      <c r="R418" s="69"/>
      <c r="S418" s="69"/>
      <c r="T418" s="69"/>
      <c r="U418" s="69"/>
      <c r="V418" s="69"/>
      <c r="W418" s="69"/>
      <c r="X418" s="69"/>
      <c r="Y418" s="69"/>
      <c r="Z418" s="69"/>
      <c r="AA418" s="69"/>
    </row>
    <row r="419" spans="1:27">
      <c r="A419" s="69"/>
      <c r="B419" s="69"/>
      <c r="C419" s="69"/>
      <c r="D419" s="69"/>
      <c r="E419" s="69"/>
      <c r="F419" s="69"/>
      <c r="G419" s="69"/>
      <c r="H419" s="69"/>
      <c r="I419" s="69"/>
      <c r="J419" s="69"/>
      <c r="K419" s="69"/>
      <c r="L419" s="69"/>
      <c r="M419" s="69"/>
      <c r="N419" s="69"/>
      <c r="O419" s="69"/>
      <c r="P419" s="69"/>
      <c r="Q419" s="69"/>
      <c r="R419" s="69"/>
      <c r="S419" s="69"/>
      <c r="T419" s="69"/>
      <c r="U419" s="69"/>
      <c r="V419" s="69"/>
      <c r="W419" s="69"/>
      <c r="X419" s="69"/>
      <c r="Y419" s="69"/>
      <c r="Z419" s="69"/>
      <c r="AA419" s="69"/>
    </row>
    <row r="420" spans="1:27">
      <c r="A420" s="69"/>
      <c r="B420" s="69"/>
      <c r="C420" s="69"/>
      <c r="D420" s="69"/>
      <c r="E420" s="69"/>
      <c r="F420" s="69"/>
      <c r="G420" s="69"/>
      <c r="H420" s="69"/>
      <c r="I420" s="69"/>
      <c r="J420" s="69"/>
      <c r="K420" s="69"/>
      <c r="L420" s="69"/>
      <c r="M420" s="69"/>
      <c r="N420" s="69"/>
      <c r="O420" s="69"/>
      <c r="P420" s="69"/>
      <c r="Q420" s="69"/>
      <c r="R420" s="69"/>
      <c r="S420" s="69"/>
      <c r="T420" s="69"/>
      <c r="U420" s="69"/>
      <c r="V420" s="69"/>
      <c r="W420" s="69"/>
      <c r="X420" s="69"/>
      <c r="Y420" s="69"/>
      <c r="Z420" s="69"/>
      <c r="AA420" s="69"/>
    </row>
    <row r="421" spans="1:27">
      <c r="A421" s="69"/>
      <c r="B421" s="69"/>
      <c r="C421" s="69"/>
      <c r="D421" s="69"/>
      <c r="E421" s="69"/>
      <c r="F421" s="69"/>
      <c r="G421" s="69"/>
      <c r="H421" s="69"/>
      <c r="I421" s="69"/>
      <c r="J421" s="69"/>
      <c r="K421" s="69"/>
      <c r="L421" s="69"/>
      <c r="M421" s="69"/>
      <c r="N421" s="69"/>
      <c r="O421" s="69"/>
      <c r="P421" s="69"/>
      <c r="Q421" s="69"/>
      <c r="R421" s="69"/>
      <c r="S421" s="69"/>
      <c r="T421" s="69"/>
      <c r="U421" s="69"/>
      <c r="V421" s="69"/>
      <c r="W421" s="69"/>
      <c r="X421" s="69"/>
      <c r="Y421" s="69"/>
      <c r="Z421" s="69"/>
      <c r="AA421" s="69"/>
    </row>
    <row r="422" spans="1:27">
      <c r="A422" s="69"/>
      <c r="B422" s="69"/>
      <c r="C422" s="69"/>
      <c r="D422" s="69"/>
      <c r="E422" s="69"/>
      <c r="F422" s="69"/>
      <c r="G422" s="69"/>
      <c r="H422" s="69"/>
      <c r="I422" s="69"/>
      <c r="J422" s="69"/>
      <c r="K422" s="69"/>
      <c r="L422" s="69"/>
      <c r="M422" s="69"/>
      <c r="N422" s="69"/>
      <c r="O422" s="69"/>
      <c r="P422" s="69"/>
      <c r="Q422" s="69"/>
      <c r="R422" s="69"/>
      <c r="S422" s="69"/>
      <c r="T422" s="69"/>
      <c r="U422" s="69"/>
      <c r="V422" s="69"/>
      <c r="W422" s="69"/>
      <c r="X422" s="69"/>
      <c r="Y422" s="69"/>
      <c r="Z422" s="69"/>
      <c r="AA422" s="69"/>
    </row>
    <row r="423" spans="1:27">
      <c r="A423" s="69"/>
      <c r="B423" s="69"/>
      <c r="C423" s="69"/>
      <c r="D423" s="69"/>
      <c r="E423" s="69"/>
      <c r="F423" s="69"/>
      <c r="G423" s="69"/>
      <c r="H423" s="69"/>
      <c r="I423" s="69"/>
      <c r="J423" s="69"/>
      <c r="K423" s="69"/>
      <c r="L423" s="69"/>
      <c r="M423" s="69"/>
      <c r="N423" s="69"/>
      <c r="O423" s="69"/>
      <c r="P423" s="69"/>
      <c r="Q423" s="69"/>
      <c r="R423" s="69"/>
      <c r="S423" s="69"/>
      <c r="T423" s="69"/>
      <c r="U423" s="69"/>
      <c r="V423" s="69"/>
      <c r="W423" s="69"/>
      <c r="X423" s="69"/>
      <c r="Y423" s="69"/>
      <c r="Z423" s="69"/>
      <c r="AA423" s="69"/>
    </row>
    <row r="424" spans="1:27">
      <c r="A424" s="69"/>
      <c r="B424" s="69"/>
      <c r="C424" s="69"/>
      <c r="D424" s="69"/>
      <c r="E424" s="69"/>
      <c r="F424" s="69"/>
      <c r="G424" s="69"/>
      <c r="H424" s="69"/>
      <c r="I424" s="69"/>
      <c r="J424" s="69"/>
      <c r="K424" s="69"/>
      <c r="L424" s="69"/>
      <c r="M424" s="69"/>
      <c r="N424" s="69"/>
      <c r="O424" s="69"/>
      <c r="P424" s="69"/>
      <c r="Q424" s="69"/>
      <c r="R424" s="69"/>
      <c r="S424" s="69"/>
      <c r="T424" s="69"/>
      <c r="U424" s="69"/>
      <c r="V424" s="69"/>
      <c r="W424" s="69"/>
      <c r="X424" s="69"/>
      <c r="Y424" s="69"/>
      <c r="Z424" s="69"/>
      <c r="AA424" s="69"/>
    </row>
    <row r="425" spans="1:27">
      <c r="A425" s="69"/>
      <c r="B425" s="69"/>
      <c r="C425" s="69"/>
      <c r="D425" s="69"/>
      <c r="E425" s="69"/>
      <c r="F425" s="69"/>
      <c r="G425" s="69"/>
      <c r="H425" s="69"/>
      <c r="I425" s="69"/>
      <c r="J425" s="69"/>
      <c r="K425" s="69"/>
      <c r="L425" s="69"/>
      <c r="M425" s="69"/>
      <c r="N425" s="69"/>
      <c r="O425" s="69"/>
      <c r="P425" s="69"/>
      <c r="Q425" s="69"/>
      <c r="R425" s="69"/>
      <c r="S425" s="69"/>
      <c r="T425" s="69"/>
      <c r="U425" s="69"/>
      <c r="V425" s="69"/>
      <c r="W425" s="69"/>
      <c r="X425" s="69"/>
      <c r="Y425" s="69"/>
      <c r="Z425" s="69"/>
      <c r="AA425" s="69"/>
    </row>
    <row r="426" spans="1:27">
      <c r="A426" s="69"/>
      <c r="B426" s="69"/>
      <c r="C426" s="69"/>
      <c r="D426" s="69"/>
      <c r="E426" s="69"/>
      <c r="F426" s="69"/>
      <c r="G426" s="69"/>
      <c r="H426" s="69"/>
      <c r="I426" s="69"/>
      <c r="J426" s="69"/>
      <c r="K426" s="69"/>
      <c r="L426" s="69"/>
      <c r="M426" s="69"/>
      <c r="N426" s="69"/>
      <c r="O426" s="69"/>
      <c r="P426" s="69"/>
      <c r="Q426" s="69"/>
      <c r="R426" s="69"/>
      <c r="S426" s="69"/>
      <c r="T426" s="69"/>
      <c r="U426" s="69"/>
      <c r="V426" s="69"/>
      <c r="W426" s="69"/>
      <c r="X426" s="69"/>
      <c r="Y426" s="69"/>
      <c r="Z426" s="69"/>
      <c r="AA426" s="69"/>
    </row>
    <row r="427" spans="1:27">
      <c r="A427" s="69"/>
      <c r="B427" s="69"/>
      <c r="C427" s="69"/>
      <c r="D427" s="69"/>
      <c r="E427" s="69"/>
      <c r="F427" s="69"/>
      <c r="G427" s="69"/>
      <c r="H427" s="69"/>
      <c r="I427" s="69"/>
      <c r="J427" s="69"/>
      <c r="K427" s="69"/>
      <c r="L427" s="69"/>
      <c r="M427" s="69"/>
      <c r="N427" s="69"/>
      <c r="O427" s="69"/>
      <c r="P427" s="69"/>
      <c r="Q427" s="69"/>
      <c r="R427" s="69"/>
      <c r="S427" s="69"/>
      <c r="T427" s="69"/>
      <c r="U427" s="69"/>
      <c r="V427" s="69"/>
      <c r="W427" s="69"/>
      <c r="X427" s="69"/>
      <c r="Y427" s="69"/>
      <c r="Z427" s="69"/>
      <c r="AA427" s="69"/>
    </row>
    <row r="428" spans="1:27">
      <c r="A428" s="69"/>
      <c r="B428" s="69"/>
      <c r="C428" s="69"/>
      <c r="D428" s="69"/>
      <c r="E428" s="69"/>
      <c r="F428" s="69"/>
      <c r="G428" s="69"/>
      <c r="H428" s="69"/>
      <c r="I428" s="69"/>
      <c r="J428" s="69"/>
      <c r="K428" s="69"/>
      <c r="L428" s="69"/>
      <c r="M428" s="69"/>
      <c r="N428" s="69"/>
      <c r="O428" s="69"/>
      <c r="P428" s="69"/>
      <c r="Q428" s="69"/>
      <c r="R428" s="69"/>
      <c r="S428" s="69"/>
      <c r="T428" s="69"/>
      <c r="U428" s="69"/>
      <c r="V428" s="69"/>
      <c r="W428" s="69"/>
      <c r="X428" s="69"/>
      <c r="Y428" s="69"/>
      <c r="Z428" s="69"/>
      <c r="AA428" s="69"/>
    </row>
    <row r="429" spans="1:27">
      <c r="A429" s="69"/>
      <c r="B429" s="69"/>
      <c r="C429" s="69"/>
      <c r="D429" s="69"/>
      <c r="E429" s="69"/>
      <c r="F429" s="69"/>
      <c r="G429" s="69"/>
      <c r="H429" s="69"/>
      <c r="I429" s="69"/>
      <c r="J429" s="69"/>
      <c r="K429" s="69"/>
      <c r="L429" s="69"/>
      <c r="M429" s="69"/>
      <c r="N429" s="69"/>
      <c r="O429" s="69"/>
      <c r="P429" s="69"/>
      <c r="Q429" s="69"/>
      <c r="R429" s="69"/>
      <c r="S429" s="69"/>
      <c r="T429" s="69"/>
      <c r="U429" s="69"/>
      <c r="V429" s="69"/>
      <c r="W429" s="69"/>
      <c r="X429" s="69"/>
      <c r="Y429" s="69"/>
      <c r="Z429" s="69"/>
      <c r="AA429" s="69"/>
    </row>
    <row r="430" spans="1:27">
      <c r="A430" s="69"/>
      <c r="B430" s="69"/>
      <c r="C430" s="69"/>
      <c r="D430" s="69"/>
      <c r="E430" s="69"/>
      <c r="F430" s="69"/>
      <c r="G430" s="69"/>
      <c r="H430" s="69"/>
      <c r="I430" s="69"/>
      <c r="J430" s="69"/>
      <c r="K430" s="69"/>
      <c r="L430" s="69"/>
      <c r="M430" s="69"/>
      <c r="N430" s="69"/>
      <c r="O430" s="69"/>
      <c r="P430" s="69"/>
      <c r="Q430" s="69"/>
      <c r="R430" s="69"/>
      <c r="S430" s="69"/>
      <c r="T430" s="69"/>
      <c r="U430" s="69"/>
      <c r="V430" s="69"/>
      <c r="W430" s="69"/>
      <c r="X430" s="69"/>
      <c r="Y430" s="69"/>
      <c r="Z430" s="69"/>
      <c r="AA430" s="69"/>
    </row>
    <row r="431" spans="1:27">
      <c r="A431" s="69"/>
      <c r="B431" s="69"/>
      <c r="C431" s="69"/>
      <c r="D431" s="69"/>
      <c r="E431" s="69"/>
      <c r="F431" s="69"/>
      <c r="G431" s="69"/>
      <c r="H431" s="69"/>
      <c r="I431" s="69"/>
      <c r="J431" s="69"/>
      <c r="K431" s="69"/>
      <c r="L431" s="69"/>
      <c r="M431" s="69"/>
      <c r="N431" s="69"/>
      <c r="O431" s="69"/>
      <c r="P431" s="69"/>
      <c r="Q431" s="69"/>
      <c r="R431" s="69"/>
      <c r="S431" s="69"/>
      <c r="T431" s="69"/>
      <c r="U431" s="69"/>
      <c r="V431" s="69"/>
      <c r="W431" s="69"/>
      <c r="X431" s="69"/>
      <c r="Y431" s="69"/>
      <c r="Z431" s="69"/>
      <c r="AA431" s="69"/>
    </row>
    <row r="432" spans="1:27">
      <c r="A432" s="69"/>
      <c r="B432" s="69"/>
      <c r="C432" s="69"/>
      <c r="D432" s="69"/>
      <c r="E432" s="69"/>
      <c r="F432" s="69"/>
      <c r="G432" s="69"/>
      <c r="H432" s="69"/>
      <c r="I432" s="69"/>
      <c r="J432" s="69"/>
      <c r="K432" s="69"/>
      <c r="L432" s="69"/>
      <c r="M432" s="69"/>
      <c r="N432" s="69"/>
      <c r="O432" s="69"/>
      <c r="P432" s="69"/>
      <c r="Q432" s="69"/>
      <c r="R432" s="69"/>
      <c r="S432" s="69"/>
      <c r="T432" s="69"/>
      <c r="U432" s="69"/>
      <c r="V432" s="69"/>
      <c r="W432" s="69"/>
      <c r="X432" s="69"/>
      <c r="Y432" s="69"/>
      <c r="Z432" s="69"/>
      <c r="AA432" s="69"/>
    </row>
    <row r="433" spans="1:27">
      <c r="A433" s="69"/>
      <c r="B433" s="69"/>
      <c r="C433" s="69"/>
      <c r="D433" s="69"/>
      <c r="E433" s="69"/>
      <c r="F433" s="69"/>
      <c r="G433" s="69"/>
      <c r="H433" s="69"/>
      <c r="I433" s="69"/>
      <c r="J433" s="69"/>
      <c r="K433" s="69"/>
      <c r="L433" s="69"/>
      <c r="M433" s="69"/>
      <c r="N433" s="69"/>
      <c r="O433" s="69"/>
      <c r="P433" s="69"/>
      <c r="Q433" s="69"/>
      <c r="R433" s="69"/>
      <c r="S433" s="69"/>
      <c r="T433" s="69"/>
      <c r="U433" s="69"/>
      <c r="V433" s="69"/>
      <c r="W433" s="69"/>
      <c r="X433" s="69"/>
      <c r="Y433" s="69"/>
      <c r="Z433" s="69"/>
      <c r="AA433" s="69"/>
    </row>
    <row r="434" spans="1:27">
      <c r="A434" s="69"/>
      <c r="B434" s="69"/>
      <c r="C434" s="69"/>
      <c r="D434" s="69"/>
      <c r="E434" s="69"/>
      <c r="F434" s="69"/>
      <c r="G434" s="69"/>
      <c r="H434" s="69"/>
      <c r="I434" s="69"/>
      <c r="J434" s="69"/>
      <c r="K434" s="69"/>
      <c r="L434" s="69"/>
      <c r="M434" s="69"/>
      <c r="N434" s="69"/>
      <c r="O434" s="69"/>
      <c r="P434" s="69"/>
      <c r="Q434" s="69"/>
      <c r="R434" s="69"/>
      <c r="S434" s="69"/>
      <c r="T434" s="69"/>
      <c r="U434" s="69"/>
      <c r="V434" s="69"/>
      <c r="W434" s="69"/>
      <c r="X434" s="69"/>
      <c r="Y434" s="69"/>
      <c r="Z434" s="69"/>
      <c r="AA434" s="69"/>
    </row>
    <row r="435" spans="1:27">
      <c r="A435" s="69"/>
      <c r="B435" s="69"/>
      <c r="C435" s="69"/>
      <c r="D435" s="69"/>
      <c r="E435" s="69"/>
      <c r="F435" s="69"/>
      <c r="G435" s="69"/>
      <c r="H435" s="69"/>
      <c r="I435" s="69"/>
      <c r="J435" s="69"/>
      <c r="K435" s="69"/>
      <c r="L435" s="69"/>
      <c r="M435" s="69"/>
      <c r="N435" s="69"/>
      <c r="O435" s="69"/>
      <c r="P435" s="69"/>
      <c r="Q435" s="69"/>
      <c r="R435" s="69"/>
      <c r="S435" s="69"/>
      <c r="T435" s="69"/>
      <c r="U435" s="69"/>
      <c r="V435" s="69"/>
      <c r="W435" s="69"/>
      <c r="X435" s="69"/>
      <c r="Y435" s="69"/>
      <c r="Z435" s="69"/>
      <c r="AA435" s="69"/>
    </row>
    <row r="436" spans="1:27">
      <c r="A436" s="69"/>
      <c r="B436" s="69"/>
      <c r="C436" s="69"/>
      <c r="D436" s="69"/>
      <c r="E436" s="69"/>
      <c r="F436" s="69"/>
      <c r="G436" s="69"/>
      <c r="H436" s="69"/>
      <c r="I436" s="69"/>
      <c r="J436" s="69"/>
      <c r="K436" s="69"/>
      <c r="L436" s="69"/>
      <c r="M436" s="69"/>
      <c r="N436" s="69"/>
      <c r="O436" s="69"/>
      <c r="P436" s="69"/>
      <c r="Q436" s="69"/>
      <c r="R436" s="69"/>
      <c r="S436" s="69"/>
      <c r="T436" s="69"/>
      <c r="U436" s="69"/>
      <c r="V436" s="69"/>
      <c r="W436" s="69"/>
      <c r="X436" s="69"/>
      <c r="Y436" s="69"/>
      <c r="Z436" s="69"/>
      <c r="AA436" s="69"/>
    </row>
    <row r="437" spans="1:27">
      <c r="A437" s="69"/>
      <c r="B437" s="69"/>
      <c r="C437" s="69"/>
      <c r="D437" s="69"/>
      <c r="E437" s="69"/>
      <c r="F437" s="69"/>
      <c r="G437" s="69"/>
      <c r="H437" s="69"/>
      <c r="I437" s="69"/>
      <c r="J437" s="69"/>
      <c r="K437" s="69"/>
      <c r="L437" s="69"/>
      <c r="M437" s="69"/>
      <c r="N437" s="69"/>
      <c r="O437" s="69"/>
      <c r="P437" s="69"/>
      <c r="Q437" s="69"/>
      <c r="R437" s="69"/>
      <c r="S437" s="69"/>
      <c r="T437" s="69"/>
      <c r="U437" s="69"/>
      <c r="V437" s="69"/>
      <c r="W437" s="69"/>
      <c r="X437" s="69"/>
      <c r="Y437" s="69"/>
      <c r="Z437" s="69"/>
      <c r="AA437" s="69"/>
    </row>
    <row r="438" spans="1:27">
      <c r="A438" s="69"/>
      <c r="B438" s="69"/>
      <c r="C438" s="69"/>
      <c r="D438" s="69"/>
      <c r="E438" s="69"/>
      <c r="F438" s="69"/>
      <c r="G438" s="69"/>
      <c r="H438" s="69"/>
      <c r="I438" s="69"/>
      <c r="J438" s="69"/>
      <c r="K438" s="69"/>
      <c r="L438" s="69"/>
      <c r="M438" s="69"/>
      <c r="N438" s="69"/>
      <c r="O438" s="69"/>
      <c r="P438" s="69"/>
      <c r="Q438" s="69"/>
      <c r="R438" s="69"/>
      <c r="S438" s="69"/>
      <c r="T438" s="69"/>
      <c r="U438" s="69"/>
      <c r="V438" s="69"/>
      <c r="W438" s="69"/>
      <c r="X438" s="69"/>
      <c r="Y438" s="69"/>
      <c r="Z438" s="69"/>
      <c r="AA438" s="69"/>
    </row>
    <row r="439" spans="1:27">
      <c r="A439" s="69"/>
      <c r="B439" s="69"/>
      <c r="C439" s="69"/>
      <c r="D439" s="69"/>
      <c r="E439" s="69"/>
      <c r="F439" s="69"/>
      <c r="G439" s="69"/>
      <c r="H439" s="69"/>
      <c r="I439" s="69"/>
      <c r="J439" s="69"/>
      <c r="K439" s="69"/>
      <c r="L439" s="69"/>
      <c r="M439" s="69"/>
      <c r="N439" s="69"/>
      <c r="O439" s="69"/>
      <c r="P439" s="69"/>
      <c r="Q439" s="69"/>
      <c r="R439" s="69"/>
      <c r="S439" s="69"/>
      <c r="T439" s="69"/>
      <c r="U439" s="69"/>
      <c r="V439" s="69"/>
      <c r="W439" s="69"/>
      <c r="X439" s="69"/>
      <c r="Y439" s="69"/>
      <c r="Z439" s="69"/>
      <c r="AA439" s="69"/>
    </row>
    <row r="440" spans="1:27">
      <c r="A440" s="69"/>
      <c r="B440" s="69"/>
      <c r="C440" s="69"/>
      <c r="D440" s="69"/>
      <c r="E440" s="69"/>
      <c r="F440" s="69"/>
      <c r="G440" s="69"/>
      <c r="H440" s="69"/>
      <c r="I440" s="69"/>
      <c r="J440" s="69"/>
      <c r="K440" s="69"/>
      <c r="L440" s="69"/>
      <c r="M440" s="69"/>
      <c r="N440" s="69"/>
      <c r="O440" s="69"/>
      <c r="P440" s="69"/>
      <c r="Q440" s="69"/>
      <c r="R440" s="69"/>
      <c r="S440" s="69"/>
      <c r="T440" s="69"/>
      <c r="U440" s="69"/>
      <c r="V440" s="69"/>
      <c r="W440" s="69"/>
      <c r="X440" s="69"/>
      <c r="Y440" s="69"/>
      <c r="Z440" s="69"/>
      <c r="AA440" s="69"/>
    </row>
    <row r="441" spans="1:27">
      <c r="A441" s="69"/>
      <c r="B441" s="69"/>
      <c r="C441" s="69"/>
      <c r="D441" s="69"/>
      <c r="E441" s="69"/>
      <c r="F441" s="69"/>
      <c r="G441" s="69"/>
      <c r="H441" s="69"/>
      <c r="I441" s="69"/>
      <c r="J441" s="69"/>
      <c r="K441" s="69"/>
      <c r="L441" s="69"/>
      <c r="M441" s="69"/>
      <c r="N441" s="69"/>
      <c r="O441" s="69"/>
      <c r="P441" s="69"/>
      <c r="Q441" s="69"/>
      <c r="R441" s="69"/>
      <c r="S441" s="69"/>
      <c r="T441" s="69"/>
      <c r="U441" s="69"/>
      <c r="V441" s="69"/>
      <c r="W441" s="69"/>
      <c r="X441" s="69"/>
      <c r="Y441" s="69"/>
      <c r="Z441" s="69"/>
      <c r="AA441" s="69"/>
    </row>
    <row r="442" spans="1:27">
      <c r="A442" s="69"/>
      <c r="B442" s="69"/>
      <c r="C442" s="69"/>
      <c r="D442" s="69"/>
      <c r="E442" s="69"/>
      <c r="F442" s="69"/>
      <c r="G442" s="69"/>
      <c r="H442" s="69"/>
      <c r="I442" s="69"/>
      <c r="J442" s="69"/>
      <c r="K442" s="69"/>
      <c r="L442" s="69"/>
      <c r="M442" s="69"/>
      <c r="N442" s="69"/>
      <c r="O442" s="69"/>
      <c r="P442" s="69"/>
      <c r="Q442" s="69"/>
      <c r="R442" s="69"/>
      <c r="S442" s="69"/>
      <c r="T442" s="69"/>
      <c r="U442" s="69"/>
      <c r="V442" s="69"/>
      <c r="W442" s="69"/>
      <c r="X442" s="69"/>
      <c r="Y442" s="69"/>
      <c r="Z442" s="69"/>
      <c r="AA442" s="69"/>
    </row>
    <row r="443" spans="1:27">
      <c r="A443" s="69"/>
      <c r="B443" s="69"/>
      <c r="C443" s="69"/>
      <c r="D443" s="69"/>
      <c r="E443" s="69"/>
      <c r="F443" s="69"/>
      <c r="G443" s="69"/>
      <c r="H443" s="69"/>
      <c r="I443" s="69"/>
      <c r="J443" s="69"/>
      <c r="K443" s="69"/>
      <c r="L443" s="69"/>
      <c r="M443" s="69"/>
      <c r="N443" s="69"/>
      <c r="O443" s="69"/>
      <c r="P443" s="69"/>
      <c r="Q443" s="69"/>
      <c r="R443" s="69"/>
      <c r="S443" s="69"/>
      <c r="T443" s="69"/>
      <c r="U443" s="69"/>
      <c r="V443" s="69"/>
      <c r="W443" s="69"/>
      <c r="X443" s="69"/>
      <c r="Y443" s="69"/>
      <c r="Z443" s="69"/>
      <c r="AA443" s="69"/>
    </row>
    <row r="444" spans="1:27">
      <c r="A444" s="69"/>
      <c r="B444" s="69"/>
      <c r="C444" s="69"/>
      <c r="D444" s="69"/>
      <c r="E444" s="69"/>
      <c r="F444" s="69"/>
      <c r="G444" s="69"/>
      <c r="H444" s="69"/>
      <c r="I444" s="69"/>
      <c r="J444" s="69"/>
      <c r="K444" s="69"/>
      <c r="L444" s="69"/>
      <c r="M444" s="69"/>
      <c r="N444" s="69"/>
      <c r="O444" s="69"/>
      <c r="P444" s="69"/>
      <c r="Q444" s="69"/>
      <c r="R444" s="69"/>
      <c r="S444" s="69"/>
      <c r="T444" s="69"/>
      <c r="U444" s="69"/>
      <c r="V444" s="69"/>
      <c r="W444" s="69"/>
      <c r="X444" s="69"/>
      <c r="Y444" s="69"/>
      <c r="Z444" s="69"/>
      <c r="AA444" s="69"/>
    </row>
    <row r="445" spans="1:27">
      <c r="A445" s="69"/>
      <c r="B445" s="69"/>
      <c r="C445" s="69"/>
      <c r="D445" s="69"/>
      <c r="E445" s="69"/>
      <c r="F445" s="69"/>
      <c r="G445" s="69"/>
      <c r="H445" s="69"/>
      <c r="I445" s="69"/>
      <c r="J445" s="69"/>
      <c r="K445" s="69"/>
      <c r="L445" s="69"/>
      <c r="M445" s="69"/>
      <c r="N445" s="69"/>
      <c r="O445" s="69"/>
      <c r="P445" s="69"/>
      <c r="Q445" s="69"/>
      <c r="R445" s="69"/>
      <c r="S445" s="69"/>
      <c r="T445" s="69"/>
      <c r="U445" s="69"/>
      <c r="V445" s="69"/>
      <c r="W445" s="69"/>
      <c r="X445" s="69"/>
      <c r="Y445" s="69"/>
      <c r="Z445" s="69"/>
      <c r="AA445" s="69"/>
    </row>
    <row r="446" spans="1:27">
      <c r="A446" s="69"/>
      <c r="B446" s="69"/>
      <c r="C446" s="69"/>
      <c r="D446" s="69"/>
      <c r="E446" s="69"/>
      <c r="F446" s="69"/>
      <c r="G446" s="69"/>
      <c r="H446" s="69"/>
      <c r="I446" s="69"/>
      <c r="J446" s="69"/>
      <c r="K446" s="69"/>
      <c r="L446" s="69"/>
      <c r="M446" s="69"/>
      <c r="N446" s="69"/>
      <c r="O446" s="69"/>
      <c r="P446" s="69"/>
      <c r="Q446" s="69"/>
      <c r="R446" s="69"/>
      <c r="S446" s="69"/>
      <c r="T446" s="69"/>
      <c r="U446" s="69"/>
      <c r="V446" s="69"/>
      <c r="W446" s="69"/>
      <c r="X446" s="69"/>
      <c r="Y446" s="69"/>
      <c r="Z446" s="69"/>
      <c r="AA446" s="69"/>
    </row>
    <row r="447" spans="1:27">
      <c r="A447" s="69"/>
      <c r="B447" s="69"/>
      <c r="C447" s="69"/>
      <c r="D447" s="69"/>
      <c r="E447" s="69"/>
      <c r="F447" s="69"/>
      <c r="G447" s="69"/>
      <c r="H447" s="69"/>
      <c r="I447" s="69"/>
      <c r="J447" s="69"/>
      <c r="K447" s="69"/>
      <c r="L447" s="69"/>
      <c r="M447" s="69"/>
      <c r="N447" s="69"/>
      <c r="O447" s="69"/>
      <c r="P447" s="69"/>
      <c r="Q447" s="69"/>
      <c r="R447" s="69"/>
      <c r="S447" s="69"/>
      <c r="T447" s="69"/>
      <c r="U447" s="69"/>
      <c r="V447" s="69"/>
      <c r="W447" s="69"/>
      <c r="X447" s="69"/>
      <c r="Y447" s="69"/>
      <c r="Z447" s="69"/>
      <c r="AA447" s="69"/>
    </row>
    <row r="448" spans="1:27">
      <c r="A448" s="69"/>
      <c r="B448" s="69"/>
      <c r="C448" s="69"/>
      <c r="D448" s="69"/>
      <c r="E448" s="69"/>
      <c r="F448" s="69"/>
      <c r="G448" s="69"/>
      <c r="H448" s="69"/>
      <c r="I448" s="69"/>
      <c r="J448" s="69"/>
      <c r="K448" s="69"/>
      <c r="L448" s="69"/>
      <c r="M448" s="69"/>
      <c r="N448" s="69"/>
      <c r="O448" s="69"/>
      <c r="P448" s="69"/>
      <c r="Q448" s="69"/>
      <c r="R448" s="69"/>
      <c r="S448" s="69"/>
      <c r="T448" s="69"/>
      <c r="U448" s="69"/>
      <c r="V448" s="69"/>
      <c r="W448" s="69"/>
      <c r="X448" s="69"/>
      <c r="Y448" s="69"/>
      <c r="Z448" s="69"/>
      <c r="AA448" s="69"/>
    </row>
    <row r="449" spans="1:27">
      <c r="A449" s="69"/>
      <c r="B449" s="69"/>
      <c r="C449" s="69"/>
      <c r="D449" s="69"/>
      <c r="E449" s="69"/>
      <c r="F449" s="69"/>
      <c r="G449" s="69"/>
      <c r="H449" s="69"/>
      <c r="I449" s="69"/>
      <c r="J449" s="69"/>
      <c r="K449" s="69"/>
      <c r="L449" s="69"/>
      <c r="M449" s="69"/>
      <c r="N449" s="69"/>
      <c r="O449" s="69"/>
      <c r="P449" s="69"/>
      <c r="Q449" s="69"/>
      <c r="R449" s="69"/>
      <c r="S449" s="69"/>
      <c r="T449" s="69"/>
      <c r="U449" s="69"/>
      <c r="V449" s="69"/>
      <c r="W449" s="69"/>
      <c r="X449" s="69"/>
      <c r="Y449" s="69"/>
      <c r="Z449" s="69"/>
      <c r="AA449" s="69"/>
    </row>
    <row r="450" spans="1:27">
      <c r="A450" s="69"/>
      <c r="B450" s="69"/>
      <c r="C450" s="69"/>
      <c r="D450" s="69"/>
      <c r="E450" s="69"/>
      <c r="F450" s="69"/>
      <c r="G450" s="69"/>
      <c r="H450" s="69"/>
      <c r="I450" s="69"/>
      <c r="J450" s="69"/>
      <c r="K450" s="69"/>
      <c r="L450" s="69"/>
      <c r="M450" s="69"/>
      <c r="N450" s="69"/>
      <c r="O450" s="69"/>
      <c r="P450" s="69"/>
      <c r="Q450" s="69"/>
      <c r="R450" s="69"/>
      <c r="S450" s="69"/>
      <c r="T450" s="69"/>
      <c r="U450" s="69"/>
      <c r="V450" s="69"/>
      <c r="W450" s="69"/>
      <c r="X450" s="69"/>
      <c r="Y450" s="69"/>
      <c r="Z450" s="69"/>
      <c r="AA450" s="69"/>
    </row>
    <row r="451" spans="1:27">
      <c r="A451" s="69"/>
      <c r="B451" s="69"/>
      <c r="C451" s="69"/>
      <c r="D451" s="69"/>
      <c r="E451" s="69"/>
      <c r="F451" s="69"/>
      <c r="G451" s="69"/>
      <c r="H451" s="69"/>
      <c r="I451" s="69"/>
      <c r="J451" s="69"/>
      <c r="K451" s="69"/>
      <c r="L451" s="69"/>
      <c r="M451" s="69"/>
      <c r="N451" s="69"/>
      <c r="O451" s="69"/>
      <c r="P451" s="69"/>
      <c r="Q451" s="69"/>
      <c r="R451" s="69"/>
      <c r="S451" s="69"/>
      <c r="T451" s="69"/>
      <c r="U451" s="69"/>
      <c r="V451" s="69"/>
      <c r="W451" s="69"/>
      <c r="X451" s="69"/>
      <c r="Y451" s="69"/>
      <c r="Z451" s="69"/>
      <c r="AA451" s="69"/>
    </row>
    <row r="452" spans="1:27">
      <c r="A452" s="69"/>
      <c r="B452" s="69"/>
      <c r="C452" s="69"/>
      <c r="D452" s="69"/>
      <c r="E452" s="69"/>
      <c r="F452" s="69"/>
      <c r="G452" s="69"/>
      <c r="H452" s="69"/>
      <c r="I452" s="69"/>
      <c r="J452" s="69"/>
      <c r="K452" s="69"/>
      <c r="L452" s="69"/>
      <c r="M452" s="69"/>
      <c r="N452" s="69"/>
      <c r="O452" s="69"/>
      <c r="P452" s="69"/>
      <c r="Q452" s="69"/>
      <c r="R452" s="69"/>
      <c r="S452" s="69"/>
      <c r="T452" s="69"/>
      <c r="U452" s="69"/>
      <c r="V452" s="69"/>
      <c r="W452" s="69"/>
      <c r="X452" s="69"/>
      <c r="Y452" s="69"/>
      <c r="Z452" s="69"/>
      <c r="AA452" s="69"/>
    </row>
    <row r="453" spans="1:27">
      <c r="A453" s="69"/>
      <c r="B453" s="69"/>
      <c r="C453" s="69"/>
      <c r="D453" s="69"/>
      <c r="E453" s="69"/>
      <c r="F453" s="69"/>
      <c r="G453" s="69"/>
      <c r="H453" s="69"/>
      <c r="I453" s="69"/>
      <c r="J453" s="69"/>
      <c r="K453" s="69"/>
      <c r="L453" s="69"/>
      <c r="M453" s="69"/>
      <c r="N453" s="69"/>
      <c r="O453" s="69"/>
      <c r="P453" s="69"/>
      <c r="Q453" s="69"/>
      <c r="R453" s="69"/>
      <c r="S453" s="69"/>
      <c r="T453" s="69"/>
      <c r="U453" s="69"/>
      <c r="V453" s="69"/>
      <c r="W453" s="69"/>
      <c r="X453" s="69"/>
      <c r="Y453" s="69"/>
      <c r="Z453" s="69"/>
      <c r="AA453" s="69"/>
    </row>
    <row r="454" spans="1:27">
      <c r="A454" s="69"/>
      <c r="B454" s="69"/>
      <c r="C454" s="69"/>
      <c r="D454" s="69"/>
      <c r="E454" s="69"/>
      <c r="F454" s="69"/>
      <c r="G454" s="69"/>
      <c r="H454" s="69"/>
      <c r="I454" s="69"/>
      <c r="J454" s="69"/>
      <c r="K454" s="69"/>
      <c r="L454" s="69"/>
      <c r="M454" s="69"/>
      <c r="N454" s="69"/>
      <c r="O454" s="69"/>
      <c r="P454" s="69"/>
      <c r="Q454" s="69"/>
      <c r="R454" s="69"/>
      <c r="S454" s="69"/>
      <c r="T454" s="69"/>
      <c r="U454" s="69"/>
      <c r="V454" s="69"/>
      <c r="W454" s="69"/>
      <c r="X454" s="69"/>
      <c r="Y454" s="69"/>
      <c r="Z454" s="69"/>
      <c r="AA454" s="69"/>
    </row>
    <row r="455" spans="1:27">
      <c r="A455" s="69"/>
      <c r="B455" s="69"/>
      <c r="C455" s="69"/>
      <c r="D455" s="69"/>
      <c r="E455" s="69"/>
      <c r="F455" s="69"/>
      <c r="G455" s="69"/>
      <c r="H455" s="69"/>
      <c r="I455" s="69"/>
      <c r="J455" s="69"/>
      <c r="K455" s="69"/>
      <c r="L455" s="69"/>
      <c r="M455" s="69"/>
      <c r="N455" s="69"/>
      <c r="O455" s="69"/>
      <c r="P455" s="69"/>
      <c r="Q455" s="69"/>
      <c r="R455" s="69"/>
      <c r="S455" s="69"/>
      <c r="T455" s="69"/>
      <c r="U455" s="69"/>
      <c r="V455" s="69"/>
      <c r="W455" s="69"/>
      <c r="X455" s="69"/>
      <c r="Y455" s="69"/>
      <c r="Z455" s="69"/>
      <c r="AA455" s="69"/>
    </row>
    <row r="456" spans="1:27">
      <c r="A456" s="69"/>
      <c r="B456" s="69"/>
      <c r="C456" s="69"/>
      <c r="D456" s="69"/>
      <c r="E456" s="69"/>
      <c r="F456" s="69"/>
      <c r="G456" s="69"/>
      <c r="H456" s="69"/>
      <c r="I456" s="69"/>
      <c r="J456" s="69"/>
      <c r="K456" s="69"/>
      <c r="L456" s="69"/>
      <c r="M456" s="69"/>
      <c r="N456" s="69"/>
      <c r="O456" s="69"/>
      <c r="P456" s="69"/>
      <c r="Q456" s="69"/>
      <c r="R456" s="69"/>
      <c r="S456" s="69"/>
      <c r="T456" s="69"/>
      <c r="U456" s="69"/>
      <c r="V456" s="69"/>
      <c r="W456" s="69"/>
      <c r="X456" s="69"/>
      <c r="Y456" s="69"/>
      <c r="Z456" s="69"/>
      <c r="AA456" s="69"/>
    </row>
    <row r="457" spans="1:27">
      <c r="A457" s="69"/>
      <c r="B457" s="69"/>
      <c r="C457" s="69"/>
      <c r="D457" s="69"/>
      <c r="E457" s="69"/>
      <c r="F457" s="69"/>
      <c r="G457" s="69"/>
      <c r="H457" s="69"/>
      <c r="I457" s="69"/>
      <c r="J457" s="69"/>
      <c r="K457" s="69"/>
      <c r="L457" s="69"/>
      <c r="M457" s="69"/>
      <c r="N457" s="69"/>
      <c r="O457" s="69"/>
      <c r="P457" s="69"/>
      <c r="Q457" s="69"/>
      <c r="R457" s="69"/>
      <c r="S457" s="69"/>
      <c r="T457" s="69"/>
      <c r="U457" s="69"/>
      <c r="V457" s="69"/>
      <c r="W457" s="69"/>
      <c r="X457" s="69"/>
      <c r="Y457" s="69"/>
      <c r="Z457" s="69"/>
      <c r="AA457" s="69"/>
    </row>
    <row r="458" spans="1:27">
      <c r="A458" s="69"/>
      <c r="B458" s="69"/>
      <c r="C458" s="69"/>
      <c r="D458" s="69"/>
      <c r="E458" s="69"/>
      <c r="F458" s="69"/>
      <c r="G458" s="69"/>
      <c r="H458" s="69"/>
      <c r="I458" s="69"/>
      <c r="J458" s="69"/>
      <c r="K458" s="69"/>
      <c r="L458" s="69"/>
      <c r="M458" s="69"/>
      <c r="N458" s="69"/>
      <c r="O458" s="69"/>
      <c r="P458" s="69"/>
      <c r="Q458" s="69"/>
      <c r="R458" s="69"/>
      <c r="S458" s="69"/>
      <c r="T458" s="69"/>
      <c r="U458" s="69"/>
      <c r="V458" s="69"/>
      <c r="W458" s="69"/>
      <c r="X458" s="69"/>
      <c r="Y458" s="69"/>
      <c r="Z458" s="69"/>
      <c r="AA458" s="69"/>
    </row>
    <row r="459" spans="1:27">
      <c r="A459" s="69"/>
      <c r="B459" s="69"/>
      <c r="C459" s="69"/>
      <c r="D459" s="69"/>
      <c r="E459" s="69"/>
      <c r="F459" s="69"/>
      <c r="G459" s="69"/>
      <c r="H459" s="69"/>
      <c r="I459" s="69"/>
      <c r="J459" s="69"/>
      <c r="K459" s="69"/>
      <c r="L459" s="69"/>
      <c r="M459" s="69"/>
      <c r="N459" s="69"/>
      <c r="O459" s="69"/>
      <c r="P459" s="69"/>
      <c r="Q459" s="69"/>
      <c r="R459" s="69"/>
      <c r="S459" s="69"/>
      <c r="T459" s="69"/>
      <c r="U459" s="69"/>
      <c r="V459" s="69"/>
      <c r="W459" s="69"/>
      <c r="X459" s="69"/>
      <c r="Y459" s="69"/>
      <c r="Z459" s="69"/>
      <c r="AA459" s="69"/>
    </row>
    <row r="460" spans="1:27">
      <c r="A460" s="69"/>
      <c r="B460" s="69"/>
      <c r="C460" s="69"/>
      <c r="D460" s="69"/>
      <c r="E460" s="69"/>
      <c r="F460" s="69"/>
      <c r="G460" s="69"/>
      <c r="H460" s="69"/>
      <c r="I460" s="69"/>
      <c r="J460" s="69"/>
      <c r="K460" s="69"/>
      <c r="L460" s="69"/>
      <c r="M460" s="69"/>
      <c r="N460" s="69"/>
      <c r="O460" s="69"/>
      <c r="P460" s="69"/>
      <c r="Q460" s="69"/>
      <c r="R460" s="69"/>
      <c r="S460" s="69"/>
      <c r="T460" s="69"/>
      <c r="U460" s="69"/>
      <c r="V460" s="69"/>
      <c r="W460" s="69"/>
      <c r="X460" s="69"/>
      <c r="Y460" s="69"/>
      <c r="Z460" s="69"/>
      <c r="AA460" s="69"/>
    </row>
    <row r="461" spans="1:27">
      <c r="A461" s="69"/>
      <c r="B461" s="69"/>
      <c r="C461" s="69"/>
      <c r="D461" s="69"/>
      <c r="E461" s="69"/>
      <c r="F461" s="69"/>
      <c r="G461" s="69"/>
      <c r="H461" s="69"/>
      <c r="I461" s="69"/>
      <c r="J461" s="69"/>
      <c r="K461" s="69"/>
      <c r="L461" s="69"/>
      <c r="M461" s="69"/>
      <c r="N461" s="69"/>
      <c r="O461" s="69"/>
      <c r="P461" s="69"/>
      <c r="Q461" s="69"/>
      <c r="R461" s="69"/>
      <c r="S461" s="69"/>
      <c r="T461" s="69"/>
      <c r="U461" s="69"/>
      <c r="V461" s="69"/>
      <c r="W461" s="69"/>
      <c r="X461" s="69"/>
      <c r="Y461" s="69"/>
      <c r="Z461" s="69"/>
      <c r="AA461" s="69"/>
    </row>
    <row r="462" spans="1:27">
      <c r="A462" s="69"/>
      <c r="B462" s="69"/>
      <c r="C462" s="69"/>
      <c r="D462" s="69"/>
      <c r="E462" s="69"/>
      <c r="F462" s="69"/>
      <c r="G462" s="69"/>
      <c r="H462" s="69"/>
      <c r="I462" s="69"/>
      <c r="J462" s="69"/>
      <c r="K462" s="69"/>
      <c r="L462" s="69"/>
      <c r="M462" s="69"/>
      <c r="N462" s="69"/>
      <c r="O462" s="69"/>
      <c r="P462" s="69"/>
      <c r="Q462" s="69"/>
      <c r="R462" s="69"/>
      <c r="S462" s="69"/>
      <c r="T462" s="69"/>
      <c r="U462" s="69"/>
      <c r="V462" s="69"/>
      <c r="W462" s="69"/>
      <c r="X462" s="69"/>
      <c r="Y462" s="69"/>
      <c r="Z462" s="69"/>
      <c r="AA462" s="69"/>
    </row>
    <row r="463" spans="1:27">
      <c r="A463" s="69"/>
      <c r="B463" s="69"/>
      <c r="C463" s="69"/>
      <c r="D463" s="69"/>
      <c r="E463" s="69"/>
      <c r="F463" s="69"/>
      <c r="G463" s="69"/>
      <c r="H463" s="69"/>
      <c r="I463" s="69"/>
      <c r="J463" s="69"/>
      <c r="K463" s="69"/>
      <c r="L463" s="69"/>
      <c r="M463" s="69"/>
      <c r="N463" s="69"/>
      <c r="O463" s="69"/>
      <c r="P463" s="69"/>
      <c r="Q463" s="69"/>
      <c r="R463" s="69"/>
      <c r="S463" s="69"/>
      <c r="T463" s="69"/>
      <c r="U463" s="69"/>
      <c r="V463" s="69"/>
      <c r="W463" s="69"/>
      <c r="X463" s="69"/>
      <c r="Y463" s="69"/>
      <c r="Z463" s="69"/>
      <c r="AA463" s="69"/>
    </row>
    <row r="464" spans="1:27">
      <c r="A464" s="69"/>
      <c r="B464" s="69"/>
      <c r="C464" s="69"/>
      <c r="D464" s="69"/>
      <c r="E464" s="69"/>
      <c r="F464" s="69"/>
      <c r="G464" s="69"/>
      <c r="H464" s="69"/>
      <c r="I464" s="69"/>
      <c r="J464" s="69"/>
      <c r="K464" s="69"/>
      <c r="L464" s="69"/>
      <c r="M464" s="69"/>
      <c r="N464" s="69"/>
      <c r="O464" s="69"/>
      <c r="P464" s="69"/>
      <c r="Q464" s="69"/>
      <c r="R464" s="69"/>
      <c r="S464" s="69"/>
      <c r="T464" s="69"/>
      <c r="U464" s="69"/>
      <c r="V464" s="69"/>
      <c r="W464" s="69"/>
      <c r="X464" s="69"/>
      <c r="Y464" s="69"/>
      <c r="Z464" s="69"/>
      <c r="AA464" s="69"/>
    </row>
    <row r="465" spans="1:27">
      <c r="A465" s="69"/>
      <c r="B465" s="69"/>
      <c r="C465" s="69"/>
      <c r="D465" s="69"/>
      <c r="E465" s="69"/>
      <c r="F465" s="69"/>
      <c r="G465" s="69"/>
      <c r="H465" s="69"/>
      <c r="I465" s="69"/>
      <c r="J465" s="69"/>
      <c r="K465" s="69"/>
      <c r="L465" s="69"/>
      <c r="M465" s="69"/>
      <c r="N465" s="69"/>
      <c r="O465" s="69"/>
      <c r="P465" s="69"/>
      <c r="Q465" s="69"/>
      <c r="R465" s="69"/>
      <c r="S465" s="69"/>
      <c r="T465" s="69"/>
      <c r="U465" s="69"/>
      <c r="V465" s="69"/>
      <c r="W465" s="69"/>
      <c r="X465" s="69"/>
      <c r="Y465" s="69"/>
      <c r="Z465" s="69"/>
      <c r="AA465" s="69"/>
    </row>
    <row r="466" spans="1:27">
      <c r="A466" s="69"/>
      <c r="B466" s="69"/>
      <c r="C466" s="69"/>
      <c r="D466" s="69"/>
      <c r="E466" s="69"/>
      <c r="F466" s="69"/>
      <c r="G466" s="69"/>
      <c r="H466" s="69"/>
      <c r="I466" s="69"/>
      <c r="J466" s="69"/>
      <c r="K466" s="69"/>
      <c r="L466" s="69"/>
      <c r="M466" s="69"/>
      <c r="N466" s="69"/>
      <c r="O466" s="69"/>
      <c r="P466" s="69"/>
      <c r="Q466" s="69"/>
      <c r="R466" s="69"/>
      <c r="S466" s="69"/>
      <c r="T466" s="69"/>
      <c r="U466" s="69"/>
      <c r="V466" s="69"/>
      <c r="W466" s="69"/>
      <c r="X466" s="69"/>
      <c r="Y466" s="69"/>
      <c r="Z466" s="69"/>
      <c r="AA466" s="69"/>
    </row>
    <row r="467" spans="1:27">
      <c r="A467" s="69"/>
      <c r="B467" s="69"/>
      <c r="C467" s="69"/>
      <c r="D467" s="69"/>
      <c r="E467" s="69"/>
      <c r="F467" s="69"/>
      <c r="G467" s="69"/>
      <c r="H467" s="69"/>
      <c r="I467" s="69"/>
      <c r="J467" s="69"/>
      <c r="K467" s="69"/>
      <c r="L467" s="69"/>
      <c r="M467" s="69"/>
      <c r="N467" s="69"/>
      <c r="O467" s="69"/>
      <c r="P467" s="69"/>
      <c r="Q467" s="69"/>
      <c r="R467" s="69"/>
      <c r="S467" s="69"/>
      <c r="T467" s="69"/>
      <c r="U467" s="69"/>
      <c r="V467" s="69"/>
      <c r="W467" s="69"/>
      <c r="X467" s="69"/>
      <c r="Y467" s="69"/>
      <c r="Z467" s="69"/>
      <c r="AA467" s="69"/>
    </row>
    <row r="468" spans="1:27">
      <c r="A468" s="69"/>
      <c r="B468" s="69"/>
      <c r="C468" s="69"/>
      <c r="D468" s="69"/>
      <c r="E468" s="69"/>
      <c r="F468" s="69"/>
      <c r="G468" s="69"/>
      <c r="H468" s="69"/>
      <c r="I468" s="69"/>
      <c r="J468" s="69"/>
      <c r="K468" s="69"/>
      <c r="L468" s="69"/>
      <c r="M468" s="69"/>
      <c r="N468" s="69"/>
      <c r="O468" s="69"/>
      <c r="P468" s="69"/>
      <c r="Q468" s="69"/>
      <c r="R468" s="69"/>
      <c r="S468" s="69"/>
      <c r="T468" s="69"/>
      <c r="U468" s="69"/>
      <c r="V468" s="69"/>
      <c r="W468" s="69"/>
      <c r="X468" s="69"/>
      <c r="Y468" s="69"/>
      <c r="Z468" s="69"/>
      <c r="AA468" s="69"/>
    </row>
    <row r="469" spans="1:27">
      <c r="A469" s="69"/>
      <c r="B469" s="69"/>
      <c r="C469" s="69"/>
      <c r="D469" s="69"/>
      <c r="E469" s="69"/>
      <c r="F469" s="69"/>
      <c r="G469" s="69"/>
      <c r="H469" s="69"/>
      <c r="I469" s="69"/>
      <c r="J469" s="69"/>
      <c r="K469" s="69"/>
      <c r="L469" s="69"/>
      <c r="M469" s="69"/>
      <c r="N469" s="69"/>
      <c r="O469" s="69"/>
      <c r="P469" s="69"/>
      <c r="Q469" s="69"/>
      <c r="R469" s="69"/>
      <c r="S469" s="69"/>
      <c r="T469" s="69"/>
      <c r="U469" s="69"/>
      <c r="V469" s="69"/>
      <c r="W469" s="69"/>
      <c r="X469" s="69"/>
      <c r="Y469" s="69"/>
      <c r="Z469" s="69"/>
      <c r="AA469" s="69"/>
    </row>
    <row r="470" spans="1:27">
      <c r="A470" s="69"/>
      <c r="B470" s="69"/>
      <c r="C470" s="69"/>
      <c r="D470" s="69"/>
      <c r="E470" s="69"/>
      <c r="F470" s="69"/>
      <c r="G470" s="69"/>
      <c r="H470" s="69"/>
      <c r="I470" s="69"/>
      <c r="J470" s="69"/>
      <c r="K470" s="69"/>
      <c r="L470" s="69"/>
      <c r="M470" s="69"/>
      <c r="N470" s="69"/>
      <c r="O470" s="69"/>
      <c r="P470" s="69"/>
      <c r="Q470" s="69"/>
      <c r="R470" s="69"/>
      <c r="S470" s="69"/>
      <c r="T470" s="69"/>
      <c r="U470" s="69"/>
      <c r="V470" s="69"/>
      <c r="W470" s="69"/>
      <c r="X470" s="69"/>
      <c r="Y470" s="69"/>
      <c r="Z470" s="69"/>
      <c r="AA470" s="69"/>
    </row>
    <row r="471" spans="1:27">
      <c r="A471" s="69"/>
      <c r="B471" s="69"/>
      <c r="C471" s="69"/>
      <c r="D471" s="69"/>
      <c r="E471" s="69"/>
      <c r="F471" s="69"/>
      <c r="G471" s="69"/>
      <c r="H471" s="69"/>
      <c r="I471" s="69"/>
      <c r="J471" s="69"/>
      <c r="K471" s="69"/>
      <c r="L471" s="69"/>
      <c r="M471" s="69"/>
      <c r="N471" s="69"/>
      <c r="O471" s="69"/>
      <c r="P471" s="69"/>
      <c r="Q471" s="69"/>
      <c r="R471" s="69"/>
      <c r="S471" s="69"/>
      <c r="T471" s="69"/>
      <c r="U471" s="69"/>
      <c r="V471" s="69"/>
      <c r="W471" s="69"/>
      <c r="X471" s="69"/>
      <c r="Y471" s="69"/>
      <c r="Z471" s="69"/>
      <c r="AA471" s="69"/>
    </row>
    <row r="472" spans="1:27">
      <c r="A472" s="69"/>
      <c r="B472" s="69"/>
      <c r="C472" s="69"/>
      <c r="D472" s="69"/>
      <c r="E472" s="69"/>
      <c r="F472" s="69"/>
      <c r="G472" s="69"/>
      <c r="H472" s="69"/>
      <c r="I472" s="69"/>
      <c r="J472" s="69"/>
      <c r="K472" s="69"/>
      <c r="L472" s="69"/>
      <c r="M472" s="69"/>
      <c r="N472" s="69"/>
      <c r="O472" s="69"/>
      <c r="P472" s="69"/>
      <c r="Q472" s="69"/>
      <c r="R472" s="69"/>
      <c r="S472" s="69"/>
      <c r="T472" s="69"/>
      <c r="U472" s="69"/>
      <c r="V472" s="69"/>
      <c r="W472" s="69"/>
      <c r="X472" s="69"/>
      <c r="Y472" s="69"/>
      <c r="Z472" s="69"/>
      <c r="AA472" s="69"/>
    </row>
    <row r="473" spans="1:27">
      <c r="A473" s="69"/>
      <c r="B473" s="69"/>
      <c r="C473" s="69"/>
      <c r="D473" s="69"/>
      <c r="E473" s="69"/>
      <c r="F473" s="69"/>
      <c r="G473" s="69"/>
      <c r="H473" s="69"/>
      <c r="I473" s="69"/>
      <c r="J473" s="69"/>
      <c r="K473" s="69"/>
      <c r="L473" s="69"/>
      <c r="M473" s="69"/>
      <c r="N473" s="69"/>
      <c r="O473" s="69"/>
      <c r="P473" s="69"/>
      <c r="Q473" s="69"/>
      <c r="R473" s="69"/>
      <c r="S473" s="69"/>
      <c r="T473" s="69"/>
      <c r="U473" s="69"/>
      <c r="V473" s="69"/>
      <c r="W473" s="69"/>
      <c r="X473" s="69"/>
      <c r="Y473" s="69"/>
      <c r="Z473" s="69"/>
      <c r="AA473" s="69"/>
    </row>
    <row r="474" spans="1:27">
      <c r="A474" s="69"/>
      <c r="B474" s="69"/>
      <c r="C474" s="69"/>
      <c r="D474" s="69"/>
      <c r="E474" s="69"/>
      <c r="F474" s="69"/>
      <c r="G474" s="69"/>
      <c r="H474" s="69"/>
      <c r="I474" s="69"/>
      <c r="J474" s="69"/>
      <c r="K474" s="69"/>
      <c r="L474" s="69"/>
      <c r="M474" s="69"/>
      <c r="N474" s="69"/>
      <c r="O474" s="69"/>
      <c r="P474" s="69"/>
      <c r="Q474" s="69"/>
      <c r="R474" s="69"/>
      <c r="S474" s="69"/>
      <c r="T474" s="69"/>
      <c r="U474" s="69"/>
      <c r="V474" s="69"/>
      <c r="W474" s="69"/>
      <c r="X474" s="69"/>
      <c r="Y474" s="69"/>
      <c r="Z474" s="69"/>
      <c r="AA474" s="69"/>
    </row>
    <row r="475" spans="1:27">
      <c r="A475" s="69"/>
      <c r="B475" s="69"/>
      <c r="C475" s="69"/>
      <c r="D475" s="69"/>
      <c r="E475" s="69"/>
      <c r="F475" s="69"/>
      <c r="G475" s="69"/>
      <c r="H475" s="69"/>
      <c r="I475" s="69"/>
      <c r="J475" s="69"/>
      <c r="K475" s="69"/>
      <c r="L475" s="69"/>
      <c r="M475" s="69"/>
      <c r="N475" s="69"/>
      <c r="O475" s="69"/>
      <c r="P475" s="69"/>
      <c r="Q475" s="69"/>
      <c r="R475" s="69"/>
      <c r="S475" s="69"/>
      <c r="T475" s="69"/>
      <c r="U475" s="69"/>
      <c r="V475" s="69"/>
      <c r="W475" s="69"/>
      <c r="X475" s="69"/>
      <c r="Y475" s="69"/>
      <c r="Z475" s="69"/>
      <c r="AA475" s="69"/>
    </row>
    <row r="476" spans="1:27">
      <c r="A476" s="69"/>
      <c r="B476" s="69"/>
      <c r="C476" s="69"/>
      <c r="D476" s="69"/>
      <c r="E476" s="69"/>
      <c r="F476" s="69"/>
      <c r="G476" s="69"/>
      <c r="H476" s="69"/>
      <c r="I476" s="69"/>
      <c r="J476" s="69"/>
      <c r="K476" s="69"/>
      <c r="L476" s="69"/>
      <c r="M476" s="69"/>
      <c r="N476" s="69"/>
      <c r="O476" s="69"/>
      <c r="P476" s="69"/>
      <c r="Q476" s="69"/>
      <c r="R476" s="69"/>
      <c r="S476" s="69"/>
      <c r="T476" s="69"/>
      <c r="U476" s="69"/>
      <c r="V476" s="69"/>
      <c r="W476" s="69"/>
      <c r="X476" s="69"/>
      <c r="Y476" s="69"/>
      <c r="Z476" s="69"/>
      <c r="AA476" s="69"/>
    </row>
    <row r="477" spans="1:27">
      <c r="A477" s="69"/>
      <c r="B477" s="69"/>
      <c r="C477" s="69"/>
      <c r="D477" s="69"/>
      <c r="E477" s="69"/>
      <c r="F477" s="69"/>
      <c r="G477" s="69"/>
      <c r="H477" s="69"/>
      <c r="I477" s="69"/>
      <c r="J477" s="69"/>
      <c r="K477" s="69"/>
      <c r="L477" s="69"/>
      <c r="M477" s="69"/>
      <c r="N477" s="69"/>
      <c r="O477" s="69"/>
      <c r="P477" s="69"/>
      <c r="Q477" s="69"/>
      <c r="R477" s="69"/>
      <c r="S477" s="69"/>
      <c r="T477" s="69"/>
      <c r="U477" s="69"/>
      <c r="V477" s="69"/>
      <c r="W477" s="69"/>
      <c r="X477" s="69"/>
      <c r="Y477" s="69"/>
      <c r="Z477" s="69"/>
      <c r="AA477" s="69"/>
    </row>
    <row r="478" spans="1:27">
      <c r="A478" s="69"/>
      <c r="B478" s="69"/>
      <c r="C478" s="69"/>
      <c r="D478" s="69"/>
      <c r="E478" s="69"/>
      <c r="F478" s="69"/>
      <c r="G478" s="69"/>
      <c r="H478" s="69"/>
      <c r="I478" s="69"/>
      <c r="J478" s="69"/>
      <c r="K478" s="69"/>
      <c r="L478" s="69"/>
      <c r="M478" s="69"/>
      <c r="N478" s="69"/>
      <c r="O478" s="69"/>
      <c r="P478" s="69"/>
      <c r="Q478" s="69"/>
      <c r="R478" s="69"/>
      <c r="S478" s="69"/>
      <c r="T478" s="69"/>
      <c r="U478" s="69"/>
      <c r="V478" s="69"/>
      <c r="W478" s="69"/>
      <c r="X478" s="69"/>
      <c r="Y478" s="69"/>
      <c r="Z478" s="69"/>
      <c r="AA478" s="69"/>
    </row>
    <row r="479" spans="1:27">
      <c r="A479" s="69"/>
      <c r="B479" s="69"/>
      <c r="C479" s="69"/>
      <c r="D479" s="69"/>
      <c r="E479" s="69"/>
      <c r="F479" s="69"/>
      <c r="G479" s="69"/>
      <c r="H479" s="69"/>
      <c r="I479" s="69"/>
      <c r="J479" s="69"/>
      <c r="K479" s="69"/>
      <c r="L479" s="69"/>
      <c r="M479" s="69"/>
      <c r="N479" s="69"/>
      <c r="O479" s="69"/>
      <c r="P479" s="69"/>
      <c r="Q479" s="69"/>
      <c r="R479" s="69"/>
      <c r="S479" s="69"/>
      <c r="T479" s="69"/>
      <c r="U479" s="69"/>
      <c r="V479" s="69"/>
      <c r="W479" s="69"/>
      <c r="X479" s="69"/>
      <c r="Y479" s="69"/>
      <c r="Z479" s="69"/>
      <c r="AA479" s="69"/>
    </row>
    <row r="480" spans="1:27">
      <c r="A480" s="69"/>
      <c r="B480" s="69"/>
      <c r="C480" s="69"/>
      <c r="D480" s="69"/>
      <c r="E480" s="69"/>
      <c r="F480" s="69"/>
      <c r="G480" s="69"/>
      <c r="H480" s="69"/>
      <c r="I480" s="69"/>
      <c r="J480" s="69"/>
      <c r="K480" s="69"/>
      <c r="L480" s="69"/>
      <c r="M480" s="69"/>
      <c r="N480" s="69"/>
      <c r="O480" s="69"/>
      <c r="P480" s="69"/>
      <c r="Q480" s="69"/>
      <c r="R480" s="69"/>
      <c r="S480" s="69"/>
      <c r="T480" s="69"/>
      <c r="U480" s="69"/>
      <c r="V480" s="69"/>
      <c r="W480" s="69"/>
      <c r="X480" s="69"/>
      <c r="Y480" s="69"/>
      <c r="Z480" s="69"/>
      <c r="AA480" s="69"/>
    </row>
    <row r="481" spans="1:27">
      <c r="A481" s="69"/>
      <c r="B481" s="69"/>
      <c r="C481" s="69"/>
      <c r="D481" s="69"/>
      <c r="E481" s="69"/>
      <c r="F481" s="69"/>
      <c r="G481" s="69"/>
      <c r="H481" s="69"/>
      <c r="I481" s="69"/>
      <c r="J481" s="69"/>
      <c r="K481" s="69"/>
      <c r="L481" s="69"/>
      <c r="M481" s="69"/>
      <c r="N481" s="69"/>
      <c r="O481" s="69"/>
      <c r="P481" s="69"/>
      <c r="Q481" s="69"/>
      <c r="R481" s="69"/>
      <c r="S481" s="69"/>
      <c r="T481" s="69"/>
      <c r="U481" s="69"/>
      <c r="V481" s="69"/>
      <c r="W481" s="69"/>
      <c r="X481" s="69"/>
      <c r="Y481" s="69"/>
      <c r="Z481" s="69"/>
      <c r="AA481" s="69"/>
    </row>
    <row r="482" spans="1:27">
      <c r="A482" s="69"/>
      <c r="B482" s="69"/>
      <c r="C482" s="69"/>
      <c r="D482" s="69"/>
      <c r="E482" s="69"/>
      <c r="F482" s="69"/>
      <c r="G482" s="69"/>
      <c r="H482" s="69"/>
      <c r="I482" s="69"/>
      <c r="J482" s="69"/>
      <c r="K482" s="69"/>
      <c r="L482" s="69"/>
      <c r="M482" s="69"/>
      <c r="N482" s="69"/>
      <c r="O482" s="69"/>
      <c r="P482" s="69"/>
      <c r="Q482" s="69"/>
      <c r="R482" s="69"/>
      <c r="S482" s="69"/>
      <c r="T482" s="69"/>
      <c r="U482" s="69"/>
      <c r="V482" s="69"/>
      <c r="W482" s="69"/>
      <c r="X482" s="69"/>
      <c r="Y482" s="69"/>
      <c r="Z482" s="69"/>
      <c r="AA482" s="69"/>
    </row>
    <row r="483" spans="1:27">
      <c r="A483" s="69"/>
      <c r="B483" s="69"/>
      <c r="C483" s="69"/>
      <c r="D483" s="69"/>
      <c r="E483" s="69"/>
      <c r="F483" s="69"/>
      <c r="G483" s="69"/>
      <c r="H483" s="69"/>
      <c r="I483" s="69"/>
      <c r="J483" s="69"/>
      <c r="K483" s="69"/>
      <c r="L483" s="69"/>
      <c r="M483" s="69"/>
      <c r="N483" s="69"/>
      <c r="O483" s="69"/>
      <c r="P483" s="69"/>
      <c r="Q483" s="69"/>
      <c r="R483" s="69"/>
      <c r="S483" s="69"/>
      <c r="T483" s="69"/>
      <c r="U483" s="69"/>
      <c r="V483" s="69"/>
      <c r="W483" s="69"/>
      <c r="X483" s="69"/>
      <c r="Y483" s="69"/>
      <c r="Z483" s="69"/>
      <c r="AA483" s="69"/>
    </row>
    <row r="484" spans="1:27">
      <c r="A484" s="69"/>
      <c r="B484" s="69"/>
      <c r="C484" s="69"/>
      <c r="D484" s="69"/>
      <c r="E484" s="69"/>
      <c r="F484" s="69"/>
      <c r="G484" s="69"/>
      <c r="H484" s="69"/>
      <c r="I484" s="69"/>
      <c r="J484" s="69"/>
      <c r="K484" s="69"/>
      <c r="L484" s="69"/>
      <c r="M484" s="69"/>
      <c r="N484" s="69"/>
      <c r="O484" s="69"/>
      <c r="P484" s="69"/>
      <c r="Q484" s="69"/>
      <c r="R484" s="69"/>
      <c r="S484" s="69"/>
      <c r="T484" s="69"/>
      <c r="U484" s="69"/>
      <c r="V484" s="69"/>
      <c r="W484" s="69"/>
      <c r="X484" s="69"/>
      <c r="Y484" s="69"/>
      <c r="Z484" s="69"/>
      <c r="AA484" s="69"/>
    </row>
    <row r="485" spans="1:27">
      <c r="A485" s="69"/>
      <c r="B485" s="69"/>
      <c r="C485" s="69"/>
      <c r="D485" s="69"/>
      <c r="E485" s="69"/>
      <c r="F485" s="69"/>
      <c r="G485" s="69"/>
      <c r="H485" s="69"/>
      <c r="I485" s="69"/>
      <c r="J485" s="69"/>
      <c r="K485" s="69"/>
      <c r="L485" s="69"/>
      <c r="M485" s="69"/>
      <c r="N485" s="69"/>
      <c r="O485" s="69"/>
      <c r="P485" s="69"/>
      <c r="Q485" s="69"/>
      <c r="R485" s="69"/>
      <c r="S485" s="69"/>
      <c r="T485" s="69"/>
      <c r="U485" s="69"/>
      <c r="V485" s="69"/>
      <c r="W485" s="69"/>
      <c r="X485" s="69"/>
      <c r="Y485" s="69"/>
      <c r="Z485" s="69"/>
      <c r="AA485" s="69"/>
    </row>
    <row r="486" spans="1:27">
      <c r="A486" s="69"/>
      <c r="B486" s="69"/>
      <c r="C486" s="69"/>
      <c r="D486" s="69"/>
      <c r="E486" s="69"/>
      <c r="F486" s="69"/>
      <c r="G486" s="69"/>
      <c r="H486" s="69"/>
      <c r="I486" s="69"/>
      <c r="J486" s="69"/>
      <c r="K486" s="69"/>
      <c r="L486" s="69"/>
      <c r="M486" s="69"/>
      <c r="N486" s="69"/>
      <c r="O486" s="69"/>
      <c r="P486" s="69"/>
      <c r="Q486" s="69"/>
      <c r="R486" s="69"/>
      <c r="S486" s="69"/>
      <c r="T486" s="69"/>
      <c r="U486" s="69"/>
      <c r="V486" s="69"/>
      <c r="W486" s="69"/>
      <c r="X486" s="69"/>
      <c r="Y486" s="69"/>
      <c r="Z486" s="69"/>
      <c r="AA486" s="69"/>
    </row>
    <row r="487" spans="1:27">
      <c r="A487" s="69"/>
      <c r="B487" s="69"/>
      <c r="C487" s="69"/>
      <c r="D487" s="69"/>
      <c r="E487" s="69"/>
      <c r="F487" s="69"/>
      <c r="G487" s="69"/>
      <c r="H487" s="69"/>
      <c r="I487" s="69"/>
      <c r="J487" s="69"/>
      <c r="K487" s="69"/>
      <c r="L487" s="69"/>
      <c r="M487" s="69"/>
      <c r="N487" s="69"/>
      <c r="O487" s="69"/>
      <c r="P487" s="69"/>
      <c r="Q487" s="69"/>
      <c r="R487" s="69"/>
      <c r="S487" s="69"/>
      <c r="T487" s="69"/>
      <c r="U487" s="69"/>
      <c r="V487" s="69"/>
      <c r="W487" s="69"/>
      <c r="X487" s="69"/>
      <c r="Y487" s="69"/>
      <c r="Z487" s="69"/>
      <c r="AA487" s="69"/>
    </row>
    <row r="488" spans="1:27">
      <c r="A488" s="69"/>
      <c r="B488" s="69"/>
      <c r="C488" s="69"/>
      <c r="D488" s="69"/>
      <c r="E488" s="69"/>
      <c r="F488" s="69"/>
      <c r="G488" s="69"/>
      <c r="H488" s="69"/>
      <c r="I488" s="69"/>
      <c r="J488" s="69"/>
      <c r="K488" s="69"/>
      <c r="L488" s="69"/>
      <c r="M488" s="69"/>
      <c r="N488" s="69"/>
      <c r="O488" s="69"/>
      <c r="P488" s="69"/>
      <c r="Q488" s="69"/>
      <c r="R488" s="69"/>
      <c r="S488" s="69"/>
      <c r="T488" s="69"/>
      <c r="U488" s="69"/>
      <c r="V488" s="69"/>
      <c r="W488" s="69"/>
      <c r="X488" s="69"/>
      <c r="Y488" s="69"/>
      <c r="Z488" s="69"/>
      <c r="AA488" s="69"/>
    </row>
    <row r="489" spans="1:27">
      <c r="A489" s="69"/>
      <c r="B489" s="69"/>
      <c r="C489" s="69"/>
      <c r="D489" s="69"/>
      <c r="E489" s="69"/>
      <c r="F489" s="69"/>
      <c r="G489" s="69"/>
      <c r="H489" s="69"/>
      <c r="I489" s="69"/>
      <c r="J489" s="69"/>
      <c r="K489" s="69"/>
      <c r="L489" s="69"/>
      <c r="M489" s="69"/>
      <c r="N489" s="69"/>
      <c r="O489" s="69"/>
      <c r="P489" s="69"/>
      <c r="Q489" s="69"/>
      <c r="R489" s="69"/>
      <c r="S489" s="69"/>
      <c r="T489" s="69"/>
      <c r="U489" s="69"/>
      <c r="V489" s="69"/>
      <c r="W489" s="69"/>
      <c r="X489" s="69"/>
      <c r="Y489" s="69"/>
      <c r="Z489" s="69"/>
      <c r="AA489" s="69"/>
    </row>
    <row r="490" spans="1:27">
      <c r="A490" s="69"/>
      <c r="B490" s="69"/>
      <c r="C490" s="69"/>
      <c r="D490" s="69"/>
      <c r="E490" s="69"/>
      <c r="F490" s="69"/>
      <c r="G490" s="69"/>
      <c r="H490" s="69"/>
      <c r="I490" s="69"/>
      <c r="J490" s="69"/>
      <c r="K490" s="69"/>
      <c r="L490" s="69"/>
      <c r="M490" s="69"/>
      <c r="N490" s="69"/>
      <c r="O490" s="69"/>
      <c r="P490" s="69"/>
      <c r="Q490" s="69"/>
      <c r="R490" s="69"/>
      <c r="S490" s="69"/>
      <c r="T490" s="69"/>
      <c r="U490" s="69"/>
      <c r="V490" s="69"/>
      <c r="W490" s="69"/>
      <c r="X490" s="69"/>
      <c r="Y490" s="69"/>
      <c r="Z490" s="69"/>
      <c r="AA490" s="69"/>
    </row>
    <row r="491" spans="1:27">
      <c r="A491" s="69"/>
      <c r="B491" s="69"/>
      <c r="C491" s="69"/>
      <c r="D491" s="69"/>
      <c r="E491" s="69"/>
      <c r="F491" s="69"/>
      <c r="G491" s="69"/>
      <c r="H491" s="69"/>
      <c r="I491" s="69"/>
      <c r="J491" s="69"/>
      <c r="K491" s="69"/>
      <c r="L491" s="69"/>
      <c r="M491" s="69"/>
      <c r="N491" s="69"/>
      <c r="O491" s="69"/>
      <c r="P491" s="69"/>
      <c r="Q491" s="69"/>
      <c r="R491" s="69"/>
      <c r="S491" s="69"/>
      <c r="T491" s="69"/>
      <c r="U491" s="69"/>
      <c r="V491" s="69"/>
      <c r="W491" s="69"/>
      <c r="X491" s="69"/>
      <c r="Y491" s="69"/>
      <c r="Z491" s="69"/>
      <c r="AA491" s="69"/>
    </row>
    <row r="492" spans="1:27">
      <c r="A492" s="69"/>
      <c r="B492" s="69"/>
      <c r="C492" s="69"/>
      <c r="D492" s="69"/>
      <c r="E492" s="69"/>
      <c r="F492" s="69"/>
      <c r="G492" s="69"/>
      <c r="H492" s="69"/>
      <c r="I492" s="69"/>
      <c r="J492" s="69"/>
      <c r="K492" s="69"/>
      <c r="L492" s="69"/>
      <c r="M492" s="69"/>
      <c r="N492" s="69"/>
      <c r="O492" s="69"/>
      <c r="P492" s="69"/>
      <c r="Q492" s="69"/>
      <c r="R492" s="69"/>
      <c r="S492" s="69"/>
      <c r="T492" s="69"/>
      <c r="U492" s="69"/>
      <c r="V492" s="69"/>
      <c r="W492" s="69"/>
      <c r="X492" s="69"/>
      <c r="Y492" s="69"/>
      <c r="Z492" s="69"/>
      <c r="AA492" s="69"/>
    </row>
    <row r="493" spans="1:27">
      <c r="A493" s="69"/>
      <c r="B493" s="69"/>
      <c r="C493" s="69"/>
      <c r="D493" s="69"/>
      <c r="E493" s="69"/>
      <c r="F493" s="69"/>
      <c r="G493" s="69"/>
      <c r="H493" s="69"/>
      <c r="I493" s="69"/>
      <c r="J493" s="69"/>
      <c r="K493" s="69"/>
      <c r="L493" s="69"/>
      <c r="M493" s="69"/>
      <c r="N493" s="69"/>
      <c r="O493" s="69"/>
      <c r="P493" s="69"/>
      <c r="Q493" s="69"/>
      <c r="R493" s="69"/>
      <c r="S493" s="69"/>
      <c r="T493" s="69"/>
      <c r="U493" s="69"/>
      <c r="V493" s="69"/>
      <c r="W493" s="69"/>
      <c r="X493" s="69"/>
      <c r="Y493" s="69"/>
      <c r="Z493" s="69"/>
      <c r="AA493" s="69"/>
    </row>
    <row r="494" spans="1:27">
      <c r="A494" s="69"/>
      <c r="B494" s="69"/>
      <c r="C494" s="69"/>
      <c r="D494" s="69"/>
      <c r="E494" s="69"/>
      <c r="F494" s="69"/>
      <c r="G494" s="69"/>
      <c r="H494" s="69"/>
      <c r="I494" s="69"/>
      <c r="J494" s="69"/>
      <c r="K494" s="69"/>
      <c r="L494" s="69"/>
      <c r="M494" s="69"/>
      <c r="N494" s="69"/>
      <c r="O494" s="69"/>
      <c r="P494" s="69"/>
      <c r="Q494" s="69"/>
      <c r="R494" s="69"/>
      <c r="S494" s="69"/>
      <c r="T494" s="69"/>
      <c r="U494" s="69"/>
      <c r="V494" s="69"/>
      <c r="W494" s="69"/>
      <c r="X494" s="69"/>
      <c r="Y494" s="69"/>
      <c r="Z494" s="69"/>
      <c r="AA494" s="69"/>
    </row>
    <row r="495" spans="1:27">
      <c r="A495" s="69"/>
      <c r="B495" s="69"/>
      <c r="C495" s="69"/>
      <c r="D495" s="69"/>
      <c r="E495" s="69"/>
      <c r="F495" s="69"/>
      <c r="G495" s="69"/>
      <c r="H495" s="69"/>
      <c r="I495" s="69"/>
      <c r="J495" s="69"/>
      <c r="K495" s="69"/>
      <c r="L495" s="69"/>
      <c r="M495" s="69"/>
      <c r="N495" s="69"/>
      <c r="O495" s="69"/>
      <c r="P495" s="69"/>
      <c r="Q495" s="69"/>
      <c r="R495" s="69"/>
      <c r="S495" s="69"/>
      <c r="T495" s="69"/>
      <c r="U495" s="69"/>
      <c r="V495" s="69"/>
      <c r="W495" s="69"/>
      <c r="X495" s="69"/>
      <c r="Y495" s="69"/>
      <c r="Z495" s="69"/>
      <c r="AA495" s="69"/>
    </row>
    <row r="496" spans="1:27">
      <c r="A496" s="69"/>
      <c r="B496" s="69"/>
      <c r="C496" s="69"/>
      <c r="D496" s="69"/>
      <c r="E496" s="69"/>
      <c r="F496" s="69"/>
      <c r="G496" s="69"/>
      <c r="H496" s="69"/>
      <c r="I496" s="69"/>
      <c r="J496" s="69"/>
      <c r="K496" s="69"/>
      <c r="L496" s="69"/>
      <c r="M496" s="69"/>
      <c r="N496" s="69"/>
      <c r="O496" s="69"/>
      <c r="P496" s="69"/>
      <c r="Q496" s="69"/>
      <c r="R496" s="69"/>
      <c r="S496" s="69"/>
      <c r="T496" s="69"/>
      <c r="U496" s="69"/>
      <c r="V496" s="69"/>
      <c r="W496" s="69"/>
      <c r="X496" s="69"/>
      <c r="Y496" s="69"/>
      <c r="Z496" s="69"/>
      <c r="AA496" s="69"/>
    </row>
    <row r="497" spans="1:27">
      <c r="A497" s="69"/>
      <c r="B497" s="69"/>
      <c r="C497" s="69"/>
      <c r="D497" s="69"/>
      <c r="E497" s="69"/>
      <c r="F497" s="69"/>
      <c r="G497" s="69"/>
      <c r="H497" s="69"/>
      <c r="I497" s="69"/>
      <c r="J497" s="69"/>
      <c r="K497" s="69"/>
      <c r="L497" s="69"/>
      <c r="M497" s="69"/>
      <c r="N497" s="69"/>
      <c r="O497" s="69"/>
      <c r="P497" s="69"/>
      <c r="Q497" s="69"/>
      <c r="R497" s="69"/>
      <c r="S497" s="69"/>
      <c r="T497" s="69"/>
      <c r="U497" s="69"/>
      <c r="V497" s="69"/>
      <c r="W497" s="69"/>
      <c r="X497" s="69"/>
      <c r="Y497" s="69"/>
      <c r="Z497" s="69"/>
      <c r="AA497" s="69"/>
    </row>
    <row r="498" spans="1:27">
      <c r="A498" s="69"/>
      <c r="B498" s="69"/>
      <c r="C498" s="69"/>
      <c r="D498" s="69"/>
      <c r="E498" s="69"/>
      <c r="F498" s="69"/>
      <c r="G498" s="69"/>
      <c r="H498" s="69"/>
      <c r="I498" s="69"/>
      <c r="J498" s="69"/>
      <c r="K498" s="69"/>
      <c r="L498" s="69"/>
      <c r="M498" s="69"/>
      <c r="N498" s="69"/>
      <c r="O498" s="69"/>
      <c r="P498" s="69"/>
      <c r="Q498" s="69"/>
      <c r="R498" s="69"/>
      <c r="S498" s="69"/>
      <c r="T498" s="69"/>
      <c r="U498" s="69"/>
      <c r="V498" s="69"/>
      <c r="W498" s="69"/>
      <c r="X498" s="69"/>
      <c r="Y498" s="69"/>
      <c r="Z498" s="69"/>
      <c r="AA498" s="69"/>
    </row>
    <row r="499" spans="1:27">
      <c r="A499" s="69"/>
      <c r="B499" s="69"/>
      <c r="C499" s="69"/>
      <c r="D499" s="69"/>
      <c r="E499" s="69"/>
      <c r="F499" s="69"/>
      <c r="G499" s="69"/>
      <c r="H499" s="69"/>
      <c r="I499" s="69"/>
      <c r="J499" s="69"/>
      <c r="K499" s="69"/>
      <c r="L499" s="69"/>
      <c r="M499" s="69"/>
      <c r="N499" s="69"/>
      <c r="O499" s="69"/>
      <c r="P499" s="69"/>
      <c r="Q499" s="69"/>
      <c r="R499" s="69"/>
      <c r="S499" s="69"/>
      <c r="T499" s="69"/>
      <c r="U499" s="69"/>
      <c r="V499" s="69"/>
      <c r="W499" s="69"/>
      <c r="X499" s="69"/>
      <c r="Y499" s="69"/>
      <c r="Z499" s="69"/>
      <c r="AA499" s="69"/>
    </row>
    <row r="500" spans="1:27">
      <c r="A500" s="69"/>
      <c r="B500" s="69"/>
      <c r="C500" s="69"/>
      <c r="D500" s="69"/>
      <c r="E500" s="69"/>
      <c r="F500" s="69"/>
      <c r="G500" s="69"/>
      <c r="H500" s="69"/>
      <c r="I500" s="69"/>
      <c r="J500" s="69"/>
      <c r="K500" s="69"/>
      <c r="L500" s="69"/>
      <c r="M500" s="69"/>
      <c r="N500" s="69"/>
      <c r="O500" s="69"/>
      <c r="P500" s="69"/>
      <c r="Q500" s="69"/>
      <c r="R500" s="69"/>
      <c r="S500" s="69"/>
      <c r="T500" s="69"/>
      <c r="U500" s="69"/>
      <c r="V500" s="69"/>
      <c r="W500" s="69"/>
      <c r="X500" s="69"/>
      <c r="Y500" s="69"/>
      <c r="Z500" s="69"/>
      <c r="AA500" s="69"/>
    </row>
    <row r="501" spans="1:27">
      <c r="A501" s="69"/>
      <c r="B501" s="69"/>
      <c r="C501" s="69"/>
      <c r="D501" s="69"/>
      <c r="E501" s="69"/>
      <c r="F501" s="69"/>
      <c r="G501" s="69"/>
      <c r="H501" s="69"/>
      <c r="I501" s="69"/>
      <c r="J501" s="69"/>
      <c r="K501" s="69"/>
      <c r="L501" s="69"/>
      <c r="M501" s="69"/>
      <c r="N501" s="69"/>
      <c r="O501" s="69"/>
      <c r="P501" s="69"/>
      <c r="Q501" s="69"/>
      <c r="R501" s="69"/>
      <c r="S501" s="69"/>
      <c r="T501" s="69"/>
      <c r="U501" s="69"/>
      <c r="V501" s="69"/>
      <c r="W501" s="69"/>
      <c r="X501" s="69"/>
      <c r="Y501" s="69"/>
      <c r="Z501" s="69"/>
      <c r="AA501" s="69"/>
    </row>
    <row r="502" spans="1:27">
      <c r="A502" s="69"/>
      <c r="B502" s="69"/>
      <c r="C502" s="69"/>
      <c r="D502" s="69"/>
      <c r="E502" s="69"/>
      <c r="F502" s="69"/>
      <c r="G502" s="69"/>
      <c r="H502" s="69"/>
      <c r="I502" s="69"/>
      <c r="J502" s="69"/>
      <c r="K502" s="69"/>
      <c r="L502" s="69"/>
      <c r="M502" s="69"/>
      <c r="N502" s="69"/>
      <c r="O502" s="69"/>
      <c r="P502" s="69"/>
      <c r="Q502" s="69"/>
      <c r="R502" s="69"/>
      <c r="S502" s="69"/>
      <c r="T502" s="69"/>
      <c r="U502" s="69"/>
      <c r="V502" s="69"/>
      <c r="W502" s="69"/>
      <c r="X502" s="69"/>
      <c r="Y502" s="69"/>
      <c r="Z502" s="69"/>
      <c r="AA502" s="69"/>
    </row>
    <row r="503" spans="1:27">
      <c r="A503" s="69"/>
      <c r="B503" s="69"/>
      <c r="C503" s="69"/>
      <c r="D503" s="69"/>
      <c r="E503" s="69"/>
      <c r="F503" s="69"/>
      <c r="G503" s="69"/>
      <c r="H503" s="69"/>
      <c r="I503" s="69"/>
      <c r="J503" s="69"/>
      <c r="K503" s="69"/>
      <c r="L503" s="69"/>
      <c r="M503" s="69"/>
      <c r="N503" s="69"/>
      <c r="O503" s="69"/>
      <c r="P503" s="69"/>
      <c r="Q503" s="69"/>
      <c r="R503" s="69"/>
      <c r="S503" s="69"/>
      <c r="T503" s="69"/>
      <c r="U503" s="69"/>
      <c r="V503" s="69"/>
      <c r="W503" s="69"/>
      <c r="X503" s="69"/>
      <c r="Y503" s="69"/>
      <c r="Z503" s="69"/>
      <c r="AA503" s="69"/>
    </row>
    <row r="504" spans="1:27">
      <c r="A504" s="69"/>
      <c r="B504" s="69"/>
      <c r="C504" s="69"/>
      <c r="D504" s="69"/>
      <c r="E504" s="69"/>
      <c r="F504" s="69"/>
      <c r="G504" s="69"/>
      <c r="H504" s="69"/>
      <c r="I504" s="69"/>
      <c r="J504" s="69"/>
      <c r="K504" s="69"/>
      <c r="L504" s="69"/>
      <c r="M504" s="69"/>
      <c r="N504" s="69"/>
      <c r="O504" s="69"/>
      <c r="P504" s="69"/>
      <c r="Q504" s="69"/>
      <c r="R504" s="69"/>
      <c r="S504" s="69"/>
      <c r="T504" s="69"/>
      <c r="U504" s="69"/>
      <c r="V504" s="69"/>
      <c r="W504" s="69"/>
      <c r="X504" s="69"/>
      <c r="Y504" s="69"/>
      <c r="Z504" s="69"/>
      <c r="AA504" s="69"/>
    </row>
    <row r="505" spans="1:27">
      <c r="A505" s="69"/>
      <c r="B505" s="69"/>
      <c r="C505" s="69"/>
      <c r="D505" s="69"/>
      <c r="E505" s="69"/>
      <c r="F505" s="69"/>
      <c r="G505" s="69"/>
      <c r="H505" s="69"/>
      <c r="I505" s="69"/>
      <c r="J505" s="69"/>
      <c r="K505" s="69"/>
      <c r="L505" s="69"/>
      <c r="M505" s="69"/>
      <c r="N505" s="69"/>
      <c r="O505" s="69"/>
      <c r="P505" s="69"/>
      <c r="Q505" s="69"/>
      <c r="R505" s="69"/>
      <c r="S505" s="69"/>
      <c r="T505" s="69"/>
      <c r="U505" s="69"/>
      <c r="V505" s="69"/>
      <c r="W505" s="69"/>
      <c r="X505" s="69"/>
      <c r="Y505" s="69"/>
      <c r="Z505" s="69"/>
      <c r="AA505" s="69"/>
    </row>
    <row r="506" spans="1:27">
      <c r="A506" s="69"/>
      <c r="B506" s="69"/>
      <c r="C506" s="69"/>
      <c r="D506" s="69"/>
      <c r="E506" s="69"/>
      <c r="F506" s="69"/>
      <c r="G506" s="69"/>
      <c r="H506" s="69"/>
      <c r="I506" s="69"/>
      <c r="J506" s="69"/>
      <c r="K506" s="69"/>
      <c r="L506" s="69"/>
      <c r="M506" s="69"/>
      <c r="N506" s="69"/>
      <c r="O506" s="69"/>
      <c r="P506" s="69"/>
      <c r="Q506" s="69"/>
      <c r="R506" s="69"/>
      <c r="S506" s="69"/>
      <c r="T506" s="69"/>
      <c r="U506" s="69"/>
      <c r="V506" s="69"/>
      <c r="W506" s="69"/>
      <c r="X506" s="69"/>
      <c r="Y506" s="69"/>
      <c r="Z506" s="69"/>
      <c r="AA506" s="69"/>
    </row>
    <row r="507" spans="1:27">
      <c r="A507" s="69"/>
      <c r="B507" s="69"/>
      <c r="C507" s="69"/>
      <c r="D507" s="69"/>
      <c r="E507" s="69"/>
      <c r="F507" s="69"/>
      <c r="G507" s="69"/>
      <c r="H507" s="69"/>
      <c r="I507" s="69"/>
      <c r="J507" s="69"/>
      <c r="K507" s="69"/>
      <c r="L507" s="69"/>
      <c r="M507" s="69"/>
      <c r="N507" s="69"/>
      <c r="O507" s="69"/>
      <c r="P507" s="69"/>
      <c r="Q507" s="69"/>
      <c r="R507" s="69"/>
      <c r="S507" s="69"/>
      <c r="T507" s="69"/>
      <c r="U507" s="69"/>
      <c r="V507" s="69"/>
      <c r="W507" s="69"/>
      <c r="X507" s="69"/>
      <c r="Y507" s="69"/>
      <c r="Z507" s="69"/>
      <c r="AA507" s="69"/>
    </row>
    <row r="508" spans="1:27">
      <c r="A508" s="69"/>
      <c r="B508" s="69"/>
      <c r="C508" s="69"/>
      <c r="D508" s="69"/>
      <c r="E508" s="69"/>
      <c r="F508" s="69"/>
      <c r="G508" s="69"/>
      <c r="H508" s="69"/>
      <c r="I508" s="69"/>
      <c r="J508" s="69"/>
      <c r="K508" s="69"/>
      <c r="L508" s="69"/>
      <c r="M508" s="69"/>
      <c r="N508" s="69"/>
      <c r="O508" s="69"/>
      <c r="P508" s="69"/>
      <c r="Q508" s="69"/>
      <c r="R508" s="69"/>
      <c r="S508" s="69"/>
      <c r="T508" s="69"/>
      <c r="U508" s="69"/>
      <c r="V508" s="69"/>
      <c r="W508" s="69"/>
      <c r="X508" s="69"/>
      <c r="Y508" s="69"/>
      <c r="Z508" s="69"/>
      <c r="AA508" s="69"/>
    </row>
    <row r="509" spans="1:27">
      <c r="A509" s="69"/>
      <c r="B509" s="69"/>
      <c r="C509" s="69"/>
      <c r="D509" s="69"/>
      <c r="E509" s="69"/>
      <c r="F509" s="69"/>
      <c r="G509" s="69"/>
      <c r="H509" s="69"/>
      <c r="I509" s="69"/>
      <c r="J509" s="69"/>
      <c r="K509" s="69"/>
      <c r="L509" s="69"/>
      <c r="M509" s="69"/>
      <c r="N509" s="69"/>
      <c r="O509" s="69"/>
      <c r="P509" s="69"/>
      <c r="Q509" s="69"/>
      <c r="R509" s="69"/>
      <c r="S509" s="69"/>
      <c r="T509" s="69"/>
      <c r="U509" s="69"/>
      <c r="V509" s="69"/>
      <c r="W509" s="69"/>
      <c r="X509" s="69"/>
      <c r="Y509" s="69"/>
      <c r="Z509" s="69"/>
      <c r="AA509" s="69"/>
    </row>
    <row r="510" spans="1:27">
      <c r="A510" s="69"/>
      <c r="B510" s="69"/>
      <c r="C510" s="69"/>
      <c r="D510" s="69"/>
      <c r="E510" s="69"/>
      <c r="F510" s="69"/>
      <c r="G510" s="69"/>
      <c r="H510" s="69"/>
      <c r="I510" s="69"/>
      <c r="J510" s="69"/>
      <c r="K510" s="69"/>
      <c r="L510" s="69"/>
      <c r="M510" s="69"/>
      <c r="N510" s="69"/>
      <c r="O510" s="69"/>
      <c r="P510" s="69"/>
      <c r="Q510" s="69"/>
      <c r="R510" s="69"/>
      <c r="S510" s="69"/>
      <c r="T510" s="69"/>
      <c r="U510" s="69"/>
      <c r="V510" s="69"/>
      <c r="W510" s="69"/>
      <c r="X510" s="69"/>
      <c r="Y510" s="69"/>
      <c r="Z510" s="69"/>
      <c r="AA510" s="69"/>
    </row>
    <row r="511" spans="1:27">
      <c r="A511" s="69"/>
      <c r="B511" s="69"/>
      <c r="C511" s="69"/>
      <c r="D511" s="69"/>
      <c r="E511" s="69"/>
      <c r="F511" s="69"/>
      <c r="G511" s="69"/>
      <c r="H511" s="69"/>
      <c r="I511" s="69"/>
      <c r="J511" s="69"/>
      <c r="K511" s="69"/>
      <c r="L511" s="69"/>
      <c r="M511" s="69"/>
      <c r="N511" s="69"/>
      <c r="O511" s="69"/>
      <c r="P511" s="69"/>
      <c r="Q511" s="69"/>
      <c r="R511" s="69"/>
      <c r="S511" s="69"/>
      <c r="T511" s="69"/>
      <c r="U511" s="69"/>
      <c r="V511" s="69"/>
      <c r="W511" s="69"/>
      <c r="X511" s="69"/>
      <c r="Y511" s="69"/>
      <c r="Z511" s="69"/>
      <c r="AA511" s="69"/>
    </row>
    <row r="512" spans="1:27">
      <c r="A512" s="69"/>
      <c r="B512" s="69"/>
      <c r="C512" s="69"/>
      <c r="D512" s="69"/>
      <c r="E512" s="69"/>
      <c r="F512" s="69"/>
      <c r="G512" s="69"/>
      <c r="H512" s="69"/>
      <c r="I512" s="69"/>
      <c r="J512" s="69"/>
      <c r="K512" s="69"/>
      <c r="L512" s="69"/>
      <c r="M512" s="69"/>
      <c r="N512" s="69"/>
      <c r="O512" s="69"/>
      <c r="P512" s="69"/>
      <c r="Q512" s="69"/>
      <c r="R512" s="69"/>
      <c r="S512" s="69"/>
      <c r="T512" s="69"/>
      <c r="U512" s="69"/>
      <c r="V512" s="69"/>
      <c r="W512" s="69"/>
      <c r="X512" s="69"/>
      <c r="Y512" s="69"/>
      <c r="Z512" s="69"/>
      <c r="AA512" s="69"/>
    </row>
    <row r="513" spans="1:27">
      <c r="A513" s="69"/>
      <c r="B513" s="69"/>
      <c r="C513" s="69"/>
      <c r="D513" s="69"/>
      <c r="E513" s="69"/>
      <c r="F513" s="69"/>
      <c r="G513" s="69"/>
      <c r="H513" s="69"/>
      <c r="I513" s="69"/>
      <c r="J513" s="69"/>
      <c r="K513" s="69"/>
      <c r="L513" s="69"/>
      <c r="M513" s="69"/>
      <c r="N513" s="69"/>
      <c r="O513" s="69"/>
      <c r="P513" s="69"/>
      <c r="Q513" s="69"/>
      <c r="R513" s="69"/>
      <c r="S513" s="69"/>
      <c r="T513" s="69"/>
      <c r="U513" s="69"/>
      <c r="V513" s="69"/>
      <c r="W513" s="69"/>
      <c r="X513" s="69"/>
      <c r="Y513" s="69"/>
      <c r="Z513" s="69"/>
      <c r="AA513" s="69"/>
    </row>
    <row r="514" spans="1:27">
      <c r="A514" s="69"/>
      <c r="B514" s="69"/>
      <c r="C514" s="69"/>
      <c r="D514" s="69"/>
      <c r="E514" s="69"/>
      <c r="F514" s="69"/>
      <c r="G514" s="69"/>
      <c r="H514" s="69"/>
      <c r="I514" s="69"/>
      <c r="J514" s="69"/>
      <c r="K514" s="69"/>
      <c r="L514" s="69"/>
      <c r="M514" s="69"/>
      <c r="N514" s="69"/>
      <c r="O514" s="69"/>
      <c r="P514" s="69"/>
      <c r="Q514" s="69"/>
      <c r="R514" s="69"/>
      <c r="S514" s="69"/>
      <c r="T514" s="69"/>
      <c r="U514" s="69"/>
      <c r="V514" s="69"/>
      <c r="W514" s="69"/>
      <c r="X514" s="69"/>
      <c r="Y514" s="69"/>
      <c r="Z514" s="69"/>
      <c r="AA514" s="69"/>
    </row>
    <row r="515" spans="1:27">
      <c r="A515" s="69"/>
      <c r="B515" s="69"/>
      <c r="C515" s="69"/>
      <c r="D515" s="69"/>
      <c r="E515" s="69"/>
      <c r="F515" s="69"/>
      <c r="G515" s="69"/>
      <c r="H515" s="69"/>
      <c r="I515" s="69"/>
      <c r="J515" s="69"/>
      <c r="K515" s="69"/>
      <c r="L515" s="69"/>
      <c r="M515" s="69"/>
      <c r="N515" s="69"/>
      <c r="O515" s="69"/>
      <c r="P515" s="69"/>
      <c r="Q515" s="69"/>
      <c r="R515" s="69"/>
      <c r="S515" s="69"/>
      <c r="T515" s="69"/>
      <c r="U515" s="69"/>
      <c r="V515" s="69"/>
      <c r="W515" s="69"/>
      <c r="X515" s="69"/>
      <c r="Y515" s="69"/>
      <c r="Z515" s="69"/>
      <c r="AA515" s="69"/>
    </row>
    <row r="516" spans="1:27">
      <c r="A516" s="69"/>
      <c r="B516" s="69"/>
      <c r="C516" s="69"/>
      <c r="D516" s="69"/>
      <c r="E516" s="69"/>
      <c r="F516" s="69"/>
      <c r="G516" s="69"/>
      <c r="H516" s="69"/>
      <c r="I516" s="69"/>
      <c r="J516" s="69"/>
      <c r="K516" s="69"/>
      <c r="L516" s="69"/>
      <c r="M516" s="69"/>
      <c r="N516" s="69"/>
      <c r="O516" s="69"/>
      <c r="P516" s="69"/>
      <c r="Q516" s="69"/>
      <c r="R516" s="69"/>
      <c r="S516" s="69"/>
      <c r="T516" s="69"/>
      <c r="U516" s="69"/>
      <c r="V516" s="69"/>
      <c r="W516" s="69"/>
      <c r="X516" s="69"/>
      <c r="Y516" s="69"/>
      <c r="Z516" s="69"/>
      <c r="AA516" s="69"/>
    </row>
    <row r="517" spans="1:27">
      <c r="A517" s="69"/>
      <c r="B517" s="69"/>
      <c r="C517" s="69"/>
      <c r="D517" s="69"/>
      <c r="E517" s="69"/>
      <c r="F517" s="69"/>
      <c r="G517" s="69"/>
      <c r="H517" s="69"/>
      <c r="I517" s="69"/>
      <c r="J517" s="69"/>
      <c r="K517" s="69"/>
      <c r="L517" s="69"/>
      <c r="M517" s="69"/>
      <c r="N517" s="69"/>
      <c r="O517" s="69"/>
      <c r="P517" s="69"/>
      <c r="Q517" s="69"/>
      <c r="R517" s="69"/>
      <c r="S517" s="69"/>
      <c r="T517" s="69"/>
      <c r="U517" s="69"/>
      <c r="V517" s="69"/>
      <c r="W517" s="69"/>
      <c r="X517" s="69"/>
      <c r="Y517" s="69"/>
      <c r="Z517" s="69"/>
      <c r="AA517" s="69"/>
    </row>
    <row r="518" spans="1:27">
      <c r="A518" s="69"/>
      <c r="B518" s="69"/>
      <c r="C518" s="69"/>
      <c r="D518" s="69"/>
      <c r="E518" s="69"/>
      <c r="F518" s="69"/>
      <c r="G518" s="69"/>
      <c r="H518" s="69"/>
      <c r="I518" s="69"/>
      <c r="J518" s="69"/>
      <c r="K518" s="69"/>
      <c r="L518" s="69"/>
      <c r="M518" s="69"/>
      <c r="N518" s="69"/>
      <c r="O518" s="69"/>
      <c r="P518" s="69"/>
      <c r="Q518" s="69"/>
      <c r="R518" s="69"/>
      <c r="S518" s="69"/>
      <c r="T518" s="69"/>
      <c r="U518" s="69"/>
      <c r="V518" s="69"/>
      <c r="W518" s="69"/>
      <c r="X518" s="69"/>
      <c r="Y518" s="69"/>
      <c r="Z518" s="69"/>
      <c r="AA518" s="69"/>
    </row>
    <row r="519" spans="1:27">
      <c r="A519" s="69"/>
      <c r="B519" s="69"/>
      <c r="C519" s="69"/>
      <c r="D519" s="69"/>
      <c r="E519" s="69"/>
      <c r="F519" s="69"/>
      <c r="G519" s="69"/>
      <c r="H519" s="69"/>
      <c r="I519" s="69"/>
      <c r="J519" s="69"/>
      <c r="K519" s="69"/>
      <c r="L519" s="69"/>
      <c r="M519" s="69"/>
      <c r="N519" s="69"/>
      <c r="O519" s="69"/>
      <c r="P519" s="69"/>
      <c r="Q519" s="69"/>
      <c r="R519" s="69"/>
      <c r="S519" s="69"/>
      <c r="T519" s="69"/>
      <c r="U519" s="69"/>
      <c r="V519" s="69"/>
      <c r="W519" s="69"/>
      <c r="X519" s="69"/>
      <c r="Y519" s="69"/>
      <c r="Z519" s="69"/>
      <c r="AA519" s="69"/>
    </row>
    <row r="520" spans="1:27">
      <c r="A520" s="69"/>
      <c r="B520" s="69"/>
      <c r="C520" s="69"/>
      <c r="D520" s="69"/>
      <c r="E520" s="69"/>
      <c r="F520" s="69"/>
      <c r="G520" s="69"/>
      <c r="H520" s="69"/>
      <c r="I520" s="69"/>
      <c r="J520" s="69"/>
      <c r="K520" s="69"/>
      <c r="L520" s="69"/>
      <c r="M520" s="69"/>
      <c r="N520" s="69"/>
      <c r="O520" s="69"/>
      <c r="P520" s="69"/>
      <c r="Q520" s="69"/>
      <c r="R520" s="69"/>
      <c r="S520" s="69"/>
      <c r="T520" s="69"/>
      <c r="U520" s="69"/>
      <c r="V520" s="69"/>
      <c r="W520" s="69"/>
      <c r="X520" s="69"/>
      <c r="Y520" s="69"/>
      <c r="Z520" s="69"/>
      <c r="AA520" s="69"/>
    </row>
    <row r="521" spans="1:27">
      <c r="A521" s="69"/>
      <c r="B521" s="69"/>
      <c r="C521" s="69"/>
      <c r="D521" s="69"/>
      <c r="E521" s="69"/>
      <c r="F521" s="69"/>
      <c r="G521" s="69"/>
      <c r="H521" s="69"/>
      <c r="I521" s="69"/>
      <c r="J521" s="69"/>
      <c r="K521" s="69"/>
      <c r="L521" s="69"/>
      <c r="M521" s="69"/>
      <c r="N521" s="69"/>
      <c r="O521" s="69"/>
      <c r="P521" s="69"/>
      <c r="Q521" s="69"/>
      <c r="R521" s="69"/>
      <c r="S521" s="69"/>
      <c r="T521" s="69"/>
      <c r="U521" s="69"/>
      <c r="V521" s="69"/>
      <c r="W521" s="69"/>
      <c r="X521" s="69"/>
      <c r="Y521" s="69"/>
      <c r="Z521" s="69"/>
      <c r="AA521" s="69"/>
    </row>
    <row r="522" spans="1:27">
      <c r="A522" s="69"/>
      <c r="B522" s="69"/>
      <c r="C522" s="69"/>
      <c r="D522" s="69"/>
      <c r="E522" s="69"/>
      <c r="F522" s="69"/>
      <c r="G522" s="69"/>
      <c r="H522" s="69"/>
      <c r="I522" s="69"/>
      <c r="J522" s="69"/>
      <c r="K522" s="69"/>
      <c r="L522" s="69"/>
      <c r="M522" s="69"/>
      <c r="N522" s="69"/>
      <c r="O522" s="69"/>
      <c r="P522" s="69"/>
      <c r="Q522" s="69"/>
      <c r="R522" s="69"/>
      <c r="S522" s="69"/>
      <c r="T522" s="69"/>
      <c r="U522" s="69"/>
      <c r="V522" s="69"/>
      <c r="W522" s="69"/>
      <c r="X522" s="69"/>
      <c r="Y522" s="69"/>
      <c r="Z522" s="69"/>
      <c r="AA522" s="69"/>
    </row>
    <row r="523" spans="1:27">
      <c r="A523" s="69"/>
      <c r="B523" s="69"/>
      <c r="C523" s="69"/>
      <c r="D523" s="69"/>
      <c r="E523" s="69"/>
      <c r="F523" s="69"/>
      <c r="G523" s="69"/>
      <c r="H523" s="69"/>
      <c r="I523" s="69"/>
      <c r="J523" s="69"/>
      <c r="K523" s="69"/>
      <c r="L523" s="69"/>
      <c r="M523" s="69"/>
      <c r="N523" s="69"/>
      <c r="O523" s="69"/>
      <c r="P523" s="69"/>
      <c r="Q523" s="69"/>
      <c r="R523" s="69"/>
      <c r="S523" s="69"/>
      <c r="T523" s="69"/>
      <c r="U523" s="69"/>
      <c r="V523" s="69"/>
      <c r="W523" s="69"/>
      <c r="X523" s="69"/>
      <c r="Y523" s="69"/>
      <c r="Z523" s="69"/>
      <c r="AA523" s="69"/>
    </row>
    <row r="524" spans="1:27">
      <c r="A524" s="69"/>
      <c r="B524" s="69"/>
      <c r="C524" s="69"/>
      <c r="D524" s="69"/>
      <c r="E524" s="69"/>
      <c r="F524" s="69"/>
      <c r="G524" s="69"/>
      <c r="H524" s="69"/>
      <c r="I524" s="69"/>
      <c r="J524" s="69"/>
      <c r="K524" s="69"/>
      <c r="L524" s="69"/>
      <c r="M524" s="69"/>
      <c r="N524" s="69"/>
      <c r="O524" s="69"/>
      <c r="P524" s="69"/>
      <c r="Q524" s="69"/>
      <c r="R524" s="69"/>
      <c r="S524" s="69"/>
      <c r="T524" s="69"/>
      <c r="U524" s="69"/>
      <c r="V524" s="69"/>
      <c r="W524" s="69"/>
      <c r="X524" s="69"/>
      <c r="Y524" s="69"/>
      <c r="Z524" s="69"/>
      <c r="AA524" s="69"/>
    </row>
    <row r="525" spans="1:27">
      <c r="A525" s="69"/>
      <c r="B525" s="69"/>
      <c r="C525" s="69"/>
      <c r="D525" s="69"/>
      <c r="E525" s="69"/>
      <c r="F525" s="69"/>
      <c r="G525" s="69"/>
      <c r="H525" s="69"/>
      <c r="I525" s="69"/>
      <c r="J525" s="69"/>
      <c r="K525" s="69"/>
      <c r="L525" s="69"/>
      <c r="M525" s="69"/>
      <c r="N525" s="69"/>
      <c r="O525" s="69"/>
      <c r="P525" s="69"/>
      <c r="Q525" s="69"/>
      <c r="R525" s="69"/>
      <c r="S525" s="69"/>
      <c r="T525" s="69"/>
      <c r="U525" s="69"/>
      <c r="V525" s="69"/>
      <c r="W525" s="69"/>
      <c r="X525" s="69"/>
      <c r="Y525" s="69"/>
      <c r="Z525" s="69"/>
      <c r="AA525" s="69"/>
    </row>
    <row r="526" spans="1:27">
      <c r="A526" s="69"/>
      <c r="B526" s="69"/>
      <c r="C526" s="69"/>
      <c r="D526" s="69"/>
      <c r="E526" s="69"/>
      <c r="F526" s="69"/>
      <c r="G526" s="69"/>
      <c r="H526" s="69"/>
      <c r="I526" s="69"/>
      <c r="J526" s="69"/>
      <c r="K526" s="69"/>
      <c r="L526" s="69"/>
      <c r="M526" s="69"/>
      <c r="N526" s="69"/>
      <c r="O526" s="69"/>
      <c r="P526" s="69"/>
      <c r="Q526" s="69"/>
      <c r="R526" s="69"/>
      <c r="S526" s="69"/>
      <c r="T526" s="69"/>
      <c r="U526" s="69"/>
      <c r="V526" s="69"/>
      <c r="W526" s="69"/>
      <c r="X526" s="69"/>
      <c r="Y526" s="69"/>
      <c r="Z526" s="69"/>
      <c r="AA526" s="69"/>
    </row>
    <row r="527" spans="1:27">
      <c r="A527" s="69"/>
      <c r="B527" s="69"/>
      <c r="C527" s="69"/>
      <c r="D527" s="69"/>
      <c r="E527" s="69"/>
      <c r="F527" s="69"/>
      <c r="G527" s="69"/>
      <c r="H527" s="69"/>
      <c r="I527" s="69"/>
      <c r="J527" s="69"/>
      <c r="K527" s="69"/>
      <c r="L527" s="69"/>
      <c r="M527" s="69"/>
      <c r="N527" s="69"/>
      <c r="O527" s="69"/>
      <c r="P527" s="69"/>
      <c r="Q527" s="69"/>
      <c r="R527" s="69"/>
      <c r="S527" s="69"/>
      <c r="T527" s="69"/>
      <c r="U527" s="69"/>
      <c r="V527" s="69"/>
      <c r="W527" s="69"/>
      <c r="X527" s="69"/>
      <c r="Y527" s="69"/>
      <c r="Z527" s="69"/>
      <c r="AA527" s="69"/>
    </row>
    <row r="528" spans="1:27">
      <c r="A528" s="69"/>
      <c r="B528" s="69"/>
      <c r="C528" s="69"/>
      <c r="D528" s="69"/>
      <c r="E528" s="69"/>
      <c r="F528" s="69"/>
      <c r="G528" s="69"/>
      <c r="H528" s="69"/>
      <c r="I528" s="69"/>
      <c r="J528" s="69"/>
      <c r="K528" s="69"/>
      <c r="L528" s="69"/>
      <c r="M528" s="69"/>
      <c r="N528" s="69"/>
      <c r="O528" s="69"/>
      <c r="P528" s="69"/>
      <c r="Q528" s="69"/>
      <c r="R528" s="69"/>
      <c r="S528" s="69"/>
      <c r="T528" s="69"/>
      <c r="U528" s="69"/>
      <c r="V528" s="69"/>
      <c r="W528" s="69"/>
      <c r="X528" s="69"/>
      <c r="Y528" s="69"/>
      <c r="Z528" s="69"/>
      <c r="AA528" s="69"/>
    </row>
    <row r="529" spans="1:27">
      <c r="A529" s="69"/>
      <c r="B529" s="69"/>
      <c r="C529" s="69"/>
      <c r="D529" s="69"/>
      <c r="E529" s="69"/>
      <c r="F529" s="69"/>
      <c r="G529" s="69"/>
      <c r="H529" s="69"/>
      <c r="I529" s="69"/>
      <c r="J529" s="69"/>
      <c r="K529" s="69"/>
      <c r="L529" s="69"/>
      <c r="M529" s="69"/>
      <c r="N529" s="69"/>
      <c r="O529" s="69"/>
      <c r="P529" s="69"/>
      <c r="Q529" s="69"/>
      <c r="R529" s="69"/>
      <c r="S529" s="69"/>
      <c r="T529" s="69"/>
      <c r="U529" s="69"/>
      <c r="V529" s="69"/>
      <c r="W529" s="69"/>
      <c r="X529" s="69"/>
      <c r="Y529" s="69"/>
      <c r="Z529" s="69"/>
      <c r="AA529" s="69"/>
    </row>
    <row r="530" spans="1:27">
      <c r="A530" s="69"/>
      <c r="B530" s="69"/>
      <c r="C530" s="69"/>
      <c r="D530" s="69"/>
      <c r="E530" s="69"/>
      <c r="F530" s="69"/>
      <c r="G530" s="69"/>
      <c r="H530" s="69"/>
      <c r="I530" s="69"/>
      <c r="J530" s="69"/>
      <c r="K530" s="69"/>
      <c r="L530" s="69"/>
      <c r="M530" s="69"/>
      <c r="N530" s="69"/>
      <c r="O530" s="69"/>
      <c r="P530" s="69"/>
      <c r="Q530" s="69"/>
      <c r="R530" s="69"/>
      <c r="S530" s="69"/>
      <c r="T530" s="69"/>
      <c r="U530" s="69"/>
      <c r="V530" s="69"/>
      <c r="W530" s="69"/>
      <c r="X530" s="69"/>
      <c r="Y530" s="69"/>
      <c r="Z530" s="69"/>
      <c r="AA530" s="69"/>
    </row>
    <row r="531" spans="1:27">
      <c r="A531" s="69"/>
      <c r="B531" s="69"/>
      <c r="C531" s="69"/>
      <c r="D531" s="69"/>
      <c r="E531" s="69"/>
      <c r="F531" s="69"/>
      <c r="G531" s="69"/>
      <c r="H531" s="69"/>
      <c r="I531" s="69"/>
      <c r="J531" s="69"/>
      <c r="K531" s="69"/>
      <c r="L531" s="69"/>
      <c r="M531" s="69"/>
      <c r="N531" s="69"/>
      <c r="O531" s="69"/>
      <c r="P531" s="69"/>
      <c r="Q531" s="69"/>
      <c r="R531" s="69"/>
      <c r="S531" s="69"/>
      <c r="T531" s="69"/>
      <c r="U531" s="69"/>
      <c r="V531" s="69"/>
      <c r="W531" s="69"/>
      <c r="X531" s="69"/>
      <c r="Y531" s="69"/>
      <c r="Z531" s="69"/>
      <c r="AA531" s="69"/>
    </row>
    <row r="532" spans="1:27">
      <c r="A532" s="69"/>
      <c r="B532" s="69"/>
      <c r="C532" s="69"/>
      <c r="D532" s="69"/>
      <c r="E532" s="69"/>
      <c r="F532" s="69"/>
      <c r="G532" s="69"/>
      <c r="H532" s="69"/>
      <c r="I532" s="69"/>
      <c r="J532" s="69"/>
      <c r="K532" s="69"/>
      <c r="L532" s="69"/>
      <c r="M532" s="69"/>
      <c r="N532" s="69"/>
      <c r="O532" s="69"/>
      <c r="P532" s="69"/>
      <c r="Q532" s="69"/>
      <c r="R532" s="69"/>
      <c r="S532" s="69"/>
      <c r="T532" s="69"/>
      <c r="U532" s="69"/>
      <c r="V532" s="69"/>
      <c r="W532" s="69"/>
      <c r="X532" s="69"/>
      <c r="Y532" s="69"/>
      <c r="Z532" s="69"/>
      <c r="AA532" s="69"/>
    </row>
    <row r="533" spans="1:27">
      <c r="A533" s="69"/>
      <c r="B533" s="69"/>
      <c r="C533" s="69"/>
      <c r="D533" s="69"/>
      <c r="E533" s="69"/>
      <c r="F533" s="69"/>
      <c r="G533" s="69"/>
      <c r="H533" s="69"/>
      <c r="I533" s="69"/>
      <c r="J533" s="69"/>
      <c r="K533" s="69"/>
      <c r="L533" s="69"/>
      <c r="M533" s="69"/>
      <c r="N533" s="69"/>
      <c r="O533" s="69"/>
      <c r="P533" s="69"/>
      <c r="Q533" s="69"/>
      <c r="R533" s="69"/>
      <c r="S533" s="69"/>
      <c r="T533" s="69"/>
      <c r="U533" s="69"/>
      <c r="V533" s="69"/>
      <c r="W533" s="69"/>
      <c r="X533" s="69"/>
      <c r="Y533" s="69"/>
      <c r="Z533" s="69"/>
      <c r="AA533" s="69"/>
    </row>
    <row r="534" spans="1:27">
      <c r="A534" s="69"/>
      <c r="B534" s="69"/>
      <c r="C534" s="69"/>
      <c r="D534" s="69"/>
      <c r="E534" s="69"/>
      <c r="F534" s="69"/>
      <c r="G534" s="69"/>
      <c r="H534" s="69"/>
      <c r="I534" s="69"/>
      <c r="J534" s="69"/>
      <c r="K534" s="69"/>
      <c r="L534" s="69"/>
      <c r="M534" s="69"/>
      <c r="N534" s="69"/>
      <c r="O534" s="69"/>
      <c r="P534" s="69"/>
      <c r="Q534" s="69"/>
      <c r="R534" s="69"/>
      <c r="S534" s="69"/>
      <c r="T534" s="69"/>
      <c r="U534" s="69"/>
      <c r="V534" s="69"/>
      <c r="W534" s="69"/>
      <c r="X534" s="69"/>
      <c r="Y534" s="69"/>
      <c r="Z534" s="69"/>
      <c r="AA534" s="69"/>
    </row>
    <row r="535" spans="1:27">
      <c r="A535" s="69"/>
      <c r="B535" s="69"/>
      <c r="C535" s="69"/>
      <c r="D535" s="69"/>
      <c r="E535" s="69"/>
      <c r="F535" s="69"/>
      <c r="G535" s="69"/>
      <c r="H535" s="69"/>
      <c r="I535" s="69"/>
      <c r="J535" s="69"/>
      <c r="K535" s="69"/>
      <c r="L535" s="69"/>
      <c r="M535" s="69"/>
      <c r="N535" s="69"/>
      <c r="O535" s="69"/>
      <c r="P535" s="69"/>
      <c r="Q535" s="69"/>
      <c r="R535" s="69"/>
      <c r="S535" s="69"/>
      <c r="T535" s="69"/>
      <c r="U535" s="69"/>
      <c r="V535" s="69"/>
      <c r="W535" s="69"/>
      <c r="X535" s="69"/>
      <c r="Y535" s="69"/>
      <c r="Z535" s="69"/>
      <c r="AA535" s="69"/>
    </row>
    <row r="536" spans="1:27">
      <c r="A536" s="69"/>
      <c r="B536" s="69"/>
      <c r="C536" s="69"/>
      <c r="D536" s="69"/>
      <c r="E536" s="69"/>
      <c r="F536" s="69"/>
      <c r="G536" s="69"/>
      <c r="H536" s="69"/>
      <c r="I536" s="69"/>
      <c r="J536" s="69"/>
      <c r="K536" s="69"/>
      <c r="L536" s="69"/>
      <c r="M536" s="69"/>
      <c r="N536" s="69"/>
      <c r="O536" s="69"/>
      <c r="P536" s="69"/>
      <c r="Q536" s="69"/>
      <c r="R536" s="69"/>
      <c r="S536" s="69"/>
      <c r="T536" s="69"/>
      <c r="U536" s="69"/>
      <c r="V536" s="69"/>
      <c r="W536" s="69"/>
      <c r="X536" s="69"/>
      <c r="Y536" s="69"/>
      <c r="Z536" s="69"/>
      <c r="AA536" s="69"/>
    </row>
    <row r="537" spans="1:27">
      <c r="A537" s="69"/>
      <c r="B537" s="69"/>
      <c r="C537" s="69"/>
      <c r="D537" s="69"/>
      <c r="E537" s="69"/>
      <c r="F537" s="69"/>
      <c r="G537" s="69"/>
      <c r="H537" s="69"/>
      <c r="I537" s="69"/>
      <c r="J537" s="69"/>
      <c r="K537" s="69"/>
      <c r="L537" s="69"/>
      <c r="M537" s="69"/>
      <c r="N537" s="69"/>
      <c r="O537" s="69"/>
      <c r="P537" s="69"/>
      <c r="Q537" s="69"/>
      <c r="R537" s="69"/>
      <c r="S537" s="69"/>
      <c r="T537" s="69"/>
      <c r="U537" s="69"/>
      <c r="V537" s="69"/>
      <c r="W537" s="69"/>
      <c r="X537" s="69"/>
      <c r="Y537" s="69"/>
      <c r="Z537" s="69"/>
      <c r="AA537" s="69"/>
    </row>
    <row r="538" spans="1:27">
      <c r="A538" s="69"/>
      <c r="B538" s="69"/>
      <c r="C538" s="69"/>
      <c r="D538" s="69"/>
      <c r="E538" s="69"/>
      <c r="F538" s="69"/>
      <c r="G538" s="69"/>
      <c r="H538" s="69"/>
      <c r="I538" s="69"/>
      <c r="J538" s="69"/>
      <c r="K538" s="69"/>
      <c r="L538" s="69"/>
      <c r="M538" s="69"/>
      <c r="N538" s="69"/>
      <c r="O538" s="69"/>
      <c r="P538" s="69"/>
      <c r="Q538" s="69"/>
      <c r="R538" s="69"/>
      <c r="S538" s="69"/>
      <c r="T538" s="69"/>
      <c r="U538" s="69"/>
      <c r="V538" s="69"/>
      <c r="W538" s="69"/>
      <c r="X538" s="69"/>
      <c r="Y538" s="69"/>
      <c r="Z538" s="69"/>
      <c r="AA538" s="69"/>
    </row>
    <row r="539" spans="1:27">
      <c r="A539" s="69"/>
      <c r="B539" s="69"/>
      <c r="C539" s="69"/>
      <c r="D539" s="69"/>
      <c r="E539" s="69"/>
      <c r="F539" s="69"/>
      <c r="G539" s="69"/>
      <c r="H539" s="69"/>
      <c r="I539" s="69"/>
      <c r="J539" s="69"/>
      <c r="K539" s="69"/>
      <c r="L539" s="69"/>
      <c r="M539" s="69"/>
      <c r="N539" s="69"/>
      <c r="O539" s="69"/>
      <c r="P539" s="69"/>
      <c r="Q539" s="69"/>
      <c r="R539" s="69"/>
      <c r="S539" s="69"/>
      <c r="T539" s="69"/>
      <c r="U539" s="69"/>
      <c r="V539" s="69"/>
      <c r="W539" s="69"/>
      <c r="X539" s="69"/>
      <c r="Y539" s="69"/>
      <c r="Z539" s="69"/>
      <c r="AA539" s="69"/>
    </row>
    <row r="540" spans="1:27">
      <c r="A540" s="69"/>
      <c r="B540" s="69"/>
      <c r="C540" s="69"/>
      <c r="D540" s="69"/>
      <c r="E540" s="69"/>
      <c r="F540" s="69"/>
      <c r="G540" s="69"/>
      <c r="H540" s="69"/>
      <c r="I540" s="69"/>
      <c r="J540" s="69"/>
      <c r="K540" s="69"/>
      <c r="L540" s="69"/>
      <c r="M540" s="69"/>
      <c r="N540" s="69"/>
      <c r="O540" s="69"/>
      <c r="P540" s="69"/>
      <c r="Q540" s="69"/>
      <c r="R540" s="69"/>
      <c r="S540" s="69"/>
      <c r="T540" s="69"/>
      <c r="U540" s="69"/>
      <c r="V540" s="69"/>
      <c r="W540" s="69"/>
      <c r="X540" s="69"/>
      <c r="Y540" s="69"/>
      <c r="Z540" s="69"/>
      <c r="AA540" s="69"/>
    </row>
    <row r="541" spans="1:27">
      <c r="A541" s="69"/>
      <c r="B541" s="69"/>
      <c r="C541" s="69"/>
      <c r="D541" s="69"/>
      <c r="E541" s="69"/>
      <c r="F541" s="69"/>
      <c r="G541" s="69"/>
      <c r="H541" s="69"/>
      <c r="I541" s="69"/>
      <c r="J541" s="69"/>
      <c r="K541" s="69"/>
      <c r="L541" s="69"/>
      <c r="M541" s="69"/>
      <c r="N541" s="69"/>
      <c r="O541" s="69"/>
      <c r="P541" s="69"/>
      <c r="Q541" s="69"/>
      <c r="R541" s="69"/>
      <c r="S541" s="69"/>
      <c r="T541" s="69"/>
      <c r="U541" s="69"/>
      <c r="V541" s="69"/>
      <c r="W541" s="69"/>
      <c r="X541" s="69"/>
      <c r="Y541" s="69"/>
      <c r="Z541" s="69"/>
      <c r="AA541" s="69"/>
    </row>
    <row r="542" spans="1:27">
      <c r="A542" s="69"/>
      <c r="B542" s="69"/>
      <c r="C542" s="69"/>
      <c r="D542" s="69"/>
      <c r="E542" s="69"/>
      <c r="F542" s="69"/>
      <c r="G542" s="69"/>
      <c r="H542" s="69"/>
      <c r="I542" s="69"/>
      <c r="J542" s="69"/>
      <c r="K542" s="69"/>
      <c r="L542" s="69"/>
      <c r="M542" s="69"/>
      <c r="N542" s="69"/>
      <c r="O542" s="69"/>
      <c r="P542" s="69"/>
      <c r="Q542" s="69"/>
      <c r="R542" s="69"/>
      <c r="S542" s="69"/>
      <c r="T542" s="69"/>
      <c r="U542" s="69"/>
      <c r="V542" s="69"/>
      <c r="W542" s="69"/>
      <c r="X542" s="69"/>
      <c r="Y542" s="69"/>
      <c r="Z542" s="69"/>
      <c r="AA542" s="69"/>
    </row>
    <row r="543" spans="1:27">
      <c r="A543" s="69"/>
      <c r="B543" s="69"/>
      <c r="C543" s="69"/>
      <c r="D543" s="69"/>
      <c r="E543" s="69"/>
      <c r="F543" s="69"/>
      <c r="G543" s="69"/>
      <c r="H543" s="69"/>
      <c r="I543" s="69"/>
      <c r="J543" s="69"/>
      <c r="K543" s="69"/>
      <c r="L543" s="69"/>
      <c r="M543" s="69"/>
      <c r="N543" s="69"/>
      <c r="O543" s="69"/>
      <c r="P543" s="69"/>
      <c r="Q543" s="69"/>
      <c r="R543" s="69"/>
      <c r="S543" s="69"/>
      <c r="T543" s="69"/>
      <c r="U543" s="69"/>
      <c r="V543" s="69"/>
      <c r="W543" s="69"/>
      <c r="X543" s="69"/>
      <c r="Y543" s="69"/>
      <c r="Z543" s="69"/>
      <c r="AA543" s="69"/>
    </row>
    <row r="544" spans="1:27">
      <c r="A544" s="69"/>
      <c r="B544" s="69"/>
      <c r="C544" s="69"/>
      <c r="D544" s="69"/>
      <c r="E544" s="69"/>
      <c r="F544" s="69"/>
      <c r="G544" s="69"/>
      <c r="H544" s="69"/>
      <c r="I544" s="69"/>
      <c r="J544" s="69"/>
      <c r="K544" s="69"/>
      <c r="L544" s="69"/>
      <c r="M544" s="69"/>
      <c r="N544" s="69"/>
      <c r="O544" s="69"/>
      <c r="P544" s="69"/>
      <c r="Q544" s="69"/>
      <c r="R544" s="69"/>
      <c r="S544" s="69"/>
      <c r="T544" s="69"/>
      <c r="U544" s="69"/>
      <c r="V544" s="69"/>
      <c r="W544" s="69"/>
      <c r="X544" s="69"/>
      <c r="Y544" s="69"/>
      <c r="Z544" s="69"/>
      <c r="AA544" s="69"/>
    </row>
    <row r="545" spans="1:27">
      <c r="A545" s="69"/>
      <c r="B545" s="69"/>
      <c r="C545" s="69"/>
      <c r="D545" s="69"/>
      <c r="E545" s="69"/>
      <c r="F545" s="69"/>
      <c r="G545" s="69"/>
      <c r="H545" s="69"/>
      <c r="I545" s="69"/>
      <c r="J545" s="69"/>
      <c r="K545" s="69"/>
      <c r="L545" s="69"/>
      <c r="M545" s="69"/>
      <c r="N545" s="69"/>
      <c r="O545" s="69"/>
      <c r="P545" s="69"/>
      <c r="Q545" s="69"/>
      <c r="R545" s="69"/>
      <c r="S545" s="69"/>
      <c r="T545" s="69"/>
      <c r="U545" s="69"/>
      <c r="V545" s="69"/>
      <c r="W545" s="69"/>
      <c r="X545" s="69"/>
      <c r="Y545" s="69"/>
      <c r="Z545" s="69"/>
      <c r="AA545" s="69"/>
    </row>
    <row r="546" spans="1:27">
      <c r="A546" s="69"/>
      <c r="B546" s="69"/>
      <c r="C546" s="69"/>
      <c r="D546" s="69"/>
      <c r="E546" s="69"/>
      <c r="F546" s="69"/>
      <c r="G546" s="69"/>
      <c r="H546" s="69"/>
      <c r="I546" s="69"/>
      <c r="J546" s="69"/>
      <c r="K546" s="69"/>
      <c r="L546" s="69"/>
      <c r="M546" s="69"/>
      <c r="N546" s="69"/>
      <c r="O546" s="69"/>
      <c r="P546" s="69"/>
      <c r="Q546" s="69"/>
      <c r="R546" s="69"/>
      <c r="S546" s="69"/>
      <c r="T546" s="69"/>
      <c r="U546" s="69"/>
      <c r="V546" s="69"/>
      <c r="W546" s="69"/>
      <c r="X546" s="69"/>
      <c r="Y546" s="69"/>
      <c r="Z546" s="69"/>
      <c r="AA546" s="69"/>
    </row>
    <row r="547" spans="1:27">
      <c r="A547" s="69"/>
      <c r="B547" s="69"/>
      <c r="C547" s="69"/>
      <c r="D547" s="69"/>
      <c r="E547" s="69"/>
      <c r="F547" s="69"/>
      <c r="G547" s="69"/>
      <c r="H547" s="69"/>
      <c r="I547" s="69"/>
      <c r="J547" s="69"/>
      <c r="K547" s="69"/>
      <c r="L547" s="69"/>
      <c r="M547" s="69"/>
      <c r="N547" s="69"/>
      <c r="O547" s="69"/>
      <c r="P547" s="69"/>
      <c r="Q547" s="69"/>
      <c r="R547" s="69"/>
      <c r="S547" s="69"/>
      <c r="T547" s="69"/>
      <c r="U547" s="69"/>
      <c r="V547" s="69"/>
      <c r="W547" s="69"/>
      <c r="X547" s="69"/>
      <c r="Y547" s="69"/>
      <c r="Z547" s="69"/>
      <c r="AA547" s="69"/>
    </row>
    <row r="548" spans="1:27">
      <c r="A548" s="69"/>
      <c r="B548" s="69"/>
      <c r="C548" s="69"/>
      <c r="D548" s="69"/>
      <c r="E548" s="69"/>
      <c r="F548" s="69"/>
      <c r="G548" s="69"/>
      <c r="H548" s="69"/>
      <c r="I548" s="69"/>
      <c r="J548" s="69"/>
      <c r="K548" s="69"/>
      <c r="L548" s="69"/>
      <c r="M548" s="69"/>
      <c r="N548" s="69"/>
      <c r="O548" s="69"/>
      <c r="P548" s="69"/>
      <c r="Q548" s="69"/>
      <c r="R548" s="69"/>
      <c r="S548" s="69"/>
      <c r="T548" s="69"/>
      <c r="U548" s="69"/>
      <c r="V548" s="69"/>
      <c r="W548" s="69"/>
      <c r="X548" s="69"/>
      <c r="Y548" s="69"/>
      <c r="Z548" s="69"/>
      <c r="AA548" s="69"/>
    </row>
    <row r="549" spans="1:27">
      <c r="A549" s="69"/>
      <c r="B549" s="69"/>
      <c r="C549" s="69"/>
      <c r="D549" s="69"/>
      <c r="E549" s="69"/>
      <c r="F549" s="69"/>
      <c r="G549" s="69"/>
      <c r="H549" s="69"/>
      <c r="I549" s="69"/>
      <c r="J549" s="69"/>
      <c r="K549" s="69"/>
      <c r="L549" s="69"/>
      <c r="M549" s="69"/>
      <c r="N549" s="69"/>
      <c r="O549" s="69"/>
      <c r="P549" s="69"/>
      <c r="Q549" s="69"/>
      <c r="R549" s="69"/>
      <c r="S549" s="69"/>
      <c r="T549" s="69"/>
      <c r="U549" s="69"/>
      <c r="V549" s="69"/>
      <c r="W549" s="69"/>
      <c r="X549" s="69"/>
      <c r="Y549" s="69"/>
      <c r="Z549" s="69"/>
      <c r="AA549" s="69"/>
    </row>
    <row r="550" spans="1:27">
      <c r="A550" s="69"/>
      <c r="B550" s="69"/>
      <c r="C550" s="69"/>
      <c r="D550" s="69"/>
      <c r="E550" s="69"/>
      <c r="F550" s="69"/>
      <c r="G550" s="69"/>
      <c r="H550" s="69"/>
      <c r="I550" s="69"/>
      <c r="J550" s="69"/>
      <c r="K550" s="69"/>
      <c r="L550" s="69"/>
      <c r="M550" s="69"/>
      <c r="N550" s="69"/>
      <c r="O550" s="69"/>
      <c r="P550" s="69"/>
      <c r="Q550" s="69"/>
      <c r="R550" s="69"/>
      <c r="S550" s="69"/>
      <c r="T550" s="69"/>
      <c r="U550" s="69"/>
      <c r="V550" s="69"/>
      <c r="W550" s="69"/>
      <c r="X550" s="69"/>
      <c r="Y550" s="69"/>
      <c r="Z550" s="69"/>
      <c r="AA550" s="69"/>
    </row>
    <row r="551" spans="1:27">
      <c r="A551" s="69"/>
      <c r="B551" s="69"/>
      <c r="C551" s="69"/>
      <c r="D551" s="69"/>
      <c r="E551" s="69"/>
      <c r="F551" s="69"/>
      <c r="G551" s="69"/>
      <c r="H551" s="69"/>
      <c r="I551" s="69"/>
      <c r="J551" s="69"/>
      <c r="K551" s="69"/>
      <c r="L551" s="69"/>
      <c r="M551" s="69"/>
      <c r="N551" s="69"/>
      <c r="O551" s="69"/>
      <c r="P551" s="69"/>
      <c r="Q551" s="69"/>
      <c r="R551" s="69"/>
      <c r="S551" s="69"/>
      <c r="T551" s="69"/>
      <c r="U551" s="69"/>
      <c r="V551" s="69"/>
      <c r="W551" s="69"/>
      <c r="X551" s="69"/>
      <c r="Y551" s="69"/>
      <c r="Z551" s="69"/>
      <c r="AA551" s="69"/>
    </row>
    <row r="552" spans="1:27">
      <c r="A552" s="69"/>
      <c r="B552" s="69"/>
      <c r="C552" s="69"/>
      <c r="D552" s="69"/>
      <c r="E552" s="69"/>
      <c r="F552" s="69"/>
      <c r="G552" s="69"/>
      <c r="H552" s="69"/>
      <c r="I552" s="69"/>
      <c r="J552" s="69"/>
      <c r="K552" s="69"/>
      <c r="L552" s="69"/>
      <c r="M552" s="69"/>
      <c r="N552" s="69"/>
      <c r="O552" s="69"/>
      <c r="P552" s="69"/>
      <c r="Q552" s="69"/>
      <c r="R552" s="69"/>
      <c r="S552" s="69"/>
      <c r="T552" s="69"/>
      <c r="U552" s="69"/>
      <c r="V552" s="69"/>
      <c r="W552" s="69"/>
      <c r="X552" s="69"/>
      <c r="Y552" s="69"/>
      <c r="Z552" s="69"/>
      <c r="AA552" s="69"/>
    </row>
    <row r="553" spans="1:27">
      <c r="A553" s="69"/>
      <c r="B553" s="69"/>
      <c r="C553" s="69"/>
      <c r="D553" s="69"/>
      <c r="E553" s="69"/>
      <c r="F553" s="69"/>
      <c r="G553" s="69"/>
      <c r="H553" s="69"/>
      <c r="I553" s="69"/>
      <c r="J553" s="69"/>
      <c r="K553" s="69"/>
      <c r="L553" s="69"/>
      <c r="M553" s="69"/>
      <c r="N553" s="69"/>
      <c r="O553" s="69"/>
      <c r="P553" s="69"/>
      <c r="Q553" s="69"/>
      <c r="R553" s="69"/>
      <c r="S553" s="69"/>
      <c r="T553" s="69"/>
      <c r="U553" s="69"/>
      <c r="V553" s="69"/>
      <c r="W553" s="69"/>
      <c r="X553" s="69"/>
      <c r="Y553" s="69"/>
      <c r="Z553" s="69"/>
      <c r="AA553" s="69"/>
    </row>
    <row r="554" spans="1:27">
      <c r="A554" s="69"/>
      <c r="B554" s="69"/>
      <c r="C554" s="69"/>
      <c r="D554" s="69"/>
      <c r="E554" s="69"/>
      <c r="F554" s="69"/>
      <c r="G554" s="69"/>
      <c r="H554" s="69"/>
      <c r="I554" s="69"/>
      <c r="J554" s="69"/>
      <c r="K554" s="69"/>
      <c r="L554" s="69"/>
      <c r="M554" s="69"/>
      <c r="N554" s="69"/>
      <c r="O554" s="69"/>
      <c r="P554" s="69"/>
      <c r="Q554" s="69"/>
      <c r="R554" s="69"/>
      <c r="S554" s="69"/>
      <c r="T554" s="69"/>
      <c r="U554" s="69"/>
      <c r="V554" s="69"/>
      <c r="W554" s="69"/>
      <c r="X554" s="69"/>
      <c r="Y554" s="69"/>
      <c r="Z554" s="69"/>
      <c r="AA554" s="69"/>
    </row>
    <row r="555" spans="1:27">
      <c r="A555" s="69"/>
      <c r="B555" s="69"/>
      <c r="C555" s="69"/>
      <c r="D555" s="69"/>
      <c r="E555" s="69"/>
      <c r="F555" s="69"/>
      <c r="G555" s="69"/>
      <c r="H555" s="69"/>
      <c r="I555" s="69"/>
      <c r="J555" s="69"/>
      <c r="K555" s="69"/>
      <c r="L555" s="69"/>
      <c r="M555" s="69"/>
      <c r="N555" s="69"/>
      <c r="O555" s="69"/>
      <c r="P555" s="69"/>
      <c r="Q555" s="69"/>
      <c r="R555" s="69"/>
      <c r="S555" s="69"/>
      <c r="T555" s="69"/>
      <c r="U555" s="69"/>
      <c r="V555" s="69"/>
      <c r="W555" s="69"/>
      <c r="X555" s="69"/>
      <c r="Y555" s="69"/>
      <c r="Z555" s="69"/>
      <c r="AA555" s="69"/>
    </row>
    <row r="556" spans="1:27">
      <c r="A556" s="69"/>
      <c r="B556" s="69"/>
      <c r="C556" s="69"/>
      <c r="D556" s="69"/>
      <c r="E556" s="69"/>
      <c r="F556" s="69"/>
      <c r="G556" s="69"/>
      <c r="H556" s="69"/>
      <c r="I556" s="69"/>
      <c r="J556" s="69"/>
      <c r="K556" s="69"/>
      <c r="L556" s="69"/>
      <c r="M556" s="69"/>
      <c r="N556" s="69"/>
      <c r="O556" s="69"/>
      <c r="P556" s="69"/>
      <c r="Q556" s="69"/>
      <c r="R556" s="69"/>
      <c r="S556" s="69"/>
      <c r="T556" s="69"/>
      <c r="U556" s="69"/>
      <c r="V556" s="69"/>
      <c r="W556" s="69"/>
      <c r="X556" s="69"/>
      <c r="Y556" s="69"/>
      <c r="Z556" s="69"/>
      <c r="AA556" s="69"/>
    </row>
    <row r="557" spans="1:27">
      <c r="A557" s="69"/>
      <c r="B557" s="69"/>
      <c r="C557" s="69"/>
      <c r="D557" s="69"/>
      <c r="E557" s="69"/>
      <c r="F557" s="69"/>
      <c r="G557" s="69"/>
      <c r="H557" s="69"/>
      <c r="I557" s="69"/>
      <c r="J557" s="69"/>
      <c r="K557" s="69"/>
      <c r="L557" s="69"/>
      <c r="M557" s="69"/>
      <c r="N557" s="69"/>
      <c r="O557" s="69"/>
      <c r="P557" s="69"/>
      <c r="Q557" s="69"/>
      <c r="R557" s="69"/>
      <c r="S557" s="69"/>
      <c r="T557" s="69"/>
      <c r="U557" s="69"/>
      <c r="V557" s="69"/>
      <c r="W557" s="69"/>
      <c r="X557" s="69"/>
      <c r="Y557" s="69"/>
      <c r="Z557" s="69"/>
      <c r="AA557" s="69"/>
    </row>
    <row r="558" spans="1:27">
      <c r="A558" s="69"/>
      <c r="B558" s="69"/>
      <c r="C558" s="69"/>
      <c r="D558" s="69"/>
      <c r="E558" s="69"/>
      <c r="F558" s="69"/>
      <c r="G558" s="69"/>
      <c r="H558" s="69"/>
      <c r="I558" s="69"/>
      <c r="J558" s="69"/>
      <c r="K558" s="69"/>
      <c r="L558" s="69"/>
      <c r="M558" s="69"/>
      <c r="N558" s="69"/>
      <c r="O558" s="69"/>
      <c r="P558" s="69"/>
      <c r="Q558" s="69"/>
      <c r="R558" s="69"/>
      <c r="S558" s="69"/>
      <c r="T558" s="69"/>
      <c r="U558" s="69"/>
      <c r="V558" s="69"/>
      <c r="W558" s="69"/>
      <c r="X558" s="69"/>
      <c r="Y558" s="69"/>
      <c r="Z558" s="69"/>
      <c r="AA558" s="69"/>
    </row>
    <row r="559" spans="1:27">
      <c r="A559" s="69"/>
      <c r="B559" s="69"/>
      <c r="C559" s="69"/>
      <c r="D559" s="69"/>
      <c r="E559" s="69"/>
      <c r="F559" s="69"/>
      <c r="G559" s="69"/>
      <c r="H559" s="69"/>
      <c r="I559" s="69"/>
      <c r="J559" s="69"/>
      <c r="K559" s="69"/>
      <c r="L559" s="69"/>
      <c r="M559" s="69"/>
      <c r="N559" s="69"/>
      <c r="O559" s="69"/>
      <c r="P559" s="69"/>
      <c r="Q559" s="69"/>
      <c r="R559" s="69"/>
      <c r="S559" s="69"/>
      <c r="T559" s="69"/>
      <c r="U559" s="69"/>
      <c r="V559" s="69"/>
      <c r="W559" s="69"/>
      <c r="X559" s="69"/>
      <c r="Y559" s="69"/>
      <c r="Z559" s="69"/>
      <c r="AA559" s="69"/>
    </row>
    <row r="560" spans="1:27">
      <c r="A560" s="69"/>
      <c r="B560" s="69"/>
      <c r="C560" s="69"/>
      <c r="D560" s="69"/>
      <c r="E560" s="69"/>
      <c r="F560" s="69"/>
      <c r="G560" s="69"/>
      <c r="H560" s="69"/>
      <c r="I560" s="69"/>
      <c r="J560" s="69"/>
      <c r="K560" s="69"/>
      <c r="L560" s="69"/>
      <c r="M560" s="69"/>
      <c r="N560" s="69"/>
      <c r="O560" s="69"/>
      <c r="P560" s="69"/>
      <c r="Q560" s="69"/>
      <c r="R560" s="69"/>
      <c r="S560" s="69"/>
      <c r="T560" s="69"/>
      <c r="U560" s="69"/>
      <c r="V560" s="69"/>
      <c r="W560" s="69"/>
      <c r="X560" s="69"/>
      <c r="Y560" s="69"/>
      <c r="Z560" s="69"/>
      <c r="AA560" s="69"/>
    </row>
    <row r="561" spans="1:27">
      <c r="A561" s="69"/>
      <c r="B561" s="69"/>
      <c r="C561" s="69"/>
      <c r="D561" s="69"/>
      <c r="E561" s="69"/>
      <c r="F561" s="69"/>
      <c r="G561" s="69"/>
      <c r="H561" s="69"/>
      <c r="I561" s="69"/>
      <c r="J561" s="69"/>
      <c r="K561" s="69"/>
      <c r="L561" s="69"/>
      <c r="M561" s="69"/>
      <c r="N561" s="69"/>
      <c r="O561" s="69"/>
      <c r="P561" s="69"/>
      <c r="Q561" s="69"/>
      <c r="R561" s="69"/>
      <c r="S561" s="69"/>
      <c r="T561" s="69"/>
      <c r="U561" s="69"/>
      <c r="V561" s="69"/>
      <c r="W561" s="69"/>
      <c r="X561" s="69"/>
      <c r="Y561" s="69"/>
      <c r="Z561" s="69"/>
      <c r="AA561" s="69"/>
    </row>
    <row r="562" spans="1:27">
      <c r="A562" s="69"/>
      <c r="B562" s="69"/>
      <c r="C562" s="69"/>
      <c r="D562" s="69"/>
      <c r="E562" s="69"/>
      <c r="F562" s="69"/>
      <c r="G562" s="69"/>
      <c r="H562" s="69"/>
      <c r="I562" s="69"/>
      <c r="J562" s="69"/>
      <c r="K562" s="69"/>
      <c r="L562" s="69"/>
      <c r="M562" s="69"/>
      <c r="N562" s="69"/>
      <c r="O562" s="69"/>
      <c r="P562" s="69"/>
      <c r="Q562" s="69"/>
      <c r="R562" s="69"/>
      <c r="S562" s="69"/>
      <c r="T562" s="69"/>
      <c r="U562" s="69"/>
      <c r="V562" s="69"/>
      <c r="W562" s="69"/>
      <c r="X562" s="69"/>
      <c r="Y562" s="69"/>
      <c r="Z562" s="69"/>
      <c r="AA562" s="69"/>
    </row>
    <row r="563" spans="1:27">
      <c r="A563" s="69"/>
      <c r="B563" s="69"/>
      <c r="C563" s="69"/>
      <c r="D563" s="69"/>
      <c r="E563" s="69"/>
      <c r="F563" s="69"/>
      <c r="G563" s="69"/>
      <c r="H563" s="69"/>
      <c r="I563" s="69"/>
      <c r="J563" s="69"/>
      <c r="K563" s="69"/>
      <c r="L563" s="69"/>
      <c r="M563" s="69"/>
      <c r="N563" s="69"/>
      <c r="O563" s="69"/>
      <c r="P563" s="69"/>
      <c r="Q563" s="69"/>
      <c r="R563" s="69"/>
      <c r="S563" s="69"/>
      <c r="T563" s="69"/>
      <c r="U563" s="69"/>
      <c r="V563" s="69"/>
      <c r="W563" s="69"/>
      <c r="X563" s="69"/>
      <c r="Y563" s="69"/>
      <c r="Z563" s="69"/>
      <c r="AA563" s="69"/>
    </row>
    <row r="564" spans="1:27">
      <c r="A564" s="69"/>
      <c r="B564" s="69"/>
      <c r="C564" s="69"/>
      <c r="D564" s="69"/>
      <c r="E564" s="69"/>
      <c r="F564" s="69"/>
      <c r="G564" s="69"/>
      <c r="H564" s="69"/>
      <c r="I564" s="69"/>
      <c r="J564" s="69"/>
      <c r="K564" s="69"/>
      <c r="L564" s="69"/>
      <c r="M564" s="69"/>
      <c r="N564" s="69"/>
      <c r="O564" s="69"/>
      <c r="P564" s="69"/>
      <c r="Q564" s="69"/>
      <c r="R564" s="69"/>
      <c r="S564" s="69"/>
      <c r="T564" s="69"/>
      <c r="U564" s="69"/>
      <c r="V564" s="69"/>
      <c r="W564" s="69"/>
      <c r="X564" s="69"/>
      <c r="Y564" s="69"/>
      <c r="Z564" s="69"/>
      <c r="AA564" s="69"/>
    </row>
    <row r="565" spans="1:27">
      <c r="A565" s="69"/>
      <c r="B565" s="69"/>
      <c r="C565" s="69"/>
      <c r="D565" s="69"/>
      <c r="E565" s="69"/>
      <c r="F565" s="69"/>
      <c r="G565" s="69"/>
      <c r="H565" s="69"/>
      <c r="I565" s="69"/>
      <c r="J565" s="69"/>
      <c r="K565" s="69"/>
      <c r="L565" s="69"/>
      <c r="M565" s="69"/>
      <c r="N565" s="69"/>
      <c r="O565" s="69"/>
      <c r="P565" s="69"/>
      <c r="Q565" s="69"/>
      <c r="R565" s="69"/>
      <c r="S565" s="69"/>
      <c r="T565" s="69"/>
      <c r="U565" s="69"/>
      <c r="V565" s="69"/>
      <c r="W565" s="69"/>
      <c r="X565" s="69"/>
      <c r="Y565" s="69"/>
      <c r="Z565" s="69"/>
      <c r="AA565" s="69"/>
    </row>
    <row r="566" spans="1:27">
      <c r="A566" s="69"/>
      <c r="B566" s="69"/>
      <c r="C566" s="69"/>
      <c r="D566" s="69"/>
      <c r="E566" s="69"/>
      <c r="F566" s="69"/>
      <c r="G566" s="69"/>
      <c r="H566" s="69"/>
      <c r="I566" s="69"/>
      <c r="J566" s="69"/>
      <c r="K566" s="69"/>
      <c r="L566" s="69"/>
      <c r="M566" s="69"/>
      <c r="N566" s="69"/>
      <c r="O566" s="69"/>
      <c r="P566" s="69"/>
      <c r="Q566" s="69"/>
      <c r="R566" s="69"/>
      <c r="S566" s="69"/>
      <c r="T566" s="69"/>
      <c r="U566" s="69"/>
      <c r="V566" s="69"/>
      <c r="W566" s="69"/>
      <c r="X566" s="69"/>
      <c r="Y566" s="69"/>
      <c r="Z566" s="69"/>
      <c r="AA566" s="69"/>
    </row>
    <row r="567" spans="1:27">
      <c r="A567" s="69"/>
      <c r="B567" s="69"/>
      <c r="C567" s="69"/>
      <c r="D567" s="69"/>
      <c r="E567" s="69"/>
      <c r="F567" s="69"/>
      <c r="G567" s="69"/>
      <c r="H567" s="69"/>
      <c r="I567" s="69"/>
      <c r="J567" s="69"/>
      <c r="K567" s="69"/>
      <c r="L567" s="69"/>
      <c r="M567" s="69"/>
      <c r="N567" s="69"/>
      <c r="O567" s="69"/>
      <c r="P567" s="69"/>
      <c r="Q567" s="69"/>
      <c r="R567" s="69"/>
      <c r="S567" s="69"/>
      <c r="T567" s="69"/>
      <c r="U567" s="69"/>
      <c r="V567" s="69"/>
      <c r="W567" s="69"/>
      <c r="X567" s="69"/>
      <c r="Y567" s="69"/>
      <c r="Z567" s="69"/>
      <c r="AA567" s="69"/>
    </row>
    <row r="568" spans="1:27">
      <c r="A568" s="69"/>
      <c r="B568" s="69"/>
      <c r="C568" s="69"/>
      <c r="D568" s="69"/>
      <c r="E568" s="69"/>
      <c r="F568" s="69"/>
      <c r="G568" s="69"/>
      <c r="H568" s="69"/>
      <c r="I568" s="69"/>
      <c r="J568" s="69"/>
      <c r="K568" s="69"/>
      <c r="L568" s="69"/>
      <c r="M568" s="69"/>
      <c r="N568" s="69"/>
      <c r="O568" s="69"/>
      <c r="P568" s="69"/>
      <c r="Q568" s="69"/>
      <c r="R568" s="69"/>
      <c r="S568" s="69"/>
      <c r="T568" s="69"/>
      <c r="U568" s="69"/>
      <c r="V568" s="69"/>
      <c r="W568" s="69"/>
      <c r="X568" s="69"/>
      <c r="Y568" s="69"/>
      <c r="Z568" s="69"/>
      <c r="AA568" s="69"/>
    </row>
    <row r="569" spans="1:27">
      <c r="A569" s="69"/>
      <c r="B569" s="69"/>
      <c r="C569" s="69"/>
      <c r="D569" s="69"/>
      <c r="E569" s="69"/>
      <c r="F569" s="69"/>
      <c r="G569" s="69"/>
      <c r="H569" s="69"/>
      <c r="I569" s="69"/>
      <c r="J569" s="69"/>
      <c r="K569" s="69"/>
      <c r="L569" s="69"/>
      <c r="M569" s="69"/>
      <c r="N569" s="69"/>
      <c r="O569" s="69"/>
      <c r="P569" s="69"/>
      <c r="Q569" s="69"/>
      <c r="R569" s="69"/>
      <c r="S569" s="69"/>
      <c r="T569" s="69"/>
      <c r="U569" s="69"/>
      <c r="V569" s="69"/>
      <c r="W569" s="69"/>
      <c r="X569" s="69"/>
      <c r="Y569" s="69"/>
      <c r="Z569" s="69"/>
      <c r="AA569" s="69"/>
    </row>
    <row r="570" spans="1:27">
      <c r="A570" s="69"/>
      <c r="B570" s="69"/>
      <c r="C570" s="69"/>
      <c r="D570" s="69"/>
      <c r="E570" s="69"/>
      <c r="F570" s="69"/>
      <c r="G570" s="69"/>
      <c r="H570" s="69"/>
      <c r="I570" s="69"/>
      <c r="J570" s="69"/>
      <c r="K570" s="69"/>
      <c r="L570" s="69"/>
      <c r="M570" s="69"/>
      <c r="N570" s="69"/>
      <c r="O570" s="69"/>
      <c r="P570" s="69"/>
      <c r="Q570" s="69"/>
      <c r="R570" s="69"/>
      <c r="S570" s="69"/>
      <c r="T570" s="69"/>
      <c r="U570" s="69"/>
      <c r="V570" s="69"/>
      <c r="W570" s="69"/>
      <c r="X570" s="69"/>
      <c r="Y570" s="69"/>
      <c r="Z570" s="69"/>
      <c r="AA570" s="69"/>
    </row>
    <row r="571" spans="1:27">
      <c r="A571" s="69"/>
      <c r="B571" s="69"/>
      <c r="C571" s="69"/>
      <c r="D571" s="69"/>
      <c r="E571" s="69"/>
      <c r="F571" s="69"/>
      <c r="G571" s="69"/>
      <c r="H571" s="69"/>
      <c r="I571" s="69"/>
      <c r="J571" s="69"/>
      <c r="K571" s="69"/>
      <c r="L571" s="69"/>
      <c r="M571" s="69"/>
      <c r="N571" s="69"/>
      <c r="O571" s="69"/>
      <c r="P571" s="69"/>
      <c r="Q571" s="69"/>
      <c r="R571" s="69"/>
      <c r="S571" s="69"/>
      <c r="T571" s="69"/>
      <c r="U571" s="69"/>
      <c r="V571" s="69"/>
      <c r="W571" s="69"/>
      <c r="X571" s="69"/>
      <c r="Y571" s="69"/>
      <c r="Z571" s="69"/>
      <c r="AA571" s="69"/>
    </row>
    <row r="572" spans="1:27">
      <c r="A572" s="69"/>
      <c r="B572" s="69"/>
      <c r="C572" s="69"/>
      <c r="D572" s="69"/>
      <c r="E572" s="69"/>
      <c r="F572" s="69"/>
      <c r="G572" s="69"/>
      <c r="H572" s="69"/>
      <c r="I572" s="69"/>
      <c r="J572" s="69"/>
      <c r="K572" s="69"/>
      <c r="L572" s="69"/>
      <c r="M572" s="69"/>
      <c r="N572" s="69"/>
      <c r="O572" s="69"/>
      <c r="P572" s="69"/>
      <c r="Q572" s="69"/>
      <c r="R572" s="69"/>
      <c r="S572" s="69"/>
      <c r="T572" s="69"/>
      <c r="U572" s="69"/>
      <c r="V572" s="69"/>
      <c r="W572" s="69"/>
      <c r="X572" s="69"/>
      <c r="Y572" s="69"/>
      <c r="Z572" s="69"/>
      <c r="AA572" s="69"/>
    </row>
    <row r="573" spans="1:27">
      <c r="A573" s="69"/>
      <c r="B573" s="69"/>
      <c r="C573" s="69"/>
      <c r="D573" s="69"/>
      <c r="E573" s="69"/>
      <c r="F573" s="69"/>
      <c r="G573" s="69"/>
      <c r="H573" s="69"/>
      <c r="I573" s="69"/>
      <c r="J573" s="69"/>
      <c r="K573" s="69"/>
      <c r="L573" s="69"/>
      <c r="M573" s="69"/>
      <c r="N573" s="69"/>
      <c r="O573" s="69"/>
      <c r="P573" s="69"/>
      <c r="Q573" s="69"/>
      <c r="R573" s="69"/>
      <c r="S573" s="69"/>
      <c r="T573" s="69"/>
      <c r="U573" s="69"/>
      <c r="V573" s="69"/>
      <c r="W573" s="69"/>
      <c r="X573" s="69"/>
      <c r="Y573" s="69"/>
      <c r="Z573" s="69"/>
      <c r="AA573" s="69"/>
    </row>
    <row r="574" spans="1:27">
      <c r="A574" s="69"/>
      <c r="B574" s="69"/>
      <c r="C574" s="69"/>
      <c r="D574" s="69"/>
      <c r="E574" s="69"/>
      <c r="F574" s="69"/>
      <c r="G574" s="69"/>
      <c r="H574" s="69"/>
      <c r="I574" s="69"/>
      <c r="J574" s="69"/>
      <c r="K574" s="69"/>
      <c r="L574" s="69"/>
      <c r="M574" s="69"/>
      <c r="N574" s="69"/>
      <c r="O574" s="69"/>
      <c r="P574" s="69"/>
      <c r="Q574" s="69"/>
      <c r="R574" s="69"/>
      <c r="S574" s="69"/>
      <c r="T574" s="69"/>
      <c r="U574" s="69"/>
      <c r="V574" s="69"/>
      <c r="W574" s="69"/>
      <c r="X574" s="69"/>
      <c r="Y574" s="69"/>
      <c r="Z574" s="69"/>
      <c r="AA574" s="69"/>
    </row>
    <row r="575" spans="1:27">
      <c r="A575" s="69"/>
      <c r="B575" s="69"/>
      <c r="C575" s="69"/>
      <c r="D575" s="69"/>
      <c r="E575" s="69"/>
      <c r="F575" s="69"/>
      <c r="G575" s="69"/>
      <c r="H575" s="69"/>
      <c r="I575" s="69"/>
      <c r="J575" s="69"/>
      <c r="K575" s="69"/>
      <c r="L575" s="69"/>
      <c r="M575" s="69"/>
      <c r="N575" s="69"/>
      <c r="O575" s="69"/>
      <c r="P575" s="69"/>
      <c r="Q575" s="69"/>
      <c r="R575" s="69"/>
      <c r="S575" s="69"/>
      <c r="T575" s="69"/>
      <c r="U575" s="69"/>
      <c r="V575" s="69"/>
      <c r="W575" s="69"/>
      <c r="X575" s="69"/>
      <c r="Y575" s="69"/>
      <c r="Z575" s="69"/>
      <c r="AA575" s="69"/>
    </row>
    <row r="576" spans="1:27">
      <c r="A576" s="69"/>
      <c r="B576" s="69"/>
      <c r="C576" s="69"/>
      <c r="D576" s="69"/>
      <c r="E576" s="69"/>
      <c r="F576" s="69"/>
      <c r="G576" s="69"/>
      <c r="H576" s="69"/>
      <c r="I576" s="69"/>
      <c r="J576" s="69"/>
      <c r="K576" s="69"/>
      <c r="L576" s="69"/>
      <c r="M576" s="69"/>
      <c r="N576" s="69"/>
      <c r="O576" s="69"/>
      <c r="P576" s="69"/>
      <c r="Q576" s="69"/>
      <c r="R576" s="69"/>
      <c r="S576" s="69"/>
      <c r="T576" s="69"/>
      <c r="U576" s="69"/>
      <c r="V576" s="69"/>
      <c r="W576" s="69"/>
      <c r="X576" s="69"/>
      <c r="Y576" s="69"/>
      <c r="Z576" s="69"/>
      <c r="AA576" s="69"/>
    </row>
    <row r="577" spans="1:27">
      <c r="A577" s="69"/>
      <c r="B577" s="69"/>
      <c r="C577" s="69"/>
      <c r="D577" s="69"/>
      <c r="E577" s="69"/>
      <c r="F577" s="69"/>
      <c r="G577" s="69"/>
      <c r="H577" s="69"/>
      <c r="I577" s="69"/>
      <c r="J577" s="69"/>
      <c r="K577" s="69"/>
      <c r="L577" s="69"/>
      <c r="M577" s="69"/>
      <c r="N577" s="69"/>
      <c r="O577" s="69"/>
      <c r="P577" s="69"/>
      <c r="Q577" s="69"/>
      <c r="R577" s="69"/>
      <c r="S577" s="69"/>
      <c r="T577" s="69"/>
      <c r="U577" s="69"/>
      <c r="V577" s="69"/>
      <c r="W577" s="69"/>
      <c r="X577" s="69"/>
      <c r="Y577" s="69"/>
      <c r="Z577" s="69"/>
      <c r="AA577" s="69"/>
    </row>
    <row r="578" spans="1:27">
      <c r="A578" s="69"/>
      <c r="B578" s="69"/>
      <c r="C578" s="69"/>
      <c r="D578" s="69"/>
      <c r="E578" s="69"/>
      <c r="F578" s="69"/>
      <c r="G578" s="69"/>
      <c r="H578" s="69"/>
      <c r="I578" s="69"/>
      <c r="J578" s="69"/>
      <c r="K578" s="69"/>
      <c r="L578" s="69"/>
      <c r="M578" s="69"/>
      <c r="N578" s="69"/>
      <c r="O578" s="69"/>
      <c r="P578" s="69"/>
      <c r="Q578" s="69"/>
      <c r="R578" s="69"/>
      <c r="S578" s="69"/>
      <c r="T578" s="69"/>
      <c r="U578" s="69"/>
      <c r="V578" s="69"/>
      <c r="W578" s="69"/>
      <c r="X578" s="69"/>
      <c r="Y578" s="69"/>
      <c r="Z578" s="69"/>
      <c r="AA578" s="69"/>
    </row>
    <row r="579" spans="1:27">
      <c r="A579" s="69"/>
      <c r="B579" s="69"/>
      <c r="C579" s="69"/>
      <c r="D579" s="69"/>
      <c r="E579" s="69"/>
      <c r="F579" s="69"/>
      <c r="G579" s="69"/>
      <c r="H579" s="69"/>
      <c r="I579" s="69"/>
      <c r="J579" s="69"/>
      <c r="K579" s="69"/>
      <c r="L579" s="69"/>
      <c r="M579" s="69"/>
      <c r="N579" s="69"/>
      <c r="O579" s="69"/>
      <c r="P579" s="69"/>
      <c r="Q579" s="69"/>
      <c r="R579" s="69"/>
      <c r="S579" s="69"/>
      <c r="T579" s="69"/>
      <c r="U579" s="69"/>
      <c r="V579" s="69"/>
      <c r="W579" s="69"/>
      <c r="X579" s="69"/>
      <c r="Y579" s="69"/>
      <c r="Z579" s="69"/>
      <c r="AA579" s="69"/>
    </row>
    <row r="580" spans="1:27">
      <c r="A580" s="69"/>
      <c r="B580" s="69"/>
      <c r="C580" s="69"/>
      <c r="D580" s="69"/>
      <c r="E580" s="69"/>
      <c r="F580" s="69"/>
      <c r="G580" s="69"/>
      <c r="H580" s="69"/>
      <c r="I580" s="69"/>
      <c r="J580" s="69"/>
      <c r="K580" s="69"/>
      <c r="L580" s="69"/>
      <c r="M580" s="69"/>
      <c r="N580" s="69"/>
      <c r="O580" s="69"/>
      <c r="P580" s="69"/>
      <c r="Q580" s="69"/>
      <c r="R580" s="69"/>
      <c r="S580" s="69"/>
      <c r="T580" s="69"/>
      <c r="U580" s="69"/>
      <c r="V580" s="69"/>
      <c r="W580" s="69"/>
      <c r="X580" s="69"/>
      <c r="Y580" s="69"/>
      <c r="Z580" s="69"/>
      <c r="AA580" s="69"/>
    </row>
    <row r="581" spans="1:27">
      <c r="A581" s="69"/>
      <c r="B581" s="69"/>
      <c r="C581" s="69"/>
      <c r="D581" s="69"/>
      <c r="E581" s="69"/>
      <c r="F581" s="69"/>
      <c r="G581" s="69"/>
      <c r="H581" s="69"/>
      <c r="I581" s="69"/>
      <c r="J581" s="69"/>
      <c r="K581" s="69"/>
      <c r="L581" s="69"/>
      <c r="M581" s="69"/>
      <c r="N581" s="69"/>
      <c r="O581" s="69"/>
      <c r="P581" s="69"/>
      <c r="Q581" s="69"/>
      <c r="R581" s="69"/>
      <c r="S581" s="69"/>
      <c r="T581" s="69"/>
      <c r="U581" s="69"/>
      <c r="V581" s="69"/>
      <c r="W581" s="69"/>
      <c r="X581" s="69"/>
      <c r="Y581" s="69"/>
      <c r="Z581" s="69"/>
      <c r="AA581" s="69"/>
    </row>
    <row r="582" spans="1:27">
      <c r="A582" s="69"/>
      <c r="B582" s="69"/>
      <c r="C582" s="69"/>
      <c r="D582" s="69"/>
      <c r="E582" s="69"/>
      <c r="F582" s="69"/>
      <c r="G582" s="69"/>
      <c r="H582" s="69"/>
      <c r="I582" s="69"/>
      <c r="J582" s="69"/>
      <c r="K582" s="69"/>
      <c r="L582" s="69"/>
      <c r="M582" s="69"/>
      <c r="N582" s="69"/>
      <c r="O582" s="69"/>
      <c r="P582" s="69"/>
      <c r="Q582" s="69"/>
      <c r="R582" s="69"/>
      <c r="S582" s="69"/>
      <c r="T582" s="69"/>
      <c r="U582" s="69"/>
      <c r="V582" s="69"/>
      <c r="W582" s="69"/>
      <c r="X582" s="69"/>
      <c r="Y582" s="69"/>
      <c r="Z582" s="69"/>
      <c r="AA582" s="69"/>
    </row>
    <row r="583" spans="1:27">
      <c r="A583" s="69"/>
      <c r="B583" s="69"/>
      <c r="C583" s="69"/>
      <c r="D583" s="69"/>
      <c r="E583" s="69"/>
      <c r="F583" s="69"/>
      <c r="G583" s="69"/>
      <c r="H583" s="69"/>
      <c r="I583" s="69"/>
      <c r="J583" s="69"/>
      <c r="K583" s="69"/>
      <c r="L583" s="69"/>
      <c r="M583" s="69"/>
      <c r="N583" s="69"/>
      <c r="O583" s="69"/>
      <c r="P583" s="69"/>
      <c r="Q583" s="69"/>
      <c r="R583" s="69"/>
      <c r="S583" s="69"/>
      <c r="T583" s="69"/>
      <c r="U583" s="69"/>
      <c r="V583" s="69"/>
      <c r="W583" s="69"/>
      <c r="X583" s="69"/>
      <c r="Y583" s="69"/>
      <c r="Z583" s="69"/>
      <c r="AA583" s="69"/>
    </row>
    <row r="584" spans="1:27">
      <c r="A584" s="69"/>
      <c r="B584" s="69"/>
      <c r="C584" s="69"/>
      <c r="D584" s="69"/>
      <c r="E584" s="69"/>
      <c r="F584" s="69"/>
      <c r="G584" s="69"/>
      <c r="H584" s="69"/>
      <c r="I584" s="69"/>
      <c r="J584" s="69"/>
      <c r="K584" s="69"/>
      <c r="L584" s="69"/>
      <c r="M584" s="69"/>
      <c r="N584" s="69"/>
      <c r="O584" s="69"/>
      <c r="P584" s="69"/>
      <c r="Q584" s="69"/>
      <c r="R584" s="69"/>
      <c r="S584" s="69"/>
      <c r="T584" s="69"/>
      <c r="U584" s="69"/>
      <c r="V584" s="69"/>
      <c r="W584" s="69"/>
      <c r="X584" s="69"/>
      <c r="Y584" s="69"/>
      <c r="Z584" s="69"/>
      <c r="AA584" s="69"/>
    </row>
    <row r="585" spans="1:27">
      <c r="A585" s="69"/>
      <c r="B585" s="69"/>
      <c r="C585" s="69"/>
      <c r="D585" s="69"/>
      <c r="E585" s="69"/>
      <c r="F585" s="69"/>
      <c r="G585" s="69"/>
      <c r="H585" s="69"/>
      <c r="I585" s="69"/>
      <c r="J585" s="69"/>
      <c r="K585" s="69"/>
      <c r="L585" s="69"/>
      <c r="M585" s="69"/>
      <c r="N585" s="69"/>
      <c r="O585" s="69"/>
      <c r="P585" s="69"/>
      <c r="Q585" s="69"/>
      <c r="R585" s="69"/>
      <c r="S585" s="69"/>
      <c r="T585" s="69"/>
      <c r="U585" s="69"/>
      <c r="V585" s="69"/>
      <c r="W585" s="69"/>
      <c r="X585" s="69"/>
      <c r="Y585" s="69"/>
      <c r="Z585" s="69"/>
      <c r="AA585" s="69"/>
    </row>
    <row r="586" spans="1:27">
      <c r="A586" s="69"/>
      <c r="B586" s="69"/>
      <c r="C586" s="69"/>
      <c r="D586" s="69"/>
      <c r="E586" s="69"/>
      <c r="F586" s="69"/>
      <c r="G586" s="69"/>
      <c r="H586" s="69"/>
      <c r="I586" s="69"/>
      <c r="J586" s="69"/>
      <c r="K586" s="69"/>
      <c r="L586" s="69"/>
      <c r="M586" s="69"/>
      <c r="N586" s="69"/>
      <c r="O586" s="69"/>
      <c r="P586" s="69"/>
      <c r="Q586" s="69"/>
      <c r="R586" s="69"/>
      <c r="S586" s="69"/>
      <c r="T586" s="69"/>
      <c r="U586" s="69"/>
      <c r="V586" s="69"/>
      <c r="W586" s="69"/>
      <c r="X586" s="69"/>
      <c r="Y586" s="69"/>
      <c r="Z586" s="69"/>
      <c r="AA586" s="69"/>
    </row>
    <row r="587" spans="1:27">
      <c r="A587" s="69"/>
      <c r="B587" s="69"/>
      <c r="C587" s="69"/>
      <c r="D587" s="69"/>
      <c r="E587" s="69"/>
      <c r="F587" s="69"/>
      <c r="G587" s="69"/>
      <c r="H587" s="69"/>
      <c r="I587" s="69"/>
      <c r="J587" s="69"/>
      <c r="K587" s="69"/>
      <c r="L587" s="69"/>
      <c r="M587" s="69"/>
      <c r="N587" s="69"/>
      <c r="O587" s="69"/>
      <c r="P587" s="69"/>
      <c r="Q587" s="69"/>
      <c r="R587" s="69"/>
      <c r="S587" s="69"/>
      <c r="T587" s="69"/>
      <c r="U587" s="69"/>
      <c r="V587" s="69"/>
      <c r="W587" s="69"/>
      <c r="X587" s="69"/>
      <c r="Y587" s="69"/>
      <c r="Z587" s="69"/>
      <c r="AA587" s="69"/>
    </row>
    <row r="588" spans="1:27">
      <c r="A588" s="69"/>
      <c r="B588" s="69"/>
      <c r="C588" s="69"/>
      <c r="D588" s="69"/>
      <c r="E588" s="69"/>
      <c r="F588" s="69"/>
      <c r="G588" s="69"/>
      <c r="H588" s="69"/>
      <c r="I588" s="69"/>
      <c r="J588" s="69"/>
      <c r="K588" s="69"/>
      <c r="L588" s="69"/>
      <c r="M588" s="69"/>
      <c r="N588" s="69"/>
      <c r="O588" s="69"/>
      <c r="P588" s="69"/>
      <c r="Q588" s="69"/>
      <c r="R588" s="69"/>
      <c r="S588" s="69"/>
      <c r="T588" s="69"/>
      <c r="U588" s="69"/>
      <c r="V588" s="69"/>
      <c r="W588" s="69"/>
      <c r="X588" s="69"/>
      <c r="Y588" s="69"/>
      <c r="Z588" s="69"/>
      <c r="AA588" s="69"/>
    </row>
    <row r="589" spans="1:27">
      <c r="A589" s="69"/>
      <c r="B589" s="69"/>
      <c r="C589" s="69"/>
      <c r="D589" s="69"/>
      <c r="E589" s="69"/>
      <c r="F589" s="69"/>
      <c r="G589" s="69"/>
      <c r="H589" s="69"/>
      <c r="I589" s="69"/>
      <c r="J589" s="69"/>
      <c r="K589" s="69"/>
      <c r="L589" s="69"/>
      <c r="M589" s="69"/>
      <c r="N589" s="69"/>
      <c r="O589" s="69"/>
      <c r="P589" s="69"/>
      <c r="Q589" s="69"/>
      <c r="R589" s="69"/>
      <c r="S589" s="69"/>
      <c r="T589" s="69"/>
      <c r="U589" s="69"/>
      <c r="V589" s="69"/>
      <c r="W589" s="69"/>
      <c r="X589" s="69"/>
      <c r="Y589" s="69"/>
      <c r="Z589" s="69"/>
      <c r="AA589" s="69"/>
    </row>
    <row r="590" spans="1:27">
      <c r="A590" s="69"/>
      <c r="B590" s="69"/>
      <c r="C590" s="69"/>
      <c r="D590" s="69"/>
      <c r="E590" s="69"/>
      <c r="F590" s="69"/>
      <c r="G590" s="69"/>
      <c r="H590" s="69"/>
      <c r="I590" s="69"/>
      <c r="J590" s="69"/>
      <c r="K590" s="69"/>
      <c r="L590" s="69"/>
      <c r="M590" s="69"/>
      <c r="N590" s="69"/>
      <c r="O590" s="69"/>
      <c r="P590" s="69"/>
      <c r="Q590" s="69"/>
      <c r="R590" s="69"/>
      <c r="S590" s="69"/>
      <c r="T590" s="69"/>
      <c r="U590" s="69"/>
      <c r="V590" s="69"/>
      <c r="W590" s="69"/>
      <c r="X590" s="69"/>
      <c r="Y590" s="69"/>
      <c r="Z590" s="69"/>
      <c r="AA590" s="69"/>
    </row>
    <row r="591" spans="1:27">
      <c r="A591" s="69"/>
      <c r="B591" s="69"/>
      <c r="C591" s="69"/>
      <c r="D591" s="69"/>
      <c r="E591" s="69"/>
      <c r="F591" s="69"/>
      <c r="G591" s="69"/>
      <c r="H591" s="69"/>
      <c r="I591" s="69"/>
      <c r="J591" s="69"/>
      <c r="K591" s="69"/>
      <c r="L591" s="69"/>
      <c r="M591" s="69"/>
      <c r="N591" s="69"/>
      <c r="O591" s="69"/>
      <c r="P591" s="69"/>
      <c r="Q591" s="69"/>
      <c r="R591" s="69"/>
      <c r="S591" s="69"/>
      <c r="T591" s="69"/>
      <c r="U591" s="69"/>
      <c r="V591" s="69"/>
      <c r="W591" s="69"/>
      <c r="X591" s="69"/>
      <c r="Y591" s="69"/>
      <c r="Z591" s="69"/>
      <c r="AA591" s="69"/>
    </row>
    <row r="592" spans="1:27">
      <c r="A592" s="69"/>
      <c r="B592" s="69"/>
      <c r="C592" s="69"/>
      <c r="D592" s="69"/>
      <c r="E592" s="69"/>
      <c r="F592" s="69"/>
      <c r="G592" s="69"/>
      <c r="H592" s="69"/>
      <c r="I592" s="69"/>
      <c r="J592" s="69"/>
      <c r="K592" s="69"/>
      <c r="L592" s="69"/>
      <c r="M592" s="69"/>
      <c r="N592" s="69"/>
      <c r="O592" s="69"/>
      <c r="P592" s="69"/>
      <c r="Q592" s="69"/>
      <c r="R592" s="69"/>
      <c r="S592" s="69"/>
      <c r="T592" s="69"/>
      <c r="U592" s="69"/>
      <c r="V592" s="69"/>
      <c r="W592" s="69"/>
      <c r="X592" s="69"/>
      <c r="Y592" s="69"/>
      <c r="Z592" s="69"/>
      <c r="AA592" s="69"/>
    </row>
    <row r="593" spans="1:27">
      <c r="A593" s="69"/>
      <c r="B593" s="69"/>
      <c r="C593" s="69"/>
      <c r="D593" s="69"/>
      <c r="E593" s="69"/>
      <c r="F593" s="69"/>
      <c r="G593" s="69"/>
      <c r="H593" s="69"/>
      <c r="I593" s="69"/>
      <c r="J593" s="69"/>
      <c r="K593" s="69"/>
      <c r="L593" s="69"/>
      <c r="M593" s="69"/>
      <c r="N593" s="69"/>
      <c r="O593" s="69"/>
      <c r="P593" s="69"/>
      <c r="Q593" s="69"/>
      <c r="R593" s="69"/>
      <c r="S593" s="69"/>
      <c r="T593" s="69"/>
      <c r="U593" s="69"/>
      <c r="V593" s="69"/>
      <c r="W593" s="69"/>
      <c r="X593" s="69"/>
      <c r="Y593" s="69"/>
      <c r="Z593" s="69"/>
      <c r="AA593" s="69"/>
    </row>
    <row r="594" spans="1:27">
      <c r="A594" s="69"/>
      <c r="B594" s="69"/>
      <c r="C594" s="69"/>
      <c r="D594" s="69"/>
      <c r="E594" s="69"/>
      <c r="F594" s="69"/>
      <c r="G594" s="69"/>
      <c r="H594" s="69"/>
      <c r="I594" s="69"/>
      <c r="J594" s="69"/>
      <c r="K594" s="69"/>
      <c r="L594" s="69"/>
      <c r="M594" s="69"/>
      <c r="N594" s="69"/>
      <c r="O594" s="69"/>
      <c r="P594" s="69"/>
      <c r="Q594" s="69"/>
      <c r="R594" s="69"/>
      <c r="S594" s="69"/>
      <c r="T594" s="69"/>
      <c r="U594" s="69"/>
      <c r="V594" s="69"/>
      <c r="W594" s="69"/>
      <c r="X594" s="69"/>
      <c r="Y594" s="69"/>
      <c r="Z594" s="69"/>
      <c r="AA594" s="69"/>
    </row>
    <row r="595" spans="1:27">
      <c r="A595" s="69"/>
      <c r="B595" s="69"/>
      <c r="C595" s="69"/>
      <c r="D595" s="69"/>
      <c r="E595" s="69"/>
      <c r="F595" s="69"/>
      <c r="G595" s="69"/>
      <c r="H595" s="69"/>
      <c r="I595" s="69"/>
      <c r="J595" s="69"/>
      <c r="K595" s="69"/>
      <c r="L595" s="69"/>
      <c r="M595" s="69"/>
      <c r="N595" s="69"/>
      <c r="O595" s="69"/>
      <c r="P595" s="69"/>
      <c r="Q595" s="69"/>
      <c r="R595" s="69"/>
      <c r="S595" s="69"/>
      <c r="T595" s="69"/>
      <c r="U595" s="69"/>
      <c r="V595" s="69"/>
      <c r="W595" s="69"/>
      <c r="X595" s="69"/>
      <c r="Y595" s="69"/>
      <c r="Z595" s="69"/>
      <c r="AA595" s="69"/>
    </row>
    <row r="596" spans="1:27">
      <c r="A596" s="69"/>
      <c r="B596" s="69"/>
      <c r="C596" s="69"/>
      <c r="D596" s="69"/>
      <c r="E596" s="69"/>
      <c r="F596" s="69"/>
      <c r="G596" s="69"/>
      <c r="H596" s="69"/>
      <c r="I596" s="69"/>
      <c r="J596" s="69"/>
      <c r="K596" s="69"/>
      <c r="L596" s="69"/>
      <c r="M596" s="69"/>
      <c r="N596" s="69"/>
      <c r="O596" s="69"/>
      <c r="P596" s="69"/>
      <c r="Q596" s="69"/>
      <c r="R596" s="69"/>
      <c r="S596" s="69"/>
      <c r="T596" s="69"/>
      <c r="U596" s="69"/>
      <c r="V596" s="69"/>
      <c r="W596" s="69"/>
      <c r="X596" s="69"/>
      <c r="Y596" s="69"/>
      <c r="Z596" s="69"/>
      <c r="AA596" s="69"/>
    </row>
    <row r="597" spans="1:27">
      <c r="A597" s="69"/>
      <c r="B597" s="69"/>
      <c r="C597" s="69"/>
      <c r="D597" s="69"/>
      <c r="E597" s="69"/>
      <c r="F597" s="69"/>
      <c r="G597" s="69"/>
      <c r="H597" s="69"/>
      <c r="I597" s="69"/>
      <c r="J597" s="69"/>
      <c r="K597" s="69"/>
      <c r="L597" s="69"/>
      <c r="M597" s="69"/>
      <c r="N597" s="69"/>
      <c r="O597" s="69"/>
      <c r="P597" s="69"/>
      <c r="Q597" s="69"/>
      <c r="R597" s="69"/>
      <c r="S597" s="69"/>
      <c r="T597" s="69"/>
      <c r="U597" s="69"/>
      <c r="V597" s="69"/>
      <c r="W597" s="69"/>
      <c r="X597" s="69"/>
      <c r="Y597" s="69"/>
      <c r="Z597" s="69"/>
      <c r="AA597" s="69"/>
    </row>
    <row r="598" spans="1:27">
      <c r="A598" s="69"/>
      <c r="B598" s="69"/>
      <c r="C598" s="69"/>
      <c r="D598" s="69"/>
      <c r="E598" s="69"/>
      <c r="F598" s="69"/>
      <c r="G598" s="69"/>
      <c r="H598" s="69"/>
      <c r="I598" s="69"/>
      <c r="J598" s="69"/>
      <c r="K598" s="69"/>
      <c r="L598" s="69"/>
      <c r="M598" s="69"/>
      <c r="N598" s="69"/>
      <c r="O598" s="69"/>
      <c r="P598" s="69"/>
      <c r="Q598" s="69"/>
      <c r="R598" s="69"/>
      <c r="S598" s="69"/>
      <c r="T598" s="69"/>
      <c r="U598" s="69"/>
      <c r="V598" s="69"/>
      <c r="W598" s="69"/>
      <c r="X598" s="69"/>
      <c r="Y598" s="69"/>
      <c r="Z598" s="69"/>
      <c r="AA598" s="69"/>
    </row>
    <row r="599" spans="1:27">
      <c r="A599" s="69"/>
      <c r="B599" s="69"/>
      <c r="C599" s="69"/>
      <c r="D599" s="69"/>
      <c r="E599" s="69"/>
      <c r="F599" s="69"/>
      <c r="G599" s="69"/>
      <c r="H599" s="69"/>
      <c r="I599" s="69"/>
      <c r="J599" s="69"/>
      <c r="K599" s="69"/>
      <c r="L599" s="69"/>
      <c r="M599" s="69"/>
      <c r="N599" s="69"/>
      <c r="O599" s="69"/>
      <c r="P599" s="69"/>
      <c r="Q599" s="69"/>
      <c r="R599" s="69"/>
      <c r="S599" s="69"/>
      <c r="T599" s="69"/>
      <c r="U599" s="69"/>
      <c r="V599" s="69"/>
      <c r="W599" s="69"/>
      <c r="X599" s="69"/>
      <c r="Y599" s="69"/>
      <c r="Z599" s="69"/>
      <c r="AA599" s="69"/>
    </row>
    <row r="600" spans="1:27">
      <c r="A600" s="69"/>
      <c r="B600" s="69"/>
      <c r="C600" s="69"/>
      <c r="D600" s="69"/>
      <c r="E600" s="69"/>
      <c r="F600" s="69"/>
      <c r="G600" s="69"/>
      <c r="H600" s="69"/>
      <c r="I600" s="69"/>
      <c r="J600" s="69"/>
      <c r="K600" s="69"/>
      <c r="L600" s="69"/>
      <c r="M600" s="69"/>
      <c r="N600" s="69"/>
      <c r="O600" s="69"/>
      <c r="P600" s="69"/>
      <c r="Q600" s="69"/>
      <c r="R600" s="69"/>
      <c r="S600" s="69"/>
      <c r="T600" s="69"/>
      <c r="U600" s="69"/>
      <c r="V600" s="69"/>
      <c r="W600" s="69"/>
      <c r="X600" s="69"/>
      <c r="Y600" s="69"/>
      <c r="Z600" s="69"/>
      <c r="AA600" s="69"/>
    </row>
    <row r="601" spans="1:27">
      <c r="A601" s="69"/>
      <c r="B601" s="69"/>
      <c r="C601" s="69"/>
      <c r="D601" s="69"/>
      <c r="E601" s="69"/>
      <c r="F601" s="69"/>
      <c r="G601" s="69"/>
      <c r="H601" s="69"/>
      <c r="I601" s="69"/>
      <c r="J601" s="69"/>
      <c r="K601" s="69"/>
      <c r="L601" s="69"/>
      <c r="M601" s="69"/>
      <c r="N601" s="69"/>
      <c r="O601" s="69"/>
      <c r="P601" s="69"/>
      <c r="Q601" s="69"/>
      <c r="R601" s="69"/>
      <c r="S601" s="69"/>
      <c r="T601" s="69"/>
      <c r="U601" s="69"/>
      <c r="V601" s="69"/>
      <c r="W601" s="69"/>
      <c r="X601" s="69"/>
      <c r="Y601" s="69"/>
      <c r="Z601" s="69"/>
      <c r="AA601" s="69"/>
    </row>
    <row r="602" spans="1:27">
      <c r="A602" s="69"/>
      <c r="B602" s="69"/>
      <c r="C602" s="69"/>
      <c r="D602" s="69"/>
      <c r="E602" s="69"/>
      <c r="F602" s="69"/>
      <c r="G602" s="69"/>
      <c r="H602" s="69"/>
      <c r="I602" s="69"/>
      <c r="J602" s="69"/>
      <c r="K602" s="69"/>
      <c r="L602" s="69"/>
      <c r="M602" s="69"/>
      <c r="N602" s="69"/>
      <c r="O602" s="69"/>
      <c r="P602" s="69"/>
      <c r="Q602" s="69"/>
      <c r="R602" s="69"/>
      <c r="S602" s="69"/>
      <c r="T602" s="69"/>
      <c r="U602" s="69"/>
      <c r="V602" s="69"/>
      <c r="W602" s="69"/>
      <c r="X602" s="69"/>
      <c r="Y602" s="69"/>
      <c r="Z602" s="69"/>
      <c r="AA602" s="69"/>
    </row>
    <row r="603" spans="1:27">
      <c r="A603" s="69"/>
      <c r="B603" s="69"/>
      <c r="C603" s="69"/>
      <c r="D603" s="69"/>
      <c r="E603" s="69"/>
      <c r="F603" s="69"/>
      <c r="G603" s="69"/>
      <c r="H603" s="69"/>
      <c r="I603" s="69"/>
      <c r="J603" s="69"/>
      <c r="K603" s="69"/>
      <c r="L603" s="69"/>
      <c r="M603" s="69"/>
      <c r="N603" s="69"/>
      <c r="O603" s="69"/>
      <c r="P603" s="69"/>
      <c r="Q603" s="69"/>
      <c r="R603" s="69"/>
      <c r="S603" s="69"/>
      <c r="T603" s="69"/>
      <c r="U603" s="69"/>
      <c r="V603" s="69"/>
      <c r="W603" s="69"/>
      <c r="X603" s="69"/>
      <c r="Y603" s="69"/>
      <c r="Z603" s="69"/>
      <c r="AA603" s="69"/>
    </row>
    <row r="604" spans="1:27">
      <c r="A604" s="69"/>
      <c r="B604" s="69"/>
      <c r="C604" s="69"/>
      <c r="D604" s="69"/>
      <c r="E604" s="69"/>
      <c r="F604" s="69"/>
      <c r="G604" s="69"/>
      <c r="H604" s="69"/>
      <c r="I604" s="69"/>
      <c r="J604" s="69"/>
      <c r="K604" s="69"/>
      <c r="L604" s="69"/>
      <c r="M604" s="69"/>
      <c r="N604" s="69"/>
      <c r="O604" s="69"/>
      <c r="P604" s="69"/>
      <c r="Q604" s="69"/>
      <c r="R604" s="69"/>
      <c r="S604" s="69"/>
      <c r="T604" s="69"/>
      <c r="U604" s="69"/>
      <c r="V604" s="69"/>
      <c r="W604" s="69"/>
      <c r="X604" s="69"/>
      <c r="Y604" s="69"/>
      <c r="Z604" s="69"/>
      <c r="AA604" s="69"/>
    </row>
    <row r="605" spans="1:27">
      <c r="A605" s="69"/>
      <c r="B605" s="69"/>
      <c r="C605" s="69"/>
      <c r="D605" s="69"/>
      <c r="E605" s="69"/>
      <c r="F605" s="69"/>
      <c r="G605" s="69"/>
      <c r="H605" s="69"/>
      <c r="I605" s="69"/>
      <c r="J605" s="69"/>
      <c r="K605" s="69"/>
      <c r="L605" s="69"/>
      <c r="M605" s="69"/>
      <c r="N605" s="69"/>
      <c r="O605" s="69"/>
      <c r="P605" s="69"/>
      <c r="Q605" s="69"/>
      <c r="R605" s="69"/>
      <c r="S605" s="69"/>
      <c r="T605" s="69"/>
      <c r="U605" s="69"/>
      <c r="V605" s="69"/>
      <c r="W605" s="69"/>
      <c r="X605" s="69"/>
      <c r="Y605" s="69"/>
      <c r="Z605" s="69"/>
      <c r="AA605" s="69"/>
    </row>
    <row r="606" spans="1:27">
      <c r="A606" s="69"/>
      <c r="B606" s="69"/>
      <c r="C606" s="69"/>
      <c r="D606" s="69"/>
      <c r="E606" s="69"/>
      <c r="F606" s="69"/>
      <c r="G606" s="69"/>
      <c r="H606" s="69"/>
      <c r="I606" s="69"/>
      <c r="J606" s="69"/>
      <c r="K606" s="69"/>
      <c r="L606" s="69"/>
      <c r="M606" s="69"/>
      <c r="N606" s="69"/>
      <c r="O606" s="69"/>
      <c r="P606" s="69"/>
      <c r="Q606" s="69"/>
      <c r="R606" s="69"/>
      <c r="S606" s="69"/>
      <c r="T606" s="69"/>
      <c r="U606" s="69"/>
      <c r="V606" s="69"/>
      <c r="W606" s="69"/>
      <c r="X606" s="69"/>
      <c r="Y606" s="69"/>
      <c r="Z606" s="69"/>
      <c r="AA606" s="69"/>
    </row>
    <row r="607" spans="1:27">
      <c r="A607" s="69"/>
      <c r="B607" s="69"/>
      <c r="C607" s="69"/>
      <c r="D607" s="69"/>
      <c r="E607" s="69"/>
      <c r="F607" s="69"/>
      <c r="G607" s="69"/>
      <c r="H607" s="69"/>
      <c r="I607" s="69"/>
      <c r="J607" s="69"/>
      <c r="K607" s="69"/>
      <c r="L607" s="69"/>
      <c r="M607" s="69"/>
      <c r="N607" s="69"/>
      <c r="O607" s="69"/>
      <c r="P607" s="69"/>
      <c r="Q607" s="69"/>
      <c r="R607" s="69"/>
      <c r="S607" s="69"/>
      <c r="T607" s="69"/>
      <c r="U607" s="69"/>
      <c r="V607" s="69"/>
      <c r="W607" s="69"/>
      <c r="X607" s="69"/>
      <c r="Y607" s="69"/>
      <c r="Z607" s="69"/>
      <c r="AA607" s="69"/>
    </row>
    <row r="608" spans="1:27">
      <c r="A608" s="69"/>
      <c r="B608" s="69"/>
      <c r="C608" s="69"/>
      <c r="D608" s="69"/>
      <c r="E608" s="69"/>
      <c r="F608" s="69"/>
      <c r="G608" s="69"/>
      <c r="H608" s="69"/>
      <c r="I608" s="69"/>
      <c r="J608" s="69"/>
      <c r="K608" s="69"/>
      <c r="L608" s="69"/>
      <c r="M608" s="69"/>
      <c r="N608" s="69"/>
      <c r="O608" s="69"/>
      <c r="P608" s="69"/>
      <c r="Q608" s="69"/>
      <c r="R608" s="69"/>
      <c r="S608" s="69"/>
      <c r="T608" s="69"/>
      <c r="U608" s="69"/>
      <c r="V608" s="69"/>
      <c r="W608" s="69"/>
      <c r="X608" s="69"/>
      <c r="Y608" s="69"/>
      <c r="Z608" s="69"/>
      <c r="AA608" s="69"/>
    </row>
    <row r="609" spans="1:27">
      <c r="A609" s="69"/>
      <c r="B609" s="69"/>
      <c r="C609" s="69"/>
      <c r="D609" s="69"/>
      <c r="E609" s="69"/>
      <c r="F609" s="69"/>
      <c r="G609" s="69"/>
      <c r="H609" s="69"/>
      <c r="I609" s="69"/>
      <c r="J609" s="69"/>
      <c r="K609" s="69"/>
      <c r="L609" s="69"/>
      <c r="M609" s="69"/>
      <c r="N609" s="69"/>
      <c r="O609" s="69"/>
      <c r="P609" s="69"/>
      <c r="Q609" s="69"/>
      <c r="R609" s="69"/>
      <c r="S609" s="69"/>
      <c r="T609" s="69"/>
      <c r="U609" s="69"/>
      <c r="V609" s="69"/>
      <c r="W609" s="69"/>
      <c r="X609" s="69"/>
      <c r="Y609" s="69"/>
      <c r="Z609" s="69"/>
      <c r="AA609" s="69"/>
    </row>
    <row r="610" spans="1:27">
      <c r="A610" s="69"/>
      <c r="B610" s="69"/>
      <c r="C610" s="69"/>
      <c r="D610" s="69"/>
      <c r="E610" s="69"/>
      <c r="F610" s="69"/>
      <c r="G610" s="69"/>
      <c r="H610" s="69"/>
      <c r="I610" s="69"/>
      <c r="J610" s="69"/>
      <c r="K610" s="69"/>
      <c r="L610" s="69"/>
      <c r="M610" s="69"/>
      <c r="N610" s="69"/>
      <c r="O610" s="69"/>
      <c r="P610" s="69"/>
      <c r="Q610" s="69"/>
      <c r="R610" s="69"/>
      <c r="S610" s="69"/>
      <c r="T610" s="69"/>
      <c r="U610" s="69"/>
      <c r="V610" s="69"/>
      <c r="W610" s="69"/>
      <c r="X610" s="69"/>
      <c r="Y610" s="69"/>
      <c r="Z610" s="69"/>
      <c r="AA610" s="69"/>
    </row>
    <row r="611" spans="1:27">
      <c r="A611" s="69"/>
      <c r="B611" s="69"/>
      <c r="C611" s="69"/>
      <c r="D611" s="69"/>
      <c r="E611" s="69"/>
      <c r="F611" s="69"/>
      <c r="G611" s="69"/>
      <c r="H611" s="69"/>
      <c r="I611" s="69"/>
      <c r="J611" s="69"/>
      <c r="K611" s="69"/>
      <c r="L611" s="69"/>
      <c r="M611" s="69"/>
      <c r="N611" s="69"/>
      <c r="O611" s="69"/>
      <c r="P611" s="69"/>
      <c r="Q611" s="69"/>
      <c r="R611" s="69"/>
      <c r="S611" s="69"/>
      <c r="T611" s="69"/>
      <c r="U611" s="69"/>
      <c r="V611" s="69"/>
      <c r="W611" s="69"/>
      <c r="X611" s="69"/>
      <c r="Y611" s="69"/>
      <c r="Z611" s="69"/>
      <c r="AA611" s="69"/>
    </row>
    <row r="612" spans="1:27">
      <c r="A612" s="69"/>
      <c r="B612" s="69"/>
      <c r="C612" s="69"/>
      <c r="D612" s="69"/>
      <c r="E612" s="69"/>
      <c r="F612" s="69"/>
      <c r="G612" s="69"/>
      <c r="H612" s="69"/>
      <c r="I612" s="69"/>
      <c r="J612" s="69"/>
      <c r="K612" s="69"/>
      <c r="L612" s="69"/>
      <c r="M612" s="69"/>
      <c r="N612" s="69"/>
      <c r="O612" s="69"/>
      <c r="P612" s="69"/>
      <c r="Q612" s="69"/>
      <c r="R612" s="69"/>
      <c r="S612" s="69"/>
      <c r="T612" s="69"/>
      <c r="U612" s="69"/>
      <c r="V612" s="69"/>
      <c r="W612" s="69"/>
      <c r="X612" s="69"/>
      <c r="Y612" s="69"/>
      <c r="Z612" s="69"/>
      <c r="AA612" s="69"/>
    </row>
    <row r="613" spans="1:27">
      <c r="A613" s="69"/>
      <c r="B613" s="69"/>
      <c r="C613" s="69"/>
      <c r="D613" s="69"/>
      <c r="E613" s="69"/>
      <c r="F613" s="69"/>
      <c r="G613" s="69"/>
      <c r="H613" s="69"/>
      <c r="I613" s="69"/>
      <c r="J613" s="69"/>
      <c r="K613" s="69"/>
      <c r="L613" s="69"/>
      <c r="M613" s="69"/>
      <c r="N613" s="69"/>
      <c r="O613" s="69"/>
      <c r="P613" s="69"/>
      <c r="Q613" s="69"/>
      <c r="R613" s="69"/>
      <c r="S613" s="69"/>
      <c r="T613" s="69"/>
      <c r="U613" s="69"/>
      <c r="V613" s="69"/>
      <c r="W613" s="69"/>
      <c r="X613" s="69"/>
      <c r="Y613" s="69"/>
      <c r="Z613" s="69"/>
      <c r="AA613" s="69"/>
    </row>
    <row r="614" spans="1:27">
      <c r="A614" s="69"/>
      <c r="B614" s="69"/>
      <c r="C614" s="69"/>
      <c r="D614" s="69"/>
      <c r="E614" s="69"/>
      <c r="F614" s="69"/>
      <c r="G614" s="69"/>
      <c r="H614" s="69"/>
      <c r="I614" s="69"/>
      <c r="J614" s="69"/>
      <c r="K614" s="69"/>
      <c r="L614" s="69"/>
      <c r="M614" s="69"/>
      <c r="N614" s="69"/>
      <c r="O614" s="69"/>
      <c r="P614" s="69"/>
      <c r="Q614" s="69"/>
      <c r="R614" s="69"/>
      <c r="S614" s="69"/>
      <c r="T614" s="69"/>
      <c r="U614" s="69"/>
      <c r="V614" s="69"/>
      <c r="W614" s="69"/>
      <c r="X614" s="69"/>
      <c r="Y614" s="69"/>
      <c r="Z614" s="69"/>
      <c r="AA614" s="69"/>
    </row>
    <row r="615" spans="1:27">
      <c r="A615" s="69"/>
      <c r="B615" s="69"/>
      <c r="C615" s="69"/>
      <c r="D615" s="69"/>
      <c r="E615" s="69"/>
      <c r="F615" s="69"/>
      <c r="G615" s="69"/>
      <c r="H615" s="69"/>
      <c r="I615" s="69"/>
      <c r="J615" s="69"/>
      <c r="K615" s="69"/>
      <c r="L615" s="69"/>
      <c r="M615" s="69"/>
      <c r="N615" s="69"/>
      <c r="O615" s="69"/>
      <c r="P615" s="69"/>
      <c r="Q615" s="69"/>
      <c r="R615" s="69"/>
      <c r="S615" s="69"/>
      <c r="T615" s="69"/>
      <c r="U615" s="69"/>
      <c r="V615" s="69"/>
      <c r="W615" s="69"/>
      <c r="X615" s="69"/>
      <c r="Y615" s="69"/>
      <c r="Z615" s="69"/>
      <c r="AA615" s="69"/>
    </row>
    <row r="616" spans="1:27">
      <c r="A616" s="69"/>
      <c r="B616" s="69"/>
      <c r="C616" s="69"/>
      <c r="D616" s="69"/>
      <c r="E616" s="69"/>
      <c r="F616" s="69"/>
      <c r="G616" s="69"/>
      <c r="H616" s="69"/>
      <c r="I616" s="69"/>
      <c r="J616" s="69"/>
      <c r="K616" s="69"/>
      <c r="L616" s="69"/>
      <c r="M616" s="69"/>
      <c r="N616" s="69"/>
      <c r="O616" s="69"/>
      <c r="P616" s="69"/>
      <c r="Q616" s="69"/>
      <c r="R616" s="69"/>
      <c r="S616" s="69"/>
      <c r="T616" s="69"/>
      <c r="U616" s="69"/>
      <c r="V616" s="69"/>
      <c r="W616" s="69"/>
      <c r="X616" s="69"/>
      <c r="Y616" s="69"/>
      <c r="Z616" s="69"/>
      <c r="AA616" s="69"/>
    </row>
    <row r="617" spans="1:27">
      <c r="A617" s="69"/>
      <c r="B617" s="69"/>
      <c r="C617" s="69"/>
      <c r="D617" s="69"/>
      <c r="E617" s="69"/>
      <c r="F617" s="69"/>
      <c r="G617" s="69"/>
      <c r="H617" s="69"/>
      <c r="I617" s="69"/>
      <c r="J617" s="69"/>
      <c r="K617" s="69"/>
      <c r="L617" s="69"/>
      <c r="M617" s="69"/>
      <c r="N617" s="69"/>
      <c r="O617" s="69"/>
      <c r="P617" s="69"/>
      <c r="Q617" s="69"/>
      <c r="R617" s="69"/>
      <c r="S617" s="69"/>
      <c r="T617" s="69"/>
      <c r="U617" s="69"/>
      <c r="V617" s="69"/>
      <c r="W617" s="69"/>
      <c r="X617" s="69"/>
      <c r="Y617" s="69"/>
      <c r="Z617" s="69"/>
      <c r="AA617" s="69"/>
    </row>
    <row r="618" spans="1:27">
      <c r="A618" s="69"/>
      <c r="B618" s="69"/>
      <c r="C618" s="69"/>
      <c r="D618" s="69"/>
      <c r="E618" s="69"/>
      <c r="F618" s="69"/>
      <c r="G618" s="69"/>
      <c r="H618" s="69"/>
      <c r="I618" s="69"/>
      <c r="J618" s="69"/>
      <c r="K618" s="69"/>
      <c r="L618" s="69"/>
      <c r="M618" s="69"/>
      <c r="N618" s="69"/>
      <c r="O618" s="69"/>
      <c r="P618" s="69"/>
      <c r="Q618" s="69"/>
      <c r="R618" s="69"/>
      <c r="S618" s="69"/>
      <c r="T618" s="69"/>
      <c r="U618" s="69"/>
      <c r="V618" s="69"/>
      <c r="W618" s="69"/>
      <c r="X618" s="69"/>
      <c r="Y618" s="69"/>
      <c r="Z618" s="69"/>
      <c r="AA618" s="69"/>
    </row>
    <row r="619" spans="1:27">
      <c r="A619" s="69"/>
      <c r="B619" s="69"/>
      <c r="C619" s="69"/>
      <c r="D619" s="69"/>
      <c r="E619" s="69"/>
      <c r="F619" s="69"/>
      <c r="G619" s="69"/>
      <c r="H619" s="69"/>
      <c r="I619" s="69"/>
      <c r="J619" s="69"/>
      <c r="K619" s="69"/>
      <c r="L619" s="69"/>
      <c r="M619" s="69"/>
      <c r="N619" s="69"/>
      <c r="O619" s="69"/>
      <c r="P619" s="69"/>
      <c r="Q619" s="69"/>
      <c r="R619" s="69"/>
      <c r="S619" s="69"/>
      <c r="T619" s="69"/>
      <c r="U619" s="69"/>
      <c r="V619" s="69"/>
      <c r="W619" s="69"/>
      <c r="X619" s="69"/>
      <c r="Y619" s="69"/>
      <c r="Z619" s="69"/>
      <c r="AA619" s="69"/>
    </row>
    <row r="620" spans="1:27">
      <c r="A620" s="69"/>
      <c r="B620" s="69"/>
      <c r="C620" s="69"/>
      <c r="D620" s="69"/>
      <c r="E620" s="69"/>
      <c r="F620" s="69"/>
      <c r="G620" s="69"/>
      <c r="H620" s="69"/>
      <c r="I620" s="69"/>
      <c r="J620" s="69"/>
      <c r="K620" s="69"/>
      <c r="L620" s="69"/>
      <c r="M620" s="69"/>
      <c r="N620" s="69"/>
      <c r="O620" s="69"/>
      <c r="P620" s="69"/>
      <c r="Q620" s="69"/>
      <c r="R620" s="69"/>
      <c r="S620" s="69"/>
      <c r="T620" s="69"/>
      <c r="U620" s="69"/>
      <c r="V620" s="69"/>
      <c r="W620" s="69"/>
      <c r="X620" s="69"/>
      <c r="Y620" s="69"/>
      <c r="Z620" s="69"/>
      <c r="AA620" s="69"/>
    </row>
    <row r="621" spans="1:27">
      <c r="A621" s="69"/>
      <c r="B621" s="69"/>
      <c r="C621" s="69"/>
      <c r="D621" s="69"/>
      <c r="E621" s="69"/>
      <c r="F621" s="69"/>
      <c r="G621" s="69"/>
      <c r="H621" s="69"/>
      <c r="I621" s="69"/>
      <c r="J621" s="69"/>
      <c r="K621" s="69"/>
      <c r="L621" s="69"/>
      <c r="M621" s="69"/>
      <c r="N621" s="69"/>
      <c r="O621" s="69"/>
      <c r="P621" s="69"/>
      <c r="Q621" s="69"/>
      <c r="R621" s="69"/>
      <c r="S621" s="69"/>
      <c r="T621" s="69"/>
      <c r="U621" s="69"/>
      <c r="V621" s="69"/>
      <c r="W621" s="69"/>
      <c r="X621" s="69"/>
      <c r="Y621" s="69"/>
      <c r="Z621" s="69"/>
      <c r="AA621" s="69"/>
    </row>
    <row r="622" spans="1:27">
      <c r="A622" s="69"/>
      <c r="B622" s="69"/>
      <c r="C622" s="69"/>
      <c r="D622" s="69"/>
      <c r="E622" s="69"/>
      <c r="F622" s="69"/>
      <c r="G622" s="69"/>
      <c r="H622" s="69"/>
      <c r="I622" s="69"/>
      <c r="J622" s="69"/>
      <c r="K622" s="69"/>
      <c r="L622" s="69"/>
      <c r="M622" s="69"/>
      <c r="N622" s="69"/>
      <c r="O622" s="69"/>
      <c r="P622" s="69"/>
      <c r="Q622" s="69"/>
      <c r="R622" s="69"/>
      <c r="S622" s="69"/>
      <c r="T622" s="69"/>
      <c r="U622" s="69"/>
      <c r="V622" s="69"/>
      <c r="W622" s="69"/>
      <c r="X622" s="69"/>
      <c r="Y622" s="69"/>
      <c r="Z622" s="69"/>
      <c r="AA622" s="69"/>
    </row>
    <row r="623" spans="1:27">
      <c r="A623" s="69"/>
      <c r="B623" s="69"/>
      <c r="C623" s="69"/>
      <c r="D623" s="69"/>
      <c r="E623" s="69"/>
      <c r="F623" s="69"/>
      <c r="G623" s="69"/>
      <c r="H623" s="69"/>
      <c r="I623" s="69"/>
      <c r="J623" s="69"/>
      <c r="K623" s="69"/>
      <c r="L623" s="69"/>
      <c r="M623" s="69"/>
      <c r="N623" s="69"/>
      <c r="O623" s="69"/>
      <c r="P623" s="69"/>
      <c r="Q623" s="69"/>
      <c r="R623" s="69"/>
      <c r="S623" s="69"/>
      <c r="T623" s="69"/>
      <c r="U623" s="69"/>
      <c r="V623" s="69"/>
      <c r="W623" s="69"/>
      <c r="X623" s="69"/>
      <c r="Y623" s="69"/>
      <c r="Z623" s="69"/>
      <c r="AA623" s="69"/>
    </row>
    <row r="624" spans="1:27">
      <c r="A624" s="69"/>
      <c r="B624" s="69"/>
      <c r="C624" s="69"/>
      <c r="D624" s="69"/>
      <c r="E624" s="69"/>
      <c r="F624" s="69"/>
      <c r="G624" s="69"/>
      <c r="H624" s="69"/>
      <c r="I624" s="69"/>
      <c r="J624" s="69"/>
      <c r="K624" s="69"/>
      <c r="L624" s="69"/>
      <c r="M624" s="69"/>
      <c r="N624" s="69"/>
      <c r="O624" s="69"/>
      <c r="P624" s="69"/>
      <c r="Q624" s="69"/>
      <c r="R624" s="69"/>
      <c r="S624" s="69"/>
      <c r="T624" s="69"/>
      <c r="U624" s="69"/>
      <c r="V624" s="69"/>
      <c r="W624" s="69"/>
      <c r="X624" s="69"/>
      <c r="Y624" s="69"/>
      <c r="Z624" s="69"/>
      <c r="AA624" s="69"/>
    </row>
    <row r="625" spans="1:27">
      <c r="A625" s="69"/>
      <c r="B625" s="69"/>
      <c r="C625" s="69"/>
      <c r="D625" s="69"/>
      <c r="E625" s="69"/>
      <c r="F625" s="69"/>
      <c r="G625" s="69"/>
      <c r="H625" s="69"/>
      <c r="I625" s="69"/>
      <c r="J625" s="69"/>
      <c r="K625" s="69"/>
      <c r="L625" s="69"/>
      <c r="M625" s="69"/>
      <c r="N625" s="69"/>
      <c r="O625" s="69"/>
      <c r="P625" s="69"/>
      <c r="Q625" s="69"/>
      <c r="R625" s="69"/>
      <c r="S625" s="69"/>
      <c r="T625" s="69"/>
      <c r="U625" s="69"/>
      <c r="V625" s="69"/>
      <c r="W625" s="69"/>
      <c r="X625" s="69"/>
      <c r="Y625" s="69"/>
      <c r="Z625" s="69"/>
      <c r="AA625" s="69"/>
    </row>
    <row r="626" spans="1:27">
      <c r="A626" s="69"/>
      <c r="B626" s="69"/>
      <c r="C626" s="69"/>
      <c r="D626" s="69"/>
      <c r="E626" s="69"/>
      <c r="F626" s="69"/>
      <c r="G626" s="69"/>
      <c r="H626" s="69"/>
      <c r="I626" s="69"/>
      <c r="J626" s="69"/>
      <c r="K626" s="69"/>
      <c r="L626" s="69"/>
      <c r="M626" s="69"/>
      <c r="N626" s="69"/>
      <c r="O626" s="69"/>
      <c r="P626" s="69"/>
      <c r="Q626" s="69"/>
      <c r="R626" s="69"/>
      <c r="S626" s="69"/>
      <c r="T626" s="69"/>
      <c r="U626" s="69"/>
      <c r="V626" s="69"/>
      <c r="W626" s="69"/>
      <c r="X626" s="69"/>
      <c r="Y626" s="69"/>
      <c r="Z626" s="69"/>
      <c r="AA626" s="69"/>
    </row>
    <row r="627" spans="1:27">
      <c r="A627" s="69"/>
      <c r="B627" s="69"/>
      <c r="C627" s="69"/>
      <c r="D627" s="69"/>
      <c r="E627" s="69"/>
      <c r="F627" s="69"/>
      <c r="G627" s="69"/>
      <c r="H627" s="69"/>
      <c r="I627" s="69"/>
      <c r="J627" s="69"/>
      <c r="K627" s="69"/>
      <c r="L627" s="69"/>
      <c r="M627" s="69"/>
      <c r="N627" s="69"/>
      <c r="O627" s="69"/>
      <c r="P627" s="69"/>
      <c r="Q627" s="69"/>
      <c r="R627" s="69"/>
      <c r="S627" s="69"/>
      <c r="T627" s="69"/>
      <c r="U627" s="69"/>
      <c r="V627" s="69"/>
      <c r="W627" s="69"/>
      <c r="X627" s="69"/>
      <c r="Y627" s="69"/>
      <c r="Z627" s="69"/>
      <c r="AA627" s="69"/>
    </row>
    <row r="628" spans="1:27">
      <c r="A628" s="69"/>
      <c r="B628" s="69"/>
      <c r="C628" s="69"/>
      <c r="D628" s="69"/>
      <c r="E628" s="69"/>
      <c r="F628" s="69"/>
      <c r="G628" s="69"/>
      <c r="H628" s="69"/>
      <c r="I628" s="69"/>
      <c r="J628" s="69"/>
      <c r="K628" s="69"/>
      <c r="L628" s="69"/>
      <c r="M628" s="69"/>
      <c r="N628" s="69"/>
      <c r="O628" s="69"/>
      <c r="P628" s="69"/>
      <c r="Q628" s="69"/>
      <c r="R628" s="69"/>
      <c r="S628" s="69"/>
      <c r="T628" s="69"/>
      <c r="U628" s="69"/>
      <c r="V628" s="69"/>
      <c r="W628" s="69"/>
      <c r="X628" s="69"/>
      <c r="Y628" s="69"/>
      <c r="Z628" s="69"/>
      <c r="AA628" s="69"/>
    </row>
    <row r="629" spans="1:27">
      <c r="A629" s="69"/>
      <c r="B629" s="69"/>
      <c r="C629" s="69"/>
      <c r="D629" s="69"/>
      <c r="E629" s="69"/>
      <c r="F629" s="69"/>
      <c r="G629" s="69"/>
      <c r="H629" s="69"/>
      <c r="I629" s="69"/>
      <c r="J629" s="69"/>
      <c r="K629" s="69"/>
      <c r="L629" s="69"/>
      <c r="M629" s="69"/>
      <c r="N629" s="69"/>
      <c r="O629" s="69"/>
      <c r="P629" s="69"/>
      <c r="Q629" s="69"/>
      <c r="R629" s="69"/>
      <c r="S629" s="69"/>
      <c r="T629" s="69"/>
      <c r="U629" s="69"/>
      <c r="V629" s="69"/>
      <c r="W629" s="69"/>
      <c r="X629" s="69"/>
      <c r="Y629" s="69"/>
      <c r="Z629" s="69"/>
      <c r="AA629" s="69"/>
    </row>
    <row r="630" spans="1:27">
      <c r="A630" s="69"/>
      <c r="B630" s="69"/>
      <c r="C630" s="69"/>
      <c r="D630" s="69"/>
      <c r="E630" s="69"/>
      <c r="F630" s="69"/>
      <c r="G630" s="69"/>
      <c r="H630" s="69"/>
      <c r="I630" s="69"/>
      <c r="J630" s="69"/>
      <c r="K630" s="69"/>
      <c r="L630" s="69"/>
      <c r="M630" s="69"/>
      <c r="N630" s="69"/>
      <c r="O630" s="69"/>
      <c r="P630" s="69"/>
      <c r="Q630" s="69"/>
      <c r="R630" s="69"/>
      <c r="S630" s="69"/>
      <c r="T630" s="69"/>
      <c r="U630" s="69"/>
      <c r="V630" s="69"/>
      <c r="W630" s="69"/>
      <c r="X630" s="69"/>
      <c r="Y630" s="69"/>
      <c r="Z630" s="69"/>
      <c r="AA630" s="69"/>
    </row>
    <row r="631" spans="1:27">
      <c r="A631" s="69"/>
      <c r="B631" s="69"/>
      <c r="C631" s="69"/>
      <c r="D631" s="69"/>
      <c r="E631" s="69"/>
      <c r="F631" s="69"/>
      <c r="G631" s="69"/>
      <c r="H631" s="69"/>
      <c r="I631" s="69"/>
      <c r="J631" s="69"/>
      <c r="K631" s="69"/>
      <c r="L631" s="69"/>
      <c r="M631" s="69"/>
      <c r="N631" s="69"/>
      <c r="O631" s="69"/>
      <c r="P631" s="69"/>
      <c r="Q631" s="69"/>
      <c r="R631" s="69"/>
      <c r="S631" s="69"/>
      <c r="T631" s="69"/>
      <c r="U631" s="69"/>
      <c r="V631" s="69"/>
      <c r="W631" s="69"/>
      <c r="X631" s="69"/>
      <c r="Y631" s="69"/>
      <c r="Z631" s="69"/>
      <c r="AA631" s="69"/>
    </row>
    <row r="632" spans="1:27">
      <c r="A632" s="69"/>
      <c r="B632" s="69"/>
      <c r="C632" s="69"/>
      <c r="D632" s="69"/>
      <c r="E632" s="69"/>
      <c r="F632" s="69"/>
      <c r="G632" s="69"/>
      <c r="H632" s="69"/>
      <c r="I632" s="69"/>
      <c r="J632" s="69"/>
      <c r="K632" s="69"/>
      <c r="L632" s="69"/>
      <c r="M632" s="69"/>
      <c r="N632" s="69"/>
      <c r="O632" s="69"/>
      <c r="P632" s="69"/>
      <c r="Q632" s="69"/>
      <c r="R632" s="69"/>
      <c r="S632" s="69"/>
      <c r="T632" s="69"/>
      <c r="U632" s="69"/>
      <c r="V632" s="69"/>
      <c r="W632" s="69"/>
      <c r="X632" s="69"/>
      <c r="Y632" s="69"/>
      <c r="Z632" s="69"/>
      <c r="AA632" s="69"/>
    </row>
    <row r="633" spans="1:27">
      <c r="A633" s="69"/>
      <c r="B633" s="69"/>
      <c r="C633" s="69"/>
      <c r="D633" s="69"/>
      <c r="E633" s="69"/>
      <c r="F633" s="69"/>
      <c r="G633" s="69"/>
      <c r="H633" s="69"/>
      <c r="I633" s="69"/>
      <c r="J633" s="69"/>
      <c r="K633" s="69"/>
      <c r="L633" s="69"/>
      <c r="M633" s="69"/>
      <c r="N633" s="69"/>
      <c r="O633" s="69"/>
      <c r="P633" s="69"/>
      <c r="Q633" s="69"/>
      <c r="R633" s="69"/>
      <c r="S633" s="69"/>
      <c r="T633" s="69"/>
      <c r="U633" s="69"/>
      <c r="V633" s="69"/>
      <c r="W633" s="69"/>
      <c r="X633" s="69"/>
      <c r="Y633" s="69"/>
      <c r="Z633" s="69"/>
      <c r="AA633" s="69"/>
    </row>
    <row r="634" spans="1:27">
      <c r="A634" s="69"/>
      <c r="B634" s="69"/>
      <c r="C634" s="69"/>
      <c r="D634" s="69"/>
      <c r="E634" s="69"/>
      <c r="F634" s="69"/>
      <c r="G634" s="69"/>
      <c r="H634" s="69"/>
      <c r="I634" s="69"/>
      <c r="J634" s="69"/>
      <c r="K634" s="69"/>
      <c r="L634" s="69"/>
      <c r="M634" s="69"/>
      <c r="N634" s="69"/>
      <c r="O634" s="69"/>
      <c r="P634" s="69"/>
      <c r="Q634" s="69"/>
      <c r="R634" s="69"/>
      <c r="S634" s="69"/>
      <c r="T634" s="69"/>
      <c r="U634" s="69"/>
      <c r="V634" s="69"/>
      <c r="W634" s="69"/>
      <c r="X634" s="69"/>
      <c r="Y634" s="69"/>
      <c r="Z634" s="69"/>
      <c r="AA634" s="69"/>
    </row>
    <row r="635" spans="1:27">
      <c r="A635" s="69"/>
      <c r="B635" s="69"/>
      <c r="C635" s="69"/>
      <c r="D635" s="69"/>
      <c r="E635" s="69"/>
      <c r="F635" s="69"/>
      <c r="G635" s="69"/>
      <c r="H635" s="69"/>
      <c r="I635" s="69"/>
      <c r="J635" s="69"/>
      <c r="K635" s="69"/>
      <c r="L635" s="69"/>
      <c r="M635" s="69"/>
      <c r="N635" s="69"/>
      <c r="O635" s="69"/>
      <c r="P635" s="69"/>
      <c r="Q635" s="69"/>
      <c r="R635" s="69"/>
      <c r="S635" s="69"/>
      <c r="T635" s="69"/>
      <c r="U635" s="69"/>
      <c r="V635" s="69"/>
      <c r="W635" s="69"/>
      <c r="X635" s="69"/>
      <c r="Y635" s="69"/>
      <c r="Z635" s="69"/>
      <c r="AA635" s="69"/>
    </row>
    <row r="636" spans="1:27">
      <c r="A636" s="69"/>
      <c r="B636" s="69"/>
      <c r="C636" s="69"/>
      <c r="D636" s="69"/>
      <c r="E636" s="69"/>
      <c r="F636" s="69"/>
      <c r="G636" s="69"/>
      <c r="H636" s="69"/>
      <c r="I636" s="69"/>
      <c r="J636" s="69"/>
      <c r="K636" s="69"/>
      <c r="L636" s="69"/>
      <c r="M636" s="69"/>
      <c r="N636" s="69"/>
      <c r="O636" s="69"/>
      <c r="P636" s="69"/>
      <c r="Q636" s="69"/>
      <c r="R636" s="69"/>
      <c r="S636" s="69"/>
      <c r="T636" s="69"/>
      <c r="U636" s="69"/>
      <c r="V636" s="69"/>
      <c r="W636" s="69"/>
      <c r="X636" s="69"/>
      <c r="Y636" s="69"/>
      <c r="Z636" s="69"/>
      <c r="AA636" s="69"/>
    </row>
    <row r="637" spans="1:27">
      <c r="A637" s="69"/>
      <c r="B637" s="69"/>
      <c r="C637" s="69"/>
      <c r="D637" s="69"/>
      <c r="E637" s="69"/>
      <c r="F637" s="69"/>
      <c r="G637" s="69"/>
      <c r="H637" s="69"/>
      <c r="I637" s="69"/>
      <c r="J637" s="69"/>
      <c r="K637" s="69"/>
      <c r="L637" s="69"/>
      <c r="M637" s="69"/>
      <c r="N637" s="69"/>
      <c r="O637" s="69"/>
      <c r="P637" s="69"/>
      <c r="Q637" s="69"/>
      <c r="R637" s="69"/>
      <c r="S637" s="69"/>
      <c r="T637" s="69"/>
      <c r="U637" s="69"/>
      <c r="V637" s="69"/>
      <c r="W637" s="69"/>
      <c r="X637" s="69"/>
      <c r="Y637" s="69"/>
      <c r="Z637" s="69"/>
      <c r="AA637" s="69"/>
    </row>
    <row r="638" spans="1:27">
      <c r="A638" s="69"/>
      <c r="B638" s="69"/>
      <c r="C638" s="69"/>
      <c r="D638" s="69"/>
      <c r="E638" s="69"/>
      <c r="F638" s="69"/>
      <c r="G638" s="69"/>
      <c r="H638" s="69"/>
      <c r="I638" s="69"/>
      <c r="J638" s="69"/>
      <c r="K638" s="69"/>
      <c r="L638" s="69"/>
      <c r="M638" s="69"/>
      <c r="N638" s="69"/>
      <c r="O638" s="69"/>
      <c r="P638" s="69"/>
      <c r="Q638" s="69"/>
      <c r="R638" s="69"/>
      <c r="S638" s="69"/>
      <c r="T638" s="69"/>
      <c r="U638" s="69"/>
      <c r="V638" s="69"/>
      <c r="W638" s="69"/>
      <c r="X638" s="69"/>
      <c r="Y638" s="69"/>
      <c r="Z638" s="69"/>
      <c r="AA638" s="69"/>
    </row>
    <row r="639" spans="1:27">
      <c r="A639" s="69"/>
      <c r="B639" s="69"/>
      <c r="C639" s="69"/>
      <c r="D639" s="69"/>
      <c r="E639" s="69"/>
      <c r="F639" s="69"/>
      <c r="G639" s="69"/>
      <c r="H639" s="69"/>
      <c r="I639" s="69"/>
      <c r="J639" s="69"/>
      <c r="K639" s="69"/>
      <c r="L639" s="69"/>
      <c r="M639" s="69"/>
      <c r="N639" s="69"/>
      <c r="O639" s="69"/>
      <c r="P639" s="69"/>
      <c r="Q639" s="69"/>
      <c r="R639" s="69"/>
      <c r="S639" s="69"/>
      <c r="T639" s="69"/>
      <c r="U639" s="69"/>
      <c r="V639" s="69"/>
      <c r="W639" s="69"/>
      <c r="X639" s="69"/>
      <c r="Y639" s="69"/>
      <c r="Z639" s="69"/>
      <c r="AA639" s="69"/>
    </row>
    <row r="640" spans="1:27">
      <c r="A640" s="69"/>
      <c r="B640" s="69"/>
      <c r="C640" s="69"/>
      <c r="D640" s="69"/>
      <c r="E640" s="69"/>
      <c r="F640" s="69"/>
      <c r="G640" s="69"/>
      <c r="H640" s="69"/>
      <c r="I640" s="69"/>
      <c r="J640" s="69"/>
      <c r="K640" s="69"/>
      <c r="L640" s="69"/>
      <c r="M640" s="69"/>
      <c r="N640" s="69"/>
      <c r="O640" s="69"/>
      <c r="P640" s="69"/>
      <c r="Q640" s="69"/>
      <c r="R640" s="69"/>
      <c r="S640" s="69"/>
      <c r="T640" s="69"/>
      <c r="U640" s="69"/>
      <c r="V640" s="69"/>
      <c r="W640" s="69"/>
      <c r="X640" s="69"/>
      <c r="Y640" s="69"/>
      <c r="Z640" s="69"/>
      <c r="AA640" s="69"/>
    </row>
    <row r="641" spans="1:27">
      <c r="A641" s="69"/>
      <c r="B641" s="69"/>
      <c r="C641" s="69"/>
      <c r="D641" s="69"/>
      <c r="E641" s="69"/>
      <c r="F641" s="69"/>
      <c r="G641" s="69"/>
      <c r="H641" s="69"/>
      <c r="I641" s="69"/>
      <c r="J641" s="69"/>
      <c r="K641" s="69"/>
      <c r="L641" s="69"/>
      <c r="M641" s="69"/>
      <c r="N641" s="69"/>
      <c r="O641" s="69"/>
      <c r="P641" s="69"/>
      <c r="Q641" s="69"/>
      <c r="R641" s="69"/>
      <c r="S641" s="69"/>
      <c r="T641" s="69"/>
      <c r="U641" s="69"/>
      <c r="V641" s="69"/>
      <c r="W641" s="69"/>
      <c r="X641" s="69"/>
      <c r="Y641" s="69"/>
      <c r="Z641" s="69"/>
      <c r="AA641" s="69"/>
    </row>
    <row r="642" spans="1:27">
      <c r="A642" s="69"/>
      <c r="B642" s="69"/>
      <c r="C642" s="69"/>
      <c r="D642" s="69"/>
      <c r="E642" s="69"/>
      <c r="F642" s="69"/>
      <c r="G642" s="69"/>
      <c r="H642" s="69"/>
      <c r="I642" s="69"/>
      <c r="J642" s="69"/>
      <c r="K642" s="69"/>
      <c r="L642" s="69"/>
      <c r="M642" s="69"/>
      <c r="N642" s="69"/>
      <c r="O642" s="69"/>
      <c r="P642" s="69"/>
      <c r="Q642" s="69"/>
      <c r="R642" s="69"/>
      <c r="S642" s="69"/>
      <c r="T642" s="69"/>
      <c r="U642" s="69"/>
      <c r="V642" s="69"/>
      <c r="W642" s="69"/>
      <c r="X642" s="69"/>
      <c r="Y642" s="69"/>
      <c r="Z642" s="69"/>
      <c r="AA642" s="69"/>
    </row>
    <row r="643" spans="1:27">
      <c r="A643" s="69"/>
      <c r="B643" s="69"/>
      <c r="C643" s="69"/>
      <c r="D643" s="69"/>
      <c r="E643" s="69"/>
      <c r="F643" s="69"/>
      <c r="G643" s="69"/>
      <c r="H643" s="69"/>
      <c r="I643" s="69"/>
      <c r="J643" s="69"/>
      <c r="K643" s="69"/>
      <c r="L643" s="69"/>
      <c r="M643" s="69"/>
      <c r="N643" s="69"/>
      <c r="O643" s="69"/>
      <c r="P643" s="69"/>
      <c r="Q643" s="69"/>
      <c r="R643" s="69"/>
      <c r="S643" s="69"/>
      <c r="T643" s="69"/>
      <c r="U643" s="69"/>
      <c r="V643" s="69"/>
      <c r="W643" s="69"/>
      <c r="X643" s="69"/>
      <c r="Y643" s="69"/>
      <c r="Z643" s="69"/>
      <c r="AA643" s="69"/>
    </row>
    <row r="644" spans="1:27">
      <c r="A644" s="69"/>
      <c r="B644" s="69"/>
      <c r="C644" s="69"/>
      <c r="D644" s="69"/>
      <c r="E644" s="69"/>
      <c r="F644" s="69"/>
      <c r="G644" s="69"/>
      <c r="H644" s="69"/>
      <c r="I644" s="69"/>
      <c r="J644" s="69"/>
      <c r="K644" s="69"/>
      <c r="L644" s="69"/>
      <c r="M644" s="69"/>
      <c r="N644" s="69"/>
      <c r="O644" s="69"/>
      <c r="P644" s="69"/>
      <c r="Q644" s="69"/>
      <c r="R644" s="69"/>
      <c r="S644" s="69"/>
      <c r="T644" s="69"/>
      <c r="U644" s="69"/>
      <c r="V644" s="69"/>
      <c r="W644" s="69"/>
      <c r="X644" s="69"/>
      <c r="Y644" s="69"/>
      <c r="Z644" s="69"/>
      <c r="AA644" s="69"/>
    </row>
    <row r="645" spans="1:27">
      <c r="A645" s="69"/>
      <c r="B645" s="69"/>
      <c r="C645" s="69"/>
      <c r="D645" s="69"/>
      <c r="E645" s="69"/>
      <c r="F645" s="69"/>
      <c r="G645" s="69"/>
      <c r="H645" s="69"/>
      <c r="I645" s="69"/>
      <c r="J645" s="69"/>
      <c r="K645" s="69"/>
      <c r="L645" s="69"/>
      <c r="M645" s="69"/>
      <c r="N645" s="69"/>
      <c r="O645" s="69"/>
      <c r="P645" s="69"/>
      <c r="Q645" s="69"/>
      <c r="R645" s="69"/>
      <c r="S645" s="69"/>
      <c r="T645" s="69"/>
      <c r="U645" s="69"/>
      <c r="V645" s="69"/>
      <c r="W645" s="69"/>
      <c r="X645" s="69"/>
      <c r="Y645" s="69"/>
      <c r="Z645" s="69"/>
      <c r="AA645" s="69"/>
    </row>
    <row r="646" spans="1:27">
      <c r="A646" s="69"/>
      <c r="B646" s="69"/>
      <c r="C646" s="69"/>
      <c r="D646" s="69"/>
      <c r="E646" s="69"/>
      <c r="F646" s="69"/>
      <c r="G646" s="69"/>
      <c r="H646" s="69"/>
      <c r="I646" s="69"/>
      <c r="J646" s="69"/>
      <c r="K646" s="69"/>
      <c r="L646" s="69"/>
      <c r="M646" s="69"/>
      <c r="N646" s="69"/>
      <c r="O646" s="69"/>
      <c r="P646" s="69"/>
      <c r="Q646" s="69"/>
      <c r="R646" s="69"/>
      <c r="S646" s="69"/>
      <c r="T646" s="69"/>
      <c r="U646" s="69"/>
      <c r="V646" s="69"/>
      <c r="W646" s="69"/>
      <c r="X646" s="69"/>
      <c r="Y646" s="69"/>
      <c r="Z646" s="69"/>
      <c r="AA646" s="69"/>
    </row>
    <row r="647" spans="1:27">
      <c r="A647" s="69"/>
      <c r="B647" s="69"/>
      <c r="C647" s="69"/>
      <c r="D647" s="69"/>
      <c r="E647" s="69"/>
      <c r="F647" s="69"/>
      <c r="G647" s="69"/>
      <c r="H647" s="69"/>
      <c r="I647" s="69"/>
      <c r="J647" s="69"/>
      <c r="K647" s="69"/>
      <c r="L647" s="69"/>
      <c r="M647" s="69"/>
      <c r="N647" s="69"/>
      <c r="O647" s="69"/>
      <c r="P647" s="69"/>
      <c r="Q647" s="69"/>
      <c r="R647" s="69"/>
      <c r="S647" s="69"/>
      <c r="T647" s="69"/>
      <c r="U647" s="69"/>
      <c r="V647" s="69"/>
      <c r="W647" s="69"/>
      <c r="X647" s="69"/>
      <c r="Y647" s="69"/>
      <c r="Z647" s="69"/>
      <c r="AA647" s="69"/>
    </row>
    <row r="648" spans="1:27">
      <c r="A648" s="69"/>
      <c r="B648" s="69"/>
      <c r="C648" s="69"/>
      <c r="D648" s="69"/>
      <c r="E648" s="69"/>
      <c r="F648" s="69"/>
      <c r="G648" s="69"/>
      <c r="H648" s="69"/>
      <c r="I648" s="69"/>
      <c r="J648" s="69"/>
      <c r="K648" s="69"/>
      <c r="L648" s="69"/>
      <c r="M648" s="69"/>
      <c r="N648" s="69"/>
      <c r="O648" s="69"/>
      <c r="P648" s="69"/>
      <c r="Q648" s="69"/>
      <c r="R648" s="69"/>
      <c r="S648" s="69"/>
      <c r="T648" s="69"/>
      <c r="U648" s="69"/>
      <c r="V648" s="69"/>
      <c r="W648" s="69"/>
      <c r="X648" s="69"/>
      <c r="Y648" s="69"/>
      <c r="Z648" s="69"/>
      <c r="AA648" s="69"/>
    </row>
    <row r="649" spans="1:27">
      <c r="A649" s="69"/>
      <c r="B649" s="69"/>
      <c r="C649" s="69"/>
      <c r="D649" s="69"/>
      <c r="E649" s="69"/>
      <c r="F649" s="69"/>
      <c r="G649" s="69"/>
      <c r="H649" s="69"/>
      <c r="I649" s="69"/>
      <c r="J649" s="69"/>
      <c r="K649" s="69"/>
      <c r="L649" s="69"/>
      <c r="M649" s="69"/>
      <c r="N649" s="69"/>
      <c r="O649" s="69"/>
      <c r="P649" s="69"/>
      <c r="Q649" s="69"/>
      <c r="R649" s="69"/>
      <c r="S649" s="69"/>
      <c r="T649" s="69"/>
      <c r="U649" s="69"/>
      <c r="V649" s="69"/>
      <c r="W649" s="69"/>
      <c r="X649" s="69"/>
      <c r="Y649" s="69"/>
      <c r="Z649" s="69"/>
      <c r="AA649" s="69"/>
    </row>
    <row r="650" spans="1:27">
      <c r="A650" s="69"/>
      <c r="B650" s="69"/>
      <c r="C650" s="69"/>
      <c r="D650" s="69"/>
      <c r="E650" s="69"/>
      <c r="F650" s="69"/>
      <c r="G650" s="69"/>
      <c r="H650" s="69"/>
      <c r="I650" s="69"/>
      <c r="J650" s="69"/>
      <c r="K650" s="69"/>
      <c r="L650" s="69"/>
      <c r="M650" s="69"/>
      <c r="N650" s="69"/>
      <c r="O650" s="69"/>
      <c r="P650" s="69"/>
      <c r="Q650" s="69"/>
      <c r="R650" s="69"/>
      <c r="S650" s="69"/>
      <c r="T650" s="69"/>
      <c r="U650" s="69"/>
      <c r="V650" s="69"/>
      <c r="W650" s="69"/>
      <c r="X650" s="69"/>
      <c r="Y650" s="69"/>
      <c r="Z650" s="69"/>
      <c r="AA650" s="69"/>
    </row>
    <row r="651" spans="1:27">
      <c r="A651" s="69"/>
      <c r="B651" s="69"/>
      <c r="C651" s="69"/>
      <c r="D651" s="69"/>
      <c r="E651" s="69"/>
      <c r="F651" s="69"/>
      <c r="G651" s="69"/>
      <c r="H651" s="69"/>
      <c r="I651" s="69"/>
      <c r="J651" s="69"/>
      <c r="K651" s="69"/>
      <c r="L651" s="69"/>
      <c r="M651" s="69"/>
      <c r="N651" s="69"/>
      <c r="O651" s="69"/>
      <c r="P651" s="69"/>
      <c r="Q651" s="69"/>
      <c r="R651" s="69"/>
      <c r="S651" s="69"/>
      <c r="T651" s="69"/>
      <c r="U651" s="69"/>
      <c r="V651" s="69"/>
      <c r="W651" s="69"/>
      <c r="X651" s="69"/>
      <c r="Y651" s="69"/>
      <c r="Z651" s="69"/>
      <c r="AA651" s="69"/>
    </row>
    <row r="652" spans="1:27">
      <c r="A652" s="69"/>
      <c r="B652" s="69"/>
      <c r="C652" s="69"/>
      <c r="D652" s="69"/>
      <c r="E652" s="69"/>
      <c r="F652" s="69"/>
      <c r="G652" s="69"/>
      <c r="H652" s="69"/>
      <c r="I652" s="69"/>
      <c r="J652" s="69"/>
      <c r="K652" s="69"/>
      <c r="L652" s="69"/>
      <c r="M652" s="69"/>
      <c r="N652" s="69"/>
      <c r="O652" s="69"/>
      <c r="P652" s="69"/>
      <c r="Q652" s="69"/>
      <c r="R652" s="69"/>
      <c r="S652" s="69"/>
      <c r="T652" s="69"/>
      <c r="U652" s="69"/>
      <c r="V652" s="69"/>
      <c r="W652" s="69"/>
      <c r="X652" s="69"/>
      <c r="Y652" s="69"/>
      <c r="Z652" s="69"/>
      <c r="AA652" s="69"/>
    </row>
    <row r="653" spans="1:27">
      <c r="A653" s="69"/>
      <c r="B653" s="69"/>
      <c r="C653" s="69"/>
      <c r="D653" s="69"/>
      <c r="E653" s="69"/>
      <c r="F653" s="69"/>
      <c r="G653" s="69"/>
      <c r="H653" s="69"/>
      <c r="I653" s="69"/>
      <c r="J653" s="69"/>
      <c r="K653" s="69"/>
      <c r="L653" s="69"/>
      <c r="M653" s="69"/>
      <c r="N653" s="69"/>
      <c r="O653" s="69"/>
      <c r="P653" s="69"/>
      <c r="Q653" s="69"/>
      <c r="R653" s="69"/>
      <c r="S653" s="69"/>
      <c r="T653" s="69"/>
      <c r="U653" s="69"/>
      <c r="V653" s="69"/>
      <c r="W653" s="69"/>
      <c r="X653" s="69"/>
      <c r="Y653" s="69"/>
      <c r="Z653" s="69"/>
      <c r="AA653" s="69"/>
    </row>
    <row r="654" spans="1:27">
      <c r="A654" s="69"/>
      <c r="B654" s="69"/>
      <c r="C654" s="69"/>
      <c r="D654" s="69"/>
      <c r="E654" s="69"/>
      <c r="F654" s="69"/>
      <c r="G654" s="69"/>
      <c r="H654" s="69"/>
      <c r="I654" s="69"/>
      <c r="J654" s="69"/>
      <c r="K654" s="69"/>
      <c r="L654" s="69"/>
      <c r="M654" s="69"/>
      <c r="N654" s="69"/>
      <c r="O654" s="69"/>
      <c r="P654" s="69"/>
      <c r="Q654" s="69"/>
      <c r="R654" s="69"/>
      <c r="S654" s="69"/>
      <c r="T654" s="69"/>
      <c r="U654" s="69"/>
      <c r="V654" s="69"/>
      <c r="W654" s="69"/>
      <c r="X654" s="69"/>
      <c r="Y654" s="69"/>
      <c r="Z654" s="69"/>
      <c r="AA654" s="69"/>
    </row>
    <row r="655" spans="1:27">
      <c r="A655" s="69"/>
      <c r="B655" s="69"/>
      <c r="C655" s="69"/>
      <c r="D655" s="69"/>
      <c r="E655" s="69"/>
      <c r="F655" s="69"/>
      <c r="G655" s="69"/>
      <c r="H655" s="69"/>
      <c r="I655" s="69"/>
      <c r="J655" s="69"/>
      <c r="K655" s="69"/>
      <c r="L655" s="69"/>
      <c r="M655" s="69"/>
      <c r="N655" s="69"/>
      <c r="O655" s="69"/>
      <c r="P655" s="69"/>
      <c r="Q655" s="69"/>
      <c r="R655" s="69"/>
      <c r="S655" s="69"/>
      <c r="T655" s="69"/>
      <c r="U655" s="69"/>
      <c r="V655" s="69"/>
      <c r="W655" s="69"/>
      <c r="X655" s="69"/>
      <c r="Y655" s="69"/>
      <c r="Z655" s="69"/>
      <c r="AA655" s="69"/>
    </row>
    <row r="656" spans="1:27">
      <c r="A656" s="69"/>
      <c r="B656" s="69"/>
      <c r="C656" s="69"/>
      <c r="D656" s="69"/>
      <c r="E656" s="69"/>
      <c r="F656" s="69"/>
      <c r="G656" s="69"/>
      <c r="H656" s="69"/>
      <c r="I656" s="69"/>
      <c r="J656" s="69"/>
      <c r="K656" s="69"/>
      <c r="L656" s="69"/>
      <c r="M656" s="69"/>
      <c r="N656" s="69"/>
      <c r="O656" s="69"/>
      <c r="P656" s="69"/>
      <c r="Q656" s="69"/>
      <c r="R656" s="69"/>
      <c r="S656" s="69"/>
      <c r="T656" s="69"/>
      <c r="U656" s="69"/>
      <c r="V656" s="69"/>
      <c r="W656" s="69"/>
      <c r="X656" s="69"/>
      <c r="Y656" s="69"/>
      <c r="Z656" s="69"/>
      <c r="AA656" s="69"/>
    </row>
    <row r="657" spans="1:27">
      <c r="A657" s="69"/>
      <c r="B657" s="69"/>
      <c r="C657" s="69"/>
      <c r="D657" s="69"/>
      <c r="E657" s="69"/>
      <c r="F657" s="69"/>
      <c r="G657" s="69"/>
      <c r="H657" s="69"/>
      <c r="I657" s="69"/>
      <c r="J657" s="69"/>
      <c r="K657" s="69"/>
      <c r="L657" s="69"/>
      <c r="M657" s="69"/>
      <c r="N657" s="69"/>
      <c r="O657" s="69"/>
      <c r="P657" s="69"/>
      <c r="Q657" s="69"/>
      <c r="R657" s="69"/>
      <c r="S657" s="69"/>
      <c r="T657" s="69"/>
      <c r="U657" s="69"/>
      <c r="V657" s="69"/>
      <c r="W657" s="69"/>
      <c r="X657" s="69"/>
      <c r="Y657" s="69"/>
      <c r="Z657" s="69"/>
      <c r="AA657" s="69"/>
    </row>
    <row r="658" spans="1:27">
      <c r="A658" s="69"/>
      <c r="B658" s="69"/>
      <c r="C658" s="69"/>
      <c r="D658" s="69"/>
      <c r="E658" s="69"/>
      <c r="F658" s="69"/>
      <c r="G658" s="69"/>
      <c r="H658" s="69"/>
      <c r="I658" s="69"/>
      <c r="J658" s="69"/>
      <c r="K658" s="69"/>
      <c r="L658" s="69"/>
      <c r="M658" s="69"/>
      <c r="N658" s="69"/>
      <c r="O658" s="69"/>
      <c r="P658" s="69"/>
      <c r="Q658" s="69"/>
      <c r="R658" s="69"/>
      <c r="S658" s="69"/>
      <c r="T658" s="69"/>
      <c r="U658" s="69"/>
      <c r="V658" s="69"/>
      <c r="W658" s="69"/>
      <c r="X658" s="69"/>
      <c r="Y658" s="69"/>
      <c r="Z658" s="69"/>
      <c r="AA658" s="69"/>
    </row>
    <row r="659" spans="1:27">
      <c r="A659" s="69"/>
      <c r="B659" s="69"/>
      <c r="C659" s="69"/>
      <c r="D659" s="69"/>
      <c r="E659" s="69"/>
      <c r="F659" s="69"/>
      <c r="G659" s="69"/>
      <c r="H659" s="69"/>
      <c r="I659" s="69"/>
      <c r="J659" s="69"/>
      <c r="K659" s="69"/>
      <c r="L659" s="69"/>
      <c r="M659" s="69"/>
      <c r="N659" s="69"/>
      <c r="O659" s="69"/>
      <c r="P659" s="69"/>
      <c r="Q659" s="69"/>
      <c r="R659" s="69"/>
      <c r="S659" s="69"/>
      <c r="T659" s="69"/>
      <c r="U659" s="69"/>
      <c r="V659" s="69"/>
      <c r="W659" s="69"/>
      <c r="X659" s="69"/>
      <c r="Y659" s="69"/>
      <c r="Z659" s="69"/>
      <c r="AA659" s="69"/>
    </row>
    <row r="660" spans="1:27">
      <c r="A660" s="69"/>
      <c r="B660" s="69"/>
      <c r="C660" s="69"/>
      <c r="D660" s="69"/>
      <c r="E660" s="69"/>
      <c r="F660" s="69"/>
      <c r="G660" s="69"/>
      <c r="H660" s="69"/>
      <c r="I660" s="69"/>
      <c r="J660" s="69"/>
      <c r="K660" s="69"/>
      <c r="L660" s="69"/>
      <c r="M660" s="69"/>
      <c r="N660" s="69"/>
      <c r="O660" s="69"/>
      <c r="P660" s="69"/>
      <c r="Q660" s="69"/>
      <c r="R660" s="69"/>
      <c r="S660" s="69"/>
      <c r="T660" s="69"/>
      <c r="U660" s="69"/>
      <c r="V660" s="69"/>
      <c r="W660" s="69"/>
      <c r="X660" s="69"/>
      <c r="Y660" s="69"/>
      <c r="Z660" s="69"/>
      <c r="AA660" s="69"/>
    </row>
    <row r="661" spans="1:27">
      <c r="A661" s="69"/>
      <c r="B661" s="69"/>
      <c r="C661" s="69"/>
      <c r="D661" s="69"/>
      <c r="E661" s="69"/>
      <c r="F661" s="69"/>
      <c r="G661" s="69"/>
      <c r="H661" s="69"/>
      <c r="I661" s="69"/>
      <c r="J661" s="69"/>
      <c r="K661" s="69"/>
      <c r="L661" s="69"/>
      <c r="M661" s="69"/>
      <c r="N661" s="69"/>
      <c r="O661" s="69"/>
      <c r="P661" s="69"/>
      <c r="Q661" s="69"/>
      <c r="R661" s="69"/>
      <c r="S661" s="69"/>
      <c r="T661" s="69"/>
      <c r="U661" s="69"/>
      <c r="V661" s="69"/>
      <c r="W661" s="69"/>
      <c r="X661" s="69"/>
      <c r="Y661" s="69"/>
      <c r="Z661" s="69"/>
      <c r="AA661" s="69"/>
    </row>
    <row r="662" spans="1:27">
      <c r="A662" s="69"/>
      <c r="B662" s="69"/>
      <c r="C662" s="69"/>
      <c r="D662" s="69"/>
      <c r="E662" s="69"/>
      <c r="F662" s="69"/>
      <c r="G662" s="69"/>
      <c r="H662" s="69"/>
      <c r="I662" s="69"/>
      <c r="J662" s="69"/>
      <c r="K662" s="69"/>
      <c r="L662" s="69"/>
      <c r="M662" s="69"/>
      <c r="N662" s="69"/>
      <c r="O662" s="69"/>
      <c r="P662" s="69"/>
      <c r="Q662" s="69"/>
      <c r="R662" s="69"/>
      <c r="S662" s="69"/>
      <c r="T662" s="69"/>
      <c r="U662" s="69"/>
      <c r="V662" s="69"/>
      <c r="W662" s="69"/>
      <c r="X662" s="69"/>
      <c r="Y662" s="69"/>
      <c r="Z662" s="69"/>
      <c r="AA662" s="69"/>
    </row>
    <row r="663" spans="1:27">
      <c r="A663" s="69"/>
      <c r="B663" s="69"/>
      <c r="C663" s="69"/>
      <c r="D663" s="69"/>
      <c r="E663" s="69"/>
      <c r="F663" s="69"/>
      <c r="G663" s="69"/>
      <c r="H663" s="69"/>
      <c r="I663" s="69"/>
      <c r="J663" s="69"/>
      <c r="K663" s="69"/>
      <c r="L663" s="69"/>
      <c r="M663" s="69"/>
      <c r="N663" s="69"/>
      <c r="O663" s="69"/>
      <c r="P663" s="69"/>
      <c r="Q663" s="69"/>
      <c r="R663" s="69"/>
      <c r="S663" s="69"/>
      <c r="T663" s="69"/>
      <c r="U663" s="69"/>
      <c r="V663" s="69"/>
      <c r="W663" s="69"/>
      <c r="X663" s="69"/>
      <c r="Y663" s="69"/>
      <c r="Z663" s="69"/>
      <c r="AA663" s="69"/>
    </row>
    <row r="664" spans="1:27">
      <c r="A664" s="69"/>
      <c r="B664" s="69"/>
      <c r="C664" s="69"/>
      <c r="D664" s="69"/>
      <c r="E664" s="69"/>
      <c r="F664" s="69"/>
      <c r="G664" s="69"/>
      <c r="H664" s="69"/>
      <c r="I664" s="69"/>
      <c r="J664" s="69"/>
      <c r="K664" s="69"/>
      <c r="L664" s="69"/>
      <c r="M664" s="69"/>
      <c r="N664" s="69"/>
      <c r="O664" s="69"/>
      <c r="P664" s="69"/>
      <c r="Q664" s="69"/>
      <c r="R664" s="69"/>
      <c r="S664" s="69"/>
      <c r="T664" s="69"/>
      <c r="U664" s="69"/>
      <c r="V664" s="69"/>
      <c r="W664" s="69"/>
      <c r="X664" s="69"/>
      <c r="Y664" s="69"/>
      <c r="Z664" s="69"/>
      <c r="AA664" s="69"/>
    </row>
    <row r="665" spans="1:27">
      <c r="A665" s="69"/>
      <c r="B665" s="69"/>
      <c r="C665" s="69"/>
      <c r="D665" s="69"/>
      <c r="E665" s="69"/>
      <c r="F665" s="69"/>
      <c r="G665" s="69"/>
      <c r="H665" s="69"/>
      <c r="I665" s="69"/>
      <c r="J665" s="69"/>
      <c r="K665" s="69"/>
      <c r="L665" s="69"/>
      <c r="M665" s="69"/>
      <c r="N665" s="69"/>
      <c r="O665" s="69"/>
      <c r="P665" s="69"/>
      <c r="Q665" s="69"/>
      <c r="R665" s="69"/>
      <c r="S665" s="69"/>
      <c r="T665" s="69"/>
      <c r="U665" s="69"/>
      <c r="V665" s="69"/>
      <c r="W665" s="69"/>
      <c r="X665" s="69"/>
      <c r="Y665" s="69"/>
      <c r="Z665" s="69"/>
      <c r="AA665" s="69"/>
    </row>
    <row r="666" spans="1:27">
      <c r="A666" s="69"/>
      <c r="B666" s="69"/>
      <c r="C666" s="69"/>
      <c r="D666" s="69"/>
      <c r="E666" s="69"/>
      <c r="F666" s="69"/>
      <c r="G666" s="69"/>
      <c r="H666" s="69"/>
      <c r="I666" s="69"/>
      <c r="J666" s="69"/>
      <c r="K666" s="69"/>
      <c r="L666" s="69"/>
      <c r="M666" s="69"/>
      <c r="N666" s="69"/>
      <c r="O666" s="69"/>
      <c r="P666" s="69"/>
      <c r="Q666" s="69"/>
      <c r="R666" s="69"/>
      <c r="S666" s="69"/>
      <c r="T666" s="69"/>
      <c r="U666" s="69"/>
      <c r="V666" s="69"/>
      <c r="W666" s="69"/>
      <c r="X666" s="69"/>
      <c r="Y666" s="69"/>
      <c r="Z666" s="69"/>
      <c r="AA666" s="69"/>
    </row>
    <row r="667" spans="1:27">
      <c r="A667" s="69"/>
      <c r="B667" s="69"/>
      <c r="C667" s="69"/>
      <c r="D667" s="69"/>
      <c r="E667" s="69"/>
      <c r="F667" s="69"/>
      <c r="G667" s="69"/>
      <c r="H667" s="69"/>
      <c r="I667" s="69"/>
      <c r="J667" s="69"/>
      <c r="K667" s="69"/>
      <c r="L667" s="69"/>
      <c r="M667" s="69"/>
      <c r="N667" s="69"/>
      <c r="O667" s="69"/>
      <c r="P667" s="69"/>
      <c r="Q667" s="69"/>
      <c r="R667" s="69"/>
      <c r="S667" s="69"/>
      <c r="T667" s="69"/>
      <c r="U667" s="69"/>
      <c r="V667" s="69"/>
      <c r="W667" s="69"/>
      <c r="X667" s="69"/>
      <c r="Y667" s="69"/>
      <c r="Z667" s="69"/>
      <c r="AA667" s="69"/>
    </row>
    <row r="668" spans="1:27">
      <c r="A668" s="69"/>
      <c r="B668" s="69"/>
      <c r="C668" s="69"/>
      <c r="D668" s="69"/>
      <c r="E668" s="69"/>
      <c r="F668" s="69"/>
      <c r="G668" s="69"/>
      <c r="H668" s="69"/>
      <c r="I668" s="69"/>
      <c r="J668" s="69"/>
      <c r="K668" s="69"/>
      <c r="L668" s="69"/>
      <c r="M668" s="69"/>
      <c r="N668" s="69"/>
      <c r="O668" s="69"/>
      <c r="P668" s="69"/>
      <c r="Q668" s="69"/>
      <c r="R668" s="69"/>
      <c r="S668" s="69"/>
      <c r="T668" s="69"/>
      <c r="U668" s="69"/>
      <c r="V668" s="69"/>
      <c r="W668" s="69"/>
      <c r="X668" s="69"/>
      <c r="Y668" s="69"/>
      <c r="Z668" s="69"/>
      <c r="AA668" s="69"/>
    </row>
    <row r="669" spans="1:27">
      <c r="A669" s="69"/>
      <c r="B669" s="69"/>
      <c r="C669" s="69"/>
      <c r="D669" s="69"/>
      <c r="E669" s="69"/>
      <c r="F669" s="69"/>
      <c r="G669" s="69"/>
      <c r="H669" s="69"/>
      <c r="I669" s="69"/>
      <c r="J669" s="69"/>
      <c r="K669" s="69"/>
      <c r="L669" s="69"/>
      <c r="M669" s="69"/>
      <c r="N669" s="69"/>
      <c r="O669" s="69"/>
      <c r="P669" s="69"/>
      <c r="Q669" s="69"/>
      <c r="R669" s="69"/>
      <c r="S669" s="69"/>
      <c r="T669" s="69"/>
      <c r="U669" s="69"/>
      <c r="V669" s="69"/>
      <c r="W669" s="69"/>
      <c r="X669" s="69"/>
      <c r="Y669" s="69"/>
      <c r="Z669" s="69"/>
      <c r="AA669" s="69"/>
    </row>
    <row r="670" spans="1:27">
      <c r="A670" s="69"/>
      <c r="B670" s="69"/>
      <c r="C670" s="69"/>
      <c r="D670" s="69"/>
      <c r="E670" s="69"/>
      <c r="F670" s="69"/>
      <c r="G670" s="69"/>
      <c r="H670" s="69"/>
      <c r="I670" s="69"/>
      <c r="J670" s="69"/>
      <c r="K670" s="69"/>
      <c r="L670" s="69"/>
      <c r="M670" s="69"/>
      <c r="N670" s="69"/>
      <c r="O670" s="69"/>
      <c r="P670" s="69"/>
      <c r="Q670" s="69"/>
      <c r="R670" s="69"/>
      <c r="S670" s="69"/>
      <c r="T670" s="69"/>
      <c r="U670" s="69"/>
      <c r="V670" s="69"/>
      <c r="W670" s="69"/>
      <c r="X670" s="69"/>
      <c r="Y670" s="69"/>
      <c r="Z670" s="69"/>
      <c r="AA670" s="69"/>
    </row>
    <row r="671" spans="1:27">
      <c r="A671" s="69"/>
      <c r="B671" s="69"/>
      <c r="C671" s="69"/>
      <c r="D671" s="69"/>
      <c r="E671" s="69"/>
      <c r="F671" s="69"/>
      <c r="G671" s="69"/>
      <c r="H671" s="69"/>
      <c r="I671" s="69"/>
      <c r="J671" s="69"/>
      <c r="K671" s="69"/>
      <c r="L671" s="69"/>
      <c r="M671" s="69"/>
      <c r="N671" s="69"/>
      <c r="O671" s="69"/>
      <c r="P671" s="69"/>
      <c r="Q671" s="69"/>
      <c r="R671" s="69"/>
      <c r="S671" s="69"/>
      <c r="T671" s="69"/>
      <c r="U671" s="69"/>
      <c r="V671" s="69"/>
      <c r="W671" s="69"/>
      <c r="X671" s="69"/>
      <c r="Y671" s="69"/>
      <c r="Z671" s="69"/>
      <c r="AA671" s="69"/>
    </row>
    <row r="672" spans="1:27">
      <c r="A672" s="69"/>
      <c r="B672" s="69"/>
      <c r="C672" s="69"/>
      <c r="D672" s="69"/>
      <c r="E672" s="69"/>
      <c r="F672" s="69"/>
      <c r="G672" s="69"/>
      <c r="H672" s="69"/>
      <c r="I672" s="69"/>
      <c r="J672" s="69"/>
      <c r="K672" s="69"/>
      <c r="L672" s="69"/>
      <c r="M672" s="69"/>
      <c r="N672" s="69"/>
      <c r="O672" s="69"/>
      <c r="P672" s="69"/>
      <c r="Q672" s="69"/>
      <c r="R672" s="69"/>
      <c r="S672" s="69"/>
      <c r="T672" s="69"/>
      <c r="U672" s="69"/>
      <c r="V672" s="69"/>
      <c r="W672" s="69"/>
      <c r="X672" s="69"/>
      <c r="Y672" s="69"/>
      <c r="Z672" s="69"/>
      <c r="AA672" s="69"/>
    </row>
    <row r="673" spans="1:27">
      <c r="A673" s="69"/>
      <c r="B673" s="69"/>
      <c r="C673" s="69"/>
      <c r="D673" s="69"/>
      <c r="E673" s="69"/>
      <c r="F673" s="69"/>
      <c r="G673" s="69"/>
      <c r="H673" s="69"/>
      <c r="I673" s="69"/>
      <c r="J673" s="69"/>
      <c r="K673" s="69"/>
      <c r="L673" s="69"/>
      <c r="M673" s="69"/>
      <c r="N673" s="69"/>
      <c r="O673" s="69"/>
      <c r="P673" s="69"/>
      <c r="Q673" s="69"/>
      <c r="R673" s="69"/>
      <c r="S673" s="69"/>
      <c r="T673" s="69"/>
      <c r="U673" s="69"/>
      <c r="V673" s="69"/>
      <c r="W673" s="69"/>
      <c r="X673" s="69"/>
      <c r="Y673" s="69"/>
      <c r="Z673" s="69"/>
      <c r="AA673" s="69"/>
    </row>
    <row r="674" spans="1:27">
      <c r="A674" s="69"/>
      <c r="B674" s="69"/>
      <c r="C674" s="69"/>
      <c r="D674" s="69"/>
      <c r="E674" s="69"/>
      <c r="F674" s="69"/>
      <c r="G674" s="69"/>
      <c r="H674" s="69"/>
      <c r="I674" s="69"/>
      <c r="J674" s="69"/>
      <c r="K674" s="69"/>
      <c r="L674" s="69"/>
      <c r="M674" s="69"/>
      <c r="N674" s="69"/>
      <c r="O674" s="69"/>
      <c r="P674" s="69"/>
      <c r="Q674" s="69"/>
      <c r="R674" s="69"/>
      <c r="S674" s="69"/>
      <c r="T674" s="69"/>
      <c r="U674" s="69"/>
      <c r="V674" s="69"/>
      <c r="W674" s="69"/>
      <c r="X674" s="69"/>
      <c r="Y674" s="69"/>
      <c r="Z674" s="69"/>
      <c r="AA674" s="69"/>
    </row>
    <row r="675" spans="1:27">
      <c r="A675" s="69"/>
      <c r="B675" s="69"/>
      <c r="C675" s="69"/>
      <c r="D675" s="69"/>
      <c r="E675" s="69"/>
      <c r="F675" s="69"/>
      <c r="G675" s="69"/>
      <c r="H675" s="69"/>
      <c r="I675" s="69"/>
      <c r="J675" s="69"/>
      <c r="K675" s="69"/>
      <c r="L675" s="69"/>
      <c r="M675" s="69"/>
      <c r="N675" s="69"/>
      <c r="O675" s="69"/>
      <c r="P675" s="69"/>
      <c r="Q675" s="69"/>
      <c r="R675" s="69"/>
      <c r="S675" s="69"/>
      <c r="T675" s="69"/>
      <c r="U675" s="69"/>
      <c r="V675" s="69"/>
      <c r="W675" s="69"/>
      <c r="X675" s="69"/>
      <c r="Y675" s="69"/>
      <c r="Z675" s="69"/>
      <c r="AA675" s="69"/>
    </row>
    <row r="676" spans="1:27">
      <c r="A676" s="69"/>
      <c r="B676" s="69"/>
      <c r="C676" s="69"/>
      <c r="D676" s="69"/>
      <c r="E676" s="69"/>
      <c r="F676" s="69"/>
      <c r="G676" s="69"/>
      <c r="H676" s="69"/>
      <c r="I676" s="69"/>
      <c r="J676" s="69"/>
      <c r="K676" s="69"/>
      <c r="L676" s="69"/>
      <c r="M676" s="69"/>
      <c r="N676" s="69"/>
      <c r="O676" s="69"/>
      <c r="P676" s="69"/>
      <c r="Q676" s="69"/>
      <c r="R676" s="69"/>
      <c r="S676" s="69"/>
      <c r="T676" s="69"/>
      <c r="U676" s="69"/>
      <c r="V676" s="69"/>
      <c r="W676" s="69"/>
      <c r="X676" s="69"/>
      <c r="Y676" s="69"/>
      <c r="Z676" s="69"/>
      <c r="AA676" s="69"/>
    </row>
    <row r="677" spans="1:27">
      <c r="A677" s="69"/>
      <c r="B677" s="69"/>
      <c r="C677" s="69"/>
      <c r="D677" s="69"/>
      <c r="E677" s="69"/>
      <c r="F677" s="69"/>
      <c r="G677" s="69"/>
      <c r="H677" s="69"/>
      <c r="I677" s="69"/>
      <c r="J677" s="69"/>
      <c r="K677" s="69"/>
      <c r="L677" s="69"/>
      <c r="M677" s="69"/>
      <c r="N677" s="69"/>
      <c r="O677" s="69"/>
      <c r="P677" s="69"/>
      <c r="Q677" s="69"/>
      <c r="R677" s="69"/>
      <c r="S677" s="69"/>
      <c r="T677" s="69"/>
      <c r="U677" s="69"/>
      <c r="V677" s="69"/>
      <c r="W677" s="69"/>
      <c r="X677" s="69"/>
      <c r="Y677" s="69"/>
      <c r="Z677" s="69"/>
      <c r="AA677" s="69"/>
    </row>
    <row r="678" spans="1:27">
      <c r="A678" s="69"/>
      <c r="B678" s="69"/>
      <c r="C678" s="69"/>
      <c r="D678" s="69"/>
      <c r="E678" s="69"/>
      <c r="F678" s="69"/>
      <c r="G678" s="69"/>
      <c r="H678" s="69"/>
      <c r="I678" s="69"/>
      <c r="J678" s="69"/>
      <c r="K678" s="69"/>
      <c r="L678" s="69"/>
      <c r="M678" s="69"/>
      <c r="N678" s="69"/>
      <c r="O678" s="69"/>
      <c r="P678" s="69"/>
      <c r="Q678" s="69"/>
      <c r="R678" s="69"/>
      <c r="S678" s="69"/>
      <c r="T678" s="69"/>
      <c r="U678" s="69"/>
      <c r="V678" s="69"/>
      <c r="W678" s="69"/>
      <c r="X678" s="69"/>
      <c r="Y678" s="69"/>
      <c r="Z678" s="69"/>
      <c r="AA678" s="69"/>
    </row>
    <row r="679" spans="1:27">
      <c r="A679" s="69"/>
      <c r="B679" s="69"/>
      <c r="C679" s="69"/>
      <c r="D679" s="69"/>
      <c r="E679" s="69"/>
      <c r="F679" s="69"/>
      <c r="G679" s="69"/>
      <c r="H679" s="69"/>
      <c r="I679" s="69"/>
      <c r="J679" s="69"/>
      <c r="K679" s="69"/>
      <c r="L679" s="69"/>
      <c r="M679" s="69"/>
      <c r="N679" s="69"/>
      <c r="O679" s="69"/>
      <c r="P679" s="69"/>
      <c r="Q679" s="69"/>
      <c r="R679" s="69"/>
      <c r="S679" s="69"/>
      <c r="T679" s="69"/>
      <c r="U679" s="69"/>
      <c r="V679" s="69"/>
      <c r="W679" s="69"/>
      <c r="X679" s="69"/>
      <c r="Y679" s="69"/>
      <c r="Z679" s="69"/>
      <c r="AA679" s="69"/>
    </row>
    <row r="680" spans="1:27">
      <c r="A680" s="69"/>
      <c r="B680" s="69"/>
      <c r="C680" s="69"/>
      <c r="D680" s="69"/>
      <c r="E680" s="69"/>
      <c r="F680" s="69"/>
      <c r="G680" s="69"/>
      <c r="H680" s="69"/>
      <c r="I680" s="69"/>
      <c r="J680" s="69"/>
      <c r="K680" s="69"/>
      <c r="L680" s="69"/>
      <c r="M680" s="69"/>
      <c r="N680" s="69"/>
      <c r="O680" s="69"/>
      <c r="P680" s="69"/>
      <c r="Q680" s="69"/>
      <c r="R680" s="69"/>
      <c r="S680" s="69"/>
      <c r="T680" s="69"/>
      <c r="U680" s="69"/>
      <c r="V680" s="69"/>
      <c r="W680" s="69"/>
      <c r="X680" s="69"/>
      <c r="Y680" s="69"/>
      <c r="Z680" s="69"/>
      <c r="AA680" s="69"/>
    </row>
    <row r="681" spans="1:27">
      <c r="A681" s="69"/>
      <c r="B681" s="69"/>
      <c r="C681" s="69"/>
      <c r="D681" s="69"/>
      <c r="E681" s="69"/>
      <c r="F681" s="69"/>
      <c r="G681" s="69"/>
      <c r="H681" s="69"/>
      <c r="I681" s="69"/>
      <c r="J681" s="69"/>
      <c r="K681" s="69"/>
      <c r="L681" s="69"/>
      <c r="M681" s="69"/>
      <c r="N681" s="69"/>
      <c r="O681" s="69"/>
      <c r="P681" s="69"/>
      <c r="Q681" s="69"/>
      <c r="R681" s="69"/>
      <c r="S681" s="69"/>
      <c r="T681" s="69"/>
      <c r="U681" s="69"/>
      <c r="V681" s="69"/>
      <c r="W681" s="69"/>
      <c r="X681" s="69"/>
      <c r="Y681" s="69"/>
      <c r="Z681" s="69"/>
      <c r="AA681" s="69"/>
    </row>
    <row r="682" spans="1:27">
      <c r="A682" s="69"/>
      <c r="B682" s="69"/>
      <c r="C682" s="69"/>
      <c r="D682" s="69"/>
      <c r="E682" s="69"/>
      <c r="F682" s="69"/>
      <c r="G682" s="69"/>
      <c r="H682" s="69"/>
      <c r="I682" s="69"/>
      <c r="J682" s="69"/>
      <c r="K682" s="69"/>
      <c r="L682" s="69"/>
      <c r="M682" s="69"/>
      <c r="N682" s="69"/>
      <c r="O682" s="69"/>
      <c r="P682" s="69"/>
      <c r="Q682" s="69"/>
      <c r="R682" s="69"/>
      <c r="S682" s="69"/>
      <c r="T682" s="69"/>
      <c r="U682" s="69"/>
      <c r="V682" s="69"/>
      <c r="W682" s="69"/>
      <c r="X682" s="69"/>
      <c r="Y682" s="69"/>
      <c r="Z682" s="69"/>
      <c r="AA682" s="69"/>
    </row>
    <row r="683" spans="1:27">
      <c r="A683" s="69"/>
      <c r="B683" s="69"/>
      <c r="C683" s="69"/>
      <c r="D683" s="69"/>
      <c r="E683" s="69"/>
      <c r="F683" s="69"/>
      <c r="G683" s="69"/>
      <c r="H683" s="69"/>
      <c r="I683" s="69"/>
      <c r="J683" s="69"/>
      <c r="K683" s="69"/>
      <c r="L683" s="69"/>
      <c r="M683" s="69"/>
      <c r="N683" s="69"/>
      <c r="O683" s="69"/>
      <c r="P683" s="69"/>
      <c r="Q683" s="69"/>
      <c r="R683" s="69"/>
      <c r="S683" s="69"/>
      <c r="T683" s="69"/>
      <c r="U683" s="69"/>
      <c r="V683" s="69"/>
      <c r="W683" s="69"/>
      <c r="X683" s="69"/>
      <c r="Y683" s="69"/>
      <c r="Z683" s="69"/>
      <c r="AA683" s="69"/>
    </row>
    <row r="684" spans="1:27">
      <c r="A684" s="69"/>
      <c r="B684" s="69"/>
      <c r="C684" s="69"/>
      <c r="D684" s="69"/>
      <c r="E684" s="69"/>
      <c r="F684" s="69"/>
      <c r="G684" s="69"/>
      <c r="H684" s="69"/>
      <c r="I684" s="69"/>
      <c r="J684" s="69"/>
      <c r="K684" s="69"/>
      <c r="L684" s="69"/>
      <c r="M684" s="69"/>
      <c r="N684" s="69"/>
      <c r="O684" s="69"/>
      <c r="P684" s="69"/>
      <c r="Q684" s="69"/>
      <c r="R684" s="69"/>
      <c r="S684" s="69"/>
      <c r="T684" s="69"/>
      <c r="U684" s="69"/>
      <c r="V684" s="69"/>
      <c r="W684" s="69"/>
      <c r="X684" s="69"/>
      <c r="Y684" s="69"/>
      <c r="Z684" s="69"/>
      <c r="AA684" s="69"/>
    </row>
    <row r="685" spans="1:27">
      <c r="A685" s="69"/>
      <c r="B685" s="69"/>
      <c r="C685" s="69"/>
      <c r="D685" s="69"/>
      <c r="E685" s="69"/>
      <c r="F685" s="69"/>
      <c r="G685" s="69"/>
      <c r="H685" s="69"/>
      <c r="I685" s="69"/>
      <c r="J685" s="69"/>
      <c r="K685" s="69"/>
      <c r="L685" s="69"/>
      <c r="M685" s="69"/>
      <c r="N685" s="69"/>
      <c r="O685" s="69"/>
      <c r="P685" s="69"/>
      <c r="Q685" s="69"/>
      <c r="R685" s="69"/>
      <c r="S685" s="69"/>
      <c r="T685" s="69"/>
      <c r="U685" s="69"/>
      <c r="V685" s="69"/>
      <c r="W685" s="69"/>
      <c r="X685" s="69"/>
      <c r="Y685" s="69"/>
      <c r="Z685" s="69"/>
      <c r="AA685" s="69"/>
    </row>
    <row r="686" spans="1:27">
      <c r="A686" s="69"/>
      <c r="B686" s="69"/>
      <c r="C686" s="69"/>
      <c r="D686" s="69"/>
      <c r="E686" s="69"/>
      <c r="F686" s="69"/>
      <c r="G686" s="69"/>
      <c r="H686" s="69"/>
      <c r="I686" s="69"/>
      <c r="J686" s="69"/>
      <c r="K686" s="69"/>
      <c r="L686" s="69"/>
      <c r="M686" s="69"/>
      <c r="N686" s="69"/>
      <c r="O686" s="69"/>
      <c r="P686" s="69"/>
      <c r="Q686" s="69"/>
      <c r="R686" s="69"/>
      <c r="S686" s="69"/>
      <c r="T686" s="69"/>
      <c r="U686" s="69"/>
      <c r="V686" s="69"/>
      <c r="W686" s="69"/>
      <c r="X686" s="69"/>
      <c r="Y686" s="69"/>
      <c r="Z686" s="69"/>
      <c r="AA686" s="69"/>
    </row>
    <row r="687" spans="1:27">
      <c r="A687" s="69"/>
      <c r="B687" s="69"/>
      <c r="C687" s="69"/>
      <c r="D687" s="69"/>
      <c r="E687" s="69"/>
      <c r="F687" s="69"/>
      <c r="G687" s="69"/>
      <c r="H687" s="69"/>
      <c r="I687" s="69"/>
      <c r="J687" s="69"/>
      <c r="K687" s="69"/>
      <c r="L687" s="69"/>
      <c r="M687" s="69"/>
      <c r="N687" s="69"/>
      <c r="O687" s="69"/>
      <c r="P687" s="69"/>
      <c r="Q687" s="69"/>
      <c r="R687" s="69"/>
      <c r="S687" s="69"/>
      <c r="T687" s="69"/>
      <c r="U687" s="69"/>
      <c r="V687" s="69"/>
      <c r="W687" s="69"/>
      <c r="X687" s="69"/>
      <c r="Y687" s="69"/>
      <c r="Z687" s="69"/>
      <c r="AA687" s="69"/>
    </row>
    <row r="688" spans="1:27">
      <c r="A688" s="69"/>
      <c r="B688" s="69"/>
      <c r="C688" s="69"/>
      <c r="D688" s="69"/>
      <c r="E688" s="69"/>
      <c r="F688" s="69"/>
      <c r="G688" s="69"/>
      <c r="H688" s="69"/>
      <c r="I688" s="69"/>
      <c r="J688" s="69"/>
      <c r="K688" s="69"/>
      <c r="L688" s="69"/>
      <c r="M688" s="69"/>
      <c r="N688" s="69"/>
      <c r="O688" s="69"/>
      <c r="P688" s="69"/>
      <c r="Q688" s="69"/>
      <c r="R688" s="69"/>
      <c r="S688" s="69"/>
      <c r="T688" s="69"/>
      <c r="U688" s="69"/>
      <c r="V688" s="69"/>
      <c r="W688" s="69"/>
      <c r="X688" s="69"/>
      <c r="Y688" s="69"/>
      <c r="Z688" s="69"/>
      <c r="AA688" s="69"/>
    </row>
    <row r="689" spans="1:27">
      <c r="A689" s="69"/>
      <c r="B689" s="69"/>
      <c r="C689" s="69"/>
      <c r="D689" s="69"/>
      <c r="E689" s="69"/>
      <c r="F689" s="69"/>
      <c r="G689" s="69"/>
      <c r="H689" s="69"/>
      <c r="I689" s="69"/>
      <c r="J689" s="69"/>
      <c r="K689" s="69"/>
      <c r="L689" s="69"/>
      <c r="M689" s="69"/>
      <c r="N689" s="69"/>
      <c r="O689" s="69"/>
      <c r="P689" s="69"/>
      <c r="Q689" s="69"/>
      <c r="R689" s="69"/>
      <c r="S689" s="69"/>
      <c r="T689" s="69"/>
      <c r="U689" s="69"/>
      <c r="V689" s="69"/>
      <c r="W689" s="69"/>
      <c r="X689" s="69"/>
      <c r="Y689" s="69"/>
      <c r="Z689" s="69"/>
      <c r="AA689" s="69"/>
    </row>
    <row r="690" spans="1:27">
      <c r="A690" s="69"/>
      <c r="B690" s="69"/>
      <c r="C690" s="69"/>
      <c r="D690" s="69"/>
      <c r="E690" s="69"/>
      <c r="F690" s="69"/>
      <c r="G690" s="69"/>
      <c r="H690" s="69"/>
      <c r="I690" s="69"/>
      <c r="J690" s="69"/>
      <c r="K690" s="69"/>
      <c r="L690" s="69"/>
      <c r="M690" s="69"/>
      <c r="N690" s="69"/>
      <c r="O690" s="69"/>
      <c r="P690" s="69"/>
      <c r="Q690" s="69"/>
      <c r="R690" s="69"/>
      <c r="S690" s="69"/>
      <c r="T690" s="69"/>
      <c r="U690" s="69"/>
      <c r="V690" s="69"/>
      <c r="W690" s="69"/>
      <c r="X690" s="69"/>
      <c r="Y690" s="69"/>
      <c r="Z690" s="69"/>
      <c r="AA690" s="69"/>
    </row>
    <row r="691" spans="1:27">
      <c r="A691" s="69"/>
      <c r="B691" s="69"/>
      <c r="C691" s="69"/>
      <c r="D691" s="69"/>
      <c r="E691" s="69"/>
      <c r="F691" s="69"/>
      <c r="G691" s="69"/>
      <c r="H691" s="69"/>
      <c r="I691" s="69"/>
      <c r="J691" s="69"/>
      <c r="K691" s="69"/>
      <c r="L691" s="69"/>
      <c r="M691" s="69"/>
      <c r="N691" s="69"/>
      <c r="O691" s="69"/>
      <c r="P691" s="69"/>
      <c r="Q691" s="69"/>
      <c r="R691" s="69"/>
      <c r="S691" s="69"/>
      <c r="T691" s="69"/>
      <c r="U691" s="69"/>
      <c r="V691" s="69"/>
      <c r="W691" s="69"/>
      <c r="X691" s="69"/>
      <c r="Y691" s="69"/>
      <c r="Z691" s="69"/>
      <c r="AA691" s="69"/>
    </row>
    <row r="692" spans="1:27">
      <c r="A692" s="69"/>
      <c r="B692" s="69"/>
      <c r="C692" s="69"/>
      <c r="D692" s="69"/>
      <c r="E692" s="69"/>
      <c r="F692" s="69"/>
      <c r="G692" s="69"/>
      <c r="H692" s="69"/>
      <c r="I692" s="69"/>
      <c r="J692" s="69"/>
      <c r="K692" s="69"/>
      <c r="L692" s="69"/>
      <c r="M692" s="69"/>
      <c r="N692" s="69"/>
      <c r="O692" s="69"/>
      <c r="P692" s="69"/>
      <c r="Q692" s="69"/>
      <c r="R692" s="69"/>
      <c r="S692" s="69"/>
      <c r="T692" s="69"/>
      <c r="U692" s="69"/>
      <c r="V692" s="69"/>
      <c r="W692" s="69"/>
      <c r="X692" s="69"/>
      <c r="Y692" s="69"/>
      <c r="Z692" s="69"/>
      <c r="AA692" s="69"/>
    </row>
    <row r="693" spans="1:27">
      <c r="A693" s="69"/>
      <c r="B693" s="69"/>
      <c r="C693" s="69"/>
      <c r="D693" s="69"/>
      <c r="E693" s="69"/>
      <c r="F693" s="69"/>
      <c r="G693" s="69"/>
      <c r="H693" s="69"/>
      <c r="I693" s="69"/>
      <c r="J693" s="69"/>
      <c r="K693" s="69"/>
      <c r="L693" s="69"/>
      <c r="M693" s="69"/>
      <c r="N693" s="69"/>
      <c r="O693" s="69"/>
      <c r="P693" s="69"/>
      <c r="Q693" s="69"/>
      <c r="R693" s="69"/>
      <c r="S693" s="69"/>
      <c r="T693" s="69"/>
      <c r="U693" s="69"/>
      <c r="V693" s="69"/>
      <c r="W693" s="69"/>
      <c r="X693" s="69"/>
      <c r="Y693" s="69"/>
      <c r="Z693" s="69"/>
      <c r="AA693" s="69"/>
    </row>
    <row r="694" spans="1:27">
      <c r="A694" s="69"/>
      <c r="B694" s="69"/>
      <c r="C694" s="69"/>
      <c r="D694" s="69"/>
      <c r="E694" s="69"/>
      <c r="F694" s="69"/>
      <c r="G694" s="69"/>
      <c r="H694" s="69"/>
      <c r="I694" s="69"/>
      <c r="J694" s="69"/>
      <c r="K694" s="69"/>
      <c r="L694" s="69"/>
      <c r="M694" s="69"/>
      <c r="N694" s="69"/>
      <c r="O694" s="69"/>
      <c r="P694" s="69"/>
      <c r="Q694" s="69"/>
      <c r="R694" s="69"/>
      <c r="S694" s="69"/>
      <c r="T694" s="69"/>
      <c r="U694" s="69"/>
      <c r="V694" s="69"/>
      <c r="W694" s="69"/>
      <c r="X694" s="69"/>
      <c r="Y694" s="69"/>
      <c r="Z694" s="69"/>
      <c r="AA694" s="69"/>
    </row>
    <row r="695" spans="1:27">
      <c r="A695" s="69"/>
      <c r="B695" s="69"/>
      <c r="C695" s="69"/>
      <c r="D695" s="69"/>
      <c r="E695" s="69"/>
      <c r="F695" s="69"/>
      <c r="G695" s="69"/>
      <c r="H695" s="69"/>
      <c r="I695" s="69"/>
      <c r="J695" s="69"/>
      <c r="K695" s="69"/>
      <c r="L695" s="69"/>
      <c r="M695" s="69"/>
      <c r="N695" s="69"/>
      <c r="O695" s="69"/>
      <c r="P695" s="69"/>
      <c r="Q695" s="69"/>
      <c r="R695" s="69"/>
      <c r="S695" s="69"/>
      <c r="T695" s="69"/>
      <c r="U695" s="69"/>
      <c r="V695" s="69"/>
      <c r="W695" s="69"/>
      <c r="X695" s="69"/>
      <c r="Y695" s="69"/>
      <c r="Z695" s="69"/>
      <c r="AA695" s="69"/>
    </row>
    <row r="696" spans="1:27">
      <c r="A696" s="69"/>
      <c r="B696" s="69"/>
      <c r="C696" s="69"/>
      <c r="D696" s="69"/>
      <c r="E696" s="69"/>
      <c r="F696" s="69"/>
      <c r="G696" s="69"/>
      <c r="H696" s="69"/>
      <c r="I696" s="69"/>
      <c r="J696" s="69"/>
      <c r="K696" s="69"/>
      <c r="L696" s="69"/>
      <c r="M696" s="69"/>
      <c r="N696" s="69"/>
      <c r="O696" s="69"/>
      <c r="P696" s="69"/>
      <c r="Q696" s="69"/>
      <c r="R696" s="69"/>
      <c r="S696" s="69"/>
      <c r="T696" s="69"/>
      <c r="U696" s="69"/>
      <c r="V696" s="69"/>
      <c r="W696" s="69"/>
      <c r="X696" s="69"/>
      <c r="Y696" s="69"/>
      <c r="Z696" s="69"/>
      <c r="AA696" s="69"/>
    </row>
    <row r="697" spans="1:27">
      <c r="A697" s="69"/>
      <c r="B697" s="69"/>
      <c r="C697" s="69"/>
      <c r="D697" s="69"/>
      <c r="E697" s="69"/>
      <c r="F697" s="69"/>
      <c r="G697" s="69"/>
      <c r="H697" s="69"/>
      <c r="I697" s="69"/>
      <c r="J697" s="69"/>
      <c r="K697" s="69"/>
      <c r="L697" s="69"/>
      <c r="M697" s="69"/>
      <c r="N697" s="69"/>
      <c r="O697" s="69"/>
      <c r="P697" s="69"/>
      <c r="Q697" s="69"/>
      <c r="R697" s="69"/>
      <c r="S697" s="69"/>
      <c r="T697" s="69"/>
      <c r="U697" s="69"/>
      <c r="V697" s="69"/>
      <c r="W697" s="69"/>
      <c r="X697" s="69"/>
      <c r="Y697" s="69"/>
      <c r="Z697" s="69"/>
      <c r="AA697" s="69"/>
    </row>
    <row r="698" spans="1:27">
      <c r="A698" s="69"/>
      <c r="B698" s="69"/>
      <c r="C698" s="69"/>
      <c r="D698" s="69"/>
      <c r="E698" s="69"/>
      <c r="F698" s="69"/>
      <c r="G698" s="69"/>
      <c r="H698" s="69"/>
      <c r="I698" s="69"/>
      <c r="J698" s="69"/>
      <c r="K698" s="69"/>
      <c r="L698" s="69"/>
      <c r="M698" s="69"/>
      <c r="N698" s="69"/>
      <c r="O698" s="69"/>
      <c r="P698" s="69"/>
      <c r="Q698" s="69"/>
      <c r="R698" s="69"/>
      <c r="S698" s="69"/>
      <c r="T698" s="69"/>
      <c r="U698" s="69"/>
      <c r="V698" s="69"/>
      <c r="W698" s="69"/>
      <c r="X698" s="69"/>
      <c r="Y698" s="69"/>
      <c r="Z698" s="69"/>
      <c r="AA698" s="69"/>
    </row>
    <row r="699" spans="1:27">
      <c r="A699" s="69"/>
      <c r="B699" s="69"/>
      <c r="C699" s="69"/>
      <c r="D699" s="69"/>
      <c r="E699" s="69"/>
      <c r="F699" s="69"/>
      <c r="G699" s="69"/>
      <c r="H699" s="69"/>
      <c r="I699" s="69"/>
      <c r="J699" s="69"/>
      <c r="K699" s="69"/>
      <c r="L699" s="69"/>
      <c r="M699" s="69"/>
      <c r="N699" s="69"/>
      <c r="O699" s="69"/>
      <c r="P699" s="69"/>
      <c r="Q699" s="69"/>
      <c r="R699" s="69"/>
      <c r="S699" s="69"/>
      <c r="T699" s="69"/>
      <c r="U699" s="69"/>
      <c r="V699" s="69"/>
      <c r="W699" s="69"/>
      <c r="X699" s="69"/>
      <c r="Y699" s="69"/>
      <c r="Z699" s="69"/>
      <c r="AA699" s="69"/>
    </row>
    <row r="700" spans="1:27">
      <c r="A700" s="69"/>
      <c r="B700" s="69"/>
      <c r="C700" s="69"/>
      <c r="D700" s="69"/>
      <c r="E700" s="69"/>
      <c r="F700" s="69"/>
      <c r="G700" s="69"/>
      <c r="H700" s="69"/>
      <c r="I700" s="69"/>
      <c r="J700" s="69"/>
      <c r="K700" s="69"/>
      <c r="L700" s="69"/>
      <c r="M700" s="69"/>
      <c r="N700" s="69"/>
      <c r="O700" s="69"/>
      <c r="P700" s="69"/>
      <c r="Q700" s="69"/>
      <c r="R700" s="69"/>
      <c r="S700" s="69"/>
      <c r="T700" s="69"/>
      <c r="U700" s="69"/>
      <c r="V700" s="69"/>
      <c r="W700" s="69"/>
      <c r="X700" s="69"/>
      <c r="Y700" s="69"/>
      <c r="Z700" s="69"/>
      <c r="AA700" s="69"/>
    </row>
    <row r="701" spans="1:27">
      <c r="A701" s="69"/>
      <c r="B701" s="69"/>
      <c r="C701" s="69"/>
      <c r="D701" s="69"/>
      <c r="E701" s="69"/>
      <c r="F701" s="69"/>
      <c r="G701" s="69"/>
      <c r="H701" s="69"/>
      <c r="I701" s="69"/>
      <c r="J701" s="69"/>
      <c r="K701" s="69"/>
      <c r="L701" s="69"/>
      <c r="M701" s="69"/>
      <c r="N701" s="69"/>
      <c r="O701" s="69"/>
      <c r="P701" s="69"/>
      <c r="Q701" s="69"/>
      <c r="R701" s="69"/>
      <c r="S701" s="69"/>
      <c r="T701" s="69"/>
      <c r="U701" s="69"/>
      <c r="V701" s="69"/>
      <c r="W701" s="69"/>
      <c r="X701" s="69"/>
      <c r="Y701" s="69"/>
      <c r="Z701" s="69"/>
      <c r="AA701" s="69"/>
    </row>
    <row r="702" spans="1:27">
      <c r="A702" s="69"/>
      <c r="B702" s="69"/>
      <c r="C702" s="69"/>
      <c r="D702" s="69"/>
      <c r="E702" s="69"/>
      <c r="F702" s="69"/>
      <c r="G702" s="69"/>
      <c r="H702" s="69"/>
      <c r="I702" s="69"/>
      <c r="J702" s="69"/>
      <c r="K702" s="69"/>
      <c r="L702" s="69"/>
      <c r="M702" s="69"/>
      <c r="N702" s="69"/>
      <c r="O702" s="69"/>
      <c r="P702" s="69"/>
      <c r="Q702" s="69"/>
      <c r="R702" s="69"/>
      <c r="S702" s="69"/>
      <c r="T702" s="69"/>
      <c r="U702" s="69"/>
      <c r="V702" s="69"/>
      <c r="W702" s="69"/>
      <c r="X702" s="69"/>
      <c r="Y702" s="69"/>
      <c r="Z702" s="69"/>
      <c r="AA702" s="69"/>
    </row>
    <row r="703" spans="1:27">
      <c r="A703" s="69"/>
      <c r="B703" s="69"/>
      <c r="C703" s="69"/>
      <c r="D703" s="69"/>
      <c r="E703" s="69"/>
      <c r="F703" s="69"/>
      <c r="G703" s="69"/>
      <c r="H703" s="69"/>
      <c r="I703" s="69"/>
      <c r="J703" s="69"/>
      <c r="K703" s="69"/>
      <c r="L703" s="69"/>
      <c r="M703" s="69"/>
      <c r="N703" s="69"/>
      <c r="O703" s="69"/>
      <c r="P703" s="69"/>
      <c r="Q703" s="69"/>
      <c r="R703" s="69"/>
      <c r="S703" s="69"/>
      <c r="T703" s="69"/>
      <c r="U703" s="69"/>
      <c r="V703" s="69"/>
      <c r="W703" s="69"/>
      <c r="X703" s="69"/>
      <c r="Y703" s="69"/>
      <c r="Z703" s="69"/>
      <c r="AA703" s="69"/>
    </row>
    <row r="704" spans="1:27">
      <c r="A704" s="69"/>
      <c r="B704" s="69"/>
      <c r="C704" s="69"/>
      <c r="D704" s="69"/>
      <c r="E704" s="69"/>
      <c r="F704" s="69"/>
      <c r="G704" s="69"/>
      <c r="H704" s="69"/>
      <c r="I704" s="69"/>
      <c r="J704" s="69"/>
      <c r="K704" s="69"/>
      <c r="L704" s="69"/>
      <c r="M704" s="69"/>
      <c r="N704" s="69"/>
      <c r="O704" s="69"/>
      <c r="P704" s="69"/>
      <c r="Q704" s="69"/>
      <c r="R704" s="69"/>
      <c r="S704" s="69"/>
      <c r="T704" s="69"/>
      <c r="U704" s="69"/>
      <c r="V704" s="69"/>
      <c r="W704" s="69"/>
      <c r="X704" s="69"/>
      <c r="Y704" s="69"/>
      <c r="Z704" s="69"/>
      <c r="AA704" s="69"/>
    </row>
    <row r="705" spans="1:27">
      <c r="A705" s="69"/>
      <c r="B705" s="69"/>
      <c r="C705" s="69"/>
      <c r="D705" s="69"/>
      <c r="E705" s="69"/>
      <c r="F705" s="69"/>
      <c r="G705" s="69"/>
      <c r="H705" s="69"/>
      <c r="I705" s="69"/>
      <c r="J705" s="69"/>
      <c r="K705" s="69"/>
      <c r="L705" s="69"/>
      <c r="M705" s="69"/>
      <c r="N705" s="69"/>
      <c r="O705" s="69"/>
      <c r="P705" s="69"/>
      <c r="Q705" s="69"/>
      <c r="R705" s="69"/>
      <c r="S705" s="69"/>
      <c r="T705" s="69"/>
      <c r="U705" s="69"/>
      <c r="V705" s="69"/>
      <c r="W705" s="69"/>
      <c r="X705" s="69"/>
      <c r="Y705" s="69"/>
      <c r="Z705" s="69"/>
      <c r="AA705" s="69"/>
    </row>
    <row r="706" spans="1:27">
      <c r="A706" s="69"/>
      <c r="B706" s="69"/>
      <c r="C706" s="69"/>
      <c r="D706" s="69"/>
      <c r="E706" s="69"/>
      <c r="F706" s="69"/>
      <c r="G706" s="69"/>
      <c r="H706" s="69"/>
      <c r="I706" s="69"/>
      <c r="J706" s="69"/>
      <c r="K706" s="69"/>
      <c r="L706" s="69"/>
      <c r="M706" s="69"/>
      <c r="N706" s="69"/>
      <c r="O706" s="69"/>
      <c r="P706" s="69"/>
      <c r="Q706" s="69"/>
      <c r="R706" s="69"/>
      <c r="S706" s="69"/>
      <c r="T706" s="69"/>
      <c r="U706" s="69"/>
      <c r="V706" s="69"/>
      <c r="W706" s="69"/>
      <c r="X706" s="69"/>
      <c r="Y706" s="69"/>
      <c r="Z706" s="69"/>
      <c r="AA706" s="69"/>
    </row>
    <row r="707" spans="1:27">
      <c r="A707" s="69"/>
      <c r="B707" s="69"/>
      <c r="C707" s="69"/>
      <c r="D707" s="69"/>
      <c r="E707" s="69"/>
      <c r="F707" s="69"/>
      <c r="G707" s="69"/>
      <c r="H707" s="69"/>
      <c r="I707" s="69"/>
      <c r="J707" s="69"/>
      <c r="K707" s="69"/>
      <c r="L707" s="69"/>
      <c r="M707" s="69"/>
      <c r="N707" s="69"/>
      <c r="O707" s="69"/>
      <c r="P707" s="69"/>
      <c r="Q707" s="69"/>
      <c r="R707" s="69"/>
      <c r="S707" s="69"/>
      <c r="T707" s="69"/>
      <c r="U707" s="69"/>
      <c r="V707" s="69"/>
      <c r="W707" s="69"/>
      <c r="X707" s="69"/>
      <c r="Y707" s="69"/>
      <c r="Z707" s="69"/>
      <c r="AA707" s="69"/>
    </row>
    <row r="708" spans="1:27">
      <c r="A708" s="69"/>
      <c r="B708" s="69"/>
      <c r="C708" s="69"/>
      <c r="D708" s="69"/>
      <c r="E708" s="69"/>
      <c r="F708" s="69"/>
      <c r="G708" s="69"/>
      <c r="H708" s="69"/>
      <c r="I708" s="69"/>
      <c r="J708" s="69"/>
      <c r="K708" s="69"/>
      <c r="L708" s="69"/>
      <c r="M708" s="69"/>
      <c r="N708" s="69"/>
      <c r="O708" s="69"/>
      <c r="P708" s="69"/>
      <c r="Q708" s="69"/>
      <c r="R708" s="69"/>
      <c r="S708" s="69"/>
      <c r="T708" s="69"/>
      <c r="U708" s="69"/>
      <c r="V708" s="69"/>
      <c r="W708" s="69"/>
      <c r="X708" s="69"/>
      <c r="Y708" s="69"/>
      <c r="Z708" s="69"/>
      <c r="AA708" s="69"/>
    </row>
    <row r="709" spans="1:27">
      <c r="A709" s="69"/>
      <c r="B709" s="69"/>
      <c r="C709" s="69"/>
      <c r="D709" s="69"/>
      <c r="E709" s="69"/>
      <c r="F709" s="69"/>
      <c r="G709" s="69"/>
      <c r="H709" s="69"/>
      <c r="I709" s="69"/>
      <c r="J709" s="69"/>
      <c r="K709" s="69"/>
      <c r="L709" s="69"/>
      <c r="M709" s="69"/>
      <c r="N709" s="69"/>
      <c r="O709" s="69"/>
      <c r="P709" s="69"/>
      <c r="Q709" s="69"/>
      <c r="R709" s="69"/>
      <c r="S709" s="69"/>
      <c r="T709" s="69"/>
      <c r="U709" s="69"/>
      <c r="V709" s="69"/>
      <c r="W709" s="69"/>
      <c r="X709" s="69"/>
      <c r="Y709" s="69"/>
      <c r="Z709" s="69"/>
      <c r="AA709" s="69"/>
    </row>
    <row r="710" spans="1:27">
      <c r="A710" s="69"/>
      <c r="B710" s="69"/>
      <c r="C710" s="69"/>
      <c r="D710" s="69"/>
      <c r="E710" s="69"/>
      <c r="F710" s="69"/>
      <c r="G710" s="69"/>
      <c r="H710" s="69"/>
      <c r="I710" s="69"/>
      <c r="J710" s="69"/>
      <c r="K710" s="69"/>
      <c r="L710" s="69"/>
      <c r="M710" s="69"/>
      <c r="N710" s="69"/>
      <c r="O710" s="69"/>
      <c r="P710" s="69"/>
      <c r="Q710" s="69"/>
      <c r="R710" s="69"/>
      <c r="S710" s="69"/>
      <c r="T710" s="69"/>
      <c r="U710" s="69"/>
      <c r="V710" s="69"/>
      <c r="W710" s="69"/>
      <c r="X710" s="69"/>
      <c r="Y710" s="69"/>
      <c r="Z710" s="69"/>
      <c r="AA710" s="69"/>
    </row>
    <row r="711" spans="1:27">
      <c r="A711" s="69"/>
      <c r="B711" s="69"/>
      <c r="C711" s="69"/>
      <c r="D711" s="69"/>
      <c r="E711" s="69"/>
      <c r="F711" s="69"/>
      <c r="G711" s="69"/>
      <c r="H711" s="69"/>
      <c r="I711" s="69"/>
      <c r="J711" s="69"/>
      <c r="K711" s="69"/>
      <c r="L711" s="69"/>
      <c r="M711" s="69"/>
      <c r="N711" s="69"/>
      <c r="O711" s="69"/>
      <c r="P711" s="69"/>
      <c r="Q711" s="69"/>
      <c r="R711" s="69"/>
      <c r="S711" s="69"/>
      <c r="T711" s="69"/>
      <c r="U711" s="69"/>
      <c r="V711" s="69"/>
      <c r="W711" s="69"/>
      <c r="X711" s="69"/>
      <c r="Y711" s="69"/>
      <c r="Z711" s="69"/>
      <c r="AA711" s="69"/>
    </row>
    <row r="712" spans="1:27">
      <c r="A712" s="69"/>
      <c r="B712" s="69"/>
      <c r="C712" s="69"/>
      <c r="D712" s="69"/>
      <c r="E712" s="69"/>
      <c r="F712" s="69"/>
      <c r="G712" s="69"/>
      <c r="H712" s="69"/>
      <c r="I712" s="69"/>
      <c r="J712" s="69"/>
      <c r="K712" s="69"/>
      <c r="L712" s="69"/>
      <c r="M712" s="69"/>
      <c r="N712" s="69"/>
      <c r="O712" s="69"/>
      <c r="P712" s="69"/>
      <c r="Q712" s="69"/>
      <c r="R712" s="69"/>
      <c r="S712" s="69"/>
      <c r="T712" s="69"/>
      <c r="U712" s="69"/>
      <c r="V712" s="69"/>
      <c r="W712" s="69"/>
      <c r="X712" s="69"/>
      <c r="Y712" s="69"/>
      <c r="Z712" s="69"/>
      <c r="AA712" s="69"/>
    </row>
    <row r="713" spans="1:27">
      <c r="A713" s="69"/>
      <c r="B713" s="69"/>
      <c r="C713" s="69"/>
      <c r="D713" s="69"/>
      <c r="E713" s="69"/>
      <c r="F713" s="69"/>
      <c r="G713" s="69"/>
      <c r="H713" s="69"/>
      <c r="I713" s="69"/>
      <c r="J713" s="69"/>
      <c r="K713" s="69"/>
      <c r="L713" s="69"/>
      <c r="M713" s="69"/>
      <c r="N713" s="69"/>
      <c r="O713" s="69"/>
      <c r="P713" s="69"/>
      <c r="Q713" s="69"/>
      <c r="R713" s="69"/>
      <c r="S713" s="69"/>
      <c r="T713" s="69"/>
      <c r="U713" s="69"/>
      <c r="V713" s="69"/>
      <c r="W713" s="69"/>
      <c r="X713" s="69"/>
      <c r="Y713" s="69"/>
      <c r="Z713" s="69"/>
      <c r="AA713" s="69"/>
    </row>
    <row r="714" spans="1:27">
      <c r="A714" s="69"/>
      <c r="B714" s="69"/>
      <c r="C714" s="69"/>
      <c r="D714" s="69"/>
      <c r="E714" s="69"/>
      <c r="F714" s="69"/>
      <c r="G714" s="69"/>
      <c r="H714" s="69"/>
      <c r="I714" s="69"/>
      <c r="J714" s="69"/>
      <c r="K714" s="69"/>
      <c r="L714" s="69"/>
      <c r="M714" s="69"/>
      <c r="N714" s="69"/>
      <c r="O714" s="69"/>
      <c r="P714" s="69"/>
      <c r="Q714" s="69"/>
      <c r="R714" s="69"/>
      <c r="S714" s="69"/>
      <c r="T714" s="69"/>
      <c r="U714" s="69"/>
      <c r="V714" s="69"/>
      <c r="W714" s="69"/>
      <c r="X714" s="69"/>
      <c r="Y714" s="69"/>
      <c r="Z714" s="69"/>
      <c r="AA714" s="69"/>
    </row>
    <row r="715" spans="1:27">
      <c r="A715" s="69"/>
      <c r="B715" s="69"/>
      <c r="C715" s="69"/>
      <c r="D715" s="69"/>
      <c r="E715" s="69"/>
      <c r="F715" s="69"/>
      <c r="G715" s="69"/>
      <c r="H715" s="69"/>
      <c r="I715" s="69"/>
      <c r="J715" s="69"/>
      <c r="K715" s="69"/>
      <c r="L715" s="69"/>
      <c r="M715" s="69"/>
      <c r="N715" s="69"/>
      <c r="O715" s="69"/>
      <c r="P715" s="69"/>
      <c r="Q715" s="69"/>
      <c r="R715" s="69"/>
      <c r="S715" s="69"/>
      <c r="T715" s="69"/>
      <c r="U715" s="69"/>
      <c r="V715" s="69"/>
      <c r="W715" s="69"/>
      <c r="X715" s="69"/>
      <c r="Y715" s="69"/>
      <c r="Z715" s="69"/>
      <c r="AA715" s="69"/>
    </row>
    <row r="716" spans="1:27">
      <c r="A716" s="69"/>
      <c r="B716" s="69"/>
      <c r="C716" s="69"/>
      <c r="D716" s="69"/>
      <c r="E716" s="69"/>
      <c r="F716" s="69"/>
      <c r="G716" s="69"/>
      <c r="H716" s="69"/>
      <c r="I716" s="69"/>
      <c r="J716" s="69"/>
      <c r="K716" s="69"/>
      <c r="L716" s="69"/>
      <c r="M716" s="69"/>
      <c r="N716" s="69"/>
      <c r="O716" s="69"/>
      <c r="P716" s="69"/>
      <c r="Q716" s="69"/>
      <c r="R716" s="69"/>
      <c r="S716" s="69"/>
      <c r="T716" s="69"/>
      <c r="U716" s="69"/>
      <c r="V716" s="69"/>
      <c r="W716" s="69"/>
      <c r="X716" s="69"/>
      <c r="Y716" s="69"/>
      <c r="Z716" s="69"/>
      <c r="AA716" s="69"/>
    </row>
    <row r="717" spans="1:27">
      <c r="A717" s="69"/>
      <c r="B717" s="69"/>
      <c r="C717" s="69"/>
      <c r="D717" s="69"/>
      <c r="E717" s="69"/>
      <c r="F717" s="69"/>
      <c r="G717" s="69"/>
      <c r="H717" s="69"/>
      <c r="I717" s="69"/>
      <c r="J717" s="69"/>
      <c r="K717" s="69"/>
      <c r="L717" s="69"/>
      <c r="M717" s="69"/>
      <c r="N717" s="69"/>
      <c r="O717" s="69"/>
      <c r="P717" s="69"/>
      <c r="Q717" s="69"/>
      <c r="R717" s="69"/>
      <c r="S717" s="69"/>
      <c r="T717" s="69"/>
      <c r="U717" s="69"/>
      <c r="V717" s="69"/>
      <c r="W717" s="69"/>
      <c r="X717" s="69"/>
      <c r="Y717" s="69"/>
      <c r="Z717" s="69"/>
      <c r="AA717" s="69"/>
    </row>
    <row r="718" spans="1:27">
      <c r="A718" s="69"/>
      <c r="B718" s="69"/>
      <c r="C718" s="69"/>
      <c r="D718" s="69"/>
      <c r="E718" s="69"/>
      <c r="F718" s="69"/>
      <c r="G718" s="69"/>
      <c r="H718" s="69"/>
      <c r="I718" s="69"/>
      <c r="J718" s="69"/>
      <c r="K718" s="69"/>
      <c r="L718" s="69"/>
      <c r="M718" s="69"/>
      <c r="N718" s="69"/>
      <c r="O718" s="69"/>
      <c r="P718" s="69"/>
      <c r="Q718" s="69"/>
      <c r="R718" s="69"/>
      <c r="S718" s="69"/>
      <c r="T718" s="69"/>
      <c r="U718" s="69"/>
      <c r="V718" s="69"/>
      <c r="W718" s="69"/>
      <c r="X718" s="69"/>
      <c r="Y718" s="69"/>
      <c r="Z718" s="69"/>
      <c r="AA718" s="69"/>
    </row>
    <row r="719" spans="1:27">
      <c r="A719" s="69"/>
      <c r="B719" s="69"/>
      <c r="C719" s="69"/>
      <c r="D719" s="69"/>
      <c r="E719" s="69"/>
      <c r="F719" s="69"/>
      <c r="G719" s="69"/>
      <c r="H719" s="69"/>
      <c r="I719" s="69"/>
      <c r="J719" s="69"/>
      <c r="K719" s="69"/>
      <c r="L719" s="69"/>
      <c r="M719" s="69"/>
      <c r="N719" s="69"/>
      <c r="O719" s="69"/>
      <c r="P719" s="69"/>
      <c r="Q719" s="69"/>
      <c r="R719" s="69"/>
      <c r="S719" s="69"/>
      <c r="T719" s="69"/>
      <c r="U719" s="69"/>
      <c r="V719" s="69"/>
      <c r="W719" s="69"/>
      <c r="X719" s="69"/>
      <c r="Y719" s="69"/>
      <c r="Z719" s="69"/>
      <c r="AA719" s="69"/>
    </row>
    <row r="720" spans="1:27">
      <c r="A720" s="69"/>
      <c r="B720" s="69"/>
      <c r="C720" s="69"/>
      <c r="D720" s="69"/>
      <c r="E720" s="69"/>
      <c r="F720" s="69"/>
      <c r="G720" s="69"/>
      <c r="H720" s="69"/>
      <c r="I720" s="69"/>
      <c r="J720" s="69"/>
      <c r="K720" s="69"/>
      <c r="L720" s="69"/>
      <c r="M720" s="69"/>
      <c r="N720" s="69"/>
      <c r="O720" s="69"/>
      <c r="P720" s="69"/>
      <c r="Q720" s="69"/>
      <c r="R720" s="69"/>
      <c r="S720" s="69"/>
      <c r="T720" s="69"/>
      <c r="U720" s="69"/>
      <c r="V720" s="69"/>
      <c r="W720" s="69"/>
      <c r="X720" s="69"/>
      <c r="Y720" s="69"/>
      <c r="Z720" s="69"/>
      <c r="AA720" s="69"/>
    </row>
    <row r="721" spans="1:27">
      <c r="A721" s="69"/>
      <c r="B721" s="69"/>
      <c r="C721" s="69"/>
      <c r="D721" s="69"/>
      <c r="E721" s="69"/>
      <c r="F721" s="69"/>
      <c r="G721" s="69"/>
      <c r="H721" s="69"/>
      <c r="I721" s="69"/>
      <c r="J721" s="69"/>
      <c r="K721" s="69"/>
      <c r="L721" s="69"/>
      <c r="M721" s="69"/>
      <c r="N721" s="69"/>
      <c r="O721" s="69"/>
      <c r="P721" s="69"/>
      <c r="Q721" s="69"/>
      <c r="R721" s="69"/>
      <c r="S721" s="69"/>
      <c r="T721" s="69"/>
      <c r="U721" s="69"/>
      <c r="V721" s="69"/>
      <c r="W721" s="69"/>
      <c r="X721" s="69"/>
      <c r="Y721" s="69"/>
      <c r="Z721" s="69"/>
      <c r="AA721" s="69"/>
    </row>
    <row r="722" spans="1:27">
      <c r="A722" s="69"/>
      <c r="B722" s="69"/>
      <c r="C722" s="69"/>
      <c r="D722" s="69"/>
      <c r="E722" s="69"/>
      <c r="F722" s="69"/>
      <c r="G722" s="69"/>
      <c r="H722" s="69"/>
      <c r="I722" s="69"/>
      <c r="J722" s="69"/>
      <c r="K722" s="69"/>
      <c r="L722" s="69"/>
      <c r="M722" s="69"/>
      <c r="N722" s="69"/>
      <c r="O722" s="69"/>
      <c r="P722" s="69"/>
      <c r="Q722" s="69"/>
      <c r="R722" s="69"/>
      <c r="S722" s="69"/>
      <c r="T722" s="69"/>
      <c r="U722" s="69"/>
      <c r="V722" s="69"/>
      <c r="W722" s="69"/>
      <c r="X722" s="69"/>
      <c r="Y722" s="69"/>
      <c r="Z722" s="69"/>
      <c r="AA722" s="69"/>
    </row>
    <row r="723" spans="1:27">
      <c r="A723" s="69"/>
      <c r="B723" s="69"/>
      <c r="C723" s="69"/>
      <c r="D723" s="69"/>
      <c r="E723" s="69"/>
      <c r="F723" s="69"/>
      <c r="G723" s="69"/>
      <c r="H723" s="69"/>
      <c r="I723" s="69"/>
      <c r="J723" s="69"/>
      <c r="K723" s="69"/>
      <c r="L723" s="69"/>
      <c r="M723" s="69"/>
      <c r="N723" s="69"/>
      <c r="O723" s="69"/>
      <c r="P723" s="69"/>
      <c r="Q723" s="69"/>
      <c r="R723" s="69"/>
      <c r="S723" s="69"/>
      <c r="T723" s="69"/>
      <c r="U723" s="69"/>
      <c r="V723" s="69"/>
      <c r="W723" s="69"/>
      <c r="X723" s="69"/>
      <c r="Y723" s="69"/>
      <c r="Z723" s="69"/>
      <c r="AA723" s="69"/>
    </row>
    <row r="724" spans="1:27">
      <c r="A724" s="69"/>
      <c r="B724" s="69"/>
      <c r="C724" s="69"/>
      <c r="D724" s="69"/>
      <c r="E724" s="69"/>
      <c r="F724" s="69"/>
      <c r="G724" s="69"/>
      <c r="H724" s="69"/>
      <c r="I724" s="69"/>
      <c r="J724" s="69"/>
      <c r="K724" s="69"/>
      <c r="L724" s="69"/>
      <c r="M724" s="69"/>
      <c r="N724" s="69"/>
      <c r="O724" s="69"/>
      <c r="P724" s="69"/>
      <c r="Q724" s="69"/>
      <c r="R724" s="69"/>
      <c r="S724" s="69"/>
      <c r="T724" s="69"/>
      <c r="U724" s="69"/>
      <c r="V724" s="69"/>
      <c r="W724" s="69"/>
      <c r="X724" s="69"/>
      <c r="Y724" s="69"/>
      <c r="Z724" s="69"/>
      <c r="AA724" s="69"/>
    </row>
    <row r="725" spans="1:27">
      <c r="A725" s="69"/>
      <c r="B725" s="69"/>
      <c r="C725" s="69"/>
      <c r="D725" s="69"/>
      <c r="E725" s="69"/>
      <c r="F725" s="69"/>
      <c r="G725" s="69"/>
      <c r="H725" s="69"/>
      <c r="I725" s="69"/>
      <c r="J725" s="69"/>
      <c r="K725" s="69"/>
      <c r="L725" s="69"/>
      <c r="M725" s="69"/>
      <c r="N725" s="69"/>
      <c r="O725" s="69"/>
      <c r="P725" s="69"/>
      <c r="Q725" s="69"/>
      <c r="R725" s="69"/>
      <c r="S725" s="69"/>
      <c r="T725" s="69"/>
      <c r="U725" s="69"/>
      <c r="V725" s="69"/>
      <c r="W725" s="69"/>
      <c r="X725" s="69"/>
      <c r="Y725" s="69"/>
      <c r="Z725" s="69"/>
      <c r="AA725" s="69"/>
    </row>
    <row r="726" spans="1:27">
      <c r="A726" s="69"/>
      <c r="B726" s="69"/>
      <c r="C726" s="69"/>
      <c r="D726" s="69"/>
      <c r="E726" s="69"/>
      <c r="F726" s="69"/>
      <c r="G726" s="69"/>
      <c r="H726" s="69"/>
      <c r="I726" s="69"/>
      <c r="J726" s="69"/>
      <c r="K726" s="69"/>
      <c r="L726" s="69"/>
      <c r="M726" s="69"/>
      <c r="N726" s="69"/>
      <c r="O726" s="69"/>
      <c r="P726" s="69"/>
      <c r="Q726" s="69"/>
      <c r="R726" s="69"/>
      <c r="S726" s="69"/>
      <c r="T726" s="69"/>
      <c r="U726" s="69"/>
      <c r="V726" s="69"/>
      <c r="W726" s="69"/>
      <c r="X726" s="69"/>
      <c r="Y726" s="69"/>
      <c r="Z726" s="69"/>
      <c r="AA726" s="69"/>
    </row>
    <row r="727" spans="1:27">
      <c r="A727" s="69"/>
      <c r="B727" s="69"/>
      <c r="C727" s="69"/>
      <c r="D727" s="69"/>
      <c r="E727" s="69"/>
      <c r="F727" s="69"/>
      <c r="G727" s="69"/>
      <c r="H727" s="69"/>
      <c r="I727" s="69"/>
      <c r="J727" s="69"/>
      <c r="K727" s="69"/>
      <c r="L727" s="69"/>
      <c r="M727" s="69"/>
      <c r="N727" s="69"/>
      <c r="O727" s="69"/>
      <c r="P727" s="69"/>
      <c r="Q727" s="69"/>
      <c r="R727" s="69"/>
      <c r="S727" s="69"/>
      <c r="T727" s="69"/>
      <c r="U727" s="69"/>
      <c r="V727" s="69"/>
      <c r="W727" s="69"/>
      <c r="X727" s="69"/>
      <c r="Y727" s="69"/>
      <c r="Z727" s="69"/>
      <c r="AA727" s="69"/>
    </row>
    <row r="728" spans="1:27">
      <c r="A728" s="69"/>
      <c r="B728" s="69"/>
      <c r="C728" s="69"/>
      <c r="D728" s="69"/>
      <c r="E728" s="69"/>
      <c r="F728" s="69"/>
      <c r="G728" s="69"/>
      <c r="H728" s="69"/>
      <c r="I728" s="69"/>
      <c r="J728" s="69"/>
      <c r="K728" s="69"/>
      <c r="L728" s="69"/>
      <c r="M728" s="69"/>
      <c r="N728" s="69"/>
      <c r="O728" s="69"/>
      <c r="P728" s="69"/>
      <c r="Q728" s="69"/>
      <c r="R728" s="69"/>
      <c r="S728" s="69"/>
      <c r="T728" s="69"/>
      <c r="U728" s="69"/>
      <c r="V728" s="69"/>
      <c r="W728" s="69"/>
      <c r="X728" s="69"/>
      <c r="Y728" s="69"/>
      <c r="Z728" s="69"/>
      <c r="AA728" s="69"/>
    </row>
    <row r="729" spans="1:27">
      <c r="A729" s="69"/>
      <c r="B729" s="69"/>
      <c r="C729" s="69"/>
      <c r="D729" s="69"/>
      <c r="E729" s="69"/>
      <c r="F729" s="69"/>
      <c r="G729" s="69"/>
      <c r="H729" s="69"/>
      <c r="I729" s="69"/>
      <c r="J729" s="69"/>
      <c r="K729" s="69"/>
      <c r="L729" s="69"/>
      <c r="M729" s="69"/>
      <c r="N729" s="69"/>
      <c r="O729" s="69"/>
      <c r="P729" s="69"/>
      <c r="Q729" s="69"/>
      <c r="R729" s="69"/>
      <c r="S729" s="69"/>
      <c r="T729" s="69"/>
      <c r="U729" s="69"/>
      <c r="V729" s="69"/>
      <c r="W729" s="69"/>
      <c r="X729" s="69"/>
      <c r="Y729" s="69"/>
      <c r="Z729" s="69"/>
      <c r="AA729" s="69"/>
    </row>
    <row r="730" spans="1:27">
      <c r="A730" s="69"/>
      <c r="B730" s="69"/>
      <c r="C730" s="69"/>
      <c r="D730" s="69"/>
      <c r="E730" s="69"/>
      <c r="F730" s="69"/>
      <c r="G730" s="69"/>
      <c r="H730" s="69"/>
      <c r="I730" s="69"/>
      <c r="J730" s="69"/>
      <c r="K730" s="69"/>
      <c r="L730" s="69"/>
      <c r="M730" s="69"/>
      <c r="N730" s="69"/>
      <c r="O730" s="69"/>
      <c r="P730" s="69"/>
      <c r="Q730" s="69"/>
      <c r="R730" s="69"/>
      <c r="S730" s="69"/>
      <c r="T730" s="69"/>
      <c r="U730" s="69"/>
      <c r="V730" s="69"/>
      <c r="W730" s="69"/>
      <c r="X730" s="69"/>
      <c r="Y730" s="69"/>
      <c r="Z730" s="69"/>
      <c r="AA730" s="69"/>
    </row>
    <row r="731" spans="1:27">
      <c r="A731" s="69"/>
      <c r="B731" s="69"/>
      <c r="C731" s="69"/>
      <c r="D731" s="69"/>
      <c r="E731" s="69"/>
      <c r="F731" s="69"/>
      <c r="G731" s="69"/>
      <c r="H731" s="69"/>
      <c r="I731" s="69"/>
      <c r="J731" s="69"/>
      <c r="K731" s="69"/>
      <c r="L731" s="69"/>
      <c r="M731" s="69"/>
      <c r="N731" s="69"/>
      <c r="O731" s="69"/>
      <c r="P731" s="69"/>
      <c r="Q731" s="69"/>
      <c r="R731" s="69"/>
      <c r="S731" s="69"/>
      <c r="T731" s="69"/>
      <c r="U731" s="69"/>
      <c r="V731" s="69"/>
      <c r="W731" s="69"/>
      <c r="X731" s="69"/>
      <c r="Y731" s="69"/>
      <c r="Z731" s="69"/>
      <c r="AA731" s="69"/>
    </row>
    <row r="732" spans="1:27">
      <c r="A732" s="69"/>
      <c r="B732" s="69"/>
      <c r="C732" s="69"/>
      <c r="D732" s="69"/>
      <c r="E732" s="69"/>
      <c r="F732" s="69"/>
      <c r="G732" s="69"/>
      <c r="H732" s="69"/>
      <c r="I732" s="69"/>
      <c r="J732" s="69"/>
      <c r="K732" s="69"/>
      <c r="L732" s="69"/>
      <c r="M732" s="69"/>
      <c r="N732" s="69"/>
      <c r="O732" s="69"/>
      <c r="P732" s="69"/>
      <c r="Q732" s="69"/>
      <c r="R732" s="69"/>
      <c r="S732" s="69"/>
      <c r="T732" s="69"/>
      <c r="U732" s="69"/>
      <c r="V732" s="69"/>
      <c r="W732" s="69"/>
      <c r="X732" s="69"/>
      <c r="Y732" s="69"/>
      <c r="Z732" s="69"/>
      <c r="AA732" s="69"/>
    </row>
    <row r="733" spans="1:27">
      <c r="A733" s="69"/>
      <c r="B733" s="69"/>
      <c r="C733" s="69"/>
      <c r="D733" s="69"/>
      <c r="E733" s="69"/>
      <c r="F733" s="69"/>
      <c r="G733" s="69"/>
      <c r="H733" s="69"/>
      <c r="I733" s="69"/>
      <c r="J733" s="69"/>
      <c r="K733" s="69"/>
      <c r="L733" s="69"/>
      <c r="M733" s="69"/>
      <c r="N733" s="69"/>
      <c r="O733" s="69"/>
      <c r="P733" s="69"/>
      <c r="Q733" s="69"/>
      <c r="R733" s="69"/>
      <c r="S733" s="69"/>
      <c r="T733" s="69"/>
      <c r="U733" s="69"/>
      <c r="V733" s="69"/>
      <c r="W733" s="69"/>
      <c r="X733" s="69"/>
      <c r="Y733" s="69"/>
      <c r="Z733" s="69"/>
      <c r="AA733" s="69"/>
    </row>
    <row r="734" spans="1:27">
      <c r="A734" s="69"/>
      <c r="B734" s="69"/>
      <c r="C734" s="69"/>
      <c r="D734" s="69"/>
      <c r="E734" s="69"/>
      <c r="F734" s="69"/>
      <c r="G734" s="69"/>
      <c r="H734" s="69"/>
      <c r="I734" s="69"/>
      <c r="J734" s="69"/>
      <c r="K734" s="69"/>
      <c r="L734" s="69"/>
      <c r="M734" s="69"/>
      <c r="N734" s="69"/>
      <c r="O734" s="69"/>
      <c r="P734" s="69"/>
      <c r="Q734" s="69"/>
      <c r="R734" s="69"/>
      <c r="S734" s="69"/>
      <c r="T734" s="69"/>
      <c r="U734" s="69"/>
      <c r="V734" s="69"/>
      <c r="W734" s="69"/>
      <c r="X734" s="69"/>
      <c r="Y734" s="69"/>
      <c r="Z734" s="69"/>
      <c r="AA734" s="69"/>
    </row>
    <row r="735" spans="1:27">
      <c r="A735" s="69"/>
      <c r="B735" s="69"/>
      <c r="C735" s="69"/>
      <c r="D735" s="69"/>
      <c r="E735" s="69"/>
      <c r="F735" s="69"/>
      <c r="G735" s="69"/>
      <c r="H735" s="69"/>
      <c r="I735" s="69"/>
      <c r="J735" s="69"/>
      <c r="K735" s="69"/>
      <c r="L735" s="69"/>
      <c r="M735" s="69"/>
      <c r="N735" s="69"/>
      <c r="O735" s="69"/>
      <c r="P735" s="69"/>
      <c r="Q735" s="69"/>
      <c r="R735" s="69"/>
      <c r="S735" s="69"/>
      <c r="T735" s="69"/>
      <c r="U735" s="69"/>
      <c r="V735" s="69"/>
      <c r="W735" s="69"/>
      <c r="X735" s="69"/>
      <c r="Y735" s="69"/>
      <c r="Z735" s="69"/>
      <c r="AA735" s="69"/>
    </row>
    <row r="736" spans="1:27">
      <c r="A736" s="69"/>
      <c r="B736" s="69"/>
      <c r="C736" s="69"/>
      <c r="D736" s="69"/>
      <c r="E736" s="69"/>
      <c r="F736" s="69"/>
      <c r="G736" s="69"/>
      <c r="H736" s="69"/>
      <c r="I736" s="69"/>
      <c r="J736" s="69"/>
      <c r="K736" s="69"/>
      <c r="L736" s="69"/>
      <c r="M736" s="69"/>
      <c r="N736" s="69"/>
      <c r="O736" s="69"/>
      <c r="P736" s="69"/>
      <c r="Q736" s="69"/>
      <c r="R736" s="69"/>
      <c r="S736" s="69"/>
      <c r="T736" s="69"/>
      <c r="U736" s="69"/>
      <c r="V736" s="69"/>
      <c r="W736" s="69"/>
      <c r="X736" s="69"/>
      <c r="Y736" s="69"/>
      <c r="Z736" s="69"/>
      <c r="AA736" s="69"/>
    </row>
    <row r="737" spans="1:27">
      <c r="A737" s="69"/>
      <c r="B737" s="69"/>
      <c r="C737" s="69"/>
      <c r="D737" s="69"/>
      <c r="E737" s="69"/>
      <c r="F737" s="69"/>
      <c r="G737" s="69"/>
      <c r="H737" s="69"/>
      <c r="I737" s="69"/>
      <c r="J737" s="69"/>
      <c r="K737" s="69"/>
      <c r="L737" s="69"/>
      <c r="M737" s="69"/>
      <c r="N737" s="69"/>
      <c r="O737" s="69"/>
      <c r="P737" s="69"/>
      <c r="Q737" s="69"/>
      <c r="R737" s="69"/>
      <c r="S737" s="69"/>
      <c r="T737" s="69"/>
      <c r="U737" s="69"/>
      <c r="V737" s="69"/>
      <c r="W737" s="69"/>
      <c r="X737" s="69"/>
      <c r="Y737" s="69"/>
      <c r="Z737" s="69"/>
      <c r="AA737" s="69"/>
    </row>
    <row r="738" spans="1:27">
      <c r="A738" s="69"/>
      <c r="B738" s="69"/>
      <c r="C738" s="69"/>
      <c r="D738" s="69"/>
      <c r="E738" s="69"/>
      <c r="F738" s="69"/>
      <c r="G738" s="69"/>
      <c r="H738" s="69"/>
      <c r="I738" s="69"/>
      <c r="J738" s="69"/>
      <c r="K738" s="69"/>
      <c r="L738" s="69"/>
      <c r="M738" s="69"/>
      <c r="N738" s="69"/>
      <c r="O738" s="69"/>
      <c r="P738" s="69"/>
      <c r="Q738" s="69"/>
      <c r="R738" s="69"/>
      <c r="S738" s="69"/>
      <c r="T738" s="69"/>
      <c r="U738" s="69"/>
      <c r="V738" s="69"/>
      <c r="W738" s="69"/>
      <c r="X738" s="69"/>
      <c r="Y738" s="69"/>
      <c r="Z738" s="69"/>
      <c r="AA738" s="69"/>
    </row>
    <row r="739" spans="1:27">
      <c r="A739" s="69"/>
      <c r="B739" s="69"/>
      <c r="C739" s="69"/>
      <c r="D739" s="69"/>
      <c r="E739" s="69"/>
      <c r="F739" s="69"/>
      <c r="G739" s="69"/>
      <c r="H739" s="69"/>
      <c r="I739" s="69"/>
      <c r="J739" s="69"/>
      <c r="K739" s="69"/>
      <c r="L739" s="69"/>
      <c r="M739" s="69"/>
      <c r="N739" s="69"/>
      <c r="O739" s="69"/>
      <c r="P739" s="69"/>
      <c r="Q739" s="69"/>
      <c r="R739" s="69"/>
      <c r="S739" s="69"/>
      <c r="T739" s="69"/>
      <c r="U739" s="69"/>
      <c r="V739" s="69"/>
      <c r="W739" s="69"/>
      <c r="X739" s="69"/>
      <c r="Y739" s="69"/>
      <c r="Z739" s="69"/>
      <c r="AA739" s="69"/>
    </row>
    <row r="740" spans="1:27">
      <c r="A740" s="69"/>
      <c r="B740" s="69"/>
      <c r="C740" s="69"/>
      <c r="D740" s="69"/>
      <c r="E740" s="69"/>
      <c r="F740" s="69"/>
      <c r="G740" s="69"/>
      <c r="H740" s="69"/>
      <c r="I740" s="69"/>
      <c r="J740" s="69"/>
      <c r="K740" s="69"/>
      <c r="L740" s="69"/>
      <c r="M740" s="69"/>
      <c r="N740" s="69"/>
      <c r="O740" s="69"/>
      <c r="P740" s="69"/>
      <c r="Q740" s="69"/>
      <c r="R740" s="69"/>
      <c r="S740" s="69"/>
      <c r="T740" s="69"/>
      <c r="U740" s="69"/>
      <c r="V740" s="69"/>
      <c r="W740" s="69"/>
      <c r="X740" s="69"/>
      <c r="Y740" s="69"/>
      <c r="Z740" s="69"/>
      <c r="AA740" s="69"/>
    </row>
    <row r="741" spans="1:27">
      <c r="A741" s="69"/>
      <c r="B741" s="69"/>
      <c r="C741" s="69"/>
      <c r="D741" s="69"/>
      <c r="E741" s="69"/>
      <c r="F741" s="69"/>
      <c r="G741" s="69"/>
      <c r="H741" s="69"/>
      <c r="I741" s="69"/>
      <c r="J741" s="69"/>
      <c r="K741" s="69"/>
      <c r="L741" s="69"/>
      <c r="M741" s="69"/>
      <c r="N741" s="69"/>
      <c r="O741" s="69"/>
      <c r="P741" s="69"/>
      <c r="Q741" s="69"/>
      <c r="R741" s="69"/>
      <c r="S741" s="69"/>
      <c r="T741" s="69"/>
      <c r="U741" s="69"/>
      <c r="V741" s="69"/>
      <c r="W741" s="69"/>
      <c r="X741" s="69"/>
      <c r="Y741" s="69"/>
      <c r="Z741" s="69"/>
      <c r="AA741" s="69"/>
    </row>
    <row r="742" spans="1:27">
      <c r="A742" s="69"/>
      <c r="B742" s="69"/>
      <c r="C742" s="69"/>
      <c r="D742" s="69"/>
      <c r="E742" s="69"/>
      <c r="F742" s="69"/>
      <c r="G742" s="69"/>
      <c r="H742" s="69"/>
      <c r="I742" s="69"/>
      <c r="J742" s="69"/>
      <c r="K742" s="69"/>
      <c r="L742" s="69"/>
      <c r="M742" s="69"/>
      <c r="N742" s="69"/>
      <c r="O742" s="69"/>
      <c r="P742" s="69"/>
      <c r="Q742" s="69"/>
      <c r="R742" s="69"/>
      <c r="S742" s="69"/>
      <c r="T742" s="69"/>
      <c r="U742" s="69"/>
      <c r="V742" s="69"/>
      <c r="W742" s="69"/>
      <c r="X742" s="69"/>
      <c r="Y742" s="69"/>
      <c r="Z742" s="69"/>
      <c r="AA742" s="69"/>
    </row>
    <row r="743" spans="1:27">
      <c r="A743" s="69"/>
      <c r="B743" s="69"/>
      <c r="C743" s="69"/>
      <c r="D743" s="69"/>
      <c r="E743" s="69"/>
      <c r="F743" s="69"/>
      <c r="G743" s="69"/>
      <c r="H743" s="69"/>
      <c r="I743" s="69"/>
      <c r="J743" s="69"/>
      <c r="K743" s="69"/>
      <c r="L743" s="69"/>
      <c r="M743" s="69"/>
      <c r="N743" s="69"/>
      <c r="O743" s="69"/>
      <c r="P743" s="69"/>
      <c r="Q743" s="69"/>
      <c r="R743" s="69"/>
      <c r="S743" s="69"/>
      <c r="T743" s="69"/>
      <c r="U743" s="69"/>
      <c r="V743" s="69"/>
      <c r="W743" s="69"/>
      <c r="X743" s="69"/>
      <c r="Y743" s="69"/>
      <c r="Z743" s="69"/>
      <c r="AA743" s="69"/>
    </row>
    <row r="744" spans="1:27">
      <c r="A744" s="69"/>
      <c r="B744" s="69"/>
      <c r="C744" s="69"/>
      <c r="D744" s="69"/>
      <c r="E744" s="69"/>
      <c r="F744" s="69"/>
      <c r="G744" s="69"/>
      <c r="H744" s="69"/>
      <c r="I744" s="69"/>
      <c r="J744" s="69"/>
      <c r="K744" s="69"/>
      <c r="L744" s="69"/>
      <c r="M744" s="69"/>
      <c r="N744" s="69"/>
      <c r="O744" s="69"/>
      <c r="P744" s="69"/>
      <c r="Q744" s="69"/>
      <c r="R744" s="69"/>
      <c r="S744" s="69"/>
      <c r="T744" s="69"/>
      <c r="U744" s="69"/>
      <c r="V744" s="69"/>
      <c r="W744" s="69"/>
      <c r="X744" s="69"/>
      <c r="Y744" s="69"/>
      <c r="Z744" s="69"/>
      <c r="AA744" s="69"/>
    </row>
    <row r="745" spans="1:27">
      <c r="A745" s="69"/>
      <c r="B745" s="69"/>
      <c r="C745" s="69"/>
      <c r="D745" s="69"/>
      <c r="E745" s="69"/>
      <c r="F745" s="69"/>
      <c r="G745" s="69"/>
      <c r="H745" s="69"/>
      <c r="I745" s="69"/>
      <c r="J745" s="69"/>
      <c r="K745" s="69"/>
      <c r="L745" s="69"/>
      <c r="M745" s="69"/>
      <c r="N745" s="69"/>
      <c r="O745" s="69"/>
      <c r="P745" s="69"/>
      <c r="Q745" s="69"/>
      <c r="R745" s="69"/>
      <c r="S745" s="69"/>
      <c r="T745" s="69"/>
      <c r="U745" s="69"/>
      <c r="V745" s="69"/>
      <c r="W745" s="69"/>
      <c r="X745" s="69"/>
      <c r="Y745" s="69"/>
      <c r="Z745" s="69"/>
      <c r="AA745" s="69"/>
    </row>
    <row r="746" spans="1:27">
      <c r="A746" s="69"/>
      <c r="B746" s="69"/>
      <c r="C746" s="69"/>
      <c r="D746" s="69"/>
      <c r="E746" s="69"/>
      <c r="F746" s="69"/>
      <c r="G746" s="69"/>
      <c r="H746" s="69"/>
      <c r="I746" s="69"/>
      <c r="J746" s="69"/>
      <c r="K746" s="69"/>
      <c r="L746" s="69"/>
      <c r="M746" s="69"/>
      <c r="N746" s="69"/>
      <c r="O746" s="69"/>
      <c r="P746" s="69"/>
      <c r="Q746" s="69"/>
      <c r="R746" s="69"/>
      <c r="S746" s="69"/>
      <c r="T746" s="69"/>
      <c r="U746" s="69"/>
      <c r="V746" s="69"/>
      <c r="W746" s="69"/>
      <c r="X746" s="69"/>
      <c r="Y746" s="69"/>
      <c r="Z746" s="69"/>
      <c r="AA746" s="69"/>
    </row>
    <row r="747" spans="1:27">
      <c r="A747" s="69"/>
      <c r="B747" s="69"/>
      <c r="C747" s="69"/>
      <c r="D747" s="69"/>
      <c r="E747" s="69"/>
      <c r="F747" s="69"/>
      <c r="G747" s="69"/>
      <c r="H747" s="69"/>
      <c r="I747" s="69"/>
      <c r="J747" s="69"/>
      <c r="K747" s="69"/>
      <c r="L747" s="69"/>
      <c r="M747" s="69"/>
      <c r="N747" s="69"/>
      <c r="O747" s="69"/>
      <c r="P747" s="69"/>
      <c r="Q747" s="69"/>
      <c r="R747" s="69"/>
      <c r="S747" s="69"/>
      <c r="T747" s="69"/>
      <c r="U747" s="69"/>
      <c r="V747" s="69"/>
      <c r="W747" s="69"/>
      <c r="X747" s="69"/>
      <c r="Y747" s="69"/>
      <c r="Z747" s="69"/>
      <c r="AA747" s="69"/>
    </row>
    <row r="748" spans="1:27">
      <c r="A748" s="69"/>
      <c r="B748" s="69"/>
      <c r="C748" s="69"/>
      <c r="D748" s="69"/>
      <c r="E748" s="69"/>
      <c r="F748" s="69"/>
      <c r="G748" s="69"/>
      <c r="H748" s="69"/>
      <c r="I748" s="69"/>
      <c r="J748" s="69"/>
      <c r="K748" s="69"/>
      <c r="L748" s="69"/>
      <c r="M748" s="69"/>
      <c r="N748" s="69"/>
      <c r="O748" s="69"/>
      <c r="P748" s="69"/>
      <c r="Q748" s="69"/>
      <c r="R748" s="69"/>
      <c r="S748" s="69"/>
      <c r="T748" s="69"/>
      <c r="U748" s="69"/>
      <c r="V748" s="69"/>
      <c r="W748" s="69"/>
      <c r="X748" s="69"/>
      <c r="Y748" s="69"/>
      <c r="Z748" s="69"/>
      <c r="AA748" s="69"/>
    </row>
    <row r="749" spans="1:27">
      <c r="A749" s="69"/>
      <c r="B749" s="69"/>
      <c r="C749" s="69"/>
      <c r="D749" s="69"/>
      <c r="E749" s="69"/>
      <c r="F749" s="69"/>
      <c r="G749" s="69"/>
      <c r="H749" s="69"/>
      <c r="I749" s="69"/>
      <c r="J749" s="69"/>
      <c r="K749" s="69"/>
      <c r="L749" s="69"/>
      <c r="M749" s="69"/>
      <c r="N749" s="69"/>
      <c r="O749" s="69"/>
      <c r="P749" s="69"/>
      <c r="Q749" s="69"/>
      <c r="R749" s="69"/>
      <c r="S749" s="69"/>
      <c r="T749" s="69"/>
      <c r="U749" s="69"/>
      <c r="V749" s="69"/>
      <c r="W749" s="69"/>
      <c r="X749" s="69"/>
      <c r="Y749" s="69"/>
      <c r="Z749" s="69"/>
      <c r="AA749" s="69"/>
    </row>
    <row r="750" spans="1:27">
      <c r="A750" s="69"/>
      <c r="B750" s="69"/>
      <c r="C750" s="69"/>
      <c r="D750" s="69"/>
      <c r="E750" s="69"/>
      <c r="F750" s="69"/>
      <c r="G750" s="69"/>
      <c r="H750" s="69"/>
      <c r="I750" s="69"/>
      <c r="J750" s="69"/>
      <c r="K750" s="69"/>
      <c r="L750" s="69"/>
      <c r="M750" s="69"/>
      <c r="N750" s="69"/>
      <c r="O750" s="69"/>
      <c r="P750" s="69"/>
      <c r="Q750" s="69"/>
      <c r="R750" s="69"/>
      <c r="S750" s="69"/>
      <c r="T750" s="69"/>
      <c r="U750" s="69"/>
      <c r="V750" s="69"/>
      <c r="W750" s="69"/>
      <c r="X750" s="69"/>
      <c r="Y750" s="69"/>
      <c r="Z750" s="69"/>
      <c r="AA750" s="69"/>
    </row>
    <row r="751" spans="1:27">
      <c r="A751" s="69"/>
      <c r="B751" s="69"/>
      <c r="C751" s="69"/>
      <c r="D751" s="69"/>
      <c r="E751" s="69"/>
      <c r="F751" s="69"/>
      <c r="G751" s="69"/>
      <c r="H751" s="69"/>
      <c r="I751" s="69"/>
      <c r="J751" s="69"/>
      <c r="K751" s="69"/>
      <c r="L751" s="69"/>
      <c r="M751" s="69"/>
      <c r="N751" s="69"/>
      <c r="O751" s="69"/>
      <c r="P751" s="69"/>
      <c r="Q751" s="69"/>
      <c r="R751" s="69"/>
      <c r="S751" s="69"/>
      <c r="T751" s="69"/>
      <c r="U751" s="69"/>
      <c r="V751" s="69"/>
      <c r="W751" s="69"/>
      <c r="X751" s="69"/>
      <c r="Y751" s="69"/>
      <c r="Z751" s="69"/>
      <c r="AA751" s="69"/>
    </row>
    <row r="752" spans="1:27">
      <c r="A752" s="69"/>
      <c r="B752" s="69"/>
      <c r="C752" s="69"/>
      <c r="D752" s="69"/>
      <c r="E752" s="69"/>
      <c r="F752" s="69"/>
      <c r="G752" s="69"/>
      <c r="H752" s="69"/>
      <c r="I752" s="69"/>
      <c r="J752" s="69"/>
      <c r="K752" s="69"/>
      <c r="L752" s="69"/>
      <c r="M752" s="69"/>
      <c r="N752" s="69"/>
      <c r="O752" s="69"/>
      <c r="P752" s="69"/>
      <c r="Q752" s="69"/>
      <c r="R752" s="69"/>
      <c r="S752" s="69"/>
      <c r="T752" s="69"/>
      <c r="U752" s="69"/>
      <c r="V752" s="69"/>
      <c r="W752" s="69"/>
      <c r="X752" s="69"/>
      <c r="Y752" s="69"/>
      <c r="Z752" s="69"/>
      <c r="AA752" s="69"/>
    </row>
    <row r="753" spans="1:27">
      <c r="A753" s="69"/>
      <c r="B753" s="69"/>
      <c r="C753" s="69"/>
      <c r="D753" s="69"/>
      <c r="E753" s="69"/>
      <c r="F753" s="69"/>
      <c r="G753" s="69"/>
      <c r="H753" s="69"/>
      <c r="I753" s="69"/>
      <c r="J753" s="69"/>
      <c r="K753" s="69"/>
      <c r="L753" s="69"/>
      <c r="M753" s="69"/>
      <c r="N753" s="69"/>
      <c r="O753" s="69"/>
      <c r="P753" s="69"/>
      <c r="Q753" s="69"/>
      <c r="R753" s="69"/>
      <c r="S753" s="69"/>
      <c r="T753" s="69"/>
      <c r="U753" s="69"/>
      <c r="V753" s="69"/>
      <c r="W753" s="69"/>
      <c r="X753" s="69"/>
      <c r="Y753" s="69"/>
      <c r="Z753" s="69"/>
      <c r="AA753" s="69"/>
    </row>
    <row r="754" spans="1:27">
      <c r="A754" s="69"/>
      <c r="B754" s="69"/>
      <c r="C754" s="69"/>
      <c r="D754" s="69"/>
      <c r="E754" s="69"/>
      <c r="F754" s="69"/>
      <c r="G754" s="69"/>
      <c r="H754" s="69"/>
      <c r="I754" s="69"/>
      <c r="J754" s="69"/>
      <c r="K754" s="69"/>
      <c r="L754" s="69"/>
      <c r="M754" s="69"/>
      <c r="N754" s="69"/>
      <c r="O754" s="69"/>
      <c r="P754" s="69"/>
      <c r="Q754" s="69"/>
      <c r="R754" s="69"/>
      <c r="S754" s="69"/>
      <c r="T754" s="69"/>
      <c r="U754" s="69"/>
      <c r="V754" s="69"/>
      <c r="W754" s="69"/>
      <c r="X754" s="69"/>
      <c r="Y754" s="69"/>
      <c r="Z754" s="69"/>
      <c r="AA754" s="69"/>
    </row>
    <row r="755" spans="1:27">
      <c r="A755" s="69"/>
      <c r="B755" s="69"/>
      <c r="C755" s="69"/>
      <c r="D755" s="69"/>
      <c r="E755" s="69"/>
      <c r="F755" s="69"/>
      <c r="G755" s="69"/>
      <c r="H755" s="69"/>
      <c r="I755" s="69"/>
      <c r="J755" s="69"/>
      <c r="K755" s="69"/>
      <c r="L755" s="69"/>
      <c r="M755" s="69"/>
      <c r="N755" s="69"/>
      <c r="O755" s="69"/>
      <c r="P755" s="69"/>
      <c r="Q755" s="69"/>
      <c r="R755" s="69"/>
      <c r="S755" s="69"/>
      <c r="T755" s="69"/>
      <c r="U755" s="69"/>
      <c r="V755" s="69"/>
      <c r="W755" s="69"/>
      <c r="X755" s="69"/>
      <c r="Y755" s="69"/>
      <c r="Z755" s="69"/>
      <c r="AA755" s="69"/>
    </row>
    <row r="756" spans="1:27">
      <c r="A756" s="69"/>
      <c r="B756" s="69"/>
      <c r="C756" s="69"/>
      <c r="D756" s="69"/>
      <c r="E756" s="69"/>
      <c r="F756" s="69"/>
      <c r="G756" s="69"/>
      <c r="H756" s="69"/>
      <c r="I756" s="69"/>
      <c r="J756" s="69"/>
      <c r="K756" s="69"/>
      <c r="L756" s="69"/>
      <c r="M756" s="69"/>
      <c r="N756" s="69"/>
      <c r="O756" s="69"/>
      <c r="P756" s="69"/>
      <c r="Q756" s="69"/>
      <c r="R756" s="69"/>
      <c r="S756" s="69"/>
      <c r="T756" s="69"/>
      <c r="U756" s="69"/>
      <c r="V756" s="69"/>
      <c r="W756" s="69"/>
      <c r="X756" s="69"/>
      <c r="Y756" s="69"/>
      <c r="Z756" s="69"/>
      <c r="AA756" s="69"/>
    </row>
    <row r="757" spans="1:27">
      <c r="A757" s="69"/>
      <c r="B757" s="69"/>
      <c r="C757" s="69"/>
      <c r="D757" s="69"/>
      <c r="E757" s="69"/>
      <c r="F757" s="69"/>
      <c r="G757" s="69"/>
      <c r="H757" s="69"/>
      <c r="I757" s="69"/>
      <c r="J757" s="69"/>
      <c r="K757" s="69"/>
      <c r="L757" s="69"/>
      <c r="M757" s="69"/>
      <c r="N757" s="69"/>
      <c r="O757" s="69"/>
      <c r="P757" s="69"/>
      <c r="Q757" s="69"/>
      <c r="R757" s="69"/>
      <c r="S757" s="69"/>
      <c r="T757" s="69"/>
      <c r="U757" s="69"/>
      <c r="V757" s="69"/>
      <c r="W757" s="69"/>
      <c r="X757" s="69"/>
      <c r="Y757" s="69"/>
      <c r="Z757" s="69"/>
      <c r="AA757" s="69"/>
    </row>
    <row r="758" spans="1:27">
      <c r="A758" s="69"/>
      <c r="B758" s="69"/>
      <c r="C758" s="69"/>
      <c r="D758" s="69"/>
      <c r="E758" s="69"/>
      <c r="F758" s="69"/>
      <c r="G758" s="69"/>
      <c r="H758" s="69"/>
      <c r="I758" s="69"/>
      <c r="J758" s="69"/>
      <c r="K758" s="69"/>
      <c r="L758" s="69"/>
      <c r="M758" s="69"/>
      <c r="N758" s="69"/>
      <c r="O758" s="69"/>
      <c r="P758" s="69"/>
      <c r="Q758" s="69"/>
      <c r="R758" s="69"/>
      <c r="S758" s="69"/>
      <c r="T758" s="69"/>
      <c r="U758" s="69"/>
      <c r="V758" s="69"/>
      <c r="W758" s="69"/>
      <c r="X758" s="69"/>
      <c r="Y758" s="69"/>
      <c r="Z758" s="69"/>
      <c r="AA758" s="69"/>
    </row>
    <row r="759" spans="1:27">
      <c r="A759" s="69"/>
      <c r="B759" s="69"/>
      <c r="C759" s="69"/>
      <c r="D759" s="69"/>
      <c r="E759" s="69"/>
      <c r="F759" s="69"/>
      <c r="G759" s="69"/>
      <c r="H759" s="69"/>
      <c r="I759" s="69"/>
      <c r="J759" s="69"/>
      <c r="K759" s="69"/>
      <c r="L759" s="69"/>
      <c r="M759" s="69"/>
      <c r="N759" s="69"/>
      <c r="O759" s="69"/>
      <c r="P759" s="69"/>
      <c r="Q759" s="69"/>
      <c r="R759" s="69"/>
      <c r="S759" s="69"/>
      <c r="T759" s="69"/>
      <c r="U759" s="69"/>
      <c r="V759" s="69"/>
      <c r="W759" s="69"/>
      <c r="X759" s="69"/>
      <c r="Y759" s="69"/>
      <c r="Z759" s="69"/>
      <c r="AA759" s="69"/>
    </row>
    <row r="760" spans="1:27">
      <c r="A760" s="69"/>
      <c r="B760" s="69"/>
      <c r="C760" s="69"/>
      <c r="D760" s="69"/>
      <c r="E760" s="69"/>
      <c r="F760" s="69"/>
      <c r="G760" s="69"/>
      <c r="H760" s="69"/>
      <c r="I760" s="69"/>
      <c r="J760" s="69"/>
      <c r="K760" s="69"/>
      <c r="L760" s="69"/>
      <c r="M760" s="69"/>
      <c r="N760" s="69"/>
      <c r="O760" s="69"/>
      <c r="P760" s="69"/>
      <c r="Q760" s="69"/>
      <c r="R760" s="69"/>
      <c r="S760" s="69"/>
      <c r="T760" s="69"/>
      <c r="U760" s="69"/>
      <c r="V760" s="69"/>
      <c r="W760" s="69"/>
      <c r="X760" s="69"/>
      <c r="Y760" s="69"/>
      <c r="Z760" s="69"/>
      <c r="AA760" s="69"/>
    </row>
    <row r="761" spans="1:27">
      <c r="A761" s="69"/>
      <c r="B761" s="69"/>
      <c r="C761" s="69"/>
      <c r="D761" s="69"/>
      <c r="E761" s="69"/>
      <c r="F761" s="69"/>
      <c r="G761" s="69"/>
      <c r="H761" s="69"/>
      <c r="I761" s="69"/>
      <c r="J761" s="69"/>
      <c r="K761" s="69"/>
      <c r="L761" s="69"/>
      <c r="M761" s="69"/>
      <c r="N761" s="69"/>
      <c r="O761" s="69"/>
      <c r="P761" s="69"/>
      <c r="Q761" s="69"/>
      <c r="R761" s="69"/>
      <c r="S761" s="69"/>
      <c r="T761" s="69"/>
      <c r="U761" s="69"/>
      <c r="V761" s="69"/>
      <c r="W761" s="69"/>
      <c r="X761" s="69"/>
      <c r="Y761" s="69"/>
      <c r="Z761" s="69"/>
      <c r="AA761" s="69"/>
    </row>
    <row r="762" spans="1:27">
      <c r="A762" s="69"/>
      <c r="B762" s="69"/>
      <c r="C762" s="69"/>
      <c r="D762" s="69"/>
      <c r="E762" s="69"/>
      <c r="F762" s="69"/>
      <c r="G762" s="69"/>
      <c r="H762" s="69"/>
      <c r="I762" s="69"/>
      <c r="J762" s="69"/>
      <c r="K762" s="69"/>
      <c r="L762" s="69"/>
      <c r="M762" s="69"/>
      <c r="N762" s="69"/>
      <c r="O762" s="69"/>
      <c r="P762" s="69"/>
      <c r="Q762" s="69"/>
      <c r="R762" s="69"/>
      <c r="S762" s="69"/>
      <c r="T762" s="69"/>
      <c r="U762" s="69"/>
      <c r="V762" s="69"/>
      <c r="W762" s="69"/>
      <c r="X762" s="69"/>
      <c r="Y762" s="69"/>
      <c r="Z762" s="69"/>
      <c r="AA762" s="69"/>
    </row>
    <row r="763" spans="1:27">
      <c r="A763" s="69"/>
      <c r="B763" s="69"/>
      <c r="C763" s="69"/>
      <c r="D763" s="69"/>
      <c r="E763" s="69"/>
      <c r="F763" s="69"/>
      <c r="G763" s="69"/>
      <c r="H763" s="69"/>
      <c r="I763" s="69"/>
      <c r="J763" s="69"/>
      <c r="K763" s="69"/>
      <c r="L763" s="69"/>
      <c r="M763" s="69"/>
      <c r="N763" s="69"/>
      <c r="O763" s="69"/>
      <c r="P763" s="69"/>
      <c r="Q763" s="69"/>
      <c r="R763" s="69"/>
      <c r="S763" s="69"/>
      <c r="T763" s="69"/>
      <c r="U763" s="69"/>
      <c r="V763" s="69"/>
      <c r="W763" s="69"/>
      <c r="X763" s="69"/>
      <c r="Y763" s="69"/>
      <c r="Z763" s="69"/>
      <c r="AA763" s="69"/>
    </row>
    <row r="764" spans="1:27">
      <c r="A764" s="69"/>
      <c r="B764" s="69"/>
      <c r="C764" s="69"/>
      <c r="D764" s="69"/>
      <c r="E764" s="69"/>
      <c r="F764" s="69"/>
      <c r="G764" s="69"/>
      <c r="H764" s="69"/>
      <c r="I764" s="69"/>
      <c r="J764" s="69"/>
      <c r="K764" s="69"/>
      <c r="L764" s="69"/>
      <c r="M764" s="69"/>
      <c r="N764" s="69"/>
      <c r="O764" s="69"/>
      <c r="P764" s="69"/>
      <c r="Q764" s="69"/>
      <c r="R764" s="69"/>
      <c r="S764" s="69"/>
      <c r="T764" s="69"/>
      <c r="U764" s="69"/>
      <c r="V764" s="69"/>
      <c r="W764" s="69"/>
      <c r="X764" s="69"/>
      <c r="Y764" s="69"/>
      <c r="Z764" s="69"/>
      <c r="AA764" s="69"/>
    </row>
    <row r="765" spans="1:27">
      <c r="A765" s="69"/>
      <c r="B765" s="69"/>
      <c r="C765" s="69"/>
      <c r="D765" s="69"/>
      <c r="E765" s="69"/>
      <c r="F765" s="69"/>
      <c r="G765" s="69"/>
      <c r="H765" s="69"/>
      <c r="I765" s="69"/>
      <c r="J765" s="69"/>
      <c r="K765" s="69"/>
      <c r="L765" s="69"/>
      <c r="M765" s="69"/>
      <c r="N765" s="69"/>
      <c r="O765" s="69"/>
      <c r="P765" s="69"/>
      <c r="Q765" s="69"/>
      <c r="R765" s="69"/>
      <c r="S765" s="69"/>
      <c r="T765" s="69"/>
      <c r="U765" s="69"/>
      <c r="V765" s="69"/>
      <c r="W765" s="69"/>
      <c r="X765" s="69"/>
      <c r="Y765" s="69"/>
      <c r="Z765" s="69"/>
      <c r="AA765" s="69"/>
    </row>
    <row r="766" spans="1:27">
      <c r="A766" s="69"/>
      <c r="B766" s="69"/>
      <c r="C766" s="69"/>
      <c r="D766" s="69"/>
      <c r="E766" s="69"/>
      <c r="F766" s="69"/>
      <c r="G766" s="69"/>
      <c r="H766" s="69"/>
      <c r="I766" s="69"/>
      <c r="J766" s="69"/>
      <c r="K766" s="69"/>
      <c r="L766" s="69"/>
      <c r="M766" s="69"/>
      <c r="N766" s="69"/>
      <c r="O766" s="69"/>
      <c r="P766" s="69"/>
      <c r="Q766" s="69"/>
      <c r="R766" s="69"/>
      <c r="S766" s="69"/>
      <c r="T766" s="69"/>
      <c r="U766" s="69"/>
      <c r="V766" s="69"/>
      <c r="W766" s="69"/>
      <c r="X766" s="69"/>
      <c r="Y766" s="69"/>
      <c r="Z766" s="69"/>
      <c r="AA766" s="69"/>
    </row>
    <row r="767" spans="1:27">
      <c r="A767" s="69"/>
      <c r="B767" s="69"/>
      <c r="C767" s="69"/>
      <c r="D767" s="69"/>
      <c r="E767" s="69"/>
      <c r="F767" s="69"/>
      <c r="G767" s="69"/>
      <c r="H767" s="69"/>
      <c r="I767" s="69"/>
      <c r="J767" s="69"/>
      <c r="K767" s="69"/>
      <c r="L767" s="69"/>
      <c r="M767" s="69"/>
      <c r="N767" s="69"/>
      <c r="O767" s="69"/>
      <c r="P767" s="69"/>
      <c r="Q767" s="69"/>
      <c r="R767" s="69"/>
      <c r="S767" s="69"/>
      <c r="T767" s="69"/>
      <c r="U767" s="69"/>
      <c r="V767" s="69"/>
      <c r="W767" s="69"/>
      <c r="X767" s="69"/>
      <c r="Y767" s="69"/>
      <c r="Z767" s="69"/>
      <c r="AA767" s="69"/>
    </row>
    <row r="768" spans="1:27">
      <c r="A768" s="69"/>
      <c r="B768" s="69"/>
      <c r="C768" s="69"/>
      <c r="D768" s="69"/>
      <c r="E768" s="69"/>
      <c r="F768" s="69"/>
      <c r="G768" s="69"/>
      <c r="H768" s="69"/>
      <c r="I768" s="69"/>
      <c r="J768" s="69"/>
      <c r="K768" s="69"/>
      <c r="L768" s="69"/>
      <c r="M768" s="69"/>
      <c r="N768" s="69"/>
      <c r="O768" s="69"/>
      <c r="P768" s="69"/>
      <c r="Q768" s="69"/>
      <c r="R768" s="69"/>
      <c r="S768" s="69"/>
      <c r="T768" s="69"/>
      <c r="U768" s="69"/>
      <c r="V768" s="69"/>
      <c r="W768" s="69"/>
      <c r="X768" s="69"/>
      <c r="Y768" s="69"/>
      <c r="Z768" s="69"/>
      <c r="AA768" s="69"/>
    </row>
    <row r="769" spans="1:27">
      <c r="A769" s="69"/>
      <c r="B769" s="69"/>
      <c r="C769" s="69"/>
      <c r="D769" s="69"/>
      <c r="E769" s="69"/>
      <c r="F769" s="69"/>
      <c r="G769" s="69"/>
      <c r="H769" s="69"/>
      <c r="I769" s="69"/>
      <c r="J769" s="69"/>
      <c r="K769" s="69"/>
      <c r="L769" s="69"/>
      <c r="M769" s="69"/>
      <c r="N769" s="69"/>
      <c r="O769" s="69"/>
      <c r="P769" s="69"/>
      <c r="Q769" s="69"/>
      <c r="R769" s="69"/>
      <c r="S769" s="69"/>
      <c r="T769" s="69"/>
      <c r="U769" s="69"/>
      <c r="V769" s="69"/>
      <c r="W769" s="69"/>
      <c r="X769" s="69"/>
      <c r="Y769" s="69"/>
      <c r="Z769" s="69"/>
      <c r="AA769" s="69"/>
    </row>
    <row r="770" spans="1:27">
      <c r="A770" s="69"/>
      <c r="B770" s="69"/>
      <c r="C770" s="69"/>
      <c r="D770" s="69"/>
      <c r="E770" s="69"/>
      <c r="F770" s="69"/>
      <c r="G770" s="69"/>
      <c r="H770" s="69"/>
      <c r="I770" s="69"/>
      <c r="J770" s="69"/>
      <c r="K770" s="69"/>
      <c r="L770" s="69"/>
      <c r="M770" s="69"/>
      <c r="N770" s="69"/>
      <c r="O770" s="69"/>
      <c r="P770" s="69"/>
      <c r="Q770" s="69"/>
      <c r="R770" s="69"/>
      <c r="S770" s="69"/>
      <c r="T770" s="69"/>
      <c r="U770" s="69"/>
      <c r="V770" s="69"/>
      <c r="W770" s="69"/>
      <c r="X770" s="69"/>
      <c r="Y770" s="69"/>
      <c r="Z770" s="69"/>
      <c r="AA770" s="69"/>
    </row>
    <row r="771" spans="1:27">
      <c r="A771" s="69"/>
      <c r="B771" s="69"/>
      <c r="C771" s="69"/>
      <c r="D771" s="69"/>
      <c r="E771" s="69"/>
      <c r="F771" s="69"/>
      <c r="G771" s="69"/>
      <c r="H771" s="69"/>
      <c r="I771" s="69"/>
      <c r="J771" s="69"/>
      <c r="K771" s="69"/>
      <c r="L771" s="69"/>
      <c r="M771" s="69"/>
      <c r="N771" s="69"/>
      <c r="O771" s="69"/>
      <c r="P771" s="69"/>
      <c r="Q771" s="69"/>
      <c r="R771" s="69"/>
      <c r="S771" s="69"/>
      <c r="T771" s="69"/>
      <c r="U771" s="69"/>
      <c r="V771" s="69"/>
      <c r="W771" s="69"/>
      <c r="X771" s="69"/>
      <c r="Y771" s="69"/>
      <c r="Z771" s="69"/>
      <c r="AA771" s="69"/>
    </row>
    <row r="772" spans="1:27">
      <c r="A772" s="69"/>
      <c r="B772" s="69"/>
      <c r="C772" s="69"/>
      <c r="D772" s="69"/>
      <c r="E772" s="69"/>
      <c r="F772" s="69"/>
      <c r="G772" s="69"/>
      <c r="H772" s="69"/>
      <c r="I772" s="69"/>
      <c r="J772" s="69"/>
      <c r="K772" s="69"/>
      <c r="L772" s="69"/>
      <c r="M772" s="69"/>
      <c r="N772" s="69"/>
      <c r="O772" s="69"/>
      <c r="P772" s="69"/>
      <c r="Q772" s="69"/>
      <c r="R772" s="69"/>
      <c r="S772" s="69"/>
      <c r="T772" s="69"/>
      <c r="U772" s="69"/>
      <c r="V772" s="69"/>
      <c r="W772" s="69"/>
      <c r="X772" s="69"/>
      <c r="Y772" s="69"/>
      <c r="Z772" s="69"/>
      <c r="AA772" s="69"/>
    </row>
    <row r="773" spans="1:27">
      <c r="A773" s="69"/>
      <c r="B773" s="69"/>
      <c r="C773" s="69"/>
      <c r="D773" s="69"/>
      <c r="E773" s="69"/>
      <c r="F773" s="69"/>
      <c r="G773" s="69"/>
      <c r="H773" s="69"/>
      <c r="I773" s="69"/>
      <c r="J773" s="69"/>
      <c r="K773" s="69"/>
      <c r="L773" s="69"/>
      <c r="M773" s="69"/>
      <c r="N773" s="69"/>
      <c r="O773" s="69"/>
      <c r="P773" s="69"/>
      <c r="Q773" s="69"/>
      <c r="R773" s="69"/>
      <c r="S773" s="69"/>
      <c r="T773" s="69"/>
      <c r="U773" s="69"/>
      <c r="V773" s="69"/>
      <c r="W773" s="69"/>
      <c r="X773" s="69"/>
      <c r="Y773" s="69"/>
      <c r="Z773" s="69"/>
      <c r="AA773" s="69"/>
    </row>
    <row r="774" spans="1:27">
      <c r="A774" s="69"/>
      <c r="B774" s="69"/>
      <c r="C774" s="69"/>
      <c r="D774" s="69"/>
      <c r="E774" s="69"/>
      <c r="F774" s="69"/>
      <c r="G774" s="69"/>
      <c r="H774" s="69"/>
      <c r="I774" s="69"/>
      <c r="J774" s="69"/>
      <c r="K774" s="69"/>
      <c r="L774" s="69"/>
      <c r="M774" s="69"/>
      <c r="N774" s="69"/>
      <c r="O774" s="69"/>
      <c r="P774" s="69"/>
      <c r="Q774" s="69"/>
      <c r="R774" s="69"/>
      <c r="S774" s="69"/>
      <c r="T774" s="69"/>
      <c r="U774" s="69"/>
      <c r="V774" s="69"/>
      <c r="W774" s="69"/>
      <c r="X774" s="69"/>
      <c r="Y774" s="69"/>
      <c r="Z774" s="69"/>
      <c r="AA774" s="69"/>
    </row>
    <row r="775" spans="1:27">
      <c r="A775" s="69"/>
      <c r="B775" s="69"/>
      <c r="C775" s="69"/>
      <c r="D775" s="69"/>
      <c r="E775" s="69"/>
      <c r="F775" s="69"/>
      <c r="G775" s="69"/>
      <c r="H775" s="69"/>
      <c r="I775" s="69"/>
      <c r="J775" s="69"/>
      <c r="K775" s="69"/>
      <c r="L775" s="69"/>
      <c r="M775" s="69"/>
      <c r="N775" s="69"/>
      <c r="O775" s="69"/>
      <c r="P775" s="69"/>
      <c r="Q775" s="69"/>
      <c r="R775" s="69"/>
      <c r="S775" s="69"/>
      <c r="T775" s="69"/>
      <c r="U775" s="69"/>
      <c r="V775" s="69"/>
      <c r="W775" s="69"/>
      <c r="X775" s="69"/>
      <c r="Y775" s="69"/>
      <c r="Z775" s="69"/>
      <c r="AA775" s="69"/>
    </row>
    <row r="776" spans="1:27">
      <c r="A776" s="69"/>
      <c r="B776" s="69"/>
      <c r="C776" s="69"/>
      <c r="D776" s="69"/>
      <c r="E776" s="69"/>
      <c r="F776" s="69"/>
      <c r="G776" s="69"/>
      <c r="H776" s="69"/>
      <c r="I776" s="69"/>
      <c r="J776" s="69"/>
      <c r="K776" s="69"/>
      <c r="L776" s="69"/>
      <c r="M776" s="69"/>
      <c r="N776" s="69"/>
      <c r="O776" s="69"/>
      <c r="P776" s="69"/>
      <c r="Q776" s="69"/>
      <c r="R776" s="69"/>
      <c r="S776" s="69"/>
      <c r="T776" s="69"/>
      <c r="U776" s="69"/>
      <c r="V776" s="69"/>
      <c r="W776" s="69"/>
      <c r="X776" s="69"/>
      <c r="Y776" s="69"/>
      <c r="Z776" s="69"/>
      <c r="AA776" s="69"/>
    </row>
    <row r="777" spans="1:27">
      <c r="A777" s="69"/>
      <c r="B777" s="69"/>
      <c r="C777" s="69"/>
      <c r="D777" s="69"/>
      <c r="E777" s="69"/>
      <c r="F777" s="69"/>
      <c r="G777" s="69"/>
      <c r="H777" s="69"/>
      <c r="I777" s="69"/>
      <c r="J777" s="69"/>
      <c r="K777" s="69"/>
      <c r="L777" s="69"/>
      <c r="M777" s="69"/>
      <c r="N777" s="69"/>
      <c r="O777" s="69"/>
      <c r="P777" s="69"/>
      <c r="Q777" s="69"/>
      <c r="R777" s="69"/>
      <c r="S777" s="69"/>
      <c r="T777" s="69"/>
      <c r="U777" s="69"/>
      <c r="V777" s="69"/>
      <c r="W777" s="69"/>
      <c r="X777" s="69"/>
      <c r="Y777" s="69"/>
      <c r="Z777" s="69"/>
      <c r="AA777" s="69"/>
    </row>
    <row r="778" spans="1:27">
      <c r="A778" s="69"/>
      <c r="B778" s="69"/>
      <c r="C778" s="69"/>
      <c r="D778" s="69"/>
      <c r="E778" s="69"/>
      <c r="F778" s="69"/>
      <c r="G778" s="69"/>
      <c r="H778" s="69"/>
      <c r="I778" s="69"/>
      <c r="J778" s="69"/>
      <c r="K778" s="69"/>
      <c r="L778" s="69"/>
      <c r="M778" s="69"/>
      <c r="N778" s="69"/>
      <c r="O778" s="69"/>
      <c r="P778" s="69"/>
      <c r="Q778" s="69"/>
      <c r="R778" s="69"/>
      <c r="S778" s="69"/>
      <c r="T778" s="69"/>
      <c r="U778" s="69"/>
      <c r="V778" s="69"/>
      <c r="W778" s="69"/>
      <c r="X778" s="69"/>
      <c r="Y778" s="69"/>
      <c r="Z778" s="69"/>
      <c r="AA778" s="69"/>
    </row>
    <row r="779" spans="1:27">
      <c r="A779" s="69"/>
      <c r="B779" s="69"/>
      <c r="C779" s="69"/>
      <c r="D779" s="69"/>
      <c r="E779" s="69"/>
      <c r="F779" s="69"/>
      <c r="G779" s="69"/>
      <c r="H779" s="69"/>
      <c r="I779" s="69"/>
      <c r="J779" s="69"/>
      <c r="K779" s="69"/>
      <c r="L779" s="69"/>
      <c r="M779" s="69"/>
      <c r="N779" s="69"/>
      <c r="O779" s="69"/>
      <c r="P779" s="69"/>
      <c r="Q779" s="69"/>
      <c r="R779" s="69"/>
      <c r="S779" s="69"/>
      <c r="T779" s="69"/>
      <c r="U779" s="69"/>
      <c r="V779" s="69"/>
      <c r="W779" s="69"/>
      <c r="X779" s="69"/>
      <c r="Y779" s="69"/>
      <c r="Z779" s="69"/>
      <c r="AA779" s="69"/>
    </row>
    <row r="780" spans="1:27">
      <c r="A780" s="69"/>
      <c r="B780" s="69"/>
      <c r="C780" s="69"/>
      <c r="D780" s="69"/>
      <c r="E780" s="69"/>
      <c r="F780" s="69"/>
      <c r="G780" s="69"/>
      <c r="H780" s="69"/>
      <c r="I780" s="69"/>
      <c r="J780" s="69"/>
      <c r="K780" s="69"/>
      <c r="L780" s="69"/>
      <c r="M780" s="69"/>
      <c r="N780" s="69"/>
      <c r="O780" s="69"/>
      <c r="P780" s="69"/>
      <c r="Q780" s="69"/>
      <c r="R780" s="69"/>
      <c r="S780" s="69"/>
      <c r="T780" s="69"/>
      <c r="U780" s="69"/>
      <c r="V780" s="69"/>
      <c r="W780" s="69"/>
      <c r="X780" s="69"/>
      <c r="Y780" s="69"/>
      <c r="Z780" s="69"/>
      <c r="AA780" s="69"/>
    </row>
    <row r="781" spans="1:27">
      <c r="A781" s="69"/>
      <c r="B781" s="69"/>
      <c r="C781" s="69"/>
      <c r="D781" s="69"/>
      <c r="E781" s="69"/>
      <c r="F781" s="69"/>
      <c r="G781" s="69"/>
      <c r="H781" s="69"/>
      <c r="I781" s="69"/>
      <c r="J781" s="69"/>
      <c r="K781" s="69"/>
      <c r="L781" s="69"/>
      <c r="M781" s="69"/>
      <c r="N781" s="69"/>
      <c r="O781" s="69"/>
      <c r="P781" s="69"/>
      <c r="Q781" s="69"/>
      <c r="R781" s="69"/>
      <c r="S781" s="69"/>
      <c r="T781" s="69"/>
      <c r="U781" s="69"/>
      <c r="V781" s="69"/>
      <c r="W781" s="69"/>
      <c r="X781" s="69"/>
      <c r="Y781" s="69"/>
      <c r="Z781" s="69"/>
      <c r="AA781" s="69"/>
    </row>
    <row r="782" spans="1:27">
      <c r="A782" s="69"/>
      <c r="B782" s="69"/>
      <c r="C782" s="69"/>
      <c r="D782" s="69"/>
      <c r="E782" s="69"/>
      <c r="F782" s="69"/>
      <c r="G782" s="69"/>
      <c r="H782" s="69"/>
      <c r="I782" s="69"/>
      <c r="J782" s="69"/>
      <c r="K782" s="69"/>
      <c r="L782" s="69"/>
      <c r="M782" s="69"/>
      <c r="N782" s="69"/>
      <c r="O782" s="69"/>
      <c r="P782" s="69"/>
      <c r="Q782" s="69"/>
      <c r="R782" s="69"/>
      <c r="S782" s="69"/>
      <c r="T782" s="69"/>
      <c r="U782" s="69"/>
      <c r="V782" s="69"/>
      <c r="W782" s="69"/>
      <c r="X782" s="69"/>
      <c r="Y782" s="69"/>
      <c r="Z782" s="69"/>
      <c r="AA782" s="69"/>
    </row>
    <row r="783" spans="1:27">
      <c r="A783" s="69"/>
      <c r="B783" s="69"/>
      <c r="C783" s="69"/>
      <c r="D783" s="69"/>
      <c r="E783" s="69"/>
      <c r="F783" s="69"/>
      <c r="G783" s="69"/>
      <c r="H783" s="69"/>
      <c r="I783" s="69"/>
      <c r="J783" s="69"/>
      <c r="K783" s="69"/>
      <c r="L783" s="69"/>
      <c r="M783" s="69"/>
      <c r="N783" s="69"/>
      <c r="O783" s="69"/>
      <c r="P783" s="69"/>
      <c r="Q783" s="69"/>
      <c r="R783" s="69"/>
      <c r="S783" s="69"/>
      <c r="T783" s="69"/>
      <c r="U783" s="69"/>
      <c r="V783" s="69"/>
      <c r="W783" s="69"/>
      <c r="X783" s="69"/>
      <c r="Y783" s="69"/>
      <c r="Z783" s="69"/>
      <c r="AA783" s="69"/>
    </row>
    <row r="784" spans="1:27">
      <c r="A784" s="69"/>
      <c r="B784" s="69"/>
      <c r="C784" s="69"/>
      <c r="D784" s="69"/>
      <c r="E784" s="69"/>
      <c r="F784" s="69"/>
      <c r="G784" s="69"/>
      <c r="H784" s="69"/>
      <c r="I784" s="69"/>
      <c r="J784" s="69"/>
      <c r="K784" s="69"/>
      <c r="L784" s="69"/>
      <c r="M784" s="69"/>
      <c r="N784" s="69"/>
      <c r="O784" s="69"/>
      <c r="P784" s="69"/>
      <c r="Q784" s="69"/>
      <c r="R784" s="69"/>
      <c r="S784" s="69"/>
      <c r="T784" s="69"/>
      <c r="U784" s="69"/>
      <c r="V784" s="69"/>
      <c r="W784" s="69"/>
      <c r="X784" s="69"/>
      <c r="Y784" s="69"/>
      <c r="Z784" s="69"/>
      <c r="AA784" s="69"/>
    </row>
    <row r="785" spans="1:27">
      <c r="A785" s="69"/>
      <c r="B785" s="69"/>
      <c r="C785" s="69"/>
      <c r="D785" s="69"/>
      <c r="E785" s="69"/>
      <c r="F785" s="69"/>
      <c r="G785" s="69"/>
      <c r="H785" s="69"/>
      <c r="I785" s="69"/>
      <c r="J785" s="69"/>
      <c r="K785" s="69"/>
      <c r="L785" s="69"/>
      <c r="M785" s="69"/>
      <c r="N785" s="69"/>
      <c r="O785" s="69"/>
      <c r="P785" s="69"/>
      <c r="Q785" s="69"/>
      <c r="R785" s="69"/>
      <c r="S785" s="69"/>
      <c r="T785" s="69"/>
      <c r="U785" s="69"/>
      <c r="V785" s="69"/>
      <c r="W785" s="69"/>
      <c r="X785" s="69"/>
      <c r="Y785" s="69"/>
      <c r="Z785" s="69"/>
      <c r="AA785" s="69"/>
    </row>
    <row r="786" spans="1:27">
      <c r="A786" s="69"/>
      <c r="B786" s="69"/>
      <c r="C786" s="69"/>
      <c r="D786" s="69"/>
      <c r="E786" s="69"/>
      <c r="F786" s="69"/>
      <c r="G786" s="69"/>
      <c r="H786" s="69"/>
      <c r="I786" s="69"/>
      <c r="J786" s="69"/>
      <c r="K786" s="69"/>
      <c r="L786" s="69"/>
      <c r="M786" s="69"/>
      <c r="N786" s="69"/>
      <c r="O786" s="69"/>
      <c r="P786" s="69"/>
      <c r="Q786" s="69"/>
      <c r="R786" s="69"/>
      <c r="S786" s="69"/>
      <c r="T786" s="69"/>
      <c r="U786" s="69"/>
      <c r="V786" s="69"/>
      <c r="W786" s="69"/>
      <c r="X786" s="69"/>
      <c r="Y786" s="69"/>
      <c r="Z786" s="69"/>
      <c r="AA786" s="69"/>
    </row>
    <row r="787" spans="1:27">
      <c r="A787" s="69"/>
      <c r="B787" s="69"/>
      <c r="C787" s="69"/>
      <c r="D787" s="69"/>
      <c r="E787" s="69"/>
      <c r="F787" s="69"/>
      <c r="G787" s="69"/>
      <c r="H787" s="69"/>
      <c r="I787" s="69"/>
      <c r="J787" s="69"/>
      <c r="K787" s="69"/>
      <c r="L787" s="69"/>
      <c r="M787" s="69"/>
      <c r="N787" s="69"/>
      <c r="O787" s="69"/>
      <c r="P787" s="69"/>
      <c r="Q787" s="69"/>
      <c r="R787" s="69"/>
      <c r="S787" s="69"/>
      <c r="T787" s="69"/>
      <c r="U787" s="69"/>
      <c r="V787" s="69"/>
      <c r="W787" s="69"/>
      <c r="X787" s="69"/>
      <c r="Y787" s="69"/>
      <c r="Z787" s="69"/>
      <c r="AA787" s="69"/>
    </row>
    <row r="788" spans="1:27">
      <c r="A788" s="69"/>
      <c r="B788" s="69"/>
      <c r="C788" s="69"/>
      <c r="D788" s="69"/>
      <c r="E788" s="69"/>
      <c r="F788" s="69"/>
      <c r="G788" s="69"/>
      <c r="H788" s="69"/>
      <c r="I788" s="69"/>
      <c r="J788" s="69"/>
      <c r="K788" s="69"/>
      <c r="L788" s="69"/>
      <c r="M788" s="69"/>
      <c r="N788" s="69"/>
      <c r="O788" s="69"/>
      <c r="P788" s="69"/>
      <c r="Q788" s="69"/>
      <c r="R788" s="69"/>
      <c r="S788" s="69"/>
      <c r="T788" s="69"/>
      <c r="U788" s="69"/>
      <c r="V788" s="69"/>
      <c r="W788" s="69"/>
      <c r="X788" s="69"/>
      <c r="Y788" s="69"/>
      <c r="Z788" s="69"/>
      <c r="AA788" s="69"/>
    </row>
    <row r="789" spans="1:27">
      <c r="A789" s="69"/>
      <c r="B789" s="69"/>
      <c r="C789" s="69"/>
      <c r="D789" s="69"/>
      <c r="E789" s="69"/>
      <c r="F789" s="69"/>
      <c r="G789" s="69"/>
      <c r="H789" s="69"/>
      <c r="I789" s="69"/>
      <c r="J789" s="69"/>
      <c r="K789" s="69"/>
      <c r="L789" s="69"/>
      <c r="M789" s="69"/>
      <c r="N789" s="69"/>
      <c r="O789" s="69"/>
      <c r="P789" s="69"/>
      <c r="Q789" s="69"/>
      <c r="R789" s="69"/>
      <c r="S789" s="69"/>
      <c r="T789" s="69"/>
      <c r="U789" s="69"/>
      <c r="V789" s="69"/>
      <c r="W789" s="69"/>
      <c r="X789" s="69"/>
      <c r="Y789" s="69"/>
      <c r="Z789" s="69"/>
      <c r="AA789" s="69"/>
    </row>
    <row r="790" spans="1:27">
      <c r="A790" s="69"/>
      <c r="B790" s="69"/>
      <c r="C790" s="69"/>
      <c r="D790" s="69"/>
      <c r="E790" s="69"/>
      <c r="F790" s="69"/>
      <c r="G790" s="69"/>
      <c r="H790" s="69"/>
      <c r="I790" s="69"/>
      <c r="J790" s="69"/>
      <c r="K790" s="69"/>
      <c r="L790" s="69"/>
      <c r="M790" s="69"/>
      <c r="N790" s="69"/>
      <c r="O790" s="69"/>
      <c r="P790" s="69"/>
      <c r="Q790" s="69"/>
      <c r="R790" s="69"/>
      <c r="S790" s="69"/>
      <c r="T790" s="69"/>
      <c r="U790" s="69"/>
      <c r="V790" s="69"/>
      <c r="W790" s="69"/>
      <c r="X790" s="69"/>
      <c r="Y790" s="69"/>
      <c r="Z790" s="69"/>
      <c r="AA790" s="69"/>
    </row>
    <row r="791" spans="1:27">
      <c r="A791" s="69"/>
      <c r="B791" s="69"/>
      <c r="C791" s="69"/>
      <c r="D791" s="69"/>
      <c r="E791" s="69"/>
      <c r="F791" s="69"/>
      <c r="G791" s="69"/>
      <c r="H791" s="69"/>
      <c r="I791" s="69"/>
      <c r="J791" s="69"/>
      <c r="K791" s="69"/>
      <c r="L791" s="69"/>
      <c r="M791" s="69"/>
      <c r="N791" s="69"/>
      <c r="O791" s="69"/>
      <c r="P791" s="69"/>
      <c r="Q791" s="69"/>
      <c r="R791" s="69"/>
      <c r="S791" s="69"/>
      <c r="T791" s="69"/>
      <c r="U791" s="69"/>
      <c r="V791" s="69"/>
      <c r="W791" s="69"/>
      <c r="X791" s="69"/>
      <c r="Y791" s="69"/>
      <c r="Z791" s="69"/>
      <c r="AA791" s="69"/>
    </row>
    <row r="792" spans="1:27">
      <c r="A792" s="69"/>
      <c r="B792" s="69"/>
      <c r="C792" s="69"/>
      <c r="D792" s="69"/>
      <c r="E792" s="69"/>
      <c r="F792" s="69"/>
      <c r="G792" s="69"/>
      <c r="H792" s="69"/>
      <c r="I792" s="69"/>
      <c r="J792" s="69"/>
      <c r="K792" s="69"/>
      <c r="L792" s="69"/>
      <c r="M792" s="69"/>
      <c r="N792" s="69"/>
      <c r="O792" s="69"/>
      <c r="P792" s="69"/>
      <c r="Q792" s="69"/>
      <c r="R792" s="69"/>
      <c r="S792" s="69"/>
      <c r="T792" s="69"/>
      <c r="U792" s="69"/>
      <c r="V792" s="69"/>
      <c r="W792" s="69"/>
      <c r="X792" s="69"/>
      <c r="Y792" s="69"/>
      <c r="Z792" s="69"/>
      <c r="AA792" s="69"/>
    </row>
    <row r="793" spans="1:27">
      <c r="A793" s="69"/>
      <c r="B793" s="69"/>
      <c r="C793" s="69"/>
      <c r="D793" s="69"/>
      <c r="E793" s="69"/>
      <c r="F793" s="69"/>
      <c r="G793" s="69"/>
      <c r="H793" s="69"/>
      <c r="I793" s="69"/>
      <c r="J793" s="69"/>
      <c r="K793" s="69"/>
      <c r="L793" s="69"/>
      <c r="M793" s="69"/>
      <c r="N793" s="69"/>
      <c r="O793" s="69"/>
      <c r="P793" s="69"/>
      <c r="Q793" s="69"/>
      <c r="R793" s="69"/>
      <c r="S793" s="69"/>
      <c r="T793" s="69"/>
      <c r="U793" s="69"/>
      <c r="V793" s="69"/>
      <c r="W793" s="69"/>
      <c r="X793" s="69"/>
      <c r="Y793" s="69"/>
      <c r="Z793" s="69"/>
      <c r="AA793" s="69"/>
    </row>
    <row r="794" spans="1:27">
      <c r="A794" s="69"/>
      <c r="B794" s="69"/>
      <c r="C794" s="69"/>
      <c r="D794" s="69"/>
      <c r="E794" s="69"/>
      <c r="F794" s="69"/>
      <c r="G794" s="69"/>
      <c r="H794" s="69"/>
      <c r="I794" s="69"/>
      <c r="J794" s="69"/>
      <c r="K794" s="69"/>
      <c r="L794" s="69"/>
      <c r="M794" s="69"/>
      <c r="N794" s="69"/>
      <c r="O794" s="69"/>
      <c r="P794" s="69"/>
      <c r="Q794" s="69"/>
      <c r="R794" s="69"/>
      <c r="S794" s="69"/>
      <c r="T794" s="69"/>
      <c r="U794" s="69"/>
      <c r="V794" s="69"/>
      <c r="W794" s="69"/>
      <c r="X794" s="69"/>
      <c r="Y794" s="69"/>
      <c r="Z794" s="69"/>
      <c r="AA794" s="69"/>
    </row>
    <row r="795" spans="1:27">
      <c r="A795" s="69"/>
      <c r="B795" s="69"/>
      <c r="C795" s="69"/>
      <c r="D795" s="69"/>
      <c r="E795" s="69"/>
      <c r="F795" s="69"/>
      <c r="G795" s="69"/>
      <c r="H795" s="69"/>
      <c r="I795" s="69"/>
      <c r="J795" s="69"/>
      <c r="K795" s="69"/>
      <c r="L795" s="69"/>
      <c r="M795" s="69"/>
      <c r="N795" s="69"/>
      <c r="O795" s="69"/>
      <c r="P795" s="69"/>
      <c r="Q795" s="69"/>
      <c r="R795" s="69"/>
      <c r="S795" s="69"/>
      <c r="T795" s="69"/>
      <c r="U795" s="69"/>
      <c r="V795" s="69"/>
      <c r="W795" s="69"/>
      <c r="X795" s="69"/>
      <c r="Y795" s="69"/>
      <c r="Z795" s="69"/>
      <c r="AA795" s="69"/>
    </row>
    <row r="796" spans="1:27">
      <c r="A796" s="69"/>
      <c r="B796" s="69"/>
      <c r="C796" s="69"/>
      <c r="D796" s="69"/>
      <c r="E796" s="69"/>
      <c r="F796" s="69"/>
      <c r="G796" s="69"/>
      <c r="H796" s="69"/>
      <c r="I796" s="69"/>
      <c r="J796" s="69"/>
      <c r="K796" s="69"/>
      <c r="L796" s="69"/>
      <c r="M796" s="69"/>
      <c r="N796" s="69"/>
      <c r="O796" s="69"/>
      <c r="P796" s="69"/>
      <c r="Q796" s="69"/>
      <c r="R796" s="69"/>
      <c r="S796" s="69"/>
      <c r="T796" s="69"/>
      <c r="U796" s="69"/>
      <c r="V796" s="69"/>
      <c r="W796" s="69"/>
      <c r="X796" s="69"/>
      <c r="Y796" s="69"/>
      <c r="Z796" s="69"/>
      <c r="AA796" s="69"/>
    </row>
    <row r="797" spans="1:27">
      <c r="A797" s="69"/>
      <c r="B797" s="69"/>
      <c r="C797" s="69"/>
      <c r="D797" s="69"/>
      <c r="E797" s="69"/>
      <c r="F797" s="69"/>
      <c r="G797" s="69"/>
      <c r="H797" s="69"/>
      <c r="I797" s="69"/>
      <c r="J797" s="69"/>
      <c r="K797" s="69"/>
      <c r="L797" s="69"/>
      <c r="M797" s="69"/>
      <c r="N797" s="69"/>
      <c r="O797" s="69"/>
      <c r="P797" s="69"/>
      <c r="Q797" s="69"/>
      <c r="R797" s="69"/>
      <c r="S797" s="69"/>
      <c r="T797" s="69"/>
      <c r="U797" s="69"/>
      <c r="V797" s="69"/>
      <c r="W797" s="69"/>
      <c r="X797" s="69"/>
      <c r="Y797" s="69"/>
      <c r="Z797" s="69"/>
      <c r="AA797" s="69"/>
    </row>
    <row r="798" spans="1:27">
      <c r="A798" s="69"/>
      <c r="B798" s="69"/>
      <c r="C798" s="69"/>
      <c r="D798" s="69"/>
      <c r="E798" s="69"/>
      <c r="F798" s="69"/>
      <c r="G798" s="69"/>
      <c r="H798" s="69"/>
      <c r="I798" s="69"/>
      <c r="J798" s="69"/>
      <c r="K798" s="69"/>
      <c r="L798" s="69"/>
      <c r="M798" s="69"/>
      <c r="N798" s="69"/>
      <c r="O798" s="69"/>
      <c r="P798" s="69"/>
      <c r="Q798" s="69"/>
      <c r="R798" s="69"/>
      <c r="S798" s="69"/>
      <c r="T798" s="69"/>
      <c r="U798" s="69"/>
      <c r="V798" s="69"/>
      <c r="W798" s="69"/>
      <c r="X798" s="69"/>
      <c r="Y798" s="69"/>
      <c r="Z798" s="69"/>
      <c r="AA798" s="69"/>
    </row>
    <row r="799" spans="1:27">
      <c r="A799" s="69"/>
      <c r="B799" s="69"/>
      <c r="C799" s="69"/>
      <c r="D799" s="69"/>
      <c r="E799" s="69"/>
      <c r="F799" s="69"/>
      <c r="G799" s="69"/>
      <c r="H799" s="69"/>
      <c r="I799" s="69"/>
      <c r="J799" s="69"/>
      <c r="K799" s="69"/>
      <c r="L799" s="69"/>
      <c r="M799" s="69"/>
      <c r="N799" s="69"/>
      <c r="O799" s="69"/>
      <c r="P799" s="69"/>
      <c r="Q799" s="69"/>
      <c r="R799" s="69"/>
      <c r="S799" s="69"/>
      <c r="T799" s="69"/>
      <c r="U799" s="69"/>
      <c r="V799" s="69"/>
      <c r="W799" s="69"/>
      <c r="X799" s="69"/>
      <c r="Y799" s="69"/>
      <c r="Z799" s="69"/>
      <c r="AA799" s="69"/>
    </row>
    <row r="800" spans="1:27">
      <c r="A800" s="69"/>
      <c r="B800" s="69"/>
      <c r="C800" s="69"/>
      <c r="D800" s="69"/>
      <c r="E800" s="69"/>
      <c r="F800" s="69"/>
      <c r="G800" s="69"/>
      <c r="H800" s="69"/>
      <c r="I800" s="69"/>
      <c r="J800" s="69"/>
      <c r="K800" s="69"/>
      <c r="L800" s="69"/>
      <c r="M800" s="69"/>
      <c r="N800" s="69"/>
      <c r="O800" s="69"/>
      <c r="P800" s="69"/>
      <c r="Q800" s="69"/>
      <c r="R800" s="69"/>
      <c r="S800" s="69"/>
      <c r="T800" s="69"/>
      <c r="U800" s="69"/>
      <c r="V800" s="69"/>
      <c r="W800" s="69"/>
      <c r="X800" s="69"/>
      <c r="Y800" s="69"/>
      <c r="Z800" s="69"/>
      <c r="AA800" s="69"/>
    </row>
    <row r="801" spans="1:27">
      <c r="A801" s="69"/>
      <c r="B801" s="69"/>
      <c r="C801" s="69"/>
      <c r="D801" s="69"/>
      <c r="E801" s="69"/>
      <c r="F801" s="69"/>
      <c r="G801" s="69"/>
      <c r="H801" s="69"/>
      <c r="I801" s="69"/>
      <c r="J801" s="69"/>
      <c r="K801" s="69"/>
      <c r="L801" s="69"/>
      <c r="M801" s="69"/>
      <c r="N801" s="69"/>
      <c r="O801" s="69"/>
      <c r="P801" s="69"/>
      <c r="Q801" s="69"/>
      <c r="R801" s="69"/>
      <c r="S801" s="69"/>
      <c r="T801" s="69"/>
      <c r="U801" s="69"/>
      <c r="V801" s="69"/>
      <c r="W801" s="69"/>
      <c r="X801" s="69"/>
      <c r="Y801" s="69"/>
      <c r="Z801" s="69"/>
      <c r="AA801" s="69"/>
    </row>
    <row r="802" spans="1:27">
      <c r="A802" s="69"/>
      <c r="B802" s="69"/>
      <c r="C802" s="69"/>
      <c r="D802" s="69"/>
      <c r="E802" s="69"/>
      <c r="F802" s="69"/>
      <c r="G802" s="69"/>
      <c r="H802" s="69"/>
      <c r="I802" s="69"/>
      <c r="J802" s="69"/>
      <c r="K802" s="69"/>
      <c r="L802" s="69"/>
      <c r="M802" s="69"/>
      <c r="N802" s="69"/>
      <c r="O802" s="69"/>
      <c r="P802" s="69"/>
      <c r="Q802" s="69"/>
      <c r="R802" s="69"/>
      <c r="S802" s="69"/>
      <c r="T802" s="69"/>
      <c r="U802" s="69"/>
      <c r="V802" s="69"/>
      <c r="W802" s="69"/>
      <c r="X802" s="69"/>
      <c r="Y802" s="69"/>
      <c r="Z802" s="69"/>
      <c r="AA802" s="69"/>
    </row>
    <row r="803" spans="1:27">
      <c r="A803" s="69"/>
      <c r="B803" s="69"/>
      <c r="C803" s="69"/>
      <c r="D803" s="69"/>
      <c r="E803" s="69"/>
      <c r="F803" s="69"/>
      <c r="G803" s="69"/>
      <c r="H803" s="69"/>
      <c r="I803" s="69"/>
      <c r="J803" s="69"/>
      <c r="K803" s="69"/>
      <c r="L803" s="69"/>
      <c r="M803" s="69"/>
      <c r="N803" s="69"/>
      <c r="O803" s="69"/>
      <c r="P803" s="69"/>
      <c r="Q803" s="69"/>
      <c r="R803" s="69"/>
      <c r="S803" s="69"/>
      <c r="T803" s="69"/>
      <c r="U803" s="69"/>
      <c r="V803" s="69"/>
      <c r="W803" s="69"/>
      <c r="X803" s="69"/>
      <c r="Y803" s="69"/>
      <c r="Z803" s="69"/>
      <c r="AA803" s="69"/>
    </row>
    <row r="804" spans="1:27">
      <c r="A804" s="69"/>
      <c r="B804" s="69"/>
      <c r="C804" s="69"/>
      <c r="D804" s="69"/>
      <c r="E804" s="69"/>
      <c r="F804" s="69"/>
      <c r="G804" s="69"/>
      <c r="H804" s="69"/>
      <c r="I804" s="69"/>
      <c r="J804" s="69"/>
      <c r="K804" s="69"/>
      <c r="L804" s="69"/>
      <c r="M804" s="69"/>
      <c r="N804" s="69"/>
      <c r="O804" s="69"/>
      <c r="P804" s="69"/>
      <c r="Q804" s="69"/>
      <c r="R804" s="69"/>
      <c r="S804" s="69"/>
      <c r="T804" s="69"/>
      <c r="U804" s="69"/>
      <c r="V804" s="69"/>
      <c r="W804" s="69"/>
      <c r="X804" s="69"/>
      <c r="Y804" s="69"/>
      <c r="Z804" s="69"/>
      <c r="AA804" s="69"/>
    </row>
    <row r="805" spans="1:27">
      <c r="A805" s="69"/>
      <c r="B805" s="69"/>
      <c r="C805" s="69"/>
      <c r="D805" s="69"/>
      <c r="E805" s="69"/>
      <c r="F805" s="69"/>
      <c r="G805" s="69"/>
      <c r="H805" s="69"/>
      <c r="I805" s="69"/>
      <c r="J805" s="69"/>
      <c r="K805" s="69"/>
      <c r="L805" s="69"/>
      <c r="M805" s="69"/>
      <c r="N805" s="69"/>
      <c r="O805" s="69"/>
      <c r="P805" s="69"/>
      <c r="Q805" s="69"/>
      <c r="R805" s="69"/>
      <c r="S805" s="69"/>
      <c r="T805" s="69"/>
      <c r="U805" s="69"/>
      <c r="V805" s="69"/>
      <c r="W805" s="69"/>
      <c r="X805" s="69"/>
      <c r="Y805" s="69"/>
      <c r="Z805" s="69"/>
      <c r="AA805" s="69"/>
    </row>
    <row r="806" spans="1:27">
      <c r="A806" s="69"/>
      <c r="B806" s="69"/>
      <c r="C806" s="69"/>
      <c r="D806" s="69"/>
      <c r="E806" s="69"/>
      <c r="F806" s="69"/>
      <c r="G806" s="69"/>
      <c r="H806" s="69"/>
      <c r="I806" s="69"/>
      <c r="J806" s="69"/>
      <c r="K806" s="69"/>
      <c r="L806" s="69"/>
      <c r="M806" s="69"/>
      <c r="N806" s="69"/>
      <c r="O806" s="69"/>
      <c r="P806" s="69"/>
      <c r="Q806" s="69"/>
      <c r="R806" s="69"/>
      <c r="S806" s="69"/>
      <c r="T806" s="69"/>
      <c r="U806" s="69"/>
      <c r="V806" s="69"/>
      <c r="W806" s="69"/>
      <c r="X806" s="69"/>
      <c r="Y806" s="69"/>
      <c r="Z806" s="69"/>
      <c r="AA806" s="69"/>
    </row>
    <row r="807" spans="1:27">
      <c r="A807" s="69"/>
      <c r="B807" s="69"/>
      <c r="C807" s="69"/>
      <c r="D807" s="69"/>
      <c r="E807" s="69"/>
      <c r="F807" s="69"/>
      <c r="G807" s="69"/>
      <c r="H807" s="69"/>
      <c r="I807" s="69"/>
      <c r="J807" s="69"/>
      <c r="K807" s="69"/>
      <c r="L807" s="69"/>
      <c r="M807" s="69"/>
      <c r="N807" s="69"/>
      <c r="O807" s="69"/>
      <c r="P807" s="69"/>
      <c r="Q807" s="69"/>
      <c r="R807" s="69"/>
      <c r="S807" s="69"/>
      <c r="T807" s="69"/>
      <c r="U807" s="69"/>
      <c r="V807" s="69"/>
      <c r="W807" s="69"/>
      <c r="X807" s="69"/>
      <c r="Y807" s="69"/>
      <c r="Z807" s="69"/>
      <c r="AA807" s="69"/>
    </row>
    <row r="808" spans="1:27">
      <c r="A808" s="69"/>
      <c r="B808" s="69"/>
      <c r="C808" s="69"/>
      <c r="D808" s="69"/>
      <c r="E808" s="69"/>
      <c r="F808" s="69"/>
      <c r="G808" s="69"/>
      <c r="H808" s="69"/>
      <c r="I808" s="69"/>
      <c r="J808" s="69"/>
      <c r="K808" s="69"/>
      <c r="L808" s="69"/>
      <c r="M808" s="69"/>
      <c r="N808" s="69"/>
      <c r="O808" s="69"/>
      <c r="P808" s="69"/>
      <c r="Q808" s="69"/>
      <c r="R808" s="69"/>
      <c r="S808" s="69"/>
      <c r="T808" s="69"/>
      <c r="U808" s="69"/>
      <c r="V808" s="69"/>
      <c r="W808" s="69"/>
      <c r="X808" s="69"/>
      <c r="Y808" s="69"/>
      <c r="Z808" s="69"/>
      <c r="AA808" s="69"/>
    </row>
    <row r="809" spans="1:27">
      <c r="A809" s="69"/>
      <c r="B809" s="69"/>
      <c r="C809" s="69"/>
      <c r="D809" s="69"/>
      <c r="E809" s="69"/>
      <c r="F809" s="69"/>
      <c r="G809" s="69"/>
      <c r="H809" s="69"/>
      <c r="I809" s="69"/>
      <c r="J809" s="69"/>
      <c r="K809" s="69"/>
      <c r="L809" s="69"/>
      <c r="M809" s="69"/>
      <c r="N809" s="69"/>
      <c r="O809" s="69"/>
      <c r="P809" s="69"/>
      <c r="Q809" s="69"/>
      <c r="R809" s="69"/>
      <c r="S809" s="69"/>
      <c r="T809" s="69"/>
      <c r="U809" s="69"/>
      <c r="V809" s="69"/>
      <c r="W809" s="69"/>
      <c r="X809" s="69"/>
      <c r="Y809" s="69"/>
      <c r="Z809" s="69"/>
      <c r="AA809" s="69"/>
    </row>
    <row r="810" spans="1:27">
      <c r="A810" s="69"/>
      <c r="B810" s="69"/>
      <c r="C810" s="69"/>
      <c r="D810" s="69"/>
      <c r="E810" s="69"/>
      <c r="F810" s="69"/>
      <c r="G810" s="69"/>
      <c r="H810" s="69"/>
      <c r="I810" s="69"/>
      <c r="J810" s="69"/>
      <c r="K810" s="69"/>
      <c r="L810" s="69"/>
      <c r="M810" s="69"/>
      <c r="N810" s="69"/>
      <c r="O810" s="69"/>
      <c r="P810" s="69"/>
      <c r="Q810" s="69"/>
      <c r="R810" s="69"/>
      <c r="S810" s="69"/>
      <c r="T810" s="69"/>
      <c r="U810" s="69"/>
      <c r="V810" s="69"/>
      <c r="W810" s="69"/>
      <c r="X810" s="69"/>
      <c r="Y810" s="69"/>
      <c r="Z810" s="69"/>
      <c r="AA810" s="69"/>
    </row>
    <row r="811" spans="1:27">
      <c r="A811" s="69"/>
      <c r="B811" s="69"/>
      <c r="C811" s="69"/>
      <c r="D811" s="69"/>
      <c r="E811" s="69"/>
      <c r="F811" s="69"/>
      <c r="G811" s="69"/>
      <c r="H811" s="69"/>
      <c r="I811" s="69"/>
      <c r="J811" s="69"/>
      <c r="K811" s="69"/>
      <c r="L811" s="69"/>
      <c r="M811" s="69"/>
      <c r="N811" s="69"/>
      <c r="O811" s="69"/>
      <c r="P811" s="69"/>
      <c r="Q811" s="69"/>
      <c r="R811" s="69"/>
      <c r="S811" s="69"/>
      <c r="T811" s="69"/>
      <c r="U811" s="69"/>
      <c r="V811" s="69"/>
      <c r="W811" s="69"/>
      <c r="X811" s="69"/>
      <c r="Y811" s="69"/>
      <c r="Z811" s="69"/>
      <c r="AA811" s="69"/>
    </row>
    <row r="812" spans="1:27">
      <c r="A812" s="69"/>
      <c r="B812" s="69"/>
      <c r="C812" s="69"/>
      <c r="D812" s="69"/>
      <c r="E812" s="69"/>
      <c r="F812" s="69"/>
      <c r="G812" s="69"/>
      <c r="H812" s="69"/>
      <c r="I812" s="69"/>
      <c r="J812" s="69"/>
      <c r="K812" s="69"/>
      <c r="L812" s="69"/>
      <c r="M812" s="69"/>
      <c r="N812" s="69"/>
      <c r="O812" s="69"/>
      <c r="P812" s="69"/>
      <c r="Q812" s="69"/>
      <c r="R812" s="69"/>
      <c r="S812" s="69"/>
      <c r="T812" s="69"/>
      <c r="U812" s="69"/>
      <c r="V812" s="69"/>
      <c r="W812" s="69"/>
      <c r="X812" s="69"/>
      <c r="Y812" s="69"/>
      <c r="Z812" s="69"/>
      <c r="AA812" s="69"/>
    </row>
    <row r="813" spans="1:27">
      <c r="A813" s="69"/>
      <c r="B813" s="69"/>
      <c r="C813" s="69"/>
      <c r="D813" s="69"/>
      <c r="E813" s="69"/>
      <c r="F813" s="69"/>
      <c r="G813" s="69"/>
      <c r="H813" s="69"/>
      <c r="I813" s="69"/>
      <c r="J813" s="69"/>
      <c r="K813" s="69"/>
      <c r="L813" s="69"/>
      <c r="M813" s="69"/>
      <c r="N813" s="69"/>
      <c r="O813" s="69"/>
      <c r="P813" s="69"/>
      <c r="Q813" s="69"/>
      <c r="R813" s="69"/>
      <c r="S813" s="69"/>
      <c r="T813" s="69"/>
      <c r="U813" s="69"/>
      <c r="V813" s="69"/>
      <c r="W813" s="69"/>
      <c r="X813" s="69"/>
      <c r="Y813" s="69"/>
      <c r="Z813" s="69"/>
      <c r="AA813" s="69"/>
    </row>
    <row r="814" spans="1:27">
      <c r="A814" s="69"/>
      <c r="B814" s="69"/>
      <c r="C814" s="69"/>
      <c r="D814" s="69"/>
      <c r="E814" s="69"/>
      <c r="F814" s="69"/>
      <c r="G814" s="69"/>
      <c r="H814" s="69"/>
      <c r="I814" s="69"/>
      <c r="J814" s="69"/>
      <c r="K814" s="69"/>
      <c r="L814" s="69"/>
      <c r="M814" s="69"/>
      <c r="N814" s="69"/>
      <c r="O814" s="69"/>
      <c r="P814" s="69"/>
      <c r="Q814" s="69"/>
      <c r="R814" s="69"/>
      <c r="S814" s="69"/>
      <c r="T814" s="69"/>
      <c r="U814" s="69"/>
      <c r="V814" s="69"/>
      <c r="W814" s="69"/>
      <c r="X814" s="69"/>
      <c r="Y814" s="69"/>
      <c r="Z814" s="69"/>
      <c r="AA814" s="69"/>
    </row>
    <row r="815" spans="1:27">
      <c r="A815" s="69"/>
      <c r="B815" s="69"/>
      <c r="C815" s="69"/>
      <c r="D815" s="69"/>
      <c r="E815" s="69"/>
      <c r="F815" s="69"/>
      <c r="G815" s="69"/>
      <c r="H815" s="69"/>
      <c r="I815" s="69"/>
      <c r="J815" s="69"/>
      <c r="K815" s="69"/>
      <c r="L815" s="69"/>
      <c r="M815" s="69"/>
      <c r="N815" s="69"/>
      <c r="O815" s="69"/>
      <c r="P815" s="69"/>
      <c r="Q815" s="69"/>
      <c r="R815" s="69"/>
      <c r="S815" s="69"/>
      <c r="T815" s="69"/>
      <c r="U815" s="69"/>
      <c r="V815" s="69"/>
      <c r="W815" s="69"/>
      <c r="X815" s="69"/>
      <c r="Y815" s="69"/>
      <c r="Z815" s="69"/>
      <c r="AA815" s="69"/>
    </row>
    <row r="816" spans="1:27">
      <c r="A816" s="69"/>
      <c r="B816" s="69"/>
      <c r="C816" s="69"/>
      <c r="D816" s="69"/>
      <c r="E816" s="69"/>
      <c r="F816" s="69"/>
      <c r="G816" s="69"/>
      <c r="H816" s="69"/>
      <c r="I816" s="69"/>
      <c r="J816" s="69"/>
      <c r="K816" s="69"/>
      <c r="L816" s="69"/>
      <c r="M816" s="69"/>
      <c r="N816" s="69"/>
      <c r="O816" s="69"/>
      <c r="P816" s="69"/>
      <c r="Q816" s="69"/>
      <c r="R816" s="69"/>
      <c r="S816" s="69"/>
      <c r="T816" s="69"/>
      <c r="U816" s="69"/>
      <c r="V816" s="69"/>
      <c r="W816" s="69"/>
      <c r="X816" s="69"/>
      <c r="Y816" s="69"/>
      <c r="Z816" s="69"/>
      <c r="AA816" s="69"/>
    </row>
    <row r="817" spans="1:27">
      <c r="A817" s="69"/>
      <c r="B817" s="69"/>
      <c r="C817" s="69"/>
      <c r="D817" s="69"/>
      <c r="E817" s="69"/>
      <c r="F817" s="69"/>
      <c r="G817" s="69"/>
      <c r="H817" s="69"/>
      <c r="I817" s="69"/>
      <c r="J817" s="69"/>
      <c r="K817" s="69"/>
      <c r="L817" s="69"/>
      <c r="M817" s="69"/>
      <c r="N817" s="69"/>
      <c r="O817" s="69"/>
      <c r="P817" s="69"/>
      <c r="Q817" s="69"/>
      <c r="R817" s="69"/>
      <c r="S817" s="69"/>
      <c r="T817" s="69"/>
      <c r="U817" s="69"/>
      <c r="V817" s="69"/>
      <c r="W817" s="69"/>
      <c r="X817" s="69"/>
      <c r="Y817" s="69"/>
      <c r="Z817" s="69"/>
      <c r="AA817" s="69"/>
    </row>
    <row r="818" spans="1:27">
      <c r="A818" s="69"/>
      <c r="B818" s="69"/>
      <c r="C818" s="69"/>
      <c r="D818" s="69"/>
      <c r="E818" s="69"/>
      <c r="F818" s="69"/>
      <c r="G818" s="69"/>
      <c r="H818" s="69"/>
      <c r="I818" s="69"/>
      <c r="J818" s="69"/>
      <c r="K818" s="69"/>
      <c r="L818" s="69"/>
      <c r="M818" s="69"/>
      <c r="N818" s="69"/>
      <c r="O818" s="69"/>
      <c r="P818" s="69"/>
      <c r="Q818" s="69"/>
      <c r="R818" s="69"/>
      <c r="S818" s="69"/>
      <c r="T818" s="69"/>
      <c r="U818" s="69"/>
      <c r="V818" s="69"/>
      <c r="W818" s="69"/>
      <c r="X818" s="69"/>
      <c r="Y818" s="69"/>
      <c r="Z818" s="69"/>
      <c r="AA818" s="69"/>
    </row>
    <row r="819" spans="1:27">
      <c r="A819" s="69"/>
      <c r="B819" s="69"/>
      <c r="C819" s="69"/>
      <c r="D819" s="69"/>
      <c r="E819" s="69"/>
      <c r="F819" s="69"/>
      <c r="G819" s="69"/>
      <c r="H819" s="69"/>
      <c r="I819" s="69"/>
      <c r="J819" s="69"/>
      <c r="K819" s="69"/>
      <c r="L819" s="69"/>
      <c r="M819" s="69"/>
      <c r="N819" s="69"/>
      <c r="O819" s="69"/>
      <c r="P819" s="69"/>
      <c r="Q819" s="69"/>
      <c r="R819" s="69"/>
      <c r="S819" s="69"/>
      <c r="T819" s="69"/>
      <c r="U819" s="69"/>
      <c r="V819" s="69"/>
      <c r="W819" s="69"/>
      <c r="X819" s="69"/>
      <c r="Y819" s="69"/>
      <c r="Z819" s="69"/>
      <c r="AA819" s="69"/>
    </row>
    <row r="820" spans="1:27">
      <c r="A820" s="69"/>
      <c r="B820" s="69"/>
      <c r="C820" s="69"/>
      <c r="D820" s="69"/>
      <c r="E820" s="69"/>
      <c r="F820" s="69"/>
      <c r="G820" s="69"/>
      <c r="H820" s="69"/>
      <c r="I820" s="69"/>
      <c r="J820" s="69"/>
      <c r="K820" s="69"/>
      <c r="L820" s="69"/>
      <c r="M820" s="69"/>
      <c r="N820" s="69"/>
      <c r="O820" s="69"/>
      <c r="P820" s="69"/>
      <c r="Q820" s="69"/>
      <c r="R820" s="69"/>
      <c r="S820" s="69"/>
      <c r="T820" s="69"/>
      <c r="U820" s="69"/>
      <c r="V820" s="69"/>
      <c r="W820" s="69"/>
      <c r="X820" s="69"/>
      <c r="Y820" s="69"/>
      <c r="Z820" s="69"/>
      <c r="AA820" s="69"/>
    </row>
    <row r="821" spans="1:27">
      <c r="A821" s="69"/>
      <c r="B821" s="69"/>
      <c r="C821" s="69"/>
      <c r="D821" s="69"/>
      <c r="E821" s="69"/>
      <c r="F821" s="69"/>
      <c r="G821" s="69"/>
      <c r="H821" s="69"/>
      <c r="I821" s="69"/>
      <c r="J821" s="69"/>
      <c r="K821" s="69"/>
      <c r="L821" s="69"/>
      <c r="M821" s="69"/>
      <c r="N821" s="69"/>
      <c r="O821" s="69"/>
      <c r="P821" s="69"/>
      <c r="Q821" s="69"/>
      <c r="R821" s="69"/>
      <c r="S821" s="69"/>
      <c r="T821" s="69"/>
      <c r="U821" s="69"/>
      <c r="V821" s="69"/>
      <c r="W821" s="69"/>
      <c r="X821" s="69"/>
      <c r="Y821" s="69"/>
      <c r="Z821" s="69"/>
      <c r="AA821" s="69"/>
    </row>
    <row r="822" spans="1:27">
      <c r="A822" s="69"/>
      <c r="B822" s="69"/>
      <c r="C822" s="69"/>
      <c r="D822" s="69"/>
      <c r="E822" s="69"/>
      <c r="F822" s="69"/>
      <c r="G822" s="69"/>
      <c r="H822" s="69"/>
      <c r="I822" s="69"/>
      <c r="J822" s="69"/>
      <c r="K822" s="69"/>
      <c r="L822" s="69"/>
      <c r="M822" s="69"/>
      <c r="N822" s="69"/>
      <c r="O822" s="69"/>
      <c r="P822" s="69"/>
      <c r="Q822" s="69"/>
      <c r="R822" s="69"/>
      <c r="S822" s="69"/>
      <c r="T822" s="69"/>
      <c r="U822" s="69"/>
      <c r="V822" s="69"/>
      <c r="W822" s="69"/>
      <c r="X822" s="69"/>
      <c r="Y822" s="69"/>
      <c r="Z822" s="69"/>
      <c r="AA822" s="69"/>
    </row>
    <row r="823" spans="1:27">
      <c r="A823" s="69"/>
      <c r="B823" s="69"/>
      <c r="C823" s="69"/>
      <c r="D823" s="69"/>
      <c r="E823" s="69"/>
      <c r="F823" s="69"/>
      <c r="G823" s="69"/>
      <c r="H823" s="69"/>
      <c r="I823" s="69"/>
      <c r="J823" s="69"/>
      <c r="K823" s="69"/>
      <c r="L823" s="69"/>
      <c r="M823" s="69"/>
      <c r="N823" s="69"/>
      <c r="O823" s="69"/>
      <c r="P823" s="69"/>
      <c r="Q823" s="69"/>
      <c r="R823" s="69"/>
      <c r="S823" s="69"/>
      <c r="T823" s="69"/>
      <c r="U823" s="69"/>
      <c r="V823" s="69"/>
      <c r="W823" s="69"/>
      <c r="X823" s="69"/>
      <c r="Y823" s="69"/>
      <c r="Z823" s="69"/>
      <c r="AA823" s="69"/>
    </row>
    <row r="824" spans="1:27">
      <c r="A824" s="69"/>
      <c r="B824" s="69"/>
      <c r="C824" s="69"/>
      <c r="D824" s="69"/>
      <c r="E824" s="69"/>
      <c r="F824" s="69"/>
      <c r="G824" s="69"/>
      <c r="H824" s="69"/>
      <c r="I824" s="69"/>
      <c r="J824" s="69"/>
      <c r="K824" s="69"/>
      <c r="L824" s="69"/>
      <c r="M824" s="69"/>
      <c r="N824" s="69"/>
      <c r="O824" s="69"/>
      <c r="P824" s="69"/>
      <c r="Q824" s="69"/>
      <c r="R824" s="69"/>
      <c r="S824" s="69"/>
      <c r="T824" s="69"/>
      <c r="U824" s="69"/>
      <c r="V824" s="69"/>
      <c r="W824" s="69"/>
      <c r="X824" s="69"/>
      <c r="Y824" s="69"/>
      <c r="Z824" s="69"/>
      <c r="AA824" s="69"/>
    </row>
    <row r="825" spans="1:27">
      <c r="A825" s="69"/>
      <c r="B825" s="69"/>
      <c r="C825" s="69"/>
      <c r="D825" s="69"/>
      <c r="E825" s="69"/>
      <c r="F825" s="69"/>
      <c r="G825" s="69"/>
      <c r="H825" s="69"/>
      <c r="I825" s="69"/>
      <c r="J825" s="69"/>
      <c r="K825" s="69"/>
      <c r="L825" s="69"/>
      <c r="M825" s="69"/>
      <c r="N825" s="69"/>
      <c r="O825" s="69"/>
      <c r="P825" s="69"/>
      <c r="Q825" s="69"/>
      <c r="R825" s="69"/>
      <c r="S825" s="69"/>
      <c r="T825" s="69"/>
      <c r="U825" s="69"/>
      <c r="V825" s="69"/>
      <c r="W825" s="69"/>
      <c r="X825" s="69"/>
      <c r="Y825" s="69"/>
      <c r="Z825" s="69"/>
      <c r="AA825" s="69"/>
    </row>
    <row r="826" spans="1:27">
      <c r="A826" s="69"/>
      <c r="B826" s="69"/>
      <c r="C826" s="69"/>
      <c r="D826" s="69"/>
      <c r="E826" s="69"/>
      <c r="F826" s="69"/>
      <c r="G826" s="69"/>
      <c r="H826" s="69"/>
      <c r="I826" s="69"/>
      <c r="J826" s="69"/>
      <c r="K826" s="69"/>
      <c r="L826" s="69"/>
      <c r="M826" s="69"/>
      <c r="N826" s="69"/>
      <c r="O826" s="69"/>
      <c r="P826" s="69"/>
      <c r="Q826" s="69"/>
      <c r="R826" s="69"/>
      <c r="S826" s="69"/>
      <c r="T826" s="69"/>
      <c r="U826" s="69"/>
      <c r="V826" s="69"/>
      <c r="W826" s="69"/>
      <c r="X826" s="69"/>
      <c r="Y826" s="69"/>
      <c r="Z826" s="69"/>
      <c r="AA826" s="69"/>
    </row>
    <row r="827" spans="1:27">
      <c r="A827" s="69"/>
      <c r="B827" s="69"/>
      <c r="C827" s="69"/>
      <c r="D827" s="69"/>
      <c r="E827" s="69"/>
      <c r="F827" s="69"/>
      <c r="G827" s="69"/>
      <c r="H827" s="69"/>
      <c r="I827" s="69"/>
      <c r="J827" s="69"/>
      <c r="K827" s="69"/>
      <c r="L827" s="69"/>
      <c r="M827" s="69"/>
      <c r="N827" s="69"/>
      <c r="O827" s="69"/>
      <c r="P827" s="69"/>
      <c r="Q827" s="69"/>
      <c r="R827" s="69"/>
      <c r="S827" s="69"/>
      <c r="T827" s="69"/>
      <c r="U827" s="69"/>
      <c r="V827" s="69"/>
      <c r="W827" s="69"/>
      <c r="X827" s="69"/>
      <c r="Y827" s="69"/>
      <c r="Z827" s="69"/>
      <c r="AA827" s="69"/>
    </row>
    <row r="828" spans="1:27">
      <c r="A828" s="69"/>
      <c r="B828" s="69"/>
      <c r="C828" s="69"/>
      <c r="D828" s="69"/>
      <c r="E828" s="69"/>
      <c r="F828" s="69"/>
      <c r="G828" s="69"/>
      <c r="H828" s="69"/>
      <c r="I828" s="69"/>
      <c r="J828" s="69"/>
      <c r="K828" s="69"/>
      <c r="L828" s="69"/>
      <c r="M828" s="69"/>
      <c r="N828" s="69"/>
      <c r="O828" s="69"/>
      <c r="P828" s="69"/>
      <c r="Q828" s="69"/>
      <c r="R828" s="69"/>
      <c r="S828" s="69"/>
      <c r="T828" s="69"/>
      <c r="U828" s="69"/>
      <c r="V828" s="69"/>
      <c r="W828" s="69"/>
      <c r="X828" s="69"/>
      <c r="Y828" s="69"/>
      <c r="Z828" s="69"/>
      <c r="AA828" s="69"/>
    </row>
    <row r="829" spans="1:27">
      <c r="A829" s="69"/>
      <c r="B829" s="69"/>
      <c r="C829" s="69"/>
      <c r="D829" s="69"/>
      <c r="E829" s="69"/>
      <c r="F829" s="69"/>
      <c r="G829" s="69"/>
      <c r="H829" s="69"/>
      <c r="I829" s="69"/>
      <c r="J829" s="69"/>
      <c r="K829" s="69"/>
      <c r="L829" s="69"/>
      <c r="M829" s="69"/>
      <c r="N829" s="69"/>
      <c r="O829" s="69"/>
      <c r="P829" s="69"/>
      <c r="Q829" s="69"/>
      <c r="R829" s="69"/>
      <c r="S829" s="69"/>
      <c r="T829" s="69"/>
      <c r="U829" s="69"/>
      <c r="V829" s="69"/>
      <c r="W829" s="69"/>
      <c r="X829" s="69"/>
      <c r="Y829" s="69"/>
      <c r="Z829" s="69"/>
      <c r="AA829" s="69"/>
    </row>
    <row r="830" spans="1:27">
      <c r="A830" s="69"/>
      <c r="B830" s="69"/>
      <c r="C830" s="69"/>
      <c r="D830" s="69"/>
      <c r="E830" s="69"/>
      <c r="F830" s="69"/>
      <c r="G830" s="69"/>
      <c r="H830" s="69"/>
      <c r="I830" s="69"/>
      <c r="J830" s="69"/>
      <c r="K830" s="69"/>
      <c r="L830" s="69"/>
      <c r="M830" s="69"/>
      <c r="N830" s="69"/>
      <c r="O830" s="69"/>
      <c r="P830" s="69"/>
      <c r="Q830" s="69"/>
      <c r="R830" s="69"/>
      <c r="S830" s="69"/>
      <c r="T830" s="69"/>
      <c r="U830" s="69"/>
      <c r="V830" s="69"/>
      <c r="W830" s="69"/>
      <c r="X830" s="69"/>
      <c r="Y830" s="69"/>
      <c r="Z830" s="69"/>
      <c r="AA830" s="69"/>
    </row>
    <row r="831" spans="1:27">
      <c r="A831" s="69"/>
      <c r="B831" s="69"/>
      <c r="C831" s="69"/>
      <c r="D831" s="69"/>
      <c r="E831" s="69"/>
      <c r="F831" s="69"/>
      <c r="G831" s="69"/>
      <c r="H831" s="69"/>
      <c r="I831" s="69"/>
      <c r="J831" s="69"/>
      <c r="K831" s="69"/>
      <c r="L831" s="69"/>
      <c r="M831" s="69"/>
      <c r="N831" s="69"/>
      <c r="O831" s="69"/>
      <c r="P831" s="69"/>
      <c r="Q831" s="69"/>
      <c r="R831" s="69"/>
      <c r="S831" s="69"/>
      <c r="T831" s="69"/>
      <c r="U831" s="69"/>
      <c r="V831" s="69"/>
      <c r="W831" s="69"/>
      <c r="X831" s="69"/>
      <c r="Y831" s="69"/>
      <c r="Z831" s="69"/>
      <c r="AA831" s="69"/>
    </row>
    <row r="832" spans="1:27">
      <c r="A832" s="69"/>
      <c r="B832" s="69"/>
      <c r="C832" s="69"/>
      <c r="D832" s="69"/>
      <c r="E832" s="69"/>
      <c r="F832" s="69"/>
      <c r="G832" s="69"/>
      <c r="H832" s="69"/>
      <c r="I832" s="69"/>
      <c r="J832" s="69"/>
      <c r="K832" s="69"/>
      <c r="L832" s="69"/>
      <c r="M832" s="69"/>
      <c r="N832" s="69"/>
      <c r="O832" s="69"/>
      <c r="P832" s="69"/>
      <c r="Q832" s="69"/>
      <c r="R832" s="69"/>
      <c r="S832" s="69"/>
      <c r="T832" s="69"/>
      <c r="U832" s="69"/>
      <c r="V832" s="69"/>
      <c r="W832" s="69"/>
      <c r="X832" s="69"/>
      <c r="Y832" s="69"/>
      <c r="Z832" s="69"/>
      <c r="AA832" s="69"/>
    </row>
    <row r="833" spans="1:27">
      <c r="A833" s="69"/>
      <c r="B833" s="69"/>
      <c r="C833" s="69"/>
      <c r="D833" s="69"/>
      <c r="E833" s="69"/>
      <c r="F833" s="69"/>
      <c r="G833" s="69"/>
      <c r="H833" s="69"/>
      <c r="I833" s="69"/>
      <c r="J833" s="69"/>
      <c r="K833" s="69"/>
      <c r="L833" s="69"/>
      <c r="M833" s="69"/>
      <c r="N833" s="69"/>
      <c r="O833" s="69"/>
      <c r="P833" s="69"/>
      <c r="Q833" s="69"/>
      <c r="R833" s="69"/>
      <c r="S833" s="69"/>
      <c r="T833" s="69"/>
      <c r="U833" s="69"/>
      <c r="V833" s="69"/>
      <c r="W833" s="69"/>
      <c r="X833" s="69"/>
      <c r="Y833" s="69"/>
      <c r="Z833" s="69"/>
      <c r="AA833" s="69"/>
    </row>
    <row r="834" spans="1:27">
      <c r="A834" s="69"/>
      <c r="B834" s="69"/>
      <c r="C834" s="69"/>
      <c r="D834" s="69"/>
      <c r="E834" s="69"/>
      <c r="F834" s="69"/>
      <c r="G834" s="69"/>
      <c r="H834" s="69"/>
      <c r="I834" s="69"/>
      <c r="J834" s="69"/>
      <c r="K834" s="69"/>
      <c r="L834" s="69"/>
      <c r="M834" s="69"/>
      <c r="N834" s="69"/>
      <c r="O834" s="69"/>
      <c r="P834" s="69"/>
      <c r="Q834" s="69"/>
      <c r="R834" s="69"/>
      <c r="S834" s="69"/>
      <c r="T834" s="69"/>
      <c r="U834" s="69"/>
      <c r="V834" s="69"/>
      <c r="W834" s="69"/>
      <c r="X834" s="69"/>
      <c r="Y834" s="69"/>
      <c r="Z834" s="69"/>
      <c r="AA834" s="69"/>
    </row>
    <row r="835" spans="1:27">
      <c r="A835" s="69"/>
      <c r="B835" s="69"/>
      <c r="C835" s="69"/>
      <c r="D835" s="69"/>
      <c r="E835" s="69"/>
      <c r="F835" s="69"/>
      <c r="G835" s="69"/>
      <c r="H835" s="69"/>
      <c r="I835" s="69"/>
      <c r="J835" s="69"/>
      <c r="K835" s="69"/>
      <c r="L835" s="69"/>
      <c r="M835" s="69"/>
      <c r="N835" s="69"/>
      <c r="O835" s="69"/>
      <c r="P835" s="69"/>
      <c r="Q835" s="69"/>
      <c r="R835" s="69"/>
      <c r="S835" s="69"/>
      <c r="T835" s="69"/>
      <c r="U835" s="69"/>
      <c r="V835" s="69"/>
      <c r="W835" s="69"/>
      <c r="X835" s="69"/>
      <c r="Y835" s="69"/>
      <c r="Z835" s="69"/>
      <c r="AA835" s="69"/>
    </row>
    <row r="836" spans="1:27">
      <c r="A836" s="69"/>
      <c r="B836" s="69"/>
      <c r="C836" s="69"/>
      <c r="D836" s="69"/>
      <c r="E836" s="69"/>
      <c r="F836" s="69"/>
      <c r="G836" s="69"/>
      <c r="H836" s="69"/>
      <c r="I836" s="69"/>
      <c r="J836" s="69"/>
      <c r="K836" s="69"/>
      <c r="L836" s="69"/>
      <c r="M836" s="69"/>
      <c r="N836" s="69"/>
      <c r="O836" s="69"/>
      <c r="P836" s="69"/>
      <c r="Q836" s="69"/>
      <c r="R836" s="69"/>
      <c r="S836" s="69"/>
      <c r="T836" s="69"/>
      <c r="U836" s="69"/>
      <c r="V836" s="69"/>
      <c r="W836" s="69"/>
      <c r="X836" s="69"/>
      <c r="Y836" s="69"/>
      <c r="Z836" s="69"/>
      <c r="AA836" s="69"/>
    </row>
    <row r="837" spans="1:27">
      <c r="A837" s="69"/>
      <c r="B837" s="69"/>
      <c r="C837" s="69"/>
      <c r="D837" s="69"/>
      <c r="E837" s="69"/>
      <c r="F837" s="69"/>
      <c r="G837" s="69"/>
      <c r="H837" s="69"/>
      <c r="I837" s="69"/>
      <c r="J837" s="69"/>
      <c r="K837" s="69"/>
      <c r="L837" s="69"/>
      <c r="M837" s="69"/>
      <c r="N837" s="69"/>
      <c r="O837" s="69"/>
      <c r="P837" s="69"/>
      <c r="Q837" s="69"/>
      <c r="R837" s="69"/>
      <c r="S837" s="69"/>
      <c r="T837" s="69"/>
      <c r="U837" s="69"/>
      <c r="V837" s="69"/>
      <c r="W837" s="69"/>
      <c r="X837" s="69"/>
      <c r="Y837" s="69"/>
      <c r="Z837" s="69"/>
      <c r="AA837" s="69"/>
    </row>
    <row r="838" spans="1:27">
      <c r="A838" s="69"/>
      <c r="B838" s="69"/>
      <c r="C838" s="69"/>
      <c r="D838" s="69"/>
      <c r="E838" s="69"/>
      <c r="F838" s="69"/>
      <c r="G838" s="69"/>
      <c r="H838" s="69"/>
      <c r="I838" s="69"/>
      <c r="J838" s="69"/>
      <c r="K838" s="69"/>
      <c r="L838" s="69"/>
      <c r="M838" s="69"/>
      <c r="N838" s="69"/>
      <c r="O838" s="69"/>
      <c r="P838" s="69"/>
      <c r="Q838" s="69"/>
      <c r="R838" s="69"/>
      <c r="S838" s="69"/>
      <c r="T838" s="69"/>
      <c r="U838" s="69"/>
      <c r="V838" s="69"/>
      <c r="W838" s="69"/>
      <c r="X838" s="69"/>
      <c r="Y838" s="69"/>
      <c r="Z838" s="69"/>
      <c r="AA838" s="69"/>
    </row>
    <row r="839" spans="1:27">
      <c r="A839" s="69"/>
      <c r="B839" s="69"/>
      <c r="C839" s="69"/>
      <c r="D839" s="69"/>
      <c r="E839" s="69"/>
      <c r="F839" s="69"/>
      <c r="G839" s="69"/>
      <c r="H839" s="69"/>
      <c r="I839" s="69"/>
      <c r="J839" s="69"/>
      <c r="K839" s="69"/>
      <c r="L839" s="69"/>
      <c r="M839" s="69"/>
      <c r="N839" s="69"/>
      <c r="O839" s="69"/>
      <c r="P839" s="69"/>
      <c r="Q839" s="69"/>
      <c r="R839" s="69"/>
      <c r="S839" s="69"/>
      <c r="T839" s="69"/>
      <c r="U839" s="69"/>
      <c r="V839" s="69"/>
      <c r="W839" s="69"/>
      <c r="X839" s="69"/>
      <c r="Y839" s="69"/>
      <c r="Z839" s="69"/>
      <c r="AA839" s="69"/>
    </row>
    <row r="840" spans="1:27">
      <c r="A840" s="69"/>
      <c r="B840" s="69"/>
      <c r="C840" s="69"/>
      <c r="D840" s="69"/>
      <c r="E840" s="69"/>
      <c r="F840" s="69"/>
      <c r="G840" s="69"/>
      <c r="H840" s="69"/>
      <c r="I840" s="69"/>
      <c r="J840" s="69"/>
      <c r="K840" s="69"/>
      <c r="L840" s="69"/>
      <c r="M840" s="69"/>
      <c r="N840" s="69"/>
      <c r="O840" s="69"/>
      <c r="P840" s="69"/>
      <c r="Q840" s="69"/>
      <c r="R840" s="69"/>
      <c r="S840" s="69"/>
      <c r="T840" s="69"/>
      <c r="U840" s="69"/>
      <c r="V840" s="69"/>
      <c r="W840" s="69"/>
      <c r="X840" s="69"/>
      <c r="Y840" s="69"/>
      <c r="Z840" s="69"/>
      <c r="AA840" s="69"/>
    </row>
    <row r="841" spans="1:27">
      <c r="A841" s="69"/>
      <c r="B841" s="69"/>
      <c r="C841" s="69"/>
      <c r="D841" s="69"/>
      <c r="E841" s="69"/>
      <c r="F841" s="69"/>
      <c r="G841" s="69"/>
      <c r="H841" s="69"/>
      <c r="I841" s="69"/>
      <c r="J841" s="69"/>
      <c r="K841" s="69"/>
      <c r="L841" s="69"/>
      <c r="M841" s="69"/>
      <c r="N841" s="69"/>
      <c r="O841" s="69"/>
      <c r="P841" s="69"/>
      <c r="Q841" s="69"/>
      <c r="R841" s="69"/>
      <c r="S841" s="69"/>
      <c r="T841" s="69"/>
      <c r="U841" s="69"/>
      <c r="V841" s="69"/>
      <c r="W841" s="69"/>
      <c r="X841" s="69"/>
      <c r="Y841" s="69"/>
      <c r="Z841" s="69"/>
      <c r="AA841" s="69"/>
    </row>
    <row r="842" spans="1:27">
      <c r="A842" s="69"/>
      <c r="B842" s="69"/>
      <c r="C842" s="69"/>
      <c r="D842" s="69"/>
      <c r="E842" s="69"/>
      <c r="F842" s="69"/>
      <c r="G842" s="69"/>
      <c r="H842" s="69"/>
      <c r="I842" s="69"/>
      <c r="J842" s="69"/>
      <c r="K842" s="69"/>
      <c r="L842" s="69"/>
      <c r="M842" s="69"/>
      <c r="N842" s="69"/>
      <c r="O842" s="69"/>
      <c r="P842" s="69"/>
      <c r="Q842" s="69"/>
      <c r="R842" s="69"/>
      <c r="S842" s="69"/>
      <c r="T842" s="69"/>
      <c r="U842" s="69"/>
      <c r="V842" s="69"/>
      <c r="W842" s="69"/>
      <c r="X842" s="69"/>
      <c r="Y842" s="69"/>
      <c r="Z842" s="69"/>
      <c r="AA842" s="69"/>
    </row>
    <row r="843" spans="1:27">
      <c r="A843" s="69"/>
      <c r="B843" s="69"/>
      <c r="C843" s="69"/>
      <c r="D843" s="69"/>
      <c r="E843" s="69"/>
      <c r="F843" s="69"/>
      <c r="G843" s="69"/>
      <c r="H843" s="69"/>
      <c r="I843" s="69"/>
      <c r="J843" s="69"/>
      <c r="K843" s="69"/>
      <c r="L843" s="69"/>
      <c r="M843" s="69"/>
      <c r="N843" s="69"/>
      <c r="O843" s="69"/>
      <c r="P843" s="69"/>
      <c r="Q843" s="69"/>
      <c r="R843" s="69"/>
      <c r="S843" s="69"/>
      <c r="T843" s="69"/>
      <c r="U843" s="69"/>
      <c r="V843" s="69"/>
      <c r="W843" s="69"/>
      <c r="X843" s="69"/>
      <c r="Y843" s="69"/>
      <c r="Z843" s="69"/>
      <c r="AA843" s="69"/>
    </row>
    <row r="844" spans="1:27">
      <c r="A844" s="69"/>
      <c r="B844" s="69"/>
      <c r="C844" s="69"/>
      <c r="D844" s="69"/>
      <c r="E844" s="69"/>
      <c r="F844" s="69"/>
      <c r="G844" s="69"/>
      <c r="H844" s="69"/>
      <c r="I844" s="69"/>
      <c r="J844" s="69"/>
      <c r="K844" s="69"/>
      <c r="L844" s="69"/>
      <c r="M844" s="69"/>
      <c r="N844" s="69"/>
      <c r="O844" s="69"/>
      <c r="P844" s="69"/>
      <c r="Q844" s="69"/>
      <c r="R844" s="69"/>
      <c r="S844" s="69"/>
      <c r="T844" s="69"/>
      <c r="U844" s="69"/>
      <c r="V844" s="69"/>
      <c r="W844" s="69"/>
      <c r="X844" s="69"/>
      <c r="Y844" s="69"/>
      <c r="Z844" s="69"/>
      <c r="AA844" s="69"/>
    </row>
    <row r="845" spans="1:27">
      <c r="A845" s="69"/>
      <c r="B845" s="69"/>
      <c r="C845" s="69"/>
      <c r="D845" s="69"/>
      <c r="E845" s="69"/>
      <c r="F845" s="69"/>
      <c r="G845" s="69"/>
      <c r="H845" s="69"/>
      <c r="I845" s="69"/>
      <c r="J845" s="69"/>
      <c r="K845" s="69"/>
      <c r="L845" s="69"/>
      <c r="M845" s="69"/>
      <c r="N845" s="69"/>
      <c r="O845" s="69"/>
      <c r="P845" s="69"/>
      <c r="Q845" s="69"/>
      <c r="R845" s="69"/>
      <c r="S845" s="69"/>
      <c r="T845" s="69"/>
      <c r="U845" s="69"/>
      <c r="V845" s="69"/>
      <c r="W845" s="69"/>
      <c r="X845" s="69"/>
      <c r="Y845" s="69"/>
      <c r="Z845" s="69"/>
      <c r="AA845" s="69"/>
    </row>
    <row r="846" spans="1:27">
      <c r="A846" s="69"/>
      <c r="B846" s="69"/>
      <c r="C846" s="69"/>
      <c r="D846" s="69"/>
      <c r="E846" s="69"/>
      <c r="F846" s="69"/>
      <c r="G846" s="69"/>
      <c r="H846" s="69"/>
      <c r="I846" s="69"/>
      <c r="J846" s="69"/>
      <c r="K846" s="69"/>
      <c r="L846" s="69"/>
      <c r="M846" s="69"/>
      <c r="N846" s="69"/>
      <c r="O846" s="69"/>
      <c r="P846" s="69"/>
      <c r="Q846" s="69"/>
      <c r="R846" s="69"/>
      <c r="S846" s="69"/>
      <c r="T846" s="69"/>
      <c r="U846" s="69"/>
      <c r="V846" s="69"/>
      <c r="W846" s="69"/>
      <c r="X846" s="69"/>
      <c r="Y846" s="69"/>
      <c r="Z846" s="69"/>
      <c r="AA846" s="69"/>
    </row>
    <row r="847" spans="1:27">
      <c r="A847" s="69"/>
      <c r="B847" s="69"/>
      <c r="C847" s="69"/>
      <c r="D847" s="69"/>
      <c r="E847" s="69"/>
      <c r="F847" s="69"/>
      <c r="G847" s="69"/>
      <c r="H847" s="69"/>
      <c r="I847" s="69"/>
      <c r="J847" s="69"/>
      <c r="K847" s="69"/>
      <c r="L847" s="69"/>
      <c r="M847" s="69"/>
      <c r="N847" s="69"/>
      <c r="O847" s="69"/>
      <c r="P847" s="69"/>
      <c r="Q847" s="69"/>
      <c r="R847" s="69"/>
      <c r="S847" s="69"/>
      <c r="T847" s="69"/>
      <c r="U847" s="69"/>
      <c r="V847" s="69"/>
      <c r="W847" s="69"/>
      <c r="X847" s="69"/>
      <c r="Y847" s="69"/>
      <c r="Z847" s="69"/>
      <c r="AA847" s="69"/>
    </row>
    <row r="848" spans="1:27">
      <c r="A848" s="69"/>
      <c r="B848" s="69"/>
      <c r="C848" s="69"/>
      <c r="D848" s="69"/>
      <c r="E848" s="69"/>
      <c r="F848" s="69"/>
      <c r="G848" s="69"/>
      <c r="H848" s="69"/>
      <c r="I848" s="69"/>
      <c r="J848" s="69"/>
      <c r="K848" s="69"/>
      <c r="L848" s="69"/>
      <c r="M848" s="69"/>
      <c r="N848" s="69"/>
      <c r="O848" s="69"/>
      <c r="P848" s="69"/>
      <c r="Q848" s="69"/>
      <c r="R848" s="69"/>
      <c r="S848" s="69"/>
      <c r="T848" s="69"/>
      <c r="U848" s="69"/>
      <c r="V848" s="69"/>
      <c r="W848" s="69"/>
      <c r="X848" s="69"/>
      <c r="Y848" s="69"/>
      <c r="Z848" s="69"/>
      <c r="AA848" s="69"/>
    </row>
    <row r="849" spans="1:27">
      <c r="A849" s="69"/>
      <c r="B849" s="69"/>
      <c r="C849" s="69"/>
      <c r="D849" s="69"/>
      <c r="E849" s="69"/>
      <c r="F849" s="69"/>
      <c r="G849" s="69"/>
      <c r="H849" s="69"/>
      <c r="I849" s="69"/>
      <c r="J849" s="69"/>
      <c r="K849" s="69"/>
      <c r="L849" s="69"/>
      <c r="M849" s="69"/>
      <c r="N849" s="69"/>
      <c r="O849" s="69"/>
      <c r="P849" s="69"/>
      <c r="Q849" s="69"/>
      <c r="R849" s="69"/>
      <c r="S849" s="69"/>
      <c r="T849" s="69"/>
      <c r="U849" s="69"/>
      <c r="V849" s="69"/>
      <c r="W849" s="69"/>
      <c r="X849" s="69"/>
      <c r="Y849" s="69"/>
      <c r="Z849" s="69"/>
      <c r="AA849" s="69"/>
    </row>
    <row r="850" spans="1:27">
      <c r="A850" s="69"/>
      <c r="B850" s="69"/>
      <c r="C850" s="69"/>
      <c r="D850" s="69"/>
      <c r="E850" s="69"/>
      <c r="F850" s="69"/>
      <c r="G850" s="69"/>
      <c r="H850" s="69"/>
      <c r="I850" s="69"/>
      <c r="J850" s="69"/>
      <c r="K850" s="69"/>
      <c r="L850" s="69"/>
      <c r="M850" s="69"/>
      <c r="N850" s="69"/>
      <c r="O850" s="69"/>
      <c r="P850" s="69"/>
      <c r="Q850" s="69"/>
      <c r="R850" s="69"/>
      <c r="S850" s="69"/>
      <c r="T850" s="69"/>
      <c r="U850" s="69"/>
      <c r="V850" s="69"/>
      <c r="W850" s="69"/>
      <c r="X850" s="69"/>
      <c r="Y850" s="69"/>
      <c r="Z850" s="69"/>
      <c r="AA850" s="69"/>
    </row>
    <row r="851" spans="1:27">
      <c r="A851" s="69"/>
      <c r="B851" s="69"/>
      <c r="C851" s="69"/>
      <c r="D851" s="69"/>
      <c r="E851" s="69"/>
      <c r="F851" s="69"/>
      <c r="G851" s="69"/>
      <c r="H851" s="69"/>
      <c r="I851" s="69"/>
      <c r="J851" s="69"/>
      <c r="K851" s="69"/>
      <c r="L851" s="69"/>
      <c r="M851" s="69"/>
      <c r="N851" s="69"/>
      <c r="O851" s="69"/>
      <c r="P851" s="69"/>
      <c r="Q851" s="69"/>
      <c r="R851" s="69"/>
      <c r="S851" s="69"/>
      <c r="T851" s="69"/>
      <c r="U851" s="69"/>
      <c r="V851" s="69"/>
      <c r="W851" s="69"/>
      <c r="X851" s="69"/>
      <c r="Y851" s="69"/>
      <c r="Z851" s="69"/>
      <c r="AA851" s="69"/>
    </row>
    <row r="852" spans="1:27">
      <c r="A852" s="69"/>
      <c r="B852" s="69"/>
      <c r="C852" s="69"/>
      <c r="D852" s="69"/>
      <c r="E852" s="69"/>
      <c r="F852" s="69"/>
      <c r="G852" s="69"/>
      <c r="H852" s="69"/>
      <c r="I852" s="69"/>
      <c r="J852" s="69"/>
      <c r="K852" s="69"/>
      <c r="L852" s="69"/>
      <c r="M852" s="69"/>
      <c r="N852" s="69"/>
      <c r="O852" s="69"/>
      <c r="P852" s="69"/>
      <c r="Q852" s="69"/>
      <c r="R852" s="69"/>
      <c r="S852" s="69"/>
      <c r="T852" s="69"/>
      <c r="U852" s="69"/>
      <c r="V852" s="69"/>
      <c r="W852" s="69"/>
      <c r="X852" s="69"/>
      <c r="Y852" s="69"/>
      <c r="Z852" s="69"/>
      <c r="AA852" s="69"/>
    </row>
    <row r="853" spans="1:27">
      <c r="A853" s="69"/>
      <c r="B853" s="69"/>
      <c r="C853" s="69"/>
      <c r="D853" s="69"/>
      <c r="E853" s="69"/>
      <c r="F853" s="69"/>
      <c r="G853" s="69"/>
      <c r="H853" s="69"/>
      <c r="I853" s="69"/>
      <c r="J853" s="69"/>
      <c r="K853" s="69"/>
      <c r="L853" s="69"/>
      <c r="M853" s="69"/>
      <c r="N853" s="69"/>
      <c r="O853" s="69"/>
      <c r="P853" s="69"/>
      <c r="Q853" s="69"/>
      <c r="R853" s="69"/>
      <c r="S853" s="69"/>
      <c r="T853" s="69"/>
      <c r="U853" s="69"/>
      <c r="V853" s="69"/>
      <c r="W853" s="69"/>
      <c r="X853" s="69"/>
      <c r="Y853" s="69"/>
      <c r="Z853" s="69"/>
      <c r="AA853" s="69"/>
    </row>
    <row r="854" spans="1:27">
      <c r="A854" s="69"/>
      <c r="B854" s="69"/>
      <c r="C854" s="69"/>
      <c r="D854" s="69"/>
      <c r="E854" s="69"/>
      <c r="F854" s="69"/>
      <c r="G854" s="69"/>
      <c r="H854" s="69"/>
      <c r="I854" s="69"/>
      <c r="J854" s="69"/>
      <c r="K854" s="69"/>
      <c r="L854" s="69"/>
      <c r="M854" s="69"/>
      <c r="N854" s="69"/>
      <c r="O854" s="69"/>
      <c r="P854" s="69"/>
      <c r="Q854" s="69"/>
      <c r="R854" s="69"/>
      <c r="S854" s="69"/>
      <c r="T854" s="69"/>
      <c r="U854" s="69"/>
      <c r="V854" s="69"/>
      <c r="W854" s="69"/>
      <c r="X854" s="69"/>
      <c r="Y854" s="69"/>
      <c r="Z854" s="69"/>
      <c r="AA854" s="69"/>
    </row>
    <row r="855" spans="1:27">
      <c r="A855" s="69"/>
      <c r="B855" s="69"/>
      <c r="C855" s="69"/>
      <c r="D855" s="69"/>
      <c r="E855" s="69"/>
      <c r="F855" s="69"/>
      <c r="G855" s="69"/>
      <c r="H855" s="69"/>
      <c r="I855" s="69"/>
      <c r="J855" s="69"/>
      <c r="K855" s="69"/>
      <c r="L855" s="69"/>
      <c r="M855" s="69"/>
      <c r="N855" s="69"/>
      <c r="O855" s="69"/>
      <c r="P855" s="69"/>
      <c r="Q855" s="69"/>
      <c r="R855" s="69"/>
      <c r="S855" s="69"/>
      <c r="T855" s="69"/>
      <c r="U855" s="69"/>
      <c r="V855" s="69"/>
      <c r="W855" s="69"/>
      <c r="X855" s="69"/>
      <c r="Y855" s="69"/>
      <c r="Z855" s="69"/>
      <c r="AA855" s="69"/>
    </row>
    <row r="856" spans="1:27">
      <c r="A856" s="69"/>
      <c r="B856" s="69"/>
      <c r="C856" s="69"/>
      <c r="D856" s="69"/>
      <c r="E856" s="69"/>
      <c r="F856" s="69"/>
      <c r="G856" s="69"/>
      <c r="H856" s="69"/>
      <c r="I856" s="69"/>
      <c r="J856" s="69"/>
      <c r="K856" s="69"/>
      <c r="L856" s="69"/>
      <c r="M856" s="69"/>
      <c r="N856" s="69"/>
      <c r="O856" s="69"/>
      <c r="P856" s="69"/>
      <c r="Q856" s="69"/>
      <c r="R856" s="69"/>
      <c r="S856" s="69"/>
      <c r="T856" s="69"/>
      <c r="U856" s="69"/>
      <c r="V856" s="69"/>
      <c r="W856" s="69"/>
      <c r="X856" s="69"/>
      <c r="Y856" s="69"/>
      <c r="Z856" s="69"/>
      <c r="AA856" s="69"/>
    </row>
    <row r="857" spans="1:27">
      <c r="A857" s="69"/>
      <c r="B857" s="69"/>
      <c r="C857" s="69"/>
      <c r="D857" s="69"/>
      <c r="E857" s="69"/>
      <c r="F857" s="69"/>
      <c r="G857" s="69"/>
      <c r="H857" s="69"/>
      <c r="I857" s="69"/>
      <c r="J857" s="69"/>
      <c r="K857" s="69"/>
      <c r="L857" s="69"/>
      <c r="M857" s="69"/>
      <c r="N857" s="69"/>
      <c r="O857" s="69"/>
      <c r="P857" s="69"/>
      <c r="Q857" s="69"/>
      <c r="R857" s="69"/>
      <c r="S857" s="69"/>
      <c r="T857" s="69"/>
      <c r="U857" s="69"/>
      <c r="V857" s="69"/>
      <c r="W857" s="69"/>
      <c r="X857" s="69"/>
      <c r="Y857" s="69"/>
      <c r="Z857" s="69"/>
      <c r="AA857" s="69"/>
    </row>
    <row r="858" spans="1:27">
      <c r="A858" s="69"/>
      <c r="B858" s="69"/>
      <c r="C858" s="69"/>
      <c r="D858" s="69"/>
      <c r="E858" s="69"/>
      <c r="F858" s="69"/>
      <c r="G858" s="69"/>
      <c r="H858" s="69"/>
      <c r="I858" s="69"/>
      <c r="J858" s="69"/>
      <c r="K858" s="69"/>
      <c r="L858" s="69"/>
      <c r="M858" s="69"/>
      <c r="N858" s="69"/>
      <c r="O858" s="69"/>
      <c r="P858" s="69"/>
      <c r="Q858" s="69"/>
      <c r="R858" s="69"/>
      <c r="S858" s="69"/>
      <c r="T858" s="69"/>
      <c r="U858" s="69"/>
      <c r="V858" s="69"/>
      <c r="W858" s="69"/>
      <c r="X858" s="69"/>
      <c r="Y858" s="69"/>
      <c r="Z858" s="69"/>
      <c r="AA858" s="69"/>
    </row>
    <row r="859" spans="1:27">
      <c r="A859" s="69"/>
      <c r="B859" s="69"/>
      <c r="C859" s="69"/>
      <c r="D859" s="69"/>
      <c r="E859" s="69"/>
      <c r="F859" s="69"/>
      <c r="G859" s="69"/>
      <c r="H859" s="69"/>
      <c r="I859" s="69"/>
      <c r="J859" s="69"/>
      <c r="K859" s="69"/>
      <c r="L859" s="69"/>
      <c r="M859" s="69"/>
      <c r="N859" s="69"/>
      <c r="O859" s="69"/>
      <c r="P859" s="69"/>
      <c r="Q859" s="69"/>
      <c r="R859" s="69"/>
      <c r="S859" s="69"/>
      <c r="T859" s="69"/>
      <c r="U859" s="69"/>
      <c r="V859" s="69"/>
      <c r="W859" s="69"/>
      <c r="X859" s="69"/>
      <c r="Y859" s="69"/>
      <c r="Z859" s="69"/>
      <c r="AA859" s="69"/>
    </row>
    <row r="860" spans="1:27">
      <c r="A860" s="69"/>
      <c r="B860" s="69"/>
      <c r="C860" s="69"/>
      <c r="D860" s="69"/>
      <c r="E860" s="69"/>
      <c r="F860" s="69"/>
      <c r="G860" s="69"/>
      <c r="H860" s="69"/>
      <c r="I860" s="69"/>
      <c r="J860" s="69"/>
      <c r="K860" s="69"/>
      <c r="L860" s="69"/>
      <c r="M860" s="69"/>
      <c r="N860" s="69"/>
      <c r="O860" s="69"/>
      <c r="P860" s="69"/>
      <c r="Q860" s="69"/>
      <c r="R860" s="69"/>
      <c r="S860" s="69"/>
      <c r="T860" s="69"/>
      <c r="U860" s="69"/>
      <c r="V860" s="69"/>
      <c r="W860" s="69"/>
      <c r="X860" s="69"/>
      <c r="Y860" s="69"/>
      <c r="Z860" s="69"/>
      <c r="AA860" s="69"/>
    </row>
    <row r="861" spans="1:27">
      <c r="A861" s="69"/>
      <c r="B861" s="69"/>
      <c r="C861" s="69"/>
      <c r="D861" s="69"/>
      <c r="E861" s="69"/>
      <c r="F861" s="69"/>
      <c r="G861" s="69"/>
      <c r="H861" s="69"/>
      <c r="I861" s="69"/>
      <c r="J861" s="69"/>
      <c r="K861" s="69"/>
      <c r="L861" s="69"/>
      <c r="M861" s="69"/>
      <c r="N861" s="69"/>
      <c r="O861" s="69"/>
      <c r="P861" s="69"/>
      <c r="Q861" s="69"/>
      <c r="R861" s="69"/>
      <c r="S861" s="69"/>
      <c r="T861" s="69"/>
      <c r="U861" s="69"/>
      <c r="V861" s="69"/>
      <c r="W861" s="69"/>
      <c r="X861" s="69"/>
      <c r="Y861" s="69"/>
      <c r="Z861" s="69"/>
      <c r="AA861" s="69"/>
    </row>
    <row r="862" spans="1:27">
      <c r="A862" s="69"/>
      <c r="B862" s="69"/>
      <c r="C862" s="69"/>
      <c r="D862" s="69"/>
      <c r="E862" s="69"/>
      <c r="F862" s="69"/>
      <c r="G862" s="69"/>
      <c r="H862" s="69"/>
      <c r="I862" s="69"/>
      <c r="J862" s="69"/>
      <c r="K862" s="69"/>
      <c r="L862" s="69"/>
      <c r="M862" s="69"/>
      <c r="N862" s="69"/>
      <c r="O862" s="69"/>
      <c r="P862" s="69"/>
      <c r="Q862" s="69"/>
      <c r="R862" s="69"/>
      <c r="S862" s="69"/>
      <c r="T862" s="69"/>
      <c r="U862" s="69"/>
      <c r="V862" s="69"/>
      <c r="W862" s="69"/>
      <c r="X862" s="69"/>
      <c r="Y862" s="69"/>
      <c r="Z862" s="69"/>
      <c r="AA862" s="69"/>
    </row>
    <row r="863" spans="1:27">
      <c r="A863" s="69"/>
      <c r="B863" s="69"/>
      <c r="C863" s="69"/>
      <c r="D863" s="69"/>
      <c r="E863" s="69"/>
      <c r="F863" s="69"/>
      <c r="G863" s="69"/>
      <c r="H863" s="69"/>
      <c r="I863" s="69"/>
      <c r="J863" s="69"/>
      <c r="K863" s="69"/>
      <c r="L863" s="69"/>
      <c r="M863" s="69"/>
      <c r="N863" s="69"/>
      <c r="O863" s="69"/>
      <c r="P863" s="69"/>
      <c r="Q863" s="69"/>
      <c r="R863" s="69"/>
      <c r="S863" s="69"/>
      <c r="T863" s="69"/>
      <c r="U863" s="69"/>
      <c r="V863" s="69"/>
      <c r="W863" s="69"/>
      <c r="X863" s="69"/>
      <c r="Y863" s="69"/>
      <c r="Z863" s="69"/>
      <c r="AA863" s="69"/>
    </row>
    <row r="864" spans="1:27">
      <c r="A864" s="69"/>
      <c r="B864" s="69"/>
      <c r="C864" s="69"/>
      <c r="D864" s="69"/>
      <c r="E864" s="69"/>
      <c r="F864" s="69"/>
      <c r="G864" s="69"/>
      <c r="H864" s="69"/>
      <c r="I864" s="69"/>
      <c r="J864" s="69"/>
      <c r="K864" s="69"/>
      <c r="L864" s="69"/>
      <c r="M864" s="69"/>
      <c r="N864" s="69"/>
      <c r="O864" s="69"/>
      <c r="P864" s="69"/>
      <c r="Q864" s="69"/>
      <c r="R864" s="69"/>
      <c r="S864" s="69"/>
      <c r="T864" s="69"/>
      <c r="U864" s="69"/>
      <c r="V864" s="69"/>
      <c r="W864" s="69"/>
      <c r="X864" s="69"/>
      <c r="Y864" s="69"/>
      <c r="Z864" s="69"/>
      <c r="AA864" s="69"/>
    </row>
    <row r="865" spans="1:27">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row>
    <row r="866" spans="1:27">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row>
    <row r="867" spans="1:27">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row>
    <row r="868" spans="1:27">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row>
    <row r="869" spans="1:27">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row>
    <row r="870" spans="1:27">
      <c r="A870" s="69"/>
      <c r="B870" s="69"/>
      <c r="C870" s="69"/>
      <c r="D870" s="69"/>
      <c r="E870" s="69"/>
      <c r="F870" s="69"/>
      <c r="G870" s="69"/>
      <c r="H870" s="69"/>
      <c r="I870" s="69"/>
      <c r="J870" s="69"/>
      <c r="K870" s="69"/>
      <c r="L870" s="69"/>
      <c r="M870" s="69"/>
      <c r="N870" s="69"/>
      <c r="O870" s="69"/>
      <c r="P870" s="69"/>
      <c r="Q870" s="69"/>
      <c r="R870" s="69"/>
      <c r="S870" s="69"/>
      <c r="T870" s="69"/>
      <c r="U870" s="69"/>
      <c r="V870" s="69"/>
      <c r="W870" s="69"/>
      <c r="X870" s="69"/>
      <c r="Y870" s="69"/>
      <c r="Z870" s="69"/>
      <c r="AA870" s="69"/>
    </row>
    <row r="871" spans="1:27">
      <c r="A871" s="69"/>
      <c r="B871" s="69"/>
      <c r="C871" s="69"/>
      <c r="D871" s="69"/>
      <c r="E871" s="69"/>
      <c r="F871" s="69"/>
      <c r="G871" s="69"/>
      <c r="H871" s="69"/>
      <c r="I871" s="69"/>
      <c r="J871" s="69"/>
      <c r="K871" s="69"/>
      <c r="L871" s="69"/>
      <c r="M871" s="69"/>
      <c r="N871" s="69"/>
      <c r="O871" s="69"/>
      <c r="P871" s="69"/>
      <c r="Q871" s="69"/>
      <c r="R871" s="69"/>
      <c r="S871" s="69"/>
      <c r="T871" s="69"/>
      <c r="U871" s="69"/>
      <c r="V871" s="69"/>
      <c r="W871" s="69"/>
      <c r="X871" s="69"/>
      <c r="Y871" s="69"/>
      <c r="Z871" s="69"/>
      <c r="AA871" s="69"/>
    </row>
    <row r="872" spans="1:27">
      <c r="A872" s="69"/>
      <c r="B872" s="69"/>
      <c r="C872" s="69"/>
      <c r="D872" s="69"/>
      <c r="E872" s="69"/>
      <c r="F872" s="69"/>
      <c r="G872" s="69"/>
      <c r="H872" s="69"/>
      <c r="I872" s="69"/>
      <c r="J872" s="69"/>
      <c r="K872" s="69"/>
      <c r="L872" s="69"/>
      <c r="M872" s="69"/>
      <c r="N872" s="69"/>
      <c r="O872" s="69"/>
      <c r="P872" s="69"/>
      <c r="Q872" s="69"/>
      <c r="R872" s="69"/>
      <c r="S872" s="69"/>
      <c r="T872" s="69"/>
      <c r="U872" s="69"/>
      <c r="V872" s="69"/>
      <c r="W872" s="69"/>
      <c r="X872" s="69"/>
      <c r="Y872" s="69"/>
      <c r="Z872" s="69"/>
      <c r="AA872" s="69"/>
    </row>
    <row r="873" spans="1:27">
      <c r="A873" s="69"/>
      <c r="B873" s="69"/>
      <c r="C873" s="69"/>
      <c r="D873" s="69"/>
      <c r="E873" s="69"/>
      <c r="F873" s="69"/>
      <c r="G873" s="69"/>
      <c r="H873" s="69"/>
      <c r="I873" s="69"/>
      <c r="J873" s="69"/>
      <c r="K873" s="69"/>
      <c r="L873" s="69"/>
      <c r="M873" s="69"/>
      <c r="N873" s="69"/>
      <c r="O873" s="69"/>
      <c r="P873" s="69"/>
      <c r="Q873" s="69"/>
      <c r="R873" s="69"/>
      <c r="S873" s="69"/>
      <c r="T873" s="69"/>
      <c r="U873" s="69"/>
      <c r="V873" s="69"/>
      <c r="W873" s="69"/>
      <c r="X873" s="69"/>
      <c r="Y873" s="69"/>
      <c r="Z873" s="69"/>
      <c r="AA873" s="69"/>
    </row>
    <row r="874" spans="1:27">
      <c r="A874" s="69"/>
      <c r="B874" s="69"/>
      <c r="C874" s="69"/>
      <c r="D874" s="69"/>
      <c r="E874" s="69"/>
      <c r="F874" s="69"/>
      <c r="G874" s="69"/>
      <c r="H874" s="69"/>
      <c r="I874" s="69"/>
      <c r="J874" s="69"/>
      <c r="K874" s="69"/>
      <c r="L874" s="69"/>
      <c r="M874" s="69"/>
      <c r="N874" s="69"/>
      <c r="O874" s="69"/>
      <c r="P874" s="69"/>
      <c r="Q874" s="69"/>
      <c r="R874" s="69"/>
      <c r="S874" s="69"/>
      <c r="T874" s="69"/>
      <c r="U874" s="69"/>
      <c r="V874" s="69"/>
      <c r="W874" s="69"/>
      <c r="X874" s="69"/>
      <c r="Y874" s="69"/>
      <c r="Z874" s="69"/>
      <c r="AA874" s="69"/>
    </row>
    <row r="875" spans="1:27">
      <c r="A875" s="69"/>
      <c r="B875" s="69"/>
      <c r="C875" s="69"/>
      <c r="D875" s="69"/>
      <c r="E875" s="69"/>
      <c r="F875" s="69"/>
      <c r="G875" s="69"/>
      <c r="H875" s="69"/>
      <c r="I875" s="69"/>
      <c r="J875" s="69"/>
      <c r="K875" s="69"/>
      <c r="L875" s="69"/>
      <c r="M875" s="69"/>
      <c r="N875" s="69"/>
      <c r="O875" s="69"/>
      <c r="P875" s="69"/>
      <c r="Q875" s="69"/>
      <c r="R875" s="69"/>
      <c r="S875" s="69"/>
      <c r="T875" s="69"/>
      <c r="U875" s="69"/>
      <c r="V875" s="69"/>
      <c r="W875" s="69"/>
      <c r="X875" s="69"/>
      <c r="Y875" s="69"/>
      <c r="Z875" s="69"/>
      <c r="AA875" s="69"/>
    </row>
    <row r="876" spans="1:27">
      <c r="A876" s="69"/>
      <c r="B876" s="69"/>
      <c r="C876" s="69"/>
      <c r="D876" s="69"/>
      <c r="E876" s="69"/>
      <c r="F876" s="69"/>
      <c r="G876" s="69"/>
      <c r="H876" s="69"/>
      <c r="I876" s="69"/>
      <c r="J876" s="69"/>
      <c r="K876" s="69"/>
      <c r="L876" s="69"/>
      <c r="M876" s="69"/>
      <c r="N876" s="69"/>
      <c r="O876" s="69"/>
      <c r="P876" s="69"/>
      <c r="Q876" s="69"/>
      <c r="R876" s="69"/>
      <c r="S876" s="69"/>
      <c r="T876" s="69"/>
      <c r="U876" s="69"/>
      <c r="V876" s="69"/>
      <c r="W876" s="69"/>
      <c r="X876" s="69"/>
      <c r="Y876" s="69"/>
      <c r="Z876" s="69"/>
      <c r="AA876" s="69"/>
    </row>
    <row r="877" spans="1:27">
      <c r="A877" s="69"/>
      <c r="B877" s="69"/>
      <c r="C877" s="69"/>
      <c r="D877" s="69"/>
      <c r="E877" s="69"/>
      <c r="F877" s="69"/>
      <c r="G877" s="69"/>
      <c r="H877" s="69"/>
      <c r="I877" s="69"/>
      <c r="J877" s="69"/>
      <c r="K877" s="69"/>
      <c r="L877" s="69"/>
      <c r="M877" s="69"/>
      <c r="N877" s="69"/>
      <c r="O877" s="69"/>
      <c r="P877" s="69"/>
      <c r="Q877" s="69"/>
      <c r="R877" s="69"/>
      <c r="S877" s="69"/>
      <c r="T877" s="69"/>
      <c r="U877" s="69"/>
      <c r="V877" s="69"/>
      <c r="W877" s="69"/>
      <c r="X877" s="69"/>
      <c r="Y877" s="69"/>
      <c r="Z877" s="69"/>
      <c r="AA877" s="69"/>
    </row>
    <row r="878" spans="1:27">
      <c r="A878" s="69"/>
      <c r="B878" s="69"/>
      <c r="C878" s="69"/>
      <c r="D878" s="69"/>
      <c r="E878" s="69"/>
      <c r="F878" s="69"/>
      <c r="G878" s="69"/>
      <c r="H878" s="69"/>
      <c r="I878" s="69"/>
      <c r="J878" s="69"/>
      <c r="K878" s="69"/>
      <c r="L878" s="69"/>
      <c r="M878" s="69"/>
      <c r="N878" s="69"/>
      <c r="O878" s="69"/>
      <c r="P878" s="69"/>
      <c r="Q878" s="69"/>
      <c r="R878" s="69"/>
      <c r="S878" s="69"/>
      <c r="T878" s="69"/>
      <c r="U878" s="69"/>
      <c r="V878" s="69"/>
      <c r="W878" s="69"/>
      <c r="X878" s="69"/>
      <c r="Y878" s="69"/>
      <c r="Z878" s="69"/>
      <c r="AA878" s="69"/>
    </row>
    <row r="879" spans="1:27">
      <c r="A879" s="69"/>
      <c r="B879" s="69"/>
      <c r="C879" s="69"/>
      <c r="D879" s="69"/>
      <c r="E879" s="69"/>
      <c r="F879" s="69"/>
      <c r="G879" s="69"/>
      <c r="H879" s="69"/>
      <c r="I879" s="69"/>
      <c r="J879" s="69"/>
      <c r="K879" s="69"/>
      <c r="L879" s="69"/>
      <c r="M879" s="69"/>
      <c r="N879" s="69"/>
      <c r="O879" s="69"/>
      <c r="P879" s="69"/>
      <c r="Q879" s="69"/>
      <c r="R879" s="69"/>
      <c r="S879" s="69"/>
      <c r="T879" s="69"/>
      <c r="U879" s="69"/>
      <c r="V879" s="69"/>
      <c r="W879" s="69"/>
      <c r="X879" s="69"/>
      <c r="Y879" s="69"/>
      <c r="Z879" s="69"/>
      <c r="AA879" s="69"/>
    </row>
    <row r="880" spans="1:27">
      <c r="A880" s="69"/>
      <c r="B880" s="69"/>
      <c r="C880" s="69"/>
      <c r="D880" s="69"/>
      <c r="E880" s="69"/>
      <c r="F880" s="69"/>
      <c r="G880" s="69"/>
      <c r="H880" s="69"/>
      <c r="I880" s="69"/>
      <c r="J880" s="69"/>
      <c r="K880" s="69"/>
      <c r="L880" s="69"/>
      <c r="M880" s="69"/>
      <c r="N880" s="69"/>
      <c r="O880" s="69"/>
      <c r="P880" s="69"/>
      <c r="Q880" s="69"/>
      <c r="R880" s="69"/>
      <c r="S880" s="69"/>
      <c r="T880" s="69"/>
      <c r="U880" s="69"/>
      <c r="V880" s="69"/>
      <c r="W880" s="69"/>
      <c r="X880" s="69"/>
      <c r="Y880" s="69"/>
      <c r="Z880" s="69"/>
      <c r="AA880" s="69"/>
    </row>
    <row r="881" spans="1:27">
      <c r="A881" s="69"/>
      <c r="B881" s="69"/>
      <c r="C881" s="69"/>
      <c r="D881" s="69"/>
      <c r="E881" s="69"/>
      <c r="F881" s="69"/>
      <c r="G881" s="69"/>
      <c r="H881" s="69"/>
      <c r="I881" s="69"/>
      <c r="J881" s="69"/>
      <c r="K881" s="69"/>
      <c r="L881" s="69"/>
      <c r="M881" s="69"/>
      <c r="N881" s="69"/>
      <c r="O881" s="69"/>
      <c r="P881" s="69"/>
      <c r="Q881" s="69"/>
      <c r="R881" s="69"/>
      <c r="S881" s="69"/>
      <c r="T881" s="69"/>
      <c r="U881" s="69"/>
      <c r="V881" s="69"/>
      <c r="W881" s="69"/>
      <c r="X881" s="69"/>
      <c r="Y881" s="69"/>
      <c r="Z881" s="69"/>
      <c r="AA881" s="69"/>
    </row>
    <row r="882" spans="1:27">
      <c r="A882" s="69"/>
      <c r="B882" s="69"/>
      <c r="C882" s="69"/>
      <c r="D882" s="69"/>
      <c r="E882" s="69"/>
      <c r="F882" s="69"/>
      <c r="G882" s="69"/>
      <c r="H882" s="69"/>
      <c r="I882" s="69"/>
      <c r="J882" s="69"/>
      <c r="K882" s="69"/>
      <c r="L882" s="69"/>
      <c r="M882" s="69"/>
      <c r="N882" s="69"/>
      <c r="O882" s="69"/>
      <c r="P882" s="69"/>
      <c r="Q882" s="69"/>
      <c r="R882" s="69"/>
      <c r="S882" s="69"/>
      <c r="T882" s="69"/>
      <c r="U882" s="69"/>
      <c r="V882" s="69"/>
      <c r="W882" s="69"/>
      <c r="X882" s="69"/>
      <c r="Y882" s="69"/>
      <c r="Z882" s="69"/>
      <c r="AA882" s="69"/>
    </row>
    <row r="883" spans="1:27">
      <c r="A883" s="69"/>
      <c r="B883" s="69"/>
      <c r="C883" s="69"/>
      <c r="D883" s="69"/>
      <c r="E883" s="69"/>
      <c r="F883" s="69"/>
      <c r="G883" s="69"/>
      <c r="H883" s="69"/>
      <c r="I883" s="69"/>
      <c r="J883" s="69"/>
      <c r="K883" s="69"/>
      <c r="L883" s="69"/>
      <c r="M883" s="69"/>
      <c r="N883" s="69"/>
      <c r="O883" s="69"/>
      <c r="P883" s="69"/>
      <c r="Q883" s="69"/>
      <c r="R883" s="69"/>
      <c r="S883" s="69"/>
      <c r="T883" s="69"/>
      <c r="U883" s="69"/>
      <c r="V883" s="69"/>
      <c r="W883" s="69"/>
      <c r="X883" s="69"/>
      <c r="Y883" s="69"/>
      <c r="Z883" s="69"/>
      <c r="AA883" s="69"/>
    </row>
    <row r="884" spans="1:27">
      <c r="A884" s="69"/>
      <c r="B884" s="69"/>
      <c r="C884" s="69"/>
      <c r="D884" s="69"/>
      <c r="E884" s="69"/>
      <c r="F884" s="69"/>
      <c r="G884" s="69"/>
      <c r="H884" s="69"/>
      <c r="I884" s="69"/>
      <c r="J884" s="69"/>
      <c r="K884" s="69"/>
      <c r="L884" s="69"/>
      <c r="M884" s="69"/>
      <c r="N884" s="69"/>
      <c r="O884" s="69"/>
      <c r="P884" s="69"/>
      <c r="Q884" s="69"/>
      <c r="R884" s="69"/>
      <c r="S884" s="69"/>
      <c r="T884" s="69"/>
      <c r="U884" s="69"/>
      <c r="V884" s="69"/>
      <c r="W884" s="69"/>
      <c r="X884" s="69"/>
      <c r="Y884" s="69"/>
      <c r="Z884" s="69"/>
      <c r="AA884" s="69"/>
    </row>
    <row r="885" spans="1:27">
      <c r="A885" s="69"/>
      <c r="B885" s="69"/>
      <c r="C885" s="69"/>
      <c r="D885" s="69"/>
      <c r="E885" s="69"/>
      <c r="F885" s="69"/>
      <c r="G885" s="69"/>
      <c r="H885" s="69"/>
      <c r="I885" s="69"/>
      <c r="J885" s="69"/>
      <c r="K885" s="69"/>
      <c r="L885" s="69"/>
      <c r="M885" s="69"/>
      <c r="N885" s="69"/>
      <c r="O885" s="69"/>
      <c r="P885" s="69"/>
      <c r="Q885" s="69"/>
      <c r="R885" s="69"/>
      <c r="S885" s="69"/>
      <c r="T885" s="69"/>
      <c r="U885" s="69"/>
      <c r="V885" s="69"/>
      <c r="W885" s="69"/>
      <c r="X885" s="69"/>
      <c r="Y885" s="69"/>
      <c r="Z885" s="69"/>
      <c r="AA885" s="69"/>
    </row>
    <row r="886" spans="1:27">
      <c r="A886" s="69"/>
      <c r="B886" s="69"/>
      <c r="C886" s="69"/>
      <c r="D886" s="69"/>
      <c r="E886" s="69"/>
      <c r="F886" s="69"/>
      <c r="G886" s="69"/>
      <c r="H886" s="69"/>
      <c r="I886" s="69"/>
      <c r="J886" s="69"/>
      <c r="K886" s="69"/>
      <c r="L886" s="69"/>
      <c r="M886" s="69"/>
      <c r="N886" s="69"/>
      <c r="O886" s="69"/>
      <c r="P886" s="69"/>
      <c r="Q886" s="69"/>
      <c r="R886" s="69"/>
      <c r="S886" s="69"/>
      <c r="T886" s="69"/>
      <c r="U886" s="69"/>
      <c r="V886" s="69"/>
      <c r="W886" s="69"/>
      <c r="X886" s="69"/>
      <c r="Y886" s="69"/>
      <c r="Z886" s="69"/>
      <c r="AA886" s="69"/>
    </row>
    <row r="887" spans="1:27">
      <c r="A887" s="69"/>
      <c r="B887" s="69"/>
      <c r="C887" s="69"/>
      <c r="D887" s="69"/>
      <c r="E887" s="69"/>
      <c r="F887" s="69"/>
      <c r="G887" s="69"/>
      <c r="H887" s="69"/>
      <c r="I887" s="69"/>
      <c r="J887" s="69"/>
      <c r="K887" s="69"/>
      <c r="L887" s="69"/>
      <c r="M887" s="69"/>
      <c r="N887" s="69"/>
      <c r="O887" s="69"/>
      <c r="P887" s="69"/>
      <c r="Q887" s="69"/>
      <c r="R887" s="69"/>
      <c r="S887" s="69"/>
      <c r="T887" s="69"/>
      <c r="U887" s="69"/>
      <c r="V887" s="69"/>
      <c r="W887" s="69"/>
      <c r="X887" s="69"/>
      <c r="Y887" s="69"/>
      <c r="Z887" s="69"/>
      <c r="AA887" s="69"/>
    </row>
    <row r="888" spans="1:27">
      <c r="A888" s="69"/>
      <c r="B888" s="69"/>
      <c r="C888" s="69"/>
      <c r="D888" s="69"/>
      <c r="E888" s="69"/>
      <c r="F888" s="69"/>
      <c r="G888" s="69"/>
      <c r="H888" s="69"/>
      <c r="I888" s="69"/>
      <c r="J888" s="69"/>
      <c r="K888" s="69"/>
      <c r="L888" s="69"/>
      <c r="M888" s="69"/>
      <c r="N888" s="69"/>
      <c r="O888" s="69"/>
      <c r="P888" s="69"/>
      <c r="Q888" s="69"/>
      <c r="R888" s="69"/>
      <c r="S888" s="69"/>
      <c r="T888" s="69"/>
      <c r="U888" s="69"/>
      <c r="V888" s="69"/>
      <c r="W888" s="69"/>
      <c r="X888" s="69"/>
      <c r="Y888" s="69"/>
      <c r="Z888" s="69"/>
      <c r="AA888" s="69"/>
    </row>
    <row r="889" spans="1:27">
      <c r="A889" s="69"/>
      <c r="B889" s="69"/>
      <c r="C889" s="69"/>
      <c r="D889" s="69"/>
      <c r="E889" s="69"/>
      <c r="F889" s="69"/>
      <c r="G889" s="69"/>
      <c r="H889" s="69"/>
      <c r="I889" s="69"/>
      <c r="J889" s="69"/>
      <c r="K889" s="69"/>
      <c r="L889" s="69"/>
      <c r="M889" s="69"/>
      <c r="N889" s="69"/>
      <c r="O889" s="69"/>
      <c r="P889" s="69"/>
      <c r="Q889" s="69"/>
      <c r="R889" s="69"/>
      <c r="S889" s="69"/>
      <c r="T889" s="69"/>
      <c r="U889" s="69"/>
      <c r="V889" s="69"/>
      <c r="W889" s="69"/>
      <c r="X889" s="69"/>
      <c r="Y889" s="69"/>
      <c r="Z889" s="69"/>
      <c r="AA889" s="69"/>
    </row>
    <row r="890" spans="1:27">
      <c r="A890" s="69"/>
      <c r="B890" s="69"/>
      <c r="C890" s="69"/>
      <c r="D890" s="69"/>
      <c r="E890" s="69"/>
      <c r="F890" s="69"/>
      <c r="G890" s="69"/>
      <c r="H890" s="69"/>
      <c r="I890" s="69"/>
      <c r="J890" s="69"/>
      <c r="K890" s="69"/>
      <c r="L890" s="69"/>
      <c r="M890" s="69"/>
      <c r="N890" s="69"/>
      <c r="O890" s="69"/>
      <c r="P890" s="69"/>
      <c r="Q890" s="69"/>
      <c r="R890" s="69"/>
      <c r="S890" s="69"/>
      <c r="T890" s="69"/>
      <c r="U890" s="69"/>
      <c r="V890" s="69"/>
      <c r="W890" s="69"/>
      <c r="X890" s="69"/>
      <c r="Y890" s="69"/>
      <c r="Z890" s="69"/>
      <c r="AA890" s="69"/>
    </row>
    <row r="891" spans="1:27">
      <c r="A891" s="69"/>
      <c r="B891" s="69"/>
      <c r="C891" s="69"/>
      <c r="D891" s="69"/>
      <c r="E891" s="69"/>
      <c r="F891" s="69"/>
      <c r="G891" s="69"/>
      <c r="H891" s="69"/>
      <c r="I891" s="69"/>
      <c r="J891" s="69"/>
      <c r="K891" s="69"/>
      <c r="L891" s="69"/>
      <c r="M891" s="69"/>
      <c r="N891" s="69"/>
      <c r="O891" s="69"/>
      <c r="P891" s="69"/>
      <c r="Q891" s="69"/>
      <c r="R891" s="69"/>
      <c r="S891" s="69"/>
      <c r="T891" s="69"/>
      <c r="U891" s="69"/>
      <c r="V891" s="69"/>
      <c r="W891" s="69"/>
      <c r="X891" s="69"/>
      <c r="Y891" s="69"/>
      <c r="Z891" s="69"/>
      <c r="AA891" s="69"/>
    </row>
    <row r="892" spans="1:27">
      <c r="A892" s="69"/>
      <c r="B892" s="69"/>
      <c r="C892" s="69"/>
      <c r="D892" s="69"/>
      <c r="E892" s="69"/>
      <c r="F892" s="69"/>
      <c r="G892" s="69"/>
      <c r="H892" s="69"/>
      <c r="I892" s="69"/>
      <c r="J892" s="69"/>
      <c r="K892" s="69"/>
      <c r="L892" s="69"/>
      <c r="M892" s="69"/>
      <c r="N892" s="69"/>
      <c r="O892" s="69"/>
      <c r="P892" s="69"/>
      <c r="Q892" s="69"/>
      <c r="R892" s="69"/>
      <c r="S892" s="69"/>
      <c r="T892" s="69"/>
      <c r="U892" s="69"/>
      <c r="V892" s="69"/>
      <c r="W892" s="69"/>
      <c r="X892" s="69"/>
      <c r="Y892" s="69"/>
      <c r="Z892" s="69"/>
      <c r="AA892" s="69"/>
    </row>
    <row r="893" spans="1:27">
      <c r="A893" s="69"/>
      <c r="B893" s="69"/>
      <c r="C893" s="69"/>
      <c r="D893" s="69"/>
      <c r="E893" s="69"/>
      <c r="F893" s="69"/>
      <c r="G893" s="69"/>
      <c r="H893" s="69"/>
      <c r="I893" s="69"/>
      <c r="J893" s="69"/>
      <c r="K893" s="69"/>
      <c r="L893" s="69"/>
      <c r="M893" s="69"/>
      <c r="N893" s="69"/>
      <c r="O893" s="69"/>
      <c r="P893" s="69"/>
      <c r="Q893" s="69"/>
      <c r="R893" s="69"/>
      <c r="S893" s="69"/>
      <c r="T893" s="69"/>
      <c r="U893" s="69"/>
      <c r="V893" s="69"/>
      <c r="W893" s="69"/>
      <c r="X893" s="69"/>
      <c r="Y893" s="69"/>
      <c r="Z893" s="69"/>
      <c r="AA893" s="69"/>
    </row>
    <row r="894" spans="1:27">
      <c r="A894" s="69"/>
      <c r="B894" s="69"/>
      <c r="C894" s="69"/>
      <c r="D894" s="69"/>
      <c r="E894" s="69"/>
      <c r="F894" s="69"/>
      <c r="G894" s="69"/>
      <c r="H894" s="69"/>
      <c r="I894" s="69"/>
      <c r="J894" s="69"/>
      <c r="K894" s="69"/>
      <c r="L894" s="69"/>
      <c r="M894" s="69"/>
      <c r="N894" s="69"/>
      <c r="O894" s="69"/>
      <c r="P894" s="69"/>
      <c r="Q894" s="69"/>
      <c r="R894" s="69"/>
      <c r="S894" s="69"/>
      <c r="T894" s="69"/>
      <c r="U894" s="69"/>
      <c r="V894" s="69"/>
      <c r="W894" s="69"/>
      <c r="X894" s="69"/>
      <c r="Y894" s="69"/>
      <c r="Z894" s="69"/>
      <c r="AA894" s="69"/>
    </row>
    <row r="895" spans="1:27">
      <c r="A895" s="69"/>
      <c r="B895" s="69"/>
      <c r="C895" s="69"/>
      <c r="D895" s="69"/>
      <c r="E895" s="69"/>
      <c r="F895" s="69"/>
      <c r="G895" s="69"/>
      <c r="H895" s="69"/>
      <c r="I895" s="69"/>
      <c r="J895" s="69"/>
      <c r="K895" s="69"/>
      <c r="L895" s="69"/>
      <c r="M895" s="69"/>
      <c r="N895" s="69"/>
      <c r="O895" s="69"/>
      <c r="P895" s="69"/>
      <c r="Q895" s="69"/>
      <c r="R895" s="69"/>
      <c r="S895" s="69"/>
      <c r="T895" s="69"/>
      <c r="U895" s="69"/>
      <c r="V895" s="69"/>
      <c r="W895" s="69"/>
      <c r="X895" s="69"/>
      <c r="Y895" s="69"/>
      <c r="Z895" s="69"/>
      <c r="AA895" s="69"/>
    </row>
    <row r="896" spans="1:27">
      <c r="A896" s="69"/>
      <c r="B896" s="69"/>
      <c r="C896" s="69"/>
      <c r="D896" s="69"/>
      <c r="E896" s="69"/>
      <c r="F896" s="69"/>
      <c r="G896" s="69"/>
      <c r="H896" s="69"/>
      <c r="I896" s="69"/>
      <c r="J896" s="69"/>
      <c r="K896" s="69"/>
      <c r="L896" s="69"/>
      <c r="M896" s="69"/>
      <c r="N896" s="69"/>
      <c r="O896" s="69"/>
      <c r="P896" s="69"/>
      <c r="Q896" s="69"/>
      <c r="R896" s="69"/>
      <c r="S896" s="69"/>
      <c r="T896" s="69"/>
      <c r="U896" s="69"/>
      <c r="V896" s="69"/>
      <c r="W896" s="69"/>
      <c r="X896" s="69"/>
      <c r="Y896" s="69"/>
      <c r="Z896" s="69"/>
      <c r="AA896" s="69"/>
    </row>
    <row r="897" spans="1:27">
      <c r="A897" s="69"/>
      <c r="B897" s="69"/>
      <c r="C897" s="69"/>
      <c r="D897" s="69"/>
      <c r="E897" s="69"/>
      <c r="F897" s="69"/>
      <c r="G897" s="69"/>
      <c r="H897" s="69"/>
      <c r="I897" s="69"/>
      <c r="J897" s="69"/>
      <c r="K897" s="69"/>
      <c r="L897" s="69"/>
      <c r="M897" s="69"/>
      <c r="N897" s="69"/>
      <c r="O897" s="69"/>
      <c r="P897" s="69"/>
      <c r="Q897" s="69"/>
      <c r="R897" s="69"/>
      <c r="S897" s="69"/>
      <c r="T897" s="69"/>
      <c r="U897" s="69"/>
      <c r="V897" s="69"/>
      <c r="W897" s="69"/>
      <c r="X897" s="69"/>
      <c r="Y897" s="69"/>
      <c r="Z897" s="69"/>
      <c r="AA897" s="69"/>
    </row>
    <row r="898" spans="1:27">
      <c r="A898" s="69"/>
      <c r="B898" s="69"/>
      <c r="C898" s="69"/>
      <c r="D898" s="69"/>
      <c r="E898" s="69"/>
      <c r="F898" s="69"/>
      <c r="G898" s="69"/>
      <c r="H898" s="69"/>
      <c r="I898" s="69"/>
      <c r="J898" s="69"/>
      <c r="K898" s="69"/>
      <c r="L898" s="69"/>
      <c r="M898" s="69"/>
      <c r="N898" s="69"/>
      <c r="O898" s="69"/>
      <c r="P898" s="69"/>
      <c r="Q898" s="69"/>
      <c r="R898" s="69"/>
      <c r="S898" s="69"/>
      <c r="T898" s="69"/>
      <c r="U898" s="69"/>
      <c r="V898" s="69"/>
      <c r="W898" s="69"/>
      <c r="X898" s="69"/>
      <c r="Y898" s="69"/>
      <c r="Z898" s="69"/>
      <c r="AA898" s="69"/>
    </row>
    <row r="899" spans="1:27">
      <c r="A899" s="69"/>
      <c r="B899" s="69"/>
      <c r="C899" s="69"/>
      <c r="D899" s="69"/>
      <c r="E899" s="69"/>
      <c r="F899" s="69"/>
      <c r="G899" s="69"/>
      <c r="H899" s="69"/>
      <c r="I899" s="69"/>
      <c r="J899" s="69"/>
      <c r="K899" s="69"/>
      <c r="L899" s="69"/>
      <c r="M899" s="69"/>
      <c r="N899" s="69"/>
      <c r="O899" s="69"/>
      <c r="P899" s="69"/>
      <c r="Q899" s="69"/>
      <c r="R899" s="69"/>
      <c r="S899" s="69"/>
      <c r="T899" s="69"/>
      <c r="U899" s="69"/>
      <c r="V899" s="69"/>
      <c r="W899" s="69"/>
      <c r="X899" s="69"/>
      <c r="Y899" s="69"/>
      <c r="Z899" s="69"/>
      <c r="AA899" s="69"/>
    </row>
    <row r="900" spans="1:27">
      <c r="A900" s="69"/>
      <c r="B900" s="69"/>
      <c r="C900" s="69"/>
      <c r="D900" s="69"/>
      <c r="E900" s="69"/>
      <c r="F900" s="69"/>
      <c r="G900" s="69"/>
      <c r="H900" s="69"/>
      <c r="I900" s="69"/>
      <c r="J900" s="69"/>
      <c r="K900" s="69"/>
      <c r="L900" s="69"/>
      <c r="M900" s="69"/>
      <c r="N900" s="69"/>
      <c r="O900" s="69"/>
      <c r="P900" s="69"/>
      <c r="Q900" s="69"/>
      <c r="R900" s="69"/>
      <c r="S900" s="69"/>
      <c r="T900" s="69"/>
      <c r="U900" s="69"/>
      <c r="V900" s="69"/>
      <c r="W900" s="69"/>
      <c r="X900" s="69"/>
      <c r="Y900" s="69"/>
      <c r="Z900" s="69"/>
      <c r="AA900" s="69"/>
    </row>
    <row r="901" spans="1:27">
      <c r="A901" s="69"/>
      <c r="B901" s="69"/>
      <c r="C901" s="69"/>
      <c r="D901" s="69"/>
      <c r="E901" s="69"/>
      <c r="F901" s="69"/>
      <c r="G901" s="69"/>
      <c r="H901" s="69"/>
      <c r="I901" s="69"/>
      <c r="J901" s="69"/>
      <c r="K901" s="69"/>
      <c r="L901" s="69"/>
      <c r="M901" s="69"/>
      <c r="N901" s="69"/>
      <c r="O901" s="69"/>
      <c r="P901" s="69"/>
      <c r="Q901" s="69"/>
      <c r="R901" s="69"/>
      <c r="S901" s="69"/>
      <c r="T901" s="69"/>
      <c r="U901" s="69"/>
      <c r="V901" s="69"/>
      <c r="W901" s="69"/>
      <c r="X901" s="69"/>
      <c r="Y901" s="69"/>
      <c r="Z901" s="69"/>
      <c r="AA901" s="69"/>
    </row>
    <row r="902" spans="1:27">
      <c r="A902" s="69"/>
      <c r="B902" s="69"/>
      <c r="C902" s="69"/>
      <c r="D902" s="69"/>
      <c r="E902" s="69"/>
      <c r="F902" s="69"/>
      <c r="G902" s="69"/>
      <c r="H902" s="69"/>
      <c r="I902" s="69"/>
      <c r="J902" s="69"/>
      <c r="K902" s="69"/>
      <c r="L902" s="69"/>
      <c r="M902" s="69"/>
      <c r="N902" s="69"/>
      <c r="O902" s="69"/>
      <c r="P902" s="69"/>
      <c r="Q902" s="69"/>
      <c r="R902" s="69"/>
      <c r="S902" s="69"/>
      <c r="T902" s="69"/>
      <c r="U902" s="69"/>
      <c r="V902" s="69"/>
      <c r="W902" s="69"/>
      <c r="X902" s="69"/>
      <c r="Y902" s="69"/>
      <c r="Z902" s="69"/>
      <c r="AA902" s="69"/>
    </row>
    <row r="903" spans="1:27">
      <c r="A903" s="69"/>
      <c r="B903" s="69"/>
      <c r="C903" s="69"/>
      <c r="D903" s="69"/>
      <c r="E903" s="69"/>
      <c r="F903" s="69"/>
      <c r="G903" s="69"/>
      <c r="H903" s="69"/>
      <c r="I903" s="69"/>
      <c r="J903" s="69"/>
      <c r="K903" s="69"/>
      <c r="L903" s="69"/>
      <c r="M903" s="69"/>
      <c r="N903" s="69"/>
      <c r="O903" s="69"/>
      <c r="P903" s="69"/>
      <c r="Q903" s="69"/>
      <c r="R903" s="69"/>
      <c r="S903" s="69"/>
      <c r="T903" s="69"/>
      <c r="U903" s="69"/>
      <c r="V903" s="69"/>
      <c r="W903" s="69"/>
      <c r="X903" s="69"/>
      <c r="Y903" s="69"/>
      <c r="Z903" s="69"/>
      <c r="AA903" s="69"/>
    </row>
    <row r="904" spans="1:27">
      <c r="A904" s="69"/>
      <c r="B904" s="69"/>
      <c r="C904" s="69"/>
      <c r="D904" s="69"/>
      <c r="E904" s="69"/>
      <c r="F904" s="69"/>
      <c r="G904" s="69"/>
      <c r="H904" s="69"/>
      <c r="I904" s="69"/>
      <c r="J904" s="69"/>
      <c r="K904" s="69"/>
      <c r="L904" s="69"/>
      <c r="M904" s="69"/>
      <c r="N904" s="69"/>
      <c r="O904" s="69"/>
      <c r="P904" s="69"/>
      <c r="Q904" s="69"/>
      <c r="R904" s="69"/>
      <c r="S904" s="69"/>
      <c r="T904" s="69"/>
      <c r="U904" s="69"/>
      <c r="V904" s="69"/>
      <c r="W904" s="69"/>
      <c r="X904" s="69"/>
      <c r="Y904" s="69"/>
      <c r="Z904" s="69"/>
      <c r="AA904" s="69"/>
    </row>
    <row r="905" spans="1:27">
      <c r="A905" s="69"/>
      <c r="B905" s="69"/>
      <c r="C905" s="69"/>
      <c r="D905" s="69"/>
      <c r="E905" s="69"/>
      <c r="F905" s="69"/>
      <c r="G905" s="69"/>
      <c r="H905" s="69"/>
      <c r="I905" s="69"/>
      <c r="J905" s="69"/>
      <c r="K905" s="69"/>
      <c r="L905" s="69"/>
      <c r="M905" s="69"/>
      <c r="N905" s="69"/>
      <c r="O905" s="69"/>
      <c r="P905" s="69"/>
      <c r="Q905" s="69"/>
      <c r="R905" s="69"/>
      <c r="S905" s="69"/>
      <c r="T905" s="69"/>
      <c r="U905" s="69"/>
      <c r="V905" s="69"/>
      <c r="W905" s="69"/>
      <c r="X905" s="69"/>
      <c r="Y905" s="69"/>
      <c r="Z905" s="69"/>
      <c r="AA905" s="69"/>
    </row>
    <row r="906" spans="1:27">
      <c r="A906" s="69"/>
      <c r="B906" s="69"/>
      <c r="C906" s="69"/>
      <c r="D906" s="69"/>
      <c r="E906" s="69"/>
      <c r="F906" s="69"/>
      <c r="G906" s="69"/>
      <c r="H906" s="69"/>
      <c r="I906" s="69"/>
      <c r="J906" s="69"/>
      <c r="K906" s="69"/>
      <c r="L906" s="69"/>
      <c r="M906" s="69"/>
      <c r="N906" s="69"/>
      <c r="O906" s="69"/>
      <c r="P906" s="69"/>
      <c r="Q906" s="69"/>
      <c r="R906" s="69"/>
      <c r="S906" s="69"/>
      <c r="T906" s="69"/>
      <c r="U906" s="69"/>
      <c r="V906" s="69"/>
      <c r="W906" s="69"/>
      <c r="X906" s="69"/>
      <c r="Y906" s="69"/>
      <c r="Z906" s="69"/>
      <c r="AA906" s="69"/>
    </row>
    <row r="907" spans="1:27">
      <c r="A907" s="69"/>
      <c r="B907" s="69"/>
      <c r="C907" s="69"/>
      <c r="D907" s="69"/>
      <c r="E907" s="69"/>
      <c r="F907" s="69"/>
      <c r="G907" s="69"/>
      <c r="H907" s="69"/>
      <c r="I907" s="69"/>
      <c r="J907" s="69"/>
      <c r="K907" s="69"/>
      <c r="L907" s="69"/>
      <c r="M907" s="69"/>
      <c r="N907" s="69"/>
      <c r="O907" s="69"/>
      <c r="P907" s="69"/>
      <c r="Q907" s="69"/>
      <c r="R907" s="69"/>
      <c r="S907" s="69"/>
      <c r="T907" s="69"/>
      <c r="U907" s="69"/>
      <c r="V907" s="69"/>
      <c r="W907" s="69"/>
      <c r="X907" s="69"/>
      <c r="Y907" s="69"/>
      <c r="Z907" s="69"/>
      <c r="AA907" s="69"/>
    </row>
    <row r="908" spans="1:27">
      <c r="A908" s="69"/>
      <c r="B908" s="69"/>
      <c r="C908" s="69"/>
      <c r="D908" s="69"/>
      <c r="E908" s="69"/>
      <c r="F908" s="69"/>
      <c r="G908" s="69"/>
      <c r="H908" s="69"/>
      <c r="I908" s="69"/>
      <c r="J908" s="69"/>
      <c r="K908" s="69"/>
      <c r="L908" s="69"/>
      <c r="M908" s="69"/>
      <c r="N908" s="69"/>
      <c r="O908" s="69"/>
      <c r="P908" s="69"/>
      <c r="Q908" s="69"/>
      <c r="R908" s="69"/>
      <c r="S908" s="69"/>
      <c r="T908" s="69"/>
      <c r="U908" s="69"/>
      <c r="V908" s="69"/>
      <c r="W908" s="69"/>
      <c r="X908" s="69"/>
      <c r="Y908" s="69"/>
      <c r="Z908" s="69"/>
      <c r="AA908" s="69"/>
    </row>
    <row r="909" spans="1:27">
      <c r="A909" s="69"/>
      <c r="B909" s="69"/>
      <c r="C909" s="69"/>
      <c r="D909" s="69"/>
      <c r="E909" s="69"/>
      <c r="F909" s="69"/>
      <c r="G909" s="69"/>
      <c r="H909" s="69"/>
      <c r="I909" s="69"/>
      <c r="J909" s="69"/>
      <c r="K909" s="69"/>
      <c r="L909" s="69"/>
      <c r="M909" s="69"/>
      <c r="N909" s="69"/>
      <c r="O909" s="69"/>
      <c r="P909" s="69"/>
      <c r="Q909" s="69"/>
      <c r="R909" s="69"/>
      <c r="S909" s="69"/>
      <c r="T909" s="69"/>
      <c r="U909" s="69"/>
      <c r="V909" s="69"/>
      <c r="W909" s="69"/>
      <c r="X909" s="69"/>
      <c r="Y909" s="69"/>
      <c r="Z909" s="69"/>
      <c r="AA909" s="69"/>
    </row>
    <row r="910" spans="1:27">
      <c r="A910" s="69"/>
      <c r="B910" s="69"/>
      <c r="C910" s="69"/>
      <c r="D910" s="69"/>
      <c r="E910" s="69"/>
      <c r="F910" s="69"/>
      <c r="G910" s="69"/>
      <c r="H910" s="69"/>
      <c r="I910" s="69"/>
      <c r="J910" s="69"/>
      <c r="K910" s="69"/>
      <c r="L910" s="69"/>
      <c r="M910" s="69"/>
      <c r="N910" s="69"/>
      <c r="O910" s="69"/>
      <c r="P910" s="69"/>
      <c r="Q910" s="69"/>
      <c r="R910" s="69"/>
      <c r="S910" s="69"/>
      <c r="T910" s="69"/>
      <c r="U910" s="69"/>
      <c r="V910" s="69"/>
      <c r="W910" s="69"/>
      <c r="X910" s="69"/>
      <c r="Y910" s="69"/>
      <c r="Z910" s="69"/>
      <c r="AA910" s="69"/>
    </row>
    <row r="911" spans="1:27">
      <c r="A911" s="69"/>
      <c r="B911" s="69"/>
      <c r="C911" s="69"/>
      <c r="D911" s="69"/>
      <c r="E911" s="69"/>
      <c r="F911" s="69"/>
      <c r="G911" s="69"/>
      <c r="H911" s="69"/>
      <c r="I911" s="69"/>
      <c r="J911" s="69"/>
      <c r="K911" s="69"/>
      <c r="L911" s="69"/>
      <c r="M911" s="69"/>
      <c r="N911" s="69"/>
      <c r="O911" s="69"/>
      <c r="P911" s="69"/>
      <c r="Q911" s="69"/>
      <c r="R911" s="69"/>
      <c r="S911" s="69"/>
      <c r="T911" s="69"/>
      <c r="U911" s="69"/>
      <c r="V911" s="69"/>
      <c r="W911" s="69"/>
      <c r="X911" s="69"/>
      <c r="Y911" s="69"/>
      <c r="Z911" s="69"/>
      <c r="AA911" s="69"/>
    </row>
    <row r="912" spans="1:27">
      <c r="A912" s="69"/>
      <c r="B912" s="69"/>
      <c r="C912" s="69"/>
      <c r="D912" s="69"/>
      <c r="E912" s="69"/>
      <c r="F912" s="69"/>
      <c r="G912" s="69"/>
      <c r="H912" s="69"/>
      <c r="I912" s="69"/>
      <c r="J912" s="69"/>
      <c r="K912" s="69"/>
      <c r="L912" s="69"/>
      <c r="M912" s="69"/>
      <c r="N912" s="69"/>
      <c r="O912" s="69"/>
      <c r="P912" s="69"/>
      <c r="Q912" s="69"/>
      <c r="R912" s="69"/>
      <c r="S912" s="69"/>
      <c r="T912" s="69"/>
      <c r="U912" s="69"/>
      <c r="V912" s="69"/>
      <c r="W912" s="69"/>
      <c r="X912" s="69"/>
      <c r="Y912" s="69"/>
      <c r="Z912" s="69"/>
      <c r="AA912" s="69"/>
    </row>
    <row r="913" spans="1:27">
      <c r="A913" s="69"/>
      <c r="B913" s="69"/>
      <c r="C913" s="69"/>
      <c r="D913" s="69"/>
      <c r="E913" s="69"/>
      <c r="F913" s="69"/>
      <c r="G913" s="69"/>
      <c r="H913" s="69"/>
      <c r="I913" s="69"/>
      <c r="J913" s="69"/>
      <c r="K913" s="69"/>
      <c r="L913" s="69"/>
      <c r="M913" s="69"/>
      <c r="N913" s="69"/>
      <c r="O913" s="69"/>
      <c r="P913" s="69"/>
      <c r="Q913" s="69"/>
      <c r="R913" s="69"/>
      <c r="S913" s="69"/>
      <c r="T913" s="69"/>
      <c r="U913" s="69"/>
      <c r="V913" s="69"/>
      <c r="W913" s="69"/>
      <c r="X913" s="69"/>
      <c r="Y913" s="69"/>
      <c r="Z913" s="69"/>
      <c r="AA913" s="69"/>
    </row>
    <row r="914" spans="1:27">
      <c r="A914" s="69"/>
      <c r="B914" s="69"/>
      <c r="C914" s="69"/>
      <c r="D914" s="69"/>
      <c r="E914" s="69"/>
      <c r="F914" s="69"/>
      <c r="G914" s="69"/>
      <c r="H914" s="69"/>
      <c r="I914" s="69"/>
      <c r="J914" s="69"/>
      <c r="K914" s="69"/>
      <c r="L914" s="69"/>
      <c r="M914" s="69"/>
      <c r="N914" s="69"/>
      <c r="O914" s="69"/>
      <c r="P914" s="69"/>
      <c r="Q914" s="69"/>
      <c r="R914" s="69"/>
      <c r="S914" s="69"/>
      <c r="T914" s="69"/>
      <c r="U914" s="69"/>
      <c r="V914" s="69"/>
      <c r="W914" s="69"/>
      <c r="X914" s="69"/>
      <c r="Y914" s="69"/>
      <c r="Z914" s="69"/>
      <c r="AA914" s="69"/>
    </row>
    <row r="915" spans="1:27">
      <c r="A915" s="69"/>
      <c r="B915" s="69"/>
      <c r="C915" s="69"/>
      <c r="D915" s="69"/>
      <c r="E915" s="69"/>
      <c r="F915" s="69"/>
      <c r="G915" s="69"/>
      <c r="H915" s="69"/>
      <c r="I915" s="69"/>
      <c r="J915" s="69"/>
      <c r="K915" s="69"/>
      <c r="L915" s="69"/>
      <c r="M915" s="69"/>
      <c r="N915" s="69"/>
      <c r="O915" s="69"/>
      <c r="P915" s="69"/>
      <c r="Q915" s="69"/>
      <c r="R915" s="69"/>
      <c r="S915" s="69"/>
      <c r="T915" s="69"/>
      <c r="U915" s="69"/>
      <c r="V915" s="69"/>
      <c r="W915" s="69"/>
      <c r="X915" s="69"/>
      <c r="Y915" s="69"/>
      <c r="Z915" s="69"/>
      <c r="AA915" s="69"/>
    </row>
    <row r="916" spans="1:27">
      <c r="A916" s="69"/>
      <c r="B916" s="69"/>
      <c r="C916" s="69"/>
      <c r="D916" s="69"/>
      <c r="E916" s="69"/>
      <c r="F916" s="69"/>
      <c r="G916" s="69"/>
      <c r="H916" s="69"/>
      <c r="I916" s="69"/>
      <c r="J916" s="69"/>
      <c r="K916" s="69"/>
      <c r="L916" s="69"/>
      <c r="M916" s="69"/>
      <c r="N916" s="69"/>
      <c r="O916" s="69"/>
      <c r="P916" s="69"/>
      <c r="Q916" s="69"/>
      <c r="R916" s="69"/>
      <c r="S916" s="69"/>
      <c r="T916" s="69"/>
      <c r="U916" s="69"/>
      <c r="V916" s="69"/>
      <c r="W916" s="69"/>
      <c r="X916" s="69"/>
      <c r="Y916" s="69"/>
      <c r="Z916" s="69"/>
      <c r="AA916" s="69"/>
    </row>
    <row r="917" spans="1:27">
      <c r="A917" s="69"/>
      <c r="B917" s="69"/>
      <c r="C917" s="69"/>
      <c r="D917" s="69"/>
      <c r="E917" s="69"/>
      <c r="F917" s="69"/>
      <c r="G917" s="69"/>
      <c r="H917" s="69"/>
      <c r="I917" s="69"/>
      <c r="J917" s="69"/>
      <c r="K917" s="69"/>
      <c r="L917" s="69"/>
      <c r="M917" s="69"/>
      <c r="N917" s="69"/>
      <c r="O917" s="69"/>
      <c r="P917" s="69"/>
      <c r="Q917" s="69"/>
      <c r="R917" s="69"/>
      <c r="S917" s="69"/>
      <c r="T917" s="69"/>
      <c r="U917" s="69"/>
      <c r="V917" s="69"/>
      <c r="W917" s="69"/>
      <c r="X917" s="69"/>
      <c r="Y917" s="69"/>
      <c r="Z917" s="69"/>
      <c r="AA917" s="69"/>
    </row>
    <row r="918" spans="1:27">
      <c r="A918" s="69"/>
      <c r="B918" s="69"/>
      <c r="C918" s="69"/>
      <c r="D918" s="69"/>
      <c r="E918" s="69"/>
      <c r="F918" s="69"/>
      <c r="G918" s="69"/>
      <c r="H918" s="69"/>
      <c r="I918" s="69"/>
      <c r="J918" s="69"/>
      <c r="K918" s="69"/>
      <c r="L918" s="69"/>
      <c r="M918" s="69"/>
      <c r="N918" s="69"/>
      <c r="O918" s="69"/>
      <c r="P918" s="69"/>
      <c r="Q918" s="69"/>
      <c r="R918" s="69"/>
      <c r="S918" s="69"/>
      <c r="T918" s="69"/>
      <c r="U918" s="69"/>
      <c r="V918" s="69"/>
      <c r="W918" s="69"/>
      <c r="X918" s="69"/>
      <c r="Y918" s="69"/>
      <c r="Z918" s="69"/>
      <c r="AA918" s="69"/>
    </row>
    <row r="919" spans="1:27">
      <c r="A919" s="69"/>
      <c r="B919" s="69"/>
      <c r="C919" s="69"/>
      <c r="D919" s="69"/>
      <c r="E919" s="69"/>
      <c r="F919" s="69"/>
      <c r="G919" s="69"/>
      <c r="H919" s="69"/>
      <c r="I919" s="69"/>
      <c r="J919" s="69"/>
      <c r="K919" s="69"/>
      <c r="L919" s="69"/>
      <c r="M919" s="69"/>
      <c r="N919" s="69"/>
      <c r="O919" s="69"/>
      <c r="P919" s="69"/>
      <c r="Q919" s="69"/>
      <c r="R919" s="69"/>
      <c r="S919" s="69"/>
      <c r="T919" s="69"/>
      <c r="U919" s="69"/>
      <c r="V919" s="69"/>
      <c r="W919" s="69"/>
      <c r="X919" s="69"/>
      <c r="Y919" s="69"/>
      <c r="Z919" s="69"/>
      <c r="AA919" s="69"/>
    </row>
    <row r="920" spans="1:27">
      <c r="A920" s="69"/>
      <c r="B920" s="69"/>
      <c r="C920" s="69"/>
      <c r="D920" s="69"/>
      <c r="E920" s="69"/>
      <c r="F920" s="69"/>
      <c r="G920" s="69"/>
      <c r="H920" s="69"/>
      <c r="I920" s="69"/>
      <c r="J920" s="69"/>
      <c r="K920" s="69"/>
      <c r="L920" s="69"/>
      <c r="M920" s="69"/>
      <c r="N920" s="69"/>
      <c r="O920" s="69"/>
      <c r="P920" s="69"/>
      <c r="Q920" s="69"/>
      <c r="R920" s="69"/>
      <c r="S920" s="69"/>
      <c r="T920" s="69"/>
      <c r="U920" s="69"/>
      <c r="V920" s="69"/>
      <c r="W920" s="69"/>
      <c r="X920" s="69"/>
      <c r="Y920" s="69"/>
      <c r="Z920" s="69"/>
      <c r="AA920" s="69"/>
    </row>
    <row r="921" spans="1:27">
      <c r="A921" s="69"/>
      <c r="B921" s="69"/>
      <c r="C921" s="69"/>
      <c r="D921" s="69"/>
      <c r="E921" s="69"/>
      <c r="F921" s="69"/>
      <c r="G921" s="69"/>
      <c r="H921" s="69"/>
      <c r="I921" s="69"/>
      <c r="J921" s="69"/>
      <c r="K921" s="69"/>
      <c r="L921" s="69"/>
      <c r="M921" s="69"/>
      <c r="N921" s="69"/>
      <c r="O921" s="69"/>
      <c r="P921" s="69"/>
      <c r="Q921" s="69"/>
      <c r="R921" s="69"/>
      <c r="S921" s="69"/>
      <c r="T921" s="69"/>
      <c r="U921" s="69"/>
      <c r="V921" s="69"/>
      <c r="W921" s="69"/>
      <c r="X921" s="69"/>
      <c r="Y921" s="69"/>
      <c r="Z921" s="69"/>
      <c r="AA921" s="69"/>
    </row>
    <row r="922" spans="1:27">
      <c r="A922" s="69"/>
      <c r="B922" s="69"/>
      <c r="C922" s="69"/>
      <c r="D922" s="69"/>
      <c r="E922" s="69"/>
      <c r="F922" s="69"/>
      <c r="G922" s="69"/>
      <c r="H922" s="69"/>
      <c r="I922" s="69"/>
      <c r="J922" s="69"/>
      <c r="K922" s="69"/>
      <c r="L922" s="69"/>
      <c r="M922" s="69"/>
      <c r="N922" s="69"/>
      <c r="O922" s="69"/>
      <c r="P922" s="69"/>
      <c r="Q922" s="69"/>
      <c r="R922" s="69"/>
      <c r="S922" s="69"/>
      <c r="T922" s="69"/>
      <c r="U922" s="69"/>
      <c r="V922" s="69"/>
      <c r="W922" s="69"/>
      <c r="X922" s="69"/>
      <c r="Y922" s="69"/>
      <c r="Z922" s="69"/>
      <c r="AA922" s="69"/>
    </row>
    <row r="923" spans="1:27">
      <c r="A923" s="69"/>
      <c r="B923" s="69"/>
      <c r="C923" s="69"/>
      <c r="D923" s="69"/>
      <c r="E923" s="69"/>
      <c r="F923" s="69"/>
      <c r="G923" s="69"/>
      <c r="H923" s="69"/>
      <c r="I923" s="69"/>
      <c r="J923" s="69"/>
      <c r="K923" s="69"/>
      <c r="L923" s="69"/>
      <c r="M923" s="69"/>
      <c r="N923" s="69"/>
      <c r="O923" s="69"/>
      <c r="P923" s="69"/>
      <c r="Q923" s="69"/>
      <c r="R923" s="69"/>
      <c r="S923" s="69"/>
      <c r="T923" s="69"/>
      <c r="U923" s="69"/>
      <c r="V923" s="69"/>
      <c r="W923" s="69"/>
      <c r="X923" s="69"/>
      <c r="Y923" s="69"/>
      <c r="Z923" s="69"/>
      <c r="AA923" s="69"/>
    </row>
    <row r="924" spans="1:27">
      <c r="A924" s="69"/>
      <c r="B924" s="69"/>
      <c r="C924" s="69"/>
      <c r="D924" s="69"/>
      <c r="E924" s="69"/>
      <c r="F924" s="69"/>
      <c r="G924" s="69"/>
      <c r="H924" s="69"/>
      <c r="I924" s="69"/>
      <c r="J924" s="69"/>
      <c r="K924" s="69"/>
      <c r="L924" s="69"/>
      <c r="M924" s="69"/>
      <c r="N924" s="69"/>
      <c r="O924" s="69"/>
      <c r="P924" s="69"/>
      <c r="Q924" s="69"/>
      <c r="R924" s="69"/>
      <c r="S924" s="69"/>
      <c r="T924" s="69"/>
      <c r="U924" s="69"/>
      <c r="V924" s="69"/>
      <c r="W924" s="69"/>
      <c r="X924" s="69"/>
      <c r="Y924" s="69"/>
      <c r="Z924" s="69"/>
      <c r="AA924" s="69"/>
    </row>
    <row r="925" spans="1:27">
      <c r="A925" s="69"/>
      <c r="B925" s="69"/>
      <c r="C925" s="69"/>
      <c r="D925" s="69"/>
      <c r="E925" s="69"/>
      <c r="F925" s="69"/>
      <c r="G925" s="69"/>
      <c r="H925" s="69"/>
      <c r="I925" s="69"/>
      <c r="J925" s="69"/>
      <c r="K925" s="69"/>
      <c r="L925" s="69"/>
      <c r="M925" s="69"/>
      <c r="N925" s="69"/>
      <c r="O925" s="69"/>
      <c r="P925" s="69"/>
      <c r="Q925" s="69"/>
      <c r="R925" s="69"/>
      <c r="S925" s="69"/>
      <c r="T925" s="69"/>
      <c r="U925" s="69"/>
      <c r="V925" s="69"/>
      <c r="W925" s="69"/>
      <c r="X925" s="69"/>
      <c r="Y925" s="69"/>
      <c r="Z925" s="69"/>
      <c r="AA925" s="69"/>
    </row>
    <row r="926" spans="1:27">
      <c r="A926" s="69"/>
      <c r="B926" s="69"/>
      <c r="C926" s="69"/>
      <c r="D926" s="69"/>
      <c r="E926" s="69"/>
      <c r="F926" s="69"/>
      <c r="G926" s="69"/>
      <c r="H926" s="69"/>
      <c r="I926" s="69"/>
      <c r="J926" s="69"/>
      <c r="K926" s="69"/>
      <c r="L926" s="69"/>
      <c r="M926" s="69"/>
      <c r="N926" s="69"/>
      <c r="O926" s="69"/>
      <c r="P926" s="69"/>
      <c r="Q926" s="69"/>
      <c r="R926" s="69"/>
      <c r="S926" s="69"/>
      <c r="T926" s="69"/>
      <c r="U926" s="69"/>
      <c r="V926" s="69"/>
      <c r="W926" s="69"/>
      <c r="X926" s="69"/>
      <c r="Y926" s="69"/>
      <c r="Z926" s="69"/>
      <c r="AA926" s="69"/>
    </row>
    <row r="927" spans="1:27">
      <c r="A927" s="69"/>
      <c r="B927" s="69"/>
      <c r="C927" s="69"/>
      <c r="D927" s="69"/>
      <c r="E927" s="69"/>
      <c r="F927" s="69"/>
      <c r="G927" s="69"/>
      <c r="H927" s="69"/>
      <c r="I927" s="69"/>
      <c r="J927" s="69"/>
      <c r="K927" s="69"/>
      <c r="L927" s="69"/>
      <c r="M927" s="69"/>
      <c r="N927" s="69"/>
      <c r="O927" s="69"/>
      <c r="P927" s="69"/>
      <c r="Q927" s="69"/>
      <c r="R927" s="69"/>
      <c r="S927" s="69"/>
      <c r="T927" s="69"/>
      <c r="U927" s="69"/>
      <c r="V927" s="69"/>
      <c r="W927" s="69"/>
      <c r="X927" s="69"/>
      <c r="Y927" s="69"/>
      <c r="Z927" s="69"/>
      <c r="AA927" s="69"/>
    </row>
    <row r="928" spans="1:27">
      <c r="A928" s="69"/>
      <c r="B928" s="69"/>
      <c r="C928" s="69"/>
      <c r="D928" s="69"/>
      <c r="E928" s="69"/>
      <c r="F928" s="69"/>
      <c r="G928" s="69"/>
      <c r="H928" s="69"/>
      <c r="I928" s="69"/>
      <c r="J928" s="69"/>
      <c r="K928" s="69"/>
      <c r="L928" s="69"/>
      <c r="M928" s="69"/>
      <c r="N928" s="69"/>
      <c r="O928" s="69"/>
      <c r="P928" s="69"/>
      <c r="Q928" s="69"/>
      <c r="R928" s="69"/>
      <c r="S928" s="69"/>
      <c r="T928" s="69"/>
      <c r="U928" s="69"/>
      <c r="V928" s="69"/>
      <c r="W928" s="69"/>
      <c r="X928" s="69"/>
      <c r="Y928" s="69"/>
      <c r="Z928" s="69"/>
      <c r="AA928" s="69"/>
    </row>
    <row r="929" spans="1:27">
      <c r="A929" s="69"/>
      <c r="B929" s="69"/>
      <c r="C929" s="69"/>
      <c r="D929" s="69"/>
      <c r="E929" s="69"/>
      <c r="F929" s="69"/>
      <c r="G929" s="69"/>
      <c r="H929" s="69"/>
      <c r="I929" s="69"/>
      <c r="J929" s="69"/>
      <c r="K929" s="69"/>
      <c r="L929" s="69"/>
      <c r="M929" s="69"/>
      <c r="N929" s="69"/>
      <c r="O929" s="69"/>
      <c r="P929" s="69"/>
      <c r="Q929" s="69"/>
      <c r="R929" s="69"/>
      <c r="S929" s="69"/>
      <c r="T929" s="69"/>
      <c r="U929" s="69"/>
      <c r="V929" s="69"/>
      <c r="W929" s="69"/>
      <c r="X929" s="69"/>
      <c r="Y929" s="69"/>
      <c r="Z929" s="69"/>
      <c r="AA929" s="69"/>
    </row>
    <row r="930" spans="1:27">
      <c r="A930" s="69"/>
      <c r="B930" s="69"/>
      <c r="C930" s="69"/>
      <c r="D930" s="69"/>
      <c r="E930" s="69"/>
      <c r="F930" s="69"/>
      <c r="G930" s="69"/>
      <c r="H930" s="69"/>
      <c r="I930" s="69"/>
      <c r="J930" s="69"/>
      <c r="K930" s="69"/>
      <c r="L930" s="69"/>
      <c r="M930" s="69"/>
      <c r="N930" s="69"/>
      <c r="O930" s="69"/>
      <c r="P930" s="69"/>
      <c r="Q930" s="69"/>
      <c r="R930" s="69"/>
      <c r="S930" s="69"/>
      <c r="T930" s="69"/>
      <c r="U930" s="69"/>
      <c r="V930" s="69"/>
      <c r="W930" s="69"/>
      <c r="X930" s="69"/>
      <c r="Y930" s="69"/>
      <c r="Z930" s="69"/>
      <c r="AA930" s="69"/>
    </row>
    <row r="931" spans="1:27">
      <c r="A931" s="69"/>
      <c r="B931" s="69"/>
      <c r="C931" s="69"/>
      <c r="D931" s="69"/>
      <c r="E931" s="69"/>
      <c r="F931" s="69"/>
      <c r="G931" s="69"/>
      <c r="H931" s="69"/>
      <c r="I931" s="69"/>
      <c r="J931" s="69"/>
      <c r="K931" s="69"/>
      <c r="L931" s="69"/>
      <c r="M931" s="69"/>
      <c r="N931" s="69"/>
      <c r="O931" s="69"/>
      <c r="P931" s="69"/>
      <c r="Q931" s="69"/>
      <c r="R931" s="69"/>
      <c r="S931" s="69"/>
      <c r="T931" s="69"/>
      <c r="U931" s="69"/>
      <c r="V931" s="69"/>
      <c r="W931" s="69"/>
      <c r="X931" s="69"/>
      <c r="Y931" s="69"/>
      <c r="Z931" s="69"/>
      <c r="AA931" s="69"/>
    </row>
    <row r="932" spans="1:27">
      <c r="A932" s="69"/>
      <c r="B932" s="69"/>
      <c r="C932" s="69"/>
      <c r="D932" s="69"/>
      <c r="E932" s="69"/>
      <c r="F932" s="69"/>
      <c r="G932" s="69"/>
      <c r="H932" s="69"/>
      <c r="I932" s="69"/>
      <c r="J932" s="69"/>
      <c r="K932" s="69"/>
      <c r="L932" s="69"/>
      <c r="M932" s="69"/>
      <c r="N932" s="69"/>
      <c r="O932" s="69"/>
      <c r="P932" s="69"/>
      <c r="Q932" s="69"/>
      <c r="R932" s="69"/>
      <c r="S932" s="69"/>
      <c r="T932" s="69"/>
      <c r="U932" s="69"/>
      <c r="V932" s="69"/>
      <c r="W932" s="69"/>
      <c r="X932" s="69"/>
      <c r="Y932" s="69"/>
      <c r="Z932" s="69"/>
      <c r="AA932" s="69"/>
    </row>
    <row r="933" spans="1:27">
      <c r="A933" s="69"/>
      <c r="B933" s="69"/>
      <c r="C933" s="69"/>
      <c r="D933" s="69"/>
      <c r="E933" s="69"/>
      <c r="F933" s="69"/>
      <c r="G933" s="69"/>
      <c r="H933" s="69"/>
      <c r="I933" s="69"/>
      <c r="J933" s="69"/>
      <c r="K933" s="69"/>
      <c r="L933" s="69"/>
      <c r="M933" s="69"/>
      <c r="N933" s="69"/>
      <c r="O933" s="69"/>
      <c r="P933" s="69"/>
      <c r="Q933" s="69"/>
      <c r="R933" s="69"/>
      <c r="S933" s="69"/>
      <c r="T933" s="69"/>
      <c r="U933" s="69"/>
      <c r="V933" s="69"/>
      <c r="W933" s="69"/>
      <c r="X933" s="69"/>
      <c r="Y933" s="69"/>
      <c r="Z933" s="69"/>
      <c r="AA933" s="69"/>
    </row>
    <row r="934" spans="1:27">
      <c r="A934" s="69"/>
      <c r="B934" s="69"/>
      <c r="C934" s="69"/>
      <c r="D934" s="69"/>
      <c r="E934" s="69"/>
      <c r="F934" s="69"/>
      <c r="G934" s="69"/>
      <c r="H934" s="69"/>
      <c r="I934" s="69"/>
      <c r="J934" s="69"/>
      <c r="K934" s="69"/>
      <c r="L934" s="69"/>
      <c r="M934" s="69"/>
      <c r="N934" s="69"/>
      <c r="O934" s="69"/>
      <c r="P934" s="69"/>
      <c r="Q934" s="69"/>
      <c r="R934" s="69"/>
      <c r="S934" s="69"/>
      <c r="T934" s="69"/>
      <c r="U934" s="69"/>
      <c r="V934" s="69"/>
      <c r="W934" s="69"/>
      <c r="X934" s="69"/>
      <c r="Y934" s="69"/>
      <c r="Z934" s="69"/>
      <c r="AA934" s="69"/>
    </row>
    <row r="935" spans="1:27">
      <c r="A935" s="69"/>
      <c r="B935" s="69"/>
      <c r="C935" s="69"/>
      <c r="D935" s="69"/>
      <c r="E935" s="69"/>
      <c r="F935" s="69"/>
      <c r="G935" s="69"/>
      <c r="H935" s="69"/>
      <c r="I935" s="69"/>
      <c r="J935" s="69"/>
      <c r="K935" s="69"/>
      <c r="L935" s="69"/>
      <c r="M935" s="69"/>
      <c r="N935" s="69"/>
      <c r="O935" s="69"/>
      <c r="P935" s="69"/>
      <c r="Q935" s="69"/>
      <c r="R935" s="69"/>
      <c r="S935" s="69"/>
      <c r="T935" s="69"/>
      <c r="U935" s="69"/>
      <c r="V935" s="69"/>
      <c r="W935" s="69"/>
      <c r="X935" s="69"/>
      <c r="Y935" s="69"/>
      <c r="Z935" s="69"/>
      <c r="AA935" s="69"/>
    </row>
    <row r="936" spans="1:27">
      <c r="A936" s="69"/>
      <c r="B936" s="69"/>
      <c r="C936" s="69"/>
      <c r="D936" s="69"/>
      <c r="E936" s="69"/>
      <c r="F936" s="69"/>
      <c r="G936" s="69"/>
      <c r="H936" s="69"/>
      <c r="I936" s="69"/>
      <c r="J936" s="69"/>
      <c r="K936" s="69"/>
      <c r="L936" s="69"/>
      <c r="M936" s="69"/>
      <c r="N936" s="69"/>
      <c r="O936" s="69"/>
      <c r="P936" s="69"/>
      <c r="Q936" s="69"/>
      <c r="R936" s="69"/>
      <c r="S936" s="69"/>
      <c r="T936" s="69"/>
      <c r="U936" s="69"/>
      <c r="V936" s="69"/>
      <c r="W936" s="69"/>
      <c r="X936" s="69"/>
      <c r="Y936" s="69"/>
      <c r="Z936" s="69"/>
      <c r="AA936" s="69"/>
    </row>
    <row r="937" spans="1:27">
      <c r="A937" s="69"/>
      <c r="B937" s="69"/>
      <c r="C937" s="69"/>
      <c r="D937" s="69"/>
      <c r="E937" s="69"/>
      <c r="F937" s="69"/>
      <c r="G937" s="69"/>
      <c r="H937" s="69"/>
      <c r="I937" s="69"/>
      <c r="J937" s="69"/>
      <c r="K937" s="69"/>
      <c r="L937" s="69"/>
      <c r="M937" s="69"/>
      <c r="N937" s="69"/>
      <c r="O937" s="69"/>
      <c r="P937" s="69"/>
      <c r="Q937" s="69"/>
      <c r="R937" s="69"/>
      <c r="S937" s="69"/>
      <c r="T937" s="69"/>
      <c r="U937" s="69"/>
      <c r="V937" s="69"/>
      <c r="W937" s="69"/>
      <c r="X937" s="69"/>
      <c r="Y937" s="69"/>
      <c r="Z937" s="69"/>
      <c r="AA937" s="69"/>
    </row>
    <row r="938" spans="1:27">
      <c r="A938" s="69"/>
      <c r="B938" s="69"/>
      <c r="C938" s="69"/>
      <c r="D938" s="69"/>
      <c r="E938" s="69"/>
      <c r="F938" s="69"/>
      <c r="G938" s="69"/>
      <c r="H938" s="69"/>
      <c r="I938" s="69"/>
      <c r="J938" s="69"/>
      <c r="K938" s="69"/>
      <c r="L938" s="69"/>
      <c r="M938" s="69"/>
      <c r="N938" s="69"/>
      <c r="O938" s="69"/>
      <c r="P938" s="69"/>
      <c r="Q938" s="69"/>
      <c r="R938" s="69"/>
      <c r="S938" s="69"/>
      <c r="T938" s="69"/>
      <c r="U938" s="69"/>
      <c r="V938" s="69"/>
      <c r="W938" s="69"/>
      <c r="X938" s="69"/>
      <c r="Y938" s="69"/>
      <c r="Z938" s="69"/>
      <c r="AA938" s="69"/>
    </row>
    <row r="939" spans="1:27">
      <c r="A939" s="69"/>
      <c r="B939" s="69"/>
      <c r="C939" s="69"/>
      <c r="D939" s="69"/>
      <c r="E939" s="69"/>
      <c r="F939" s="69"/>
      <c r="G939" s="69"/>
      <c r="H939" s="69"/>
      <c r="I939" s="69"/>
      <c r="J939" s="69"/>
      <c r="K939" s="69"/>
      <c r="L939" s="69"/>
      <c r="M939" s="69"/>
      <c r="N939" s="69"/>
      <c r="O939" s="69"/>
      <c r="P939" s="69"/>
      <c r="Q939" s="69"/>
      <c r="R939" s="69"/>
      <c r="S939" s="69"/>
      <c r="T939" s="69"/>
      <c r="U939" s="69"/>
      <c r="V939" s="69"/>
      <c r="W939" s="69"/>
      <c r="X939" s="69"/>
      <c r="Y939" s="69"/>
      <c r="Z939" s="69"/>
      <c r="AA939" s="69"/>
    </row>
    <row r="940" spans="1:27">
      <c r="A940" s="69"/>
      <c r="B940" s="69"/>
      <c r="C940" s="69"/>
      <c r="D940" s="69"/>
      <c r="E940" s="69"/>
      <c r="F940" s="69"/>
      <c r="G940" s="69"/>
      <c r="H940" s="69"/>
      <c r="I940" s="69"/>
      <c r="J940" s="69"/>
      <c r="K940" s="69"/>
      <c r="L940" s="69"/>
      <c r="M940" s="69"/>
      <c r="N940" s="69"/>
      <c r="O940" s="69"/>
      <c r="P940" s="69"/>
      <c r="Q940" s="69"/>
      <c r="R940" s="69"/>
      <c r="S940" s="69"/>
      <c r="T940" s="69"/>
      <c r="U940" s="69"/>
      <c r="V940" s="69"/>
      <c r="W940" s="69"/>
      <c r="X940" s="69"/>
      <c r="Y940" s="69"/>
      <c r="Z940" s="69"/>
      <c r="AA940" s="69"/>
    </row>
    <row r="941" spans="1:27">
      <c r="A941" s="69"/>
      <c r="B941" s="69"/>
      <c r="C941" s="69"/>
      <c r="D941" s="69"/>
      <c r="E941" s="69"/>
      <c r="F941" s="69"/>
      <c r="G941" s="69"/>
      <c r="H941" s="69"/>
      <c r="I941" s="69"/>
      <c r="J941" s="69"/>
      <c r="K941" s="69"/>
      <c r="L941" s="69"/>
      <c r="M941" s="69"/>
      <c r="N941" s="69"/>
      <c r="O941" s="69"/>
      <c r="P941" s="69"/>
      <c r="Q941" s="69"/>
      <c r="R941" s="69"/>
      <c r="S941" s="69"/>
      <c r="T941" s="69"/>
      <c r="U941" s="69"/>
      <c r="V941" s="69"/>
      <c r="W941" s="69"/>
      <c r="X941" s="69"/>
      <c r="Y941" s="69"/>
      <c r="Z941" s="69"/>
      <c r="AA941" s="69"/>
    </row>
    <row r="942" spans="1:27">
      <c r="A942" s="69"/>
      <c r="B942" s="69"/>
      <c r="C942" s="69"/>
      <c r="D942" s="69"/>
      <c r="E942" s="69"/>
      <c r="F942" s="69"/>
      <c r="G942" s="69"/>
      <c r="H942" s="69"/>
      <c r="I942" s="69"/>
      <c r="J942" s="69"/>
      <c r="K942" s="69"/>
      <c r="L942" s="69"/>
      <c r="M942" s="69"/>
      <c r="N942" s="69"/>
      <c r="O942" s="69"/>
      <c r="P942" s="69"/>
      <c r="Q942" s="69"/>
      <c r="R942" s="69"/>
      <c r="S942" s="69"/>
      <c r="T942" s="69"/>
      <c r="U942" s="69"/>
      <c r="V942" s="69"/>
      <c r="W942" s="69"/>
      <c r="X942" s="69"/>
      <c r="Y942" s="69"/>
      <c r="Z942" s="69"/>
      <c r="AA942" s="69"/>
    </row>
    <row r="943" spans="1:27">
      <c r="A943" s="69"/>
      <c r="B943" s="69"/>
      <c r="C943" s="69"/>
      <c r="D943" s="69"/>
      <c r="E943" s="69"/>
      <c r="F943" s="69"/>
      <c r="G943" s="69"/>
      <c r="H943" s="69"/>
      <c r="I943" s="69"/>
      <c r="J943" s="69"/>
      <c r="K943" s="69"/>
      <c r="L943" s="69"/>
      <c r="M943" s="69"/>
      <c r="N943" s="69"/>
      <c r="O943" s="69"/>
      <c r="P943" s="69"/>
      <c r="Q943" s="69"/>
      <c r="R943" s="69"/>
      <c r="S943" s="69"/>
      <c r="T943" s="69"/>
      <c r="U943" s="69"/>
      <c r="V943" s="69"/>
      <c r="W943" s="69"/>
      <c r="X943" s="69"/>
      <c r="Y943" s="69"/>
      <c r="Z943" s="69"/>
      <c r="AA943" s="69"/>
    </row>
    <row r="944" spans="1:27">
      <c r="A944" s="69"/>
      <c r="B944" s="69"/>
      <c r="C944" s="69"/>
      <c r="D944" s="69"/>
      <c r="E944" s="69"/>
      <c r="F944" s="69"/>
      <c r="G944" s="69"/>
      <c r="H944" s="69"/>
      <c r="I944" s="69"/>
      <c r="J944" s="69"/>
      <c r="K944" s="69"/>
      <c r="L944" s="69"/>
      <c r="M944" s="69"/>
      <c r="N944" s="69"/>
      <c r="O944" s="69"/>
      <c r="P944" s="69"/>
      <c r="Q944" s="69"/>
      <c r="R944" s="69"/>
      <c r="S944" s="69"/>
      <c r="T944" s="69"/>
      <c r="U944" s="69"/>
      <c r="V944" s="69"/>
      <c r="W944" s="69"/>
      <c r="X944" s="69"/>
      <c r="Y944" s="69"/>
      <c r="Z944" s="69"/>
      <c r="AA944" s="69"/>
    </row>
    <row r="945" spans="1:27">
      <c r="A945" s="69"/>
      <c r="B945" s="69"/>
      <c r="C945" s="69"/>
      <c r="D945" s="69"/>
      <c r="E945" s="69"/>
      <c r="F945" s="69"/>
      <c r="G945" s="69"/>
      <c r="H945" s="69"/>
      <c r="I945" s="69"/>
      <c r="J945" s="69"/>
      <c r="K945" s="69"/>
      <c r="L945" s="69"/>
      <c r="M945" s="69"/>
      <c r="N945" s="69"/>
      <c r="O945" s="69"/>
      <c r="P945" s="69"/>
      <c r="Q945" s="69"/>
      <c r="R945" s="69"/>
      <c r="S945" s="69"/>
      <c r="T945" s="69"/>
      <c r="U945" s="69"/>
      <c r="V945" s="69"/>
      <c r="W945" s="69"/>
      <c r="X945" s="69"/>
      <c r="Y945" s="69"/>
      <c r="Z945" s="69"/>
      <c r="AA945" s="69"/>
    </row>
    <row r="946" spans="1:27">
      <c r="A946" s="69"/>
      <c r="B946" s="69"/>
      <c r="C946" s="69"/>
      <c r="D946" s="69"/>
      <c r="E946" s="69"/>
      <c r="F946" s="69"/>
      <c r="G946" s="69"/>
      <c r="H946" s="69"/>
      <c r="I946" s="69"/>
      <c r="J946" s="69"/>
      <c r="K946" s="69"/>
      <c r="L946" s="69"/>
      <c r="M946" s="69"/>
      <c r="N946" s="69"/>
      <c r="O946" s="69"/>
      <c r="P946" s="69"/>
      <c r="Q946" s="69"/>
      <c r="R946" s="69"/>
      <c r="S946" s="69"/>
      <c r="T946" s="69"/>
      <c r="U946" s="69"/>
      <c r="V946" s="69"/>
      <c r="W946" s="69"/>
      <c r="X946" s="69"/>
      <c r="Y946" s="69"/>
      <c r="Z946" s="69"/>
      <c r="AA946" s="69"/>
    </row>
    <row r="947" spans="1:27">
      <c r="A947" s="69"/>
      <c r="B947" s="69"/>
      <c r="C947" s="69"/>
      <c r="D947" s="69"/>
      <c r="E947" s="69"/>
      <c r="F947" s="69"/>
      <c r="G947" s="69"/>
      <c r="H947" s="69"/>
      <c r="I947" s="69"/>
      <c r="J947" s="69"/>
      <c r="K947" s="69"/>
      <c r="L947" s="69"/>
      <c r="M947" s="69"/>
      <c r="N947" s="69"/>
      <c r="O947" s="69"/>
      <c r="P947" s="69"/>
      <c r="Q947" s="69"/>
      <c r="R947" s="69"/>
      <c r="S947" s="69"/>
      <c r="T947" s="69"/>
      <c r="U947" s="69"/>
      <c r="V947" s="69"/>
      <c r="W947" s="69"/>
      <c r="X947" s="69"/>
      <c r="Y947" s="69"/>
      <c r="Z947" s="69"/>
      <c r="AA947" s="69"/>
    </row>
    <row r="948" spans="1:27">
      <c r="A948" s="69"/>
      <c r="B948" s="69"/>
      <c r="C948" s="69"/>
      <c r="D948" s="69"/>
      <c r="E948" s="69"/>
      <c r="F948" s="69"/>
      <c r="G948" s="69"/>
      <c r="H948" s="69"/>
      <c r="I948" s="69"/>
      <c r="J948" s="69"/>
      <c r="K948" s="69"/>
      <c r="L948" s="69"/>
      <c r="M948" s="69"/>
      <c r="N948" s="69"/>
      <c r="O948" s="69"/>
      <c r="P948" s="69"/>
      <c r="Q948" s="69"/>
      <c r="R948" s="69"/>
      <c r="S948" s="69"/>
      <c r="T948" s="69"/>
      <c r="U948" s="69"/>
      <c r="V948" s="69"/>
      <c r="W948" s="69"/>
      <c r="X948" s="69"/>
      <c r="Y948" s="69"/>
      <c r="Z948" s="69"/>
      <c r="AA948" s="69"/>
    </row>
    <row r="949" spans="1:27">
      <c r="A949" s="69"/>
      <c r="B949" s="69"/>
      <c r="C949" s="69"/>
      <c r="D949" s="69"/>
      <c r="E949" s="69"/>
      <c r="F949" s="69"/>
      <c r="G949" s="69"/>
      <c r="H949" s="69"/>
      <c r="I949" s="69"/>
      <c r="J949" s="69"/>
      <c r="K949" s="69"/>
      <c r="L949" s="69"/>
      <c r="M949" s="69"/>
      <c r="N949" s="69"/>
      <c r="O949" s="69"/>
      <c r="P949" s="69"/>
      <c r="Q949" s="69"/>
      <c r="R949" s="69"/>
      <c r="S949" s="69"/>
      <c r="T949" s="69"/>
      <c r="U949" s="69"/>
      <c r="V949" s="69"/>
      <c r="W949" s="69"/>
      <c r="X949" s="69"/>
      <c r="Y949" s="69"/>
      <c r="Z949" s="69"/>
      <c r="AA949" s="69"/>
    </row>
    <row r="950" spans="1:27">
      <c r="A950" s="69"/>
      <c r="B950" s="69"/>
      <c r="C950" s="69"/>
      <c r="D950" s="69"/>
      <c r="E950" s="69"/>
      <c r="F950" s="69"/>
      <c r="G950" s="69"/>
      <c r="H950" s="69"/>
      <c r="I950" s="69"/>
      <c r="J950" s="69"/>
      <c r="K950" s="69"/>
      <c r="L950" s="69"/>
      <c r="M950" s="69"/>
      <c r="N950" s="69"/>
      <c r="O950" s="69"/>
      <c r="P950" s="69"/>
      <c r="Q950" s="69"/>
      <c r="R950" s="69"/>
      <c r="S950" s="69"/>
      <c r="T950" s="69"/>
      <c r="U950" s="69"/>
      <c r="V950" s="69"/>
      <c r="W950" s="69"/>
      <c r="X950" s="69"/>
      <c r="Y950" s="69"/>
      <c r="Z950" s="69"/>
      <c r="AA950" s="69"/>
    </row>
    <row r="951" spans="1:27">
      <c r="A951" s="69"/>
      <c r="B951" s="69"/>
      <c r="C951" s="69"/>
      <c r="D951" s="69"/>
      <c r="E951" s="69"/>
      <c r="F951" s="69"/>
      <c r="G951" s="69"/>
      <c r="H951" s="69"/>
      <c r="I951" s="69"/>
      <c r="J951" s="69"/>
      <c r="K951" s="69"/>
      <c r="L951" s="69"/>
      <c r="M951" s="69"/>
      <c r="N951" s="69"/>
      <c r="O951" s="69"/>
      <c r="P951" s="69"/>
      <c r="Q951" s="69"/>
      <c r="R951" s="69"/>
      <c r="S951" s="69"/>
      <c r="T951" s="69"/>
      <c r="U951" s="69"/>
      <c r="V951" s="69"/>
      <c r="W951" s="69"/>
      <c r="X951" s="69"/>
      <c r="Y951" s="69"/>
      <c r="Z951" s="69"/>
      <c r="AA951" s="69"/>
    </row>
    <row r="952" spans="1:27">
      <c r="A952" s="69"/>
      <c r="B952" s="69"/>
      <c r="C952" s="69"/>
      <c r="D952" s="69"/>
      <c r="E952" s="69"/>
      <c r="F952" s="69"/>
      <c r="G952" s="69"/>
      <c r="H952" s="69"/>
      <c r="I952" s="69"/>
      <c r="J952" s="69"/>
      <c r="K952" s="69"/>
      <c r="L952" s="69"/>
      <c r="M952" s="69"/>
      <c r="N952" s="69"/>
      <c r="O952" s="69"/>
      <c r="P952" s="69"/>
      <c r="Q952" s="69"/>
      <c r="R952" s="69"/>
      <c r="S952" s="69"/>
      <c r="T952" s="69"/>
      <c r="U952" s="69"/>
      <c r="V952" s="69"/>
      <c r="W952" s="69"/>
      <c r="X952" s="69"/>
      <c r="Y952" s="69"/>
      <c r="Z952" s="69"/>
      <c r="AA952" s="69"/>
    </row>
    <row r="953" spans="1:27">
      <c r="A953" s="69"/>
      <c r="B953" s="69"/>
      <c r="C953" s="69"/>
      <c r="D953" s="69"/>
      <c r="E953" s="69"/>
      <c r="F953" s="69"/>
      <c r="G953" s="69"/>
      <c r="H953" s="69"/>
      <c r="I953" s="69"/>
      <c r="J953" s="69"/>
      <c r="K953" s="69"/>
      <c r="L953" s="69"/>
      <c r="M953" s="69"/>
      <c r="N953" s="69"/>
      <c r="O953" s="69"/>
      <c r="P953" s="69"/>
      <c r="Q953" s="69"/>
      <c r="R953" s="69"/>
      <c r="S953" s="69"/>
      <c r="T953" s="69"/>
      <c r="U953" s="69"/>
      <c r="V953" s="69"/>
      <c r="W953" s="69"/>
      <c r="X953" s="69"/>
      <c r="Y953" s="69"/>
      <c r="Z953" s="69"/>
      <c r="AA953" s="69"/>
    </row>
    <row r="954" spans="1:27">
      <c r="A954" s="69"/>
      <c r="B954" s="69"/>
      <c r="C954" s="69"/>
      <c r="D954" s="69"/>
      <c r="E954" s="69"/>
      <c r="F954" s="69"/>
      <c r="G954" s="69"/>
      <c r="H954" s="69"/>
      <c r="I954" s="69"/>
      <c r="J954" s="69"/>
      <c r="K954" s="69"/>
      <c r="L954" s="69"/>
      <c r="M954" s="69"/>
      <c r="N954" s="69"/>
      <c r="O954" s="69"/>
      <c r="P954" s="69"/>
      <c r="Q954" s="69"/>
      <c r="R954" s="69"/>
      <c r="S954" s="69"/>
      <c r="T954" s="69"/>
      <c r="U954" s="69"/>
      <c r="V954" s="69"/>
      <c r="W954" s="69"/>
      <c r="X954" s="69"/>
      <c r="Y954" s="69"/>
      <c r="Z954" s="69"/>
      <c r="AA954" s="69"/>
    </row>
  </sheetData>
  <mergeCells count="1">
    <mergeCell ref="B7:D7"/>
  </mergeCells>
  <hyperlinks>
    <hyperlink ref="F36" r:id="rId1"/>
    <hyperlink ref="F49" r:id="rId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6900"/>
    <outlinePr summaryBelow="0" summaryRight="0"/>
  </sheetPr>
  <dimension ref="A1:R348"/>
  <sheetViews>
    <sheetView showGridLines="0" workbookViewId="0">
      <selection activeCell="R14" sqref="R14"/>
    </sheetView>
  </sheetViews>
  <sheetFormatPr defaultColWidth="14.42578125" defaultRowHeight="15" customHeight="1"/>
  <cols>
    <col min="1" max="3" width="3" style="662" customWidth="1"/>
    <col min="4" max="5" width="5.140625" style="662" customWidth="1"/>
    <col min="6" max="6" width="67.28515625" style="662" customWidth="1"/>
    <col min="7" max="7" width="8.42578125" style="662" customWidth="1"/>
    <col min="8" max="8" width="4.28515625" style="662" customWidth="1"/>
    <col min="9" max="10" width="4.140625" style="662" customWidth="1"/>
    <col min="11" max="11" width="4.7109375" style="662" customWidth="1"/>
    <col min="12" max="12" width="18" style="662" customWidth="1"/>
    <col min="13" max="14" width="3" style="662" customWidth="1"/>
    <col min="15" max="17" width="3" style="662" hidden="1" customWidth="1"/>
    <col min="18" max="18" width="14.42578125" style="662" customWidth="1"/>
    <col min="19" max="16384" width="14.42578125" style="662"/>
  </cols>
  <sheetData>
    <row r="1" spans="1:18" ht="14.25">
      <c r="A1" s="684"/>
      <c r="B1" s="684"/>
      <c r="C1" s="684"/>
      <c r="D1" s="684"/>
      <c r="E1" s="684"/>
      <c r="F1" s="689"/>
      <c r="G1" s="684"/>
      <c r="H1" s="684"/>
      <c r="I1" s="684"/>
      <c r="J1" s="684"/>
      <c r="K1" s="684"/>
      <c r="L1" s="690"/>
      <c r="M1" s="684"/>
      <c r="N1" s="691"/>
      <c r="O1" s="692"/>
      <c r="P1" s="684"/>
      <c r="Q1" s="684"/>
      <c r="R1" s="684"/>
    </row>
    <row r="2" spans="1:18" ht="14.25">
      <c r="A2" s="684"/>
      <c r="B2" s="685"/>
      <c r="C2" s="685"/>
      <c r="D2" s="685"/>
      <c r="E2" s="685"/>
      <c r="F2" s="693"/>
      <c r="G2" s="685"/>
      <c r="H2" s="685"/>
      <c r="I2" s="685"/>
      <c r="J2" s="685"/>
      <c r="K2" s="685"/>
      <c r="L2" s="694"/>
      <c r="M2" s="685"/>
      <c r="N2" s="695"/>
      <c r="O2" s="696" t="s">
        <v>5</v>
      </c>
      <c r="P2" s="684"/>
      <c r="Q2" s="684"/>
      <c r="R2" s="684"/>
    </row>
    <row r="3" spans="1:18" ht="20.25">
      <c r="A3" s="684"/>
      <c r="B3" s="685"/>
      <c r="C3" s="697" t="s">
        <v>6</v>
      </c>
      <c r="D3" s="685"/>
      <c r="E3" s="685"/>
      <c r="F3" s="693"/>
      <c r="G3" s="685"/>
      <c r="H3" s="685"/>
      <c r="I3" s="685"/>
      <c r="J3" s="685"/>
      <c r="K3" s="685"/>
      <c r="L3" s="694"/>
      <c r="M3" s="685"/>
      <c r="N3" s="695"/>
      <c r="O3" s="696"/>
      <c r="P3" s="684"/>
      <c r="Q3" s="684"/>
      <c r="R3" s="684"/>
    </row>
    <row r="4" spans="1:18" ht="14.25">
      <c r="A4" s="684"/>
      <c r="B4" s="685"/>
      <c r="C4" s="685"/>
      <c r="D4" s="685"/>
      <c r="E4" s="685"/>
      <c r="F4" s="693"/>
      <c r="G4" s="685"/>
      <c r="H4" s="685"/>
      <c r="I4" s="685"/>
      <c r="J4" s="685"/>
      <c r="K4" s="685"/>
      <c r="L4" s="694"/>
      <c r="M4" s="685"/>
      <c r="N4" s="695"/>
      <c r="O4" s="696"/>
      <c r="P4" s="684"/>
      <c r="Q4" s="684"/>
      <c r="R4" s="684"/>
    </row>
    <row r="5" spans="1:18" ht="14.25">
      <c r="A5" s="684"/>
      <c r="B5" s="685"/>
      <c r="C5" s="1135" t="s">
        <v>8</v>
      </c>
      <c r="D5" s="1136"/>
      <c r="E5" s="1136"/>
      <c r="F5" s="1136"/>
      <c r="G5" s="1136"/>
      <c r="H5" s="1136"/>
      <c r="I5" s="1136"/>
      <c r="J5" s="1136"/>
      <c r="K5" s="1136"/>
      <c r="L5" s="1137"/>
      <c r="M5" s="685"/>
      <c r="N5" s="695"/>
      <c r="O5" s="696"/>
      <c r="P5" s="684"/>
      <c r="Q5" s="684"/>
      <c r="R5" s="684"/>
    </row>
    <row r="6" spans="1:18" ht="5.25" customHeight="1">
      <c r="A6" s="684"/>
      <c r="B6" s="685"/>
      <c r="C6" s="685"/>
      <c r="D6" s="685"/>
      <c r="E6" s="685"/>
      <c r="F6" s="693"/>
      <c r="G6" s="685"/>
      <c r="H6" s="685"/>
      <c r="I6" s="685"/>
      <c r="J6" s="685"/>
      <c r="K6" s="685"/>
      <c r="L6" s="694"/>
      <c r="M6" s="685"/>
      <c r="N6" s="695"/>
      <c r="O6" s="696"/>
      <c r="P6" s="684"/>
      <c r="Q6" s="684"/>
      <c r="R6" s="684"/>
    </row>
    <row r="7" spans="1:18" ht="33.6" customHeight="1">
      <c r="A7" s="684"/>
      <c r="B7" s="685"/>
      <c r="C7" s="1142" t="s">
        <v>1101</v>
      </c>
      <c r="D7" s="1132"/>
      <c r="E7" s="1132"/>
      <c r="F7" s="1132"/>
      <c r="G7" s="1132"/>
      <c r="H7" s="1132"/>
      <c r="I7" s="1132"/>
      <c r="J7" s="1132"/>
      <c r="K7" s="1132"/>
      <c r="L7" s="1132"/>
      <c r="M7" s="685"/>
      <c r="N7" s="695"/>
      <c r="O7" s="696"/>
      <c r="P7" s="684"/>
      <c r="Q7" s="684"/>
      <c r="R7" s="684"/>
    </row>
    <row r="8" spans="1:18" ht="9.6" customHeight="1">
      <c r="A8" s="684"/>
      <c r="B8" s="685"/>
      <c r="C8" s="685"/>
      <c r="D8" s="685"/>
      <c r="E8" s="685"/>
      <c r="F8" s="693"/>
      <c r="G8" s="685"/>
      <c r="H8" s="685"/>
      <c r="I8" s="685"/>
      <c r="J8" s="685"/>
      <c r="K8" s="685"/>
      <c r="L8" s="694"/>
      <c r="M8" s="685"/>
      <c r="N8" s="695"/>
      <c r="O8" s="696"/>
      <c r="P8" s="684"/>
      <c r="Q8" s="684"/>
      <c r="R8" s="684"/>
    </row>
    <row r="9" spans="1:18" ht="24" customHeight="1">
      <c r="A9" s="698"/>
      <c r="B9" s="699"/>
      <c r="C9" s="1133" t="s">
        <v>1099</v>
      </c>
      <c r="D9" s="1132"/>
      <c r="E9" s="1132"/>
      <c r="F9" s="1132"/>
      <c r="G9" s="1132"/>
      <c r="H9" s="1132"/>
      <c r="I9" s="1132"/>
      <c r="J9" s="1132"/>
      <c r="K9" s="1132"/>
      <c r="L9" s="1132"/>
      <c r="M9" s="699"/>
      <c r="N9" s="695"/>
      <c r="O9" s="692"/>
      <c r="P9" s="698"/>
      <c r="Q9" s="698"/>
      <c r="R9" s="698"/>
    </row>
    <row r="10" spans="1:18" ht="5.25" customHeight="1">
      <c r="A10" s="684"/>
      <c r="B10" s="685"/>
      <c r="C10" s="685"/>
      <c r="D10" s="685"/>
      <c r="E10" s="685"/>
      <c r="F10" s="693"/>
      <c r="G10" s="685"/>
      <c r="H10" s="685"/>
      <c r="I10" s="685"/>
      <c r="J10" s="685"/>
      <c r="K10" s="685"/>
      <c r="L10" s="694"/>
      <c r="M10" s="685"/>
      <c r="N10" s="695"/>
      <c r="O10" s="692"/>
      <c r="P10" s="684"/>
      <c r="Q10" s="684"/>
      <c r="R10" s="684"/>
    </row>
    <row r="11" spans="1:18" ht="14.25">
      <c r="A11" s="684"/>
      <c r="B11" s="685"/>
      <c r="C11" s="685">
        <v>1</v>
      </c>
      <c r="D11" s="685" t="s">
        <v>22</v>
      </c>
      <c r="E11" s="685"/>
      <c r="F11" s="693"/>
      <c r="G11" s="685"/>
      <c r="H11" s="685"/>
      <c r="I11" s="685"/>
      <c r="J11" s="685"/>
      <c r="K11" s="685"/>
      <c r="L11" s="694"/>
      <c r="M11" s="685"/>
      <c r="N11" s="695"/>
      <c r="O11" s="692"/>
      <c r="P11" s="684"/>
      <c r="Q11" s="684"/>
      <c r="R11" s="684"/>
    </row>
    <row r="12" spans="1:18" ht="14.25">
      <c r="A12" s="684"/>
      <c r="B12" s="685"/>
      <c r="C12" s="685">
        <v>2</v>
      </c>
      <c r="D12" s="685" t="s">
        <v>25</v>
      </c>
      <c r="E12" s="685"/>
      <c r="F12" s="693"/>
      <c r="G12" s="685"/>
      <c r="H12" s="685"/>
      <c r="I12" s="685"/>
      <c r="J12" s="685"/>
      <c r="K12" s="685"/>
      <c r="L12" s="694"/>
      <c r="M12" s="685"/>
      <c r="N12" s="695"/>
      <c r="O12" s="692"/>
      <c r="P12" s="684"/>
      <c r="Q12" s="684"/>
      <c r="R12" s="684"/>
    </row>
    <row r="13" spans="1:18" ht="14.25">
      <c r="A13" s="684"/>
      <c r="B13" s="685"/>
      <c r="C13" s="685">
        <v>3</v>
      </c>
      <c r="D13" s="685" t="s">
        <v>26</v>
      </c>
      <c r="E13" s="685"/>
      <c r="F13" s="693"/>
      <c r="G13" s="685"/>
      <c r="H13" s="685"/>
      <c r="I13" s="685"/>
      <c r="J13" s="685"/>
      <c r="K13" s="685"/>
      <c r="L13" s="694"/>
      <c r="M13" s="685"/>
      <c r="N13" s="695"/>
      <c r="O13" s="692"/>
      <c r="P13" s="684"/>
      <c r="Q13" s="684"/>
      <c r="R13" s="684"/>
    </row>
    <row r="14" spans="1:18" ht="14.25">
      <c r="A14" s="684"/>
      <c r="B14" s="685"/>
      <c r="C14" s="685">
        <v>4</v>
      </c>
      <c r="D14" s="685" t="s">
        <v>27</v>
      </c>
      <c r="E14" s="685"/>
      <c r="F14" s="693"/>
      <c r="G14" s="685"/>
      <c r="H14" s="685"/>
      <c r="I14" s="685"/>
      <c r="J14" s="685"/>
      <c r="K14" s="685"/>
      <c r="L14" s="694"/>
      <c r="M14" s="685"/>
      <c r="N14" s="695"/>
      <c r="O14" s="692"/>
      <c r="P14" s="684"/>
      <c r="Q14" s="684"/>
      <c r="R14" s="684"/>
    </row>
    <row r="15" spans="1:18" ht="14.25">
      <c r="A15" s="684"/>
      <c r="B15" s="685"/>
      <c r="C15" s="685">
        <v>5</v>
      </c>
      <c r="D15" s="685" t="s">
        <v>28</v>
      </c>
      <c r="E15" s="685"/>
      <c r="F15" s="693"/>
      <c r="G15" s="685"/>
      <c r="H15" s="685"/>
      <c r="I15" s="685"/>
      <c r="J15" s="685"/>
      <c r="K15" s="685"/>
      <c r="L15" s="694"/>
      <c r="M15" s="685"/>
      <c r="N15" s="695"/>
      <c r="O15" s="692"/>
      <c r="P15" s="684"/>
      <c r="Q15" s="684"/>
      <c r="R15" s="684"/>
    </row>
    <row r="16" spans="1:18" ht="14.25">
      <c r="A16" s="684"/>
      <c r="B16" s="685"/>
      <c r="C16" s="685"/>
      <c r="D16" s="685"/>
      <c r="E16" s="685"/>
      <c r="F16" s="693"/>
      <c r="G16" s="685"/>
      <c r="H16" s="685"/>
      <c r="I16" s="685"/>
      <c r="J16" s="685"/>
      <c r="K16" s="685"/>
      <c r="L16" s="694"/>
      <c r="M16" s="685"/>
      <c r="N16" s="695"/>
      <c r="O16" s="692"/>
      <c r="P16" s="684"/>
      <c r="Q16" s="684"/>
      <c r="R16" s="684"/>
    </row>
    <row r="17" spans="1:18" ht="14.25">
      <c r="A17" s="684"/>
      <c r="B17" s="685"/>
      <c r="C17" s="685" t="s">
        <v>1100</v>
      </c>
      <c r="D17" s="685"/>
      <c r="E17" s="685"/>
      <c r="F17" s="693"/>
      <c r="G17" s="685"/>
      <c r="H17" s="685"/>
      <c r="I17" s="685"/>
      <c r="J17" s="685"/>
      <c r="K17" s="685"/>
      <c r="L17" s="694"/>
      <c r="M17" s="685"/>
      <c r="N17" s="695"/>
      <c r="O17" s="692"/>
      <c r="P17" s="684"/>
      <c r="Q17" s="684"/>
      <c r="R17" s="684"/>
    </row>
    <row r="18" spans="1:18" ht="14.25">
      <c r="A18" s="684"/>
      <c r="B18" s="685"/>
      <c r="C18" s="700" t="s">
        <v>15</v>
      </c>
      <c r="D18" s="685"/>
      <c r="E18" s="685"/>
      <c r="F18" s="693"/>
      <c r="G18" s="685"/>
      <c r="H18" s="685"/>
      <c r="I18" s="685"/>
      <c r="J18" s="685"/>
      <c r="K18" s="685"/>
      <c r="L18" s="694"/>
      <c r="M18" s="685"/>
      <c r="N18" s="695"/>
      <c r="O18" s="692"/>
      <c r="P18" s="684"/>
      <c r="Q18" s="684"/>
      <c r="R18" s="684"/>
    </row>
    <row r="19" spans="1:18" ht="14.25">
      <c r="A19" s="684"/>
      <c r="B19" s="685"/>
      <c r="C19" s="700" t="s">
        <v>16</v>
      </c>
      <c r="D19" s="685"/>
      <c r="E19" s="685"/>
      <c r="F19" s="693"/>
      <c r="G19" s="685"/>
      <c r="H19" s="685"/>
      <c r="I19" s="685"/>
      <c r="J19" s="685"/>
      <c r="K19" s="685"/>
      <c r="L19" s="694"/>
      <c r="M19" s="685"/>
      <c r="N19" s="695"/>
      <c r="O19" s="692"/>
      <c r="P19" s="684"/>
      <c r="Q19" s="684"/>
      <c r="R19" s="684"/>
    </row>
    <row r="20" spans="1:18" ht="14.25" hidden="1">
      <c r="A20" s="684"/>
      <c r="B20" s="685"/>
      <c r="C20" s="701" t="s">
        <v>5</v>
      </c>
      <c r="D20" s="685"/>
      <c r="E20" s="685"/>
      <c r="F20" s="693"/>
      <c r="G20" s="685"/>
      <c r="H20" s="685"/>
      <c r="I20" s="685"/>
      <c r="J20" s="685"/>
      <c r="K20" s="685"/>
      <c r="L20" s="694"/>
      <c r="M20" s="685"/>
      <c r="N20" s="695"/>
      <c r="O20" s="692"/>
      <c r="P20" s="684"/>
      <c r="Q20" s="684"/>
      <c r="R20" s="684"/>
    </row>
    <row r="21" spans="1:18" ht="14.25" hidden="1">
      <c r="A21" s="684"/>
      <c r="B21" s="685"/>
      <c r="C21" s="685" t="s">
        <v>18</v>
      </c>
      <c r="D21" s="685"/>
      <c r="E21" s="685"/>
      <c r="F21" s="693"/>
      <c r="G21" s="702" t="s">
        <v>19</v>
      </c>
      <c r="H21" s="685"/>
      <c r="I21" s="685"/>
      <c r="J21" s="685"/>
      <c r="K21" s="685"/>
      <c r="L21" s="694"/>
      <c r="M21" s="685"/>
      <c r="N21" s="695"/>
      <c r="O21" s="692"/>
      <c r="P21" s="684"/>
      <c r="Q21" s="684"/>
      <c r="R21" s="684"/>
    </row>
    <row r="22" spans="1:18" ht="14.25" hidden="1">
      <c r="A22" s="684"/>
      <c r="B22" s="685"/>
      <c r="C22" s="685" t="s">
        <v>22</v>
      </c>
      <c r="D22" s="685"/>
      <c r="E22" s="685"/>
      <c r="F22" s="693"/>
      <c r="G22" s="703">
        <v>1</v>
      </c>
      <c r="H22" s="685"/>
      <c r="I22" s="685"/>
      <c r="J22" s="685"/>
      <c r="K22" s="685"/>
      <c r="L22" s="694"/>
      <c r="M22" s="685"/>
      <c r="N22" s="695"/>
      <c r="O22" s="692"/>
      <c r="P22" s="684"/>
      <c r="Q22" s="684"/>
      <c r="R22" s="684"/>
    </row>
    <row r="23" spans="1:18" ht="14.25" hidden="1">
      <c r="A23" s="684"/>
      <c r="B23" s="685"/>
      <c r="C23" s="685" t="s">
        <v>25</v>
      </c>
      <c r="D23" s="685"/>
      <c r="E23" s="685"/>
      <c r="F23" s="693"/>
      <c r="G23" s="703">
        <v>2</v>
      </c>
      <c r="H23" s="685"/>
      <c r="I23" s="685"/>
      <c r="J23" s="685"/>
      <c r="K23" s="685"/>
      <c r="L23" s="694"/>
      <c r="M23" s="685"/>
      <c r="N23" s="695"/>
      <c r="O23" s="692"/>
      <c r="P23" s="684"/>
      <c r="Q23" s="684"/>
      <c r="R23" s="684"/>
    </row>
    <row r="24" spans="1:18" ht="14.25" hidden="1">
      <c r="A24" s="684"/>
      <c r="B24" s="685"/>
      <c r="C24" s="685" t="s">
        <v>26</v>
      </c>
      <c r="D24" s="685"/>
      <c r="E24" s="685"/>
      <c r="F24" s="693"/>
      <c r="G24" s="703">
        <v>3</v>
      </c>
      <c r="H24" s="685"/>
      <c r="I24" s="685"/>
      <c r="J24" s="685"/>
      <c r="K24" s="685"/>
      <c r="L24" s="694"/>
      <c r="M24" s="685"/>
      <c r="N24" s="695"/>
      <c r="O24" s="692"/>
      <c r="P24" s="684"/>
      <c r="Q24" s="684"/>
      <c r="R24" s="684"/>
    </row>
    <row r="25" spans="1:18" ht="14.25" hidden="1">
      <c r="A25" s="684"/>
      <c r="B25" s="685"/>
      <c r="C25" s="685" t="s">
        <v>27</v>
      </c>
      <c r="D25" s="685"/>
      <c r="E25" s="685"/>
      <c r="F25" s="693"/>
      <c r="G25" s="703">
        <v>4</v>
      </c>
      <c r="H25" s="685"/>
      <c r="I25" s="685"/>
      <c r="J25" s="685"/>
      <c r="K25" s="685"/>
      <c r="L25" s="694"/>
      <c r="M25" s="685"/>
      <c r="N25" s="695"/>
      <c r="O25" s="692"/>
      <c r="P25" s="684"/>
      <c r="Q25" s="684"/>
      <c r="R25" s="684"/>
    </row>
    <row r="26" spans="1:18" ht="14.25" hidden="1">
      <c r="A26" s="684"/>
      <c r="B26" s="685"/>
      <c r="C26" s="685" t="s">
        <v>28</v>
      </c>
      <c r="D26" s="685"/>
      <c r="E26" s="685"/>
      <c r="F26" s="693"/>
      <c r="G26" s="703">
        <v>5</v>
      </c>
      <c r="H26" s="685"/>
      <c r="I26" s="685"/>
      <c r="J26" s="685"/>
      <c r="K26" s="685"/>
      <c r="L26" s="694"/>
      <c r="M26" s="685"/>
      <c r="N26" s="695"/>
      <c r="O26" s="692"/>
      <c r="P26" s="684"/>
      <c r="Q26" s="684"/>
      <c r="R26" s="684"/>
    </row>
    <row r="27" spans="1:18" ht="14.25" hidden="1">
      <c r="A27" s="684"/>
      <c r="B27" s="685"/>
      <c r="C27" s="701" t="s">
        <v>29</v>
      </c>
      <c r="D27" s="685"/>
      <c r="E27" s="685"/>
      <c r="F27" s="693"/>
      <c r="G27" s="685"/>
      <c r="H27" s="685"/>
      <c r="I27" s="685"/>
      <c r="J27" s="685"/>
      <c r="K27" s="685"/>
      <c r="L27" s="694"/>
      <c r="M27" s="685"/>
      <c r="N27" s="695"/>
      <c r="O27" s="692"/>
      <c r="P27" s="684"/>
      <c r="Q27" s="684"/>
      <c r="R27" s="684"/>
    </row>
    <row r="28" spans="1:18" ht="14.25" hidden="1">
      <c r="A28" s="684"/>
      <c r="B28" s="685"/>
      <c r="C28" s="685"/>
      <c r="D28" s="685"/>
      <c r="E28" s="685"/>
      <c r="F28" s="693"/>
      <c r="G28" s="685"/>
      <c r="H28" s="685"/>
      <c r="I28" s="685"/>
      <c r="J28" s="685"/>
      <c r="K28" s="685"/>
      <c r="L28" s="694"/>
      <c r="M28" s="685"/>
      <c r="N28" s="695"/>
      <c r="O28" s="692"/>
      <c r="P28" s="684"/>
      <c r="Q28" s="684"/>
      <c r="R28" s="684"/>
    </row>
    <row r="29" spans="1:18" ht="14.25" hidden="1">
      <c r="A29" s="684"/>
      <c r="B29" s="685"/>
      <c r="C29" s="701" t="s">
        <v>5</v>
      </c>
      <c r="D29" s="685"/>
      <c r="E29" s="685"/>
      <c r="F29" s="693"/>
      <c r="G29" s="685"/>
      <c r="H29" s="685"/>
      <c r="I29" s="685"/>
      <c r="J29" s="685"/>
      <c r="K29" s="685"/>
      <c r="L29" s="694"/>
      <c r="M29" s="685"/>
      <c r="N29" s="695"/>
      <c r="O29" s="692"/>
      <c r="P29" s="684"/>
      <c r="Q29" s="684"/>
      <c r="R29" s="684"/>
    </row>
    <row r="30" spans="1:18" ht="14.25" hidden="1">
      <c r="A30" s="684"/>
      <c r="B30" s="685"/>
      <c r="C30" s="685">
        <v>1</v>
      </c>
      <c r="D30" s="685"/>
      <c r="E30" s="685"/>
      <c r="F30" s="693"/>
      <c r="G30" s="685"/>
      <c r="H30" s="685"/>
      <c r="I30" s="685"/>
      <c r="J30" s="685"/>
      <c r="K30" s="685"/>
      <c r="L30" s="694"/>
      <c r="M30" s="685"/>
      <c r="N30" s="695"/>
      <c r="O30" s="692"/>
      <c r="P30" s="684"/>
      <c r="Q30" s="684"/>
      <c r="R30" s="704"/>
    </row>
    <row r="31" spans="1:18" ht="14.25" hidden="1">
      <c r="A31" s="684"/>
      <c r="B31" s="685"/>
      <c r="C31" s="685">
        <v>2</v>
      </c>
      <c r="D31" s="685"/>
      <c r="E31" s="685"/>
      <c r="F31" s="693"/>
      <c r="G31" s="685"/>
      <c r="H31" s="685"/>
      <c r="I31" s="685"/>
      <c r="J31" s="685"/>
      <c r="K31" s="685"/>
      <c r="L31" s="694"/>
      <c r="M31" s="685"/>
      <c r="N31" s="695"/>
      <c r="O31" s="692"/>
      <c r="P31" s="684"/>
      <c r="Q31" s="684"/>
      <c r="R31" s="704"/>
    </row>
    <row r="32" spans="1:18" ht="14.25" hidden="1">
      <c r="A32" s="684"/>
      <c r="B32" s="685"/>
      <c r="C32" s="685">
        <v>3</v>
      </c>
      <c r="D32" s="685"/>
      <c r="E32" s="685"/>
      <c r="F32" s="693"/>
      <c r="G32" s="685"/>
      <c r="H32" s="685"/>
      <c r="I32" s="685"/>
      <c r="J32" s="685"/>
      <c r="K32" s="685"/>
      <c r="L32" s="694"/>
      <c r="M32" s="685"/>
      <c r="N32" s="695"/>
      <c r="O32" s="692"/>
      <c r="P32" s="684"/>
      <c r="Q32" s="684"/>
      <c r="R32" s="704"/>
    </row>
    <row r="33" spans="1:18" ht="14.25" hidden="1">
      <c r="A33" s="684"/>
      <c r="B33" s="685"/>
      <c r="C33" s="685">
        <v>4</v>
      </c>
      <c r="D33" s="685"/>
      <c r="E33" s="685"/>
      <c r="F33" s="693"/>
      <c r="G33" s="685"/>
      <c r="H33" s="685"/>
      <c r="I33" s="685"/>
      <c r="J33" s="685"/>
      <c r="K33" s="685"/>
      <c r="L33" s="694"/>
      <c r="M33" s="685"/>
      <c r="N33" s="695"/>
      <c r="O33" s="692"/>
      <c r="P33" s="684"/>
      <c r="Q33" s="684"/>
      <c r="R33" s="704"/>
    </row>
    <row r="34" spans="1:18" ht="14.25" hidden="1">
      <c r="A34" s="684"/>
      <c r="B34" s="685"/>
      <c r="C34" s="685">
        <v>5</v>
      </c>
      <c r="D34" s="685"/>
      <c r="E34" s="685"/>
      <c r="F34" s="693"/>
      <c r="G34" s="685"/>
      <c r="H34" s="685"/>
      <c r="I34" s="685"/>
      <c r="J34" s="685"/>
      <c r="K34" s="685"/>
      <c r="L34" s="694"/>
      <c r="M34" s="685"/>
      <c r="N34" s="695"/>
      <c r="O34" s="692"/>
      <c r="P34" s="684"/>
      <c r="Q34" s="684"/>
      <c r="R34" s="704"/>
    </row>
    <row r="35" spans="1:18" ht="14.25" hidden="1">
      <c r="A35" s="684"/>
      <c r="B35" s="685"/>
      <c r="C35" s="701" t="s">
        <v>29</v>
      </c>
      <c r="D35" s="685"/>
      <c r="E35" s="685"/>
      <c r="F35" s="693"/>
      <c r="G35" s="685"/>
      <c r="H35" s="685"/>
      <c r="I35" s="685"/>
      <c r="J35" s="685"/>
      <c r="K35" s="685"/>
      <c r="L35" s="694"/>
      <c r="M35" s="685"/>
      <c r="N35" s="695"/>
      <c r="O35" s="692"/>
      <c r="P35" s="684"/>
      <c r="Q35" s="684"/>
      <c r="R35" s="704"/>
    </row>
    <row r="36" spans="1:18" ht="14.25">
      <c r="A36" s="684"/>
      <c r="B36" s="685"/>
      <c r="C36" s="703"/>
      <c r="D36" s="685"/>
      <c r="E36" s="685"/>
      <c r="F36" s="693"/>
      <c r="G36" s="685"/>
      <c r="H36" s="685"/>
      <c r="I36" s="685"/>
      <c r="J36" s="685"/>
      <c r="K36" s="685"/>
      <c r="L36" s="694"/>
      <c r="M36" s="685"/>
      <c r="N36" s="695"/>
      <c r="O36" s="692"/>
      <c r="P36" s="684"/>
      <c r="Q36" s="684"/>
      <c r="R36" s="684"/>
    </row>
    <row r="37" spans="1:18" ht="14.25">
      <c r="A37" s="684"/>
      <c r="B37" s="685"/>
      <c r="C37" s="1135" t="s">
        <v>36</v>
      </c>
      <c r="D37" s="1136"/>
      <c r="E37" s="1136"/>
      <c r="F37" s="1136"/>
      <c r="G37" s="1136"/>
      <c r="H37" s="1136"/>
      <c r="I37" s="1136"/>
      <c r="J37" s="1136"/>
      <c r="K37" s="1136"/>
      <c r="L37" s="1137"/>
      <c r="M37" s="685"/>
      <c r="N37" s="695"/>
      <c r="O37" s="692"/>
      <c r="P37" s="684"/>
      <c r="Q37" s="684"/>
      <c r="R37" s="684"/>
    </row>
    <row r="38" spans="1:18" ht="14.25">
      <c r="A38" s="684"/>
      <c r="B38" s="685"/>
      <c r="C38" s="685"/>
      <c r="D38" s="685"/>
      <c r="E38" s="685"/>
      <c r="F38" s="693"/>
      <c r="G38" s="685"/>
      <c r="H38" s="685"/>
      <c r="I38" s="685"/>
      <c r="J38" s="685"/>
      <c r="K38" s="685"/>
      <c r="L38" s="694"/>
      <c r="M38" s="685"/>
      <c r="N38" s="695"/>
      <c r="O38" s="692"/>
      <c r="P38" s="684"/>
      <c r="Q38" s="684"/>
      <c r="R38" s="684"/>
    </row>
    <row r="39" spans="1:18" thickBot="1">
      <c r="A39" s="684"/>
      <c r="B39" s="685"/>
      <c r="C39" s="705" t="s">
        <v>38</v>
      </c>
      <c r="D39" s="685"/>
      <c r="E39" s="685"/>
      <c r="F39" s="693"/>
      <c r="G39" s="1074"/>
      <c r="H39" s="706" t="s">
        <v>40</v>
      </c>
      <c r="I39" s="685"/>
      <c r="J39" s="707"/>
      <c r="K39" s="694" t="s">
        <v>44</v>
      </c>
      <c r="L39" s="708" t="s">
        <v>46</v>
      </c>
      <c r="M39" s="685"/>
      <c r="N39" s="695"/>
      <c r="O39" s="692"/>
      <c r="P39" s="684"/>
      <c r="Q39" s="684"/>
      <c r="R39" s="684"/>
    </row>
    <row r="40" spans="1:18" ht="14.25">
      <c r="A40" s="684"/>
      <c r="B40" s="685"/>
      <c r="C40" s="685"/>
      <c r="D40" s="685"/>
      <c r="E40" s="685"/>
      <c r="F40" s="693"/>
      <c r="G40" s="685"/>
      <c r="H40" s="685"/>
      <c r="I40" s="685"/>
      <c r="J40" s="685"/>
      <c r="K40" s="685"/>
      <c r="L40" s="694"/>
      <c r="M40" s="685"/>
      <c r="N40" s="695"/>
      <c r="O40" s="692"/>
      <c r="P40" s="684"/>
      <c r="Q40" s="684"/>
      <c r="R40" s="684"/>
    </row>
    <row r="41" spans="1:18" ht="14.25">
      <c r="A41" s="684"/>
      <c r="B41" s="685"/>
      <c r="C41" s="1134" t="s">
        <v>47</v>
      </c>
      <c r="D41" s="1132"/>
      <c r="E41" s="1132"/>
      <c r="F41" s="1132"/>
      <c r="G41" s="1132"/>
      <c r="H41" s="1132"/>
      <c r="I41" s="1132"/>
      <c r="J41" s="1132"/>
      <c r="K41" s="1132"/>
      <c r="L41" s="1132"/>
      <c r="M41" s="685"/>
      <c r="N41" s="695"/>
      <c r="O41" s="692"/>
      <c r="P41" s="684"/>
      <c r="Q41" s="684"/>
      <c r="R41" s="684"/>
    </row>
    <row r="42" spans="1:18" ht="14.25">
      <c r="A42" s="684"/>
      <c r="B42" s="685"/>
      <c r="C42" s="685"/>
      <c r="D42" s="685"/>
      <c r="E42" s="685"/>
      <c r="F42" s="693"/>
      <c r="G42" s="685"/>
      <c r="H42" s="685"/>
      <c r="I42" s="685"/>
      <c r="J42" s="685"/>
      <c r="K42" s="685"/>
      <c r="L42" s="694"/>
      <c r="M42" s="685"/>
      <c r="N42" s="695"/>
      <c r="O42" s="692"/>
      <c r="P42" s="684"/>
      <c r="Q42" s="684"/>
      <c r="R42" s="684"/>
    </row>
    <row r="43" spans="1:18" ht="14.25">
      <c r="A43" s="709"/>
      <c r="B43" s="710"/>
      <c r="C43" s="711" t="s">
        <v>48</v>
      </c>
      <c r="D43" s="711"/>
      <c r="E43" s="711"/>
      <c r="F43" s="712"/>
      <c r="G43" s="711"/>
      <c r="H43" s="711"/>
      <c r="I43" s="711"/>
      <c r="J43" s="711"/>
      <c r="K43" s="711"/>
      <c r="L43" s="713"/>
      <c r="M43" s="710"/>
      <c r="N43" s="714"/>
      <c r="O43" s="692"/>
      <c r="P43" s="709"/>
      <c r="Q43" s="709"/>
      <c r="R43" s="709"/>
    </row>
    <row r="44" spans="1:18" ht="5.25" customHeight="1">
      <c r="A44" s="684"/>
      <c r="B44" s="685"/>
      <c r="C44" s="685"/>
      <c r="D44" s="699"/>
      <c r="E44" s="715"/>
      <c r="F44" s="693"/>
      <c r="G44" s="685"/>
      <c r="H44" s="685"/>
      <c r="I44" s="685"/>
      <c r="J44" s="685"/>
      <c r="K44" s="685"/>
      <c r="L44" s="694"/>
      <c r="M44" s="685"/>
      <c r="N44" s="695"/>
      <c r="O44" s="692"/>
      <c r="P44" s="684"/>
      <c r="Q44" s="684"/>
      <c r="R44" s="684"/>
    </row>
    <row r="45" spans="1:18" ht="14.25">
      <c r="A45" s="709"/>
      <c r="B45" s="710"/>
      <c r="C45" s="710"/>
      <c r="D45" s="716" t="s">
        <v>50</v>
      </c>
      <c r="E45" s="717" t="s">
        <v>51</v>
      </c>
      <c r="F45" s="718"/>
      <c r="G45" s="710"/>
      <c r="H45" s="710"/>
      <c r="I45" s="710"/>
      <c r="J45" s="710"/>
      <c r="K45" s="710"/>
      <c r="L45" s="719"/>
      <c r="M45" s="710"/>
      <c r="N45" s="714"/>
      <c r="O45" s="692"/>
      <c r="P45" s="709"/>
      <c r="Q45" s="709"/>
      <c r="R45" s="709"/>
    </row>
    <row r="46" spans="1:18" ht="5.25" customHeight="1">
      <c r="A46" s="720"/>
      <c r="B46" s="703"/>
      <c r="C46" s="703"/>
      <c r="D46" s="721"/>
      <c r="E46" s="722"/>
      <c r="F46" s="723"/>
      <c r="G46" s="703"/>
      <c r="H46" s="703"/>
      <c r="I46" s="703"/>
      <c r="J46" s="703"/>
      <c r="K46" s="703"/>
      <c r="L46" s="724"/>
      <c r="M46" s="703"/>
      <c r="N46" s="695"/>
      <c r="O46" s="692"/>
      <c r="P46" s="720"/>
      <c r="Q46" s="720"/>
      <c r="R46" s="720"/>
    </row>
    <row r="47" spans="1:18" ht="24">
      <c r="A47" s="720"/>
      <c r="B47" s="703"/>
      <c r="C47" s="703"/>
      <c r="D47" s="725" t="s">
        <v>19</v>
      </c>
      <c r="E47" s="722" t="s">
        <v>63</v>
      </c>
      <c r="F47" s="723" t="s">
        <v>64</v>
      </c>
      <c r="G47" s="703"/>
      <c r="H47" s="703"/>
      <c r="I47" s="703"/>
      <c r="J47" s="703"/>
      <c r="K47" s="703"/>
      <c r="L47" s="726" t="s">
        <v>26</v>
      </c>
      <c r="M47" s="703"/>
      <c r="N47" s="695"/>
      <c r="O47" s="692">
        <f t="shared" ref="O47:O48" si="0">VLOOKUP(L47,$C$21:$G$26,5,FALSE)</f>
        <v>3</v>
      </c>
      <c r="P47" s="720"/>
      <c r="Q47" s="720"/>
      <c r="R47" s="720"/>
    </row>
    <row r="48" spans="1:18" ht="24">
      <c r="A48" s="720"/>
      <c r="B48" s="703"/>
      <c r="C48" s="703"/>
      <c r="D48" s="725" t="s">
        <v>19</v>
      </c>
      <c r="E48" s="722" t="s">
        <v>67</v>
      </c>
      <c r="F48" s="723" t="s">
        <v>68</v>
      </c>
      <c r="G48" s="703"/>
      <c r="H48" s="703"/>
      <c r="I48" s="703"/>
      <c r="J48" s="703"/>
      <c r="K48" s="703"/>
      <c r="L48" s="726" t="s">
        <v>22</v>
      </c>
      <c r="M48" s="703"/>
      <c r="N48" s="695"/>
      <c r="O48" s="727">
        <f t="shared" si="0"/>
        <v>1</v>
      </c>
      <c r="P48" s="720"/>
      <c r="Q48" s="720"/>
      <c r="R48" s="720"/>
    </row>
    <row r="49" spans="1:18" ht="5.25" customHeight="1">
      <c r="A49" s="684"/>
      <c r="B49" s="685"/>
      <c r="C49" s="685"/>
      <c r="D49" s="728"/>
      <c r="E49" s="715"/>
      <c r="F49" s="693"/>
      <c r="G49" s="685"/>
      <c r="H49" s="685"/>
      <c r="I49" s="685"/>
      <c r="J49" s="685"/>
      <c r="K49" s="685"/>
      <c r="L49" s="694"/>
      <c r="M49" s="685"/>
      <c r="N49" s="695"/>
      <c r="O49" s="692"/>
      <c r="P49" s="684"/>
      <c r="Q49" s="684"/>
      <c r="R49" s="684"/>
    </row>
    <row r="50" spans="1:18" ht="14.25">
      <c r="A50" s="709"/>
      <c r="B50" s="710"/>
      <c r="C50" s="710"/>
      <c r="D50" s="716" t="s">
        <v>69</v>
      </c>
      <c r="E50" s="717" t="s">
        <v>70</v>
      </c>
      <c r="F50" s="718"/>
      <c r="G50" s="710"/>
      <c r="H50" s="710"/>
      <c r="I50" s="710"/>
      <c r="J50" s="710"/>
      <c r="K50" s="710"/>
      <c r="L50" s="719"/>
      <c r="M50" s="710"/>
      <c r="N50" s="714"/>
      <c r="O50" s="692"/>
      <c r="P50" s="709"/>
      <c r="Q50" s="709"/>
      <c r="R50" s="709"/>
    </row>
    <row r="51" spans="1:18" ht="5.25" customHeight="1">
      <c r="A51" s="684"/>
      <c r="B51" s="685"/>
      <c r="C51" s="685"/>
      <c r="D51" s="728"/>
      <c r="E51" s="715"/>
      <c r="F51" s="693"/>
      <c r="G51" s="685"/>
      <c r="H51" s="685"/>
      <c r="I51" s="685"/>
      <c r="J51" s="685"/>
      <c r="K51" s="685"/>
      <c r="L51" s="694"/>
      <c r="M51" s="685"/>
      <c r="N51" s="695"/>
      <c r="O51" s="692"/>
      <c r="P51" s="684"/>
      <c r="Q51" s="684"/>
      <c r="R51" s="684"/>
    </row>
    <row r="52" spans="1:18" ht="14.25">
      <c r="A52" s="720"/>
      <c r="B52" s="703"/>
      <c r="C52" s="703"/>
      <c r="D52" s="725" t="s">
        <v>19</v>
      </c>
      <c r="E52" s="722" t="s">
        <v>63</v>
      </c>
      <c r="F52" s="723" t="s">
        <v>71</v>
      </c>
      <c r="G52" s="703"/>
      <c r="H52" s="703"/>
      <c r="I52" s="703"/>
      <c r="J52" s="703"/>
      <c r="K52" s="703"/>
      <c r="L52" s="726" t="s">
        <v>27</v>
      </c>
      <c r="M52" s="703"/>
      <c r="N52" s="695"/>
      <c r="O52" s="727">
        <f>VLOOKUP(L52,$C$21:$G$26,5,FALSE)</f>
        <v>4</v>
      </c>
      <c r="P52" s="720"/>
      <c r="Q52" s="720"/>
      <c r="R52" s="720"/>
    </row>
    <row r="53" spans="1:18" ht="5.25" customHeight="1">
      <c r="A53" s="684"/>
      <c r="B53" s="685"/>
      <c r="C53" s="685"/>
      <c r="D53" s="728"/>
      <c r="E53" s="715"/>
      <c r="F53" s="693"/>
      <c r="G53" s="685"/>
      <c r="H53" s="685"/>
      <c r="I53" s="685"/>
      <c r="J53" s="685"/>
      <c r="K53" s="685"/>
      <c r="L53" s="694"/>
      <c r="M53" s="685"/>
      <c r="N53" s="695"/>
      <c r="O53" s="692"/>
      <c r="P53" s="684"/>
      <c r="Q53" s="684"/>
      <c r="R53" s="684"/>
    </row>
    <row r="54" spans="1:18" ht="14.25">
      <c r="A54" s="709"/>
      <c r="B54" s="710"/>
      <c r="C54" s="710"/>
      <c r="D54" s="716" t="s">
        <v>75</v>
      </c>
      <c r="E54" s="717" t="s">
        <v>76</v>
      </c>
      <c r="F54" s="718"/>
      <c r="G54" s="710"/>
      <c r="H54" s="710"/>
      <c r="I54" s="710"/>
      <c r="J54" s="710"/>
      <c r="K54" s="710"/>
      <c r="L54" s="719"/>
      <c r="M54" s="710"/>
      <c r="N54" s="714"/>
      <c r="O54" s="692"/>
      <c r="P54" s="709"/>
      <c r="Q54" s="709"/>
      <c r="R54" s="709"/>
    </row>
    <row r="55" spans="1:18" ht="5.25" customHeight="1">
      <c r="A55" s="684"/>
      <c r="B55" s="685"/>
      <c r="C55" s="685"/>
      <c r="D55" s="728"/>
      <c r="E55" s="715"/>
      <c r="F55" s="693"/>
      <c r="G55" s="685"/>
      <c r="H55" s="685"/>
      <c r="I55" s="685"/>
      <c r="J55" s="685"/>
      <c r="K55" s="685"/>
      <c r="L55" s="694"/>
      <c r="M55" s="685"/>
      <c r="N55" s="695"/>
      <c r="O55" s="692"/>
      <c r="P55" s="684"/>
      <c r="Q55" s="684"/>
      <c r="R55" s="684"/>
    </row>
    <row r="56" spans="1:18" ht="24">
      <c r="A56" s="720"/>
      <c r="B56" s="703"/>
      <c r="C56" s="703"/>
      <c r="D56" s="725" t="s">
        <v>19</v>
      </c>
      <c r="E56" s="722" t="s">
        <v>63</v>
      </c>
      <c r="F56" s="723" t="s">
        <v>77</v>
      </c>
      <c r="G56" s="703"/>
      <c r="H56" s="703"/>
      <c r="I56" s="703"/>
      <c r="J56" s="703"/>
      <c r="K56" s="703"/>
      <c r="L56" s="726" t="s">
        <v>26</v>
      </c>
      <c r="M56" s="703"/>
      <c r="N56" s="695"/>
      <c r="O56" s="727">
        <f>VLOOKUP(L56,$C$21:$G$26,5,FALSE)</f>
        <v>3</v>
      </c>
      <c r="P56" s="720"/>
      <c r="Q56" s="720"/>
      <c r="R56" s="720"/>
    </row>
    <row r="57" spans="1:18" ht="5.25" customHeight="1">
      <c r="A57" s="684"/>
      <c r="B57" s="685"/>
      <c r="C57" s="685"/>
      <c r="D57" s="728"/>
      <c r="E57" s="715"/>
      <c r="F57" s="693"/>
      <c r="G57" s="685"/>
      <c r="H57" s="685"/>
      <c r="I57" s="685"/>
      <c r="J57" s="685"/>
      <c r="K57" s="685"/>
      <c r="L57" s="694"/>
      <c r="M57" s="685"/>
      <c r="N57" s="695"/>
      <c r="O57" s="692"/>
      <c r="P57" s="684"/>
      <c r="Q57" s="684"/>
      <c r="R57" s="684"/>
    </row>
    <row r="58" spans="1:18" ht="14.25">
      <c r="A58" s="709"/>
      <c r="B58" s="710"/>
      <c r="C58" s="710"/>
      <c r="D58" s="716" t="s">
        <v>78</v>
      </c>
      <c r="E58" s="717" t="s">
        <v>79</v>
      </c>
      <c r="F58" s="718"/>
      <c r="G58" s="710"/>
      <c r="H58" s="710"/>
      <c r="I58" s="710"/>
      <c r="J58" s="710"/>
      <c r="K58" s="710"/>
      <c r="L58" s="719"/>
      <c r="M58" s="710"/>
      <c r="N58" s="714"/>
      <c r="O58" s="692"/>
      <c r="P58" s="709"/>
      <c r="Q58" s="709"/>
      <c r="R58" s="709"/>
    </row>
    <row r="59" spans="1:18" ht="5.25" customHeight="1">
      <c r="A59" s="684"/>
      <c r="B59" s="685"/>
      <c r="C59" s="685"/>
      <c r="D59" s="699"/>
      <c r="E59" s="715"/>
      <c r="F59" s="693"/>
      <c r="G59" s="685"/>
      <c r="H59" s="685"/>
      <c r="I59" s="685"/>
      <c r="J59" s="685"/>
      <c r="K59" s="685"/>
      <c r="L59" s="694"/>
      <c r="M59" s="685"/>
      <c r="N59" s="695"/>
      <c r="O59" s="692"/>
      <c r="P59" s="684"/>
      <c r="Q59" s="684"/>
      <c r="R59" s="684"/>
    </row>
    <row r="60" spans="1:18" ht="14.25">
      <c r="A60" s="720"/>
      <c r="B60" s="703"/>
      <c r="C60" s="703"/>
      <c r="D60" s="725" t="s">
        <v>19</v>
      </c>
      <c r="E60" s="722" t="s">
        <v>63</v>
      </c>
      <c r="F60" s="723" t="s">
        <v>81</v>
      </c>
      <c r="G60" s="703"/>
      <c r="H60" s="703"/>
      <c r="I60" s="703"/>
      <c r="J60" s="703"/>
      <c r="K60" s="703"/>
      <c r="L60" s="726" t="s">
        <v>26</v>
      </c>
      <c r="M60" s="703"/>
      <c r="N60" s="695"/>
      <c r="O60" s="727">
        <f>VLOOKUP(L60,$C$21:$G$26,5,FALSE)</f>
        <v>3</v>
      </c>
      <c r="P60" s="720"/>
      <c r="Q60" s="720"/>
      <c r="R60" s="720"/>
    </row>
    <row r="61" spans="1:18" ht="14.25">
      <c r="A61" s="684"/>
      <c r="B61" s="685"/>
      <c r="C61" s="685"/>
      <c r="D61" s="699"/>
      <c r="E61" s="715"/>
      <c r="F61" s="693"/>
      <c r="G61" s="685"/>
      <c r="H61" s="685"/>
      <c r="I61" s="685"/>
      <c r="J61" s="685"/>
      <c r="K61" s="685"/>
      <c r="L61" s="694"/>
      <c r="M61" s="685"/>
      <c r="N61" s="695"/>
      <c r="O61" s="692"/>
      <c r="P61" s="684"/>
      <c r="Q61" s="684"/>
      <c r="R61" s="684"/>
    </row>
    <row r="62" spans="1:18" ht="5.25" customHeight="1">
      <c r="A62" s="684"/>
      <c r="B62" s="685"/>
      <c r="C62" s="685"/>
      <c r="D62" s="685"/>
      <c r="E62" s="685"/>
      <c r="F62" s="693"/>
      <c r="G62" s="685"/>
      <c r="H62" s="685"/>
      <c r="I62" s="685"/>
      <c r="J62" s="685"/>
      <c r="K62" s="685"/>
      <c r="L62" s="694"/>
      <c r="M62" s="685"/>
      <c r="N62" s="695"/>
      <c r="O62" s="692"/>
      <c r="P62" s="684"/>
      <c r="Q62" s="684"/>
      <c r="R62" s="684"/>
    </row>
    <row r="63" spans="1:18" ht="14.25">
      <c r="A63" s="709"/>
      <c r="B63" s="710"/>
      <c r="C63" s="729" t="s">
        <v>84</v>
      </c>
      <c r="D63" s="729"/>
      <c r="E63" s="729"/>
      <c r="F63" s="730"/>
      <c r="G63" s="729"/>
      <c r="H63" s="729"/>
      <c r="I63" s="729"/>
      <c r="J63" s="729"/>
      <c r="K63" s="729"/>
      <c r="L63" s="731"/>
      <c r="M63" s="710"/>
      <c r="N63" s="714"/>
      <c r="O63" s="692"/>
      <c r="P63" s="709"/>
      <c r="Q63" s="709"/>
      <c r="R63" s="709"/>
    </row>
    <row r="64" spans="1:18" ht="5.25" customHeight="1">
      <c r="A64" s="684"/>
      <c r="B64" s="685"/>
      <c r="C64" s="685"/>
      <c r="D64" s="716"/>
      <c r="E64" s="715"/>
      <c r="F64" s="693"/>
      <c r="G64" s="685"/>
      <c r="H64" s="685"/>
      <c r="I64" s="685"/>
      <c r="J64" s="685"/>
      <c r="K64" s="685"/>
      <c r="L64" s="694"/>
      <c r="M64" s="685"/>
      <c r="N64" s="695"/>
      <c r="O64" s="692"/>
      <c r="P64" s="684"/>
      <c r="Q64" s="684"/>
      <c r="R64" s="684"/>
    </row>
    <row r="65" spans="1:18" ht="14.25">
      <c r="A65" s="709"/>
      <c r="B65" s="710"/>
      <c r="C65" s="710"/>
      <c r="D65" s="716" t="s">
        <v>85</v>
      </c>
      <c r="E65" s="717" t="s">
        <v>86</v>
      </c>
      <c r="F65" s="718"/>
      <c r="G65" s="710"/>
      <c r="H65" s="710"/>
      <c r="I65" s="710"/>
      <c r="J65" s="710"/>
      <c r="K65" s="710"/>
      <c r="L65" s="719"/>
      <c r="M65" s="710"/>
      <c r="N65" s="714"/>
      <c r="O65" s="692"/>
      <c r="P65" s="709"/>
      <c r="Q65" s="709"/>
      <c r="R65" s="709"/>
    </row>
    <row r="66" spans="1:18" ht="5.25" customHeight="1">
      <c r="A66" s="709"/>
      <c r="B66" s="710"/>
      <c r="C66" s="710"/>
      <c r="D66" s="732"/>
      <c r="E66" s="717"/>
      <c r="F66" s="718"/>
      <c r="G66" s="710"/>
      <c r="H66" s="710"/>
      <c r="I66" s="710"/>
      <c r="J66" s="710"/>
      <c r="K66" s="710"/>
      <c r="L66" s="719"/>
      <c r="M66" s="710"/>
      <c r="N66" s="714"/>
      <c r="O66" s="692"/>
      <c r="P66" s="709"/>
      <c r="Q66" s="709"/>
      <c r="R66" s="709"/>
    </row>
    <row r="67" spans="1:18" ht="14.25">
      <c r="A67" s="709"/>
      <c r="B67" s="710"/>
      <c r="C67" s="710"/>
      <c r="D67" s="716" t="s">
        <v>88</v>
      </c>
      <c r="E67" s="717" t="s">
        <v>89</v>
      </c>
      <c r="F67" s="718"/>
      <c r="G67" s="710"/>
      <c r="H67" s="710"/>
      <c r="I67" s="710"/>
      <c r="J67" s="710"/>
      <c r="K67" s="710"/>
      <c r="L67" s="719"/>
      <c r="M67" s="710"/>
      <c r="N67" s="714"/>
      <c r="O67" s="692"/>
      <c r="P67" s="709"/>
      <c r="Q67" s="709"/>
      <c r="R67" s="709"/>
    </row>
    <row r="68" spans="1:18" ht="5.25" customHeight="1">
      <c r="A68" s="684"/>
      <c r="B68" s="685"/>
      <c r="C68" s="685"/>
      <c r="D68" s="733"/>
      <c r="E68" s="715"/>
      <c r="F68" s="693"/>
      <c r="G68" s="685"/>
      <c r="H68" s="685"/>
      <c r="I68" s="685"/>
      <c r="J68" s="685"/>
      <c r="K68" s="685"/>
      <c r="L68" s="694"/>
      <c r="M68" s="685"/>
      <c r="N68" s="695"/>
      <c r="O68" s="692"/>
      <c r="P68" s="684"/>
      <c r="Q68" s="684"/>
      <c r="R68" s="684"/>
    </row>
    <row r="69" spans="1:18" ht="24">
      <c r="A69" s="720"/>
      <c r="B69" s="703"/>
      <c r="C69" s="703"/>
      <c r="D69" s="725" t="s">
        <v>19</v>
      </c>
      <c r="E69" s="722" t="s">
        <v>90</v>
      </c>
      <c r="F69" s="723" t="s">
        <v>91</v>
      </c>
      <c r="G69" s="703"/>
      <c r="H69" s="703"/>
      <c r="I69" s="703"/>
      <c r="J69" s="703"/>
      <c r="K69" s="703"/>
      <c r="L69" s="726" t="s">
        <v>26</v>
      </c>
      <c r="M69" s="703"/>
      <c r="N69" s="695"/>
      <c r="O69" s="692">
        <f>VLOOKUP(L69,$C$21:$G$26,5,FALSE)</f>
        <v>3</v>
      </c>
      <c r="P69" s="720"/>
      <c r="Q69" s="720"/>
      <c r="R69" s="720"/>
    </row>
    <row r="70" spans="1:18" ht="5.25" customHeight="1">
      <c r="A70" s="684"/>
      <c r="B70" s="685"/>
      <c r="C70" s="685"/>
      <c r="D70" s="733"/>
      <c r="E70" s="715"/>
      <c r="F70" s="693"/>
      <c r="G70" s="685"/>
      <c r="H70" s="685"/>
      <c r="I70" s="685"/>
      <c r="J70" s="685"/>
      <c r="K70" s="685"/>
      <c r="L70" s="694"/>
      <c r="M70" s="685"/>
      <c r="N70" s="695"/>
      <c r="O70" s="692"/>
      <c r="P70" s="684"/>
      <c r="Q70" s="684"/>
      <c r="R70" s="684"/>
    </row>
    <row r="71" spans="1:18" ht="14.25">
      <c r="A71" s="709"/>
      <c r="B71" s="710"/>
      <c r="C71" s="710"/>
      <c r="D71" s="716" t="s">
        <v>92</v>
      </c>
      <c r="E71" s="710" t="s">
        <v>93</v>
      </c>
      <c r="F71" s="718"/>
      <c r="G71" s="710"/>
      <c r="H71" s="710"/>
      <c r="I71" s="710"/>
      <c r="J71" s="710"/>
      <c r="K71" s="710"/>
      <c r="L71" s="719"/>
      <c r="M71" s="710"/>
      <c r="N71" s="714"/>
      <c r="O71" s="692"/>
      <c r="P71" s="709"/>
      <c r="Q71" s="709"/>
      <c r="R71" s="709"/>
    </row>
    <row r="72" spans="1:18" ht="5.25" customHeight="1">
      <c r="A72" s="684"/>
      <c r="B72" s="685"/>
      <c r="C72" s="685"/>
      <c r="D72" s="733"/>
      <c r="E72" s="685"/>
      <c r="F72" s="693"/>
      <c r="G72" s="685"/>
      <c r="H72" s="685"/>
      <c r="I72" s="685"/>
      <c r="J72" s="685"/>
      <c r="K72" s="685"/>
      <c r="L72" s="694"/>
      <c r="M72" s="685"/>
      <c r="N72" s="695"/>
      <c r="O72" s="692"/>
      <c r="P72" s="684"/>
      <c r="Q72" s="684"/>
      <c r="R72" s="684"/>
    </row>
    <row r="73" spans="1:18" ht="14.25">
      <c r="A73" s="720"/>
      <c r="B73" s="703"/>
      <c r="C73" s="703"/>
      <c r="D73" s="725" t="s">
        <v>19</v>
      </c>
      <c r="E73" s="703" t="s">
        <v>63</v>
      </c>
      <c r="F73" s="703" t="s">
        <v>94</v>
      </c>
      <c r="G73" s="703"/>
      <c r="H73" s="703"/>
      <c r="I73" s="703"/>
      <c r="J73" s="703"/>
      <c r="K73" s="703"/>
      <c r="L73" s="726" t="s">
        <v>26</v>
      </c>
      <c r="M73" s="703"/>
      <c r="N73" s="695"/>
      <c r="O73" s="692">
        <f>VLOOKUP(L73,$C$21:$G$26,5,FALSE)</f>
        <v>3</v>
      </c>
      <c r="P73" s="720"/>
      <c r="Q73" s="720"/>
      <c r="R73" s="720"/>
    </row>
    <row r="74" spans="1:18" ht="5.25" customHeight="1">
      <c r="A74" s="684"/>
      <c r="B74" s="685"/>
      <c r="C74" s="685"/>
      <c r="D74" s="733"/>
      <c r="E74" s="685"/>
      <c r="F74" s="693"/>
      <c r="G74" s="685"/>
      <c r="H74" s="685"/>
      <c r="I74" s="685"/>
      <c r="J74" s="685"/>
      <c r="K74" s="685"/>
      <c r="L74" s="694"/>
      <c r="M74" s="685"/>
      <c r="N74" s="695"/>
      <c r="O74" s="692"/>
      <c r="P74" s="684"/>
      <c r="Q74" s="684"/>
      <c r="R74" s="684"/>
    </row>
    <row r="75" spans="1:18" ht="14.25">
      <c r="A75" s="709"/>
      <c r="B75" s="710"/>
      <c r="C75" s="710"/>
      <c r="D75" s="716" t="s">
        <v>96</v>
      </c>
      <c r="E75" s="717" t="s">
        <v>97</v>
      </c>
      <c r="F75" s="718"/>
      <c r="G75" s="710"/>
      <c r="H75" s="710"/>
      <c r="I75" s="710"/>
      <c r="J75" s="710"/>
      <c r="K75" s="710"/>
      <c r="L75" s="719"/>
      <c r="M75" s="710"/>
      <c r="N75" s="714"/>
      <c r="O75" s="692"/>
      <c r="P75" s="709"/>
      <c r="Q75" s="709"/>
      <c r="R75" s="709"/>
    </row>
    <row r="76" spans="1:18" ht="5.25" customHeight="1">
      <c r="A76" s="684"/>
      <c r="B76" s="685"/>
      <c r="C76" s="685"/>
      <c r="D76" s="699"/>
      <c r="E76" s="715"/>
      <c r="F76" s="693"/>
      <c r="G76" s="685"/>
      <c r="H76" s="685"/>
      <c r="I76" s="685"/>
      <c r="J76" s="685"/>
      <c r="K76" s="685"/>
      <c r="L76" s="694"/>
      <c r="M76" s="685"/>
      <c r="N76" s="695"/>
      <c r="O76" s="692"/>
      <c r="P76" s="684"/>
      <c r="Q76" s="684"/>
      <c r="R76" s="684"/>
    </row>
    <row r="77" spans="1:18" ht="14.25">
      <c r="A77" s="720"/>
      <c r="B77" s="703"/>
      <c r="C77" s="703"/>
      <c r="D77" s="725" t="s">
        <v>19</v>
      </c>
      <c r="E77" s="722" t="s">
        <v>90</v>
      </c>
      <c r="F77" s="723" t="s">
        <v>99</v>
      </c>
      <c r="G77" s="703"/>
      <c r="H77" s="703"/>
      <c r="I77" s="703"/>
      <c r="J77" s="703"/>
      <c r="K77" s="703"/>
      <c r="L77" s="726" t="s">
        <v>26</v>
      </c>
      <c r="M77" s="703"/>
      <c r="N77" s="695"/>
      <c r="O77" s="692">
        <f>VLOOKUP(L77,$C$21:$G$26,5,FALSE)</f>
        <v>3</v>
      </c>
      <c r="P77" s="720"/>
      <c r="Q77" s="720"/>
      <c r="R77" s="720"/>
    </row>
    <row r="78" spans="1:18" ht="6.75" customHeight="1">
      <c r="A78" s="684"/>
      <c r="B78" s="685"/>
      <c r="C78" s="685"/>
      <c r="D78" s="732"/>
      <c r="E78" s="717"/>
      <c r="F78" s="693"/>
      <c r="G78" s="685"/>
      <c r="H78" s="685"/>
      <c r="I78" s="685"/>
      <c r="J78" s="685"/>
      <c r="K78" s="685"/>
      <c r="L78" s="694"/>
      <c r="M78" s="685"/>
      <c r="N78" s="695"/>
      <c r="O78" s="692"/>
      <c r="P78" s="684"/>
      <c r="Q78" s="684"/>
      <c r="R78" s="684"/>
    </row>
    <row r="79" spans="1:18" ht="14.25">
      <c r="A79" s="684"/>
      <c r="B79" s="685"/>
      <c r="C79" s="685"/>
      <c r="D79" s="716" t="s">
        <v>101</v>
      </c>
      <c r="E79" s="734" t="s">
        <v>102</v>
      </c>
      <c r="F79" s="735"/>
      <c r="G79" s="736"/>
      <c r="H79" s="685"/>
      <c r="I79" s="685"/>
      <c r="J79" s="685"/>
      <c r="K79" s="685"/>
      <c r="L79" s="694"/>
      <c r="M79" s="685"/>
      <c r="N79" s="685"/>
      <c r="O79" s="664"/>
      <c r="P79" s="684"/>
      <c r="Q79" s="684"/>
      <c r="R79" s="684"/>
    </row>
    <row r="80" spans="1:18" ht="7.5" customHeight="1">
      <c r="A80" s="684"/>
      <c r="B80" s="685"/>
      <c r="C80" s="685"/>
      <c r="D80" s="725"/>
      <c r="E80" s="722"/>
      <c r="F80" s="723"/>
      <c r="G80" s="685"/>
      <c r="H80" s="685"/>
      <c r="I80" s="685"/>
      <c r="J80" s="685"/>
      <c r="K80" s="685"/>
      <c r="L80" s="694"/>
      <c r="M80" s="685"/>
      <c r="N80" s="695"/>
      <c r="O80" s="692"/>
      <c r="P80" s="684"/>
      <c r="Q80" s="684"/>
      <c r="R80" s="684"/>
    </row>
    <row r="81" spans="1:18" ht="14.25">
      <c r="A81" s="684"/>
      <c r="B81" s="685"/>
      <c r="C81" s="685"/>
      <c r="D81" s="725" t="s">
        <v>19</v>
      </c>
      <c r="E81" s="722" t="s">
        <v>90</v>
      </c>
      <c r="F81" s="723" t="s">
        <v>106</v>
      </c>
      <c r="G81" s="685"/>
      <c r="H81" s="685"/>
      <c r="I81" s="685"/>
      <c r="J81" s="685"/>
      <c r="K81" s="685"/>
      <c r="L81" s="726" t="s">
        <v>26</v>
      </c>
      <c r="M81" s="685"/>
      <c r="N81" s="695"/>
      <c r="O81" s="692">
        <f>VLOOKUP(L81,$C$21:$G$26,5,FALSE)</f>
        <v>3</v>
      </c>
      <c r="P81" s="684"/>
      <c r="Q81" s="684"/>
      <c r="R81" s="684"/>
    </row>
    <row r="82" spans="1:18" ht="14.25">
      <c r="A82" s="684"/>
      <c r="B82" s="685"/>
      <c r="C82" s="685"/>
      <c r="D82" s="699"/>
      <c r="E82" s="715"/>
      <c r="F82" s="693"/>
      <c r="G82" s="685"/>
      <c r="H82" s="685"/>
      <c r="I82" s="685"/>
      <c r="J82" s="685"/>
      <c r="K82" s="685"/>
      <c r="L82" s="694"/>
      <c r="M82" s="685"/>
      <c r="N82" s="695"/>
      <c r="O82" s="692"/>
      <c r="P82" s="684"/>
      <c r="Q82" s="684"/>
      <c r="R82" s="684"/>
    </row>
    <row r="83" spans="1:18" ht="5.25" customHeight="1">
      <c r="A83" s="684"/>
      <c r="B83" s="685"/>
      <c r="C83" s="685"/>
      <c r="D83" s="685"/>
      <c r="E83" s="685"/>
      <c r="F83" s="693"/>
      <c r="G83" s="685"/>
      <c r="H83" s="685"/>
      <c r="I83" s="685"/>
      <c r="J83" s="685"/>
      <c r="K83" s="685"/>
      <c r="L83" s="694"/>
      <c r="M83" s="685"/>
      <c r="N83" s="695"/>
      <c r="O83" s="692"/>
      <c r="P83" s="684"/>
      <c r="Q83" s="684"/>
      <c r="R83" s="684"/>
    </row>
    <row r="84" spans="1:18" ht="14.25">
      <c r="A84" s="737"/>
      <c r="B84" s="717"/>
      <c r="C84" s="738" t="s">
        <v>109</v>
      </c>
      <c r="D84" s="738"/>
      <c r="E84" s="738"/>
      <c r="F84" s="739"/>
      <c r="G84" s="738"/>
      <c r="H84" s="738"/>
      <c r="I84" s="738"/>
      <c r="J84" s="738"/>
      <c r="K84" s="738"/>
      <c r="L84" s="740"/>
      <c r="M84" s="717"/>
      <c r="N84" s="741"/>
      <c r="O84" s="692"/>
      <c r="P84" s="737"/>
      <c r="Q84" s="737"/>
      <c r="R84" s="737"/>
    </row>
    <row r="85" spans="1:18" ht="5.25" customHeight="1">
      <c r="A85" s="684"/>
      <c r="B85" s="685"/>
      <c r="C85" s="685"/>
      <c r="D85" s="699"/>
      <c r="E85" s="715"/>
      <c r="F85" s="693"/>
      <c r="G85" s="685"/>
      <c r="H85" s="685"/>
      <c r="I85" s="685"/>
      <c r="J85" s="685"/>
      <c r="K85" s="685"/>
      <c r="L85" s="694"/>
      <c r="M85" s="685"/>
      <c r="N85" s="695"/>
      <c r="O85" s="692"/>
      <c r="P85" s="684"/>
      <c r="Q85" s="684"/>
      <c r="R85" s="684"/>
    </row>
    <row r="86" spans="1:18" ht="14.25">
      <c r="A86" s="709"/>
      <c r="B86" s="710"/>
      <c r="C86" s="710"/>
      <c r="D86" s="716" t="s">
        <v>114</v>
      </c>
      <c r="E86" s="717" t="s">
        <v>115</v>
      </c>
      <c r="F86" s="718"/>
      <c r="G86" s="710"/>
      <c r="H86" s="710"/>
      <c r="I86" s="710"/>
      <c r="J86" s="710"/>
      <c r="K86" s="710"/>
      <c r="L86" s="719"/>
      <c r="M86" s="710"/>
      <c r="N86" s="714"/>
      <c r="O86" s="692"/>
      <c r="P86" s="709"/>
      <c r="Q86" s="709"/>
      <c r="R86" s="709"/>
    </row>
    <row r="87" spans="1:18" ht="5.25" customHeight="1">
      <c r="A87" s="684"/>
      <c r="B87" s="685"/>
      <c r="C87" s="685"/>
      <c r="D87" s="742"/>
      <c r="E87" s="715"/>
      <c r="F87" s="693"/>
      <c r="G87" s="685"/>
      <c r="H87" s="685"/>
      <c r="I87" s="685"/>
      <c r="J87" s="685"/>
      <c r="K87" s="685"/>
      <c r="L87" s="694"/>
      <c r="M87" s="685"/>
      <c r="N87" s="695"/>
      <c r="O87" s="692"/>
      <c r="P87" s="684"/>
      <c r="Q87" s="684"/>
      <c r="R87" s="684"/>
    </row>
    <row r="88" spans="1:18" ht="24">
      <c r="A88" s="720"/>
      <c r="B88" s="703"/>
      <c r="C88" s="703"/>
      <c r="D88" s="725" t="s">
        <v>19</v>
      </c>
      <c r="E88" s="722" t="s">
        <v>63</v>
      </c>
      <c r="F88" s="723" t="s">
        <v>117</v>
      </c>
      <c r="G88" s="703"/>
      <c r="H88" s="703"/>
      <c r="I88" s="703"/>
      <c r="J88" s="703"/>
      <c r="K88" s="703"/>
      <c r="L88" s="726" t="s">
        <v>26</v>
      </c>
      <c r="M88" s="703"/>
      <c r="N88" s="695"/>
      <c r="O88" s="692">
        <f>VLOOKUP(L88,$C$21:$G$26,5,FALSE)</f>
        <v>3</v>
      </c>
      <c r="P88" s="720"/>
      <c r="Q88" s="720"/>
      <c r="R88" s="720"/>
    </row>
    <row r="89" spans="1:18" ht="5.25" customHeight="1">
      <c r="A89" s="684"/>
      <c r="B89" s="685"/>
      <c r="C89" s="685"/>
      <c r="D89" s="742"/>
      <c r="E89" s="715"/>
      <c r="F89" s="693"/>
      <c r="G89" s="685"/>
      <c r="H89" s="685"/>
      <c r="I89" s="685"/>
      <c r="J89" s="685"/>
      <c r="K89" s="685"/>
      <c r="L89" s="694"/>
      <c r="M89" s="685"/>
      <c r="N89" s="695"/>
      <c r="O89" s="692"/>
      <c r="P89" s="684"/>
      <c r="Q89" s="684"/>
      <c r="R89" s="684"/>
    </row>
    <row r="90" spans="1:18" ht="14.25">
      <c r="A90" s="709"/>
      <c r="B90" s="710"/>
      <c r="C90" s="710"/>
      <c r="D90" s="716" t="s">
        <v>119</v>
      </c>
      <c r="E90" s="717" t="s">
        <v>120</v>
      </c>
      <c r="F90" s="718"/>
      <c r="G90" s="710"/>
      <c r="H90" s="710"/>
      <c r="I90" s="710"/>
      <c r="J90" s="710"/>
      <c r="K90" s="710"/>
      <c r="L90" s="719"/>
      <c r="M90" s="710"/>
      <c r="N90" s="714"/>
      <c r="O90" s="692"/>
      <c r="P90" s="709"/>
      <c r="Q90" s="709"/>
      <c r="R90" s="709"/>
    </row>
    <row r="91" spans="1:18" ht="5.25" customHeight="1">
      <c r="A91" s="684"/>
      <c r="B91" s="685"/>
      <c r="C91" s="685"/>
      <c r="D91" s="742"/>
      <c r="E91" s="715"/>
      <c r="F91" s="693"/>
      <c r="G91" s="685"/>
      <c r="H91" s="685"/>
      <c r="I91" s="685"/>
      <c r="J91" s="685"/>
      <c r="K91" s="685"/>
      <c r="L91" s="694"/>
      <c r="M91" s="685"/>
      <c r="N91" s="695"/>
      <c r="O91" s="692"/>
      <c r="P91" s="684"/>
      <c r="Q91" s="684"/>
      <c r="R91" s="684"/>
    </row>
    <row r="92" spans="1:18" ht="36">
      <c r="A92" s="720"/>
      <c r="B92" s="703"/>
      <c r="C92" s="703"/>
      <c r="D92" s="725" t="s">
        <v>19</v>
      </c>
      <c r="E92" s="722" t="s">
        <v>63</v>
      </c>
      <c r="F92" s="723" t="s">
        <v>122</v>
      </c>
      <c r="G92" s="703"/>
      <c r="H92" s="703"/>
      <c r="I92" s="703"/>
      <c r="J92" s="703"/>
      <c r="K92" s="703"/>
      <c r="L92" s="726" t="s">
        <v>26</v>
      </c>
      <c r="M92" s="703"/>
      <c r="N92" s="695"/>
      <c r="O92" s="692">
        <f>VLOOKUP(L92,$C$21:$G$26,5,FALSE)</f>
        <v>3</v>
      </c>
      <c r="P92" s="720"/>
      <c r="Q92" s="720"/>
      <c r="R92" s="720"/>
    </row>
    <row r="93" spans="1:18" ht="5.25" customHeight="1">
      <c r="A93" s="684"/>
      <c r="B93" s="685"/>
      <c r="C93" s="685"/>
      <c r="D93" s="742"/>
      <c r="E93" s="715"/>
      <c r="F93" s="693"/>
      <c r="G93" s="685"/>
      <c r="H93" s="685"/>
      <c r="I93" s="685"/>
      <c r="J93" s="685"/>
      <c r="K93" s="685"/>
      <c r="L93" s="694"/>
      <c r="M93" s="685"/>
      <c r="N93" s="695"/>
      <c r="O93" s="692"/>
      <c r="P93" s="684"/>
      <c r="Q93" s="684"/>
      <c r="R93" s="684"/>
    </row>
    <row r="94" spans="1:18" ht="14.25">
      <c r="A94" s="709"/>
      <c r="B94" s="710"/>
      <c r="C94" s="710"/>
      <c r="D94" s="716" t="s">
        <v>123</v>
      </c>
      <c r="E94" s="717" t="s">
        <v>124</v>
      </c>
      <c r="F94" s="718"/>
      <c r="G94" s="710"/>
      <c r="H94" s="710"/>
      <c r="I94" s="710"/>
      <c r="J94" s="710"/>
      <c r="K94" s="710"/>
      <c r="L94" s="719"/>
      <c r="M94" s="710"/>
      <c r="N94" s="714"/>
      <c r="O94" s="692"/>
      <c r="P94" s="709"/>
      <c r="Q94" s="709"/>
      <c r="R94" s="709"/>
    </row>
    <row r="95" spans="1:18" ht="5.25" customHeight="1">
      <c r="A95" s="684"/>
      <c r="B95" s="685"/>
      <c r="C95" s="685"/>
      <c r="D95" s="699"/>
      <c r="E95" s="715"/>
      <c r="F95" s="693"/>
      <c r="G95" s="685"/>
      <c r="H95" s="685"/>
      <c r="I95" s="685"/>
      <c r="J95" s="685"/>
      <c r="K95" s="685"/>
      <c r="L95" s="694"/>
      <c r="M95" s="685"/>
      <c r="N95" s="695"/>
      <c r="O95" s="692"/>
      <c r="P95" s="684"/>
      <c r="Q95" s="684"/>
      <c r="R95" s="684"/>
    </row>
    <row r="96" spans="1:18" ht="24">
      <c r="A96" s="720"/>
      <c r="B96" s="703"/>
      <c r="C96" s="703"/>
      <c r="D96" s="725" t="s">
        <v>19</v>
      </c>
      <c r="E96" s="722" t="s">
        <v>90</v>
      </c>
      <c r="F96" s="723" t="s">
        <v>125</v>
      </c>
      <c r="G96" s="703"/>
      <c r="H96" s="703"/>
      <c r="I96" s="703"/>
      <c r="J96" s="703"/>
      <c r="K96" s="703"/>
      <c r="L96" s="726" t="s">
        <v>26</v>
      </c>
      <c r="M96" s="703"/>
      <c r="N96" s="695"/>
      <c r="O96" s="692">
        <f>VLOOKUP(L96,$C$21:$G$26,5,FALSE)</f>
        <v>3</v>
      </c>
      <c r="P96" s="720"/>
      <c r="Q96" s="720"/>
      <c r="R96" s="720"/>
    </row>
    <row r="97" spans="1:18" ht="14.25">
      <c r="A97" s="684"/>
      <c r="B97" s="685"/>
      <c r="C97" s="685"/>
      <c r="D97" s="699"/>
      <c r="E97" s="715"/>
      <c r="F97" s="693"/>
      <c r="G97" s="685"/>
      <c r="H97" s="685"/>
      <c r="I97" s="685"/>
      <c r="J97" s="685"/>
      <c r="K97" s="685"/>
      <c r="L97" s="694"/>
      <c r="M97" s="685"/>
      <c r="N97" s="695"/>
      <c r="O97" s="692"/>
      <c r="P97" s="684"/>
      <c r="Q97" s="684"/>
      <c r="R97" s="684"/>
    </row>
    <row r="98" spans="1:18" ht="5.25" customHeight="1">
      <c r="A98" s="684"/>
      <c r="B98" s="685"/>
      <c r="C98" s="685"/>
      <c r="D98" s="685"/>
      <c r="E98" s="685"/>
      <c r="F98" s="693"/>
      <c r="G98" s="685"/>
      <c r="H98" s="685"/>
      <c r="I98" s="685"/>
      <c r="J98" s="685"/>
      <c r="K98" s="685"/>
      <c r="L98" s="694"/>
      <c r="M98" s="685"/>
      <c r="N98" s="695"/>
      <c r="O98" s="692"/>
      <c r="P98" s="684"/>
      <c r="Q98" s="684"/>
      <c r="R98" s="684"/>
    </row>
    <row r="99" spans="1:18" ht="14.25">
      <c r="A99" s="737"/>
      <c r="B99" s="717"/>
      <c r="C99" s="743" t="s">
        <v>126</v>
      </c>
      <c r="D99" s="743"/>
      <c r="E99" s="743"/>
      <c r="F99" s="744"/>
      <c r="G99" s="743"/>
      <c r="H99" s="743"/>
      <c r="I99" s="743"/>
      <c r="J99" s="743"/>
      <c r="K99" s="743"/>
      <c r="L99" s="745"/>
      <c r="M99" s="717"/>
      <c r="N99" s="741"/>
      <c r="O99" s="692"/>
      <c r="P99" s="737"/>
      <c r="Q99" s="737"/>
      <c r="R99" s="737"/>
    </row>
    <row r="100" spans="1:18" ht="5.25" customHeight="1">
      <c r="A100" s="684"/>
      <c r="B100" s="685"/>
      <c r="C100" s="685"/>
      <c r="D100" s="685"/>
      <c r="E100" s="685"/>
      <c r="F100" s="693"/>
      <c r="G100" s="685"/>
      <c r="H100" s="685"/>
      <c r="I100" s="685"/>
      <c r="J100" s="685"/>
      <c r="K100" s="685"/>
      <c r="L100" s="694"/>
      <c r="M100" s="685"/>
      <c r="N100" s="695"/>
      <c r="O100" s="692"/>
      <c r="P100" s="684"/>
      <c r="Q100" s="684"/>
      <c r="R100" s="684"/>
    </row>
    <row r="101" spans="1:18" ht="14.25">
      <c r="A101" s="709"/>
      <c r="B101" s="710"/>
      <c r="C101" s="710"/>
      <c r="D101" s="716" t="s">
        <v>127</v>
      </c>
      <c r="E101" s="717" t="s">
        <v>128</v>
      </c>
      <c r="F101" s="718"/>
      <c r="G101" s="710"/>
      <c r="H101" s="710"/>
      <c r="I101" s="710"/>
      <c r="J101" s="710"/>
      <c r="K101" s="710"/>
      <c r="L101" s="719"/>
      <c r="M101" s="710"/>
      <c r="N101" s="714"/>
      <c r="O101" s="692"/>
      <c r="P101" s="709"/>
      <c r="Q101" s="709"/>
      <c r="R101" s="709"/>
    </row>
    <row r="102" spans="1:18" ht="5.25" customHeight="1">
      <c r="A102" s="684"/>
      <c r="B102" s="685"/>
      <c r="C102" s="685"/>
      <c r="D102" s="746"/>
      <c r="E102" s="715"/>
      <c r="F102" s="693"/>
      <c r="G102" s="685"/>
      <c r="H102" s="685"/>
      <c r="I102" s="685"/>
      <c r="J102" s="685"/>
      <c r="K102" s="685"/>
      <c r="L102" s="694"/>
      <c r="M102" s="685"/>
      <c r="N102" s="695"/>
      <c r="O102" s="692"/>
      <c r="P102" s="684"/>
      <c r="Q102" s="684"/>
      <c r="R102" s="684"/>
    </row>
    <row r="103" spans="1:18" ht="14.25">
      <c r="A103" s="709"/>
      <c r="B103" s="710"/>
      <c r="C103" s="710"/>
      <c r="D103" s="716"/>
      <c r="E103" s="717"/>
      <c r="F103" s="718"/>
      <c r="G103" s="710"/>
      <c r="H103" s="710"/>
      <c r="I103" s="710"/>
      <c r="J103" s="710"/>
      <c r="K103" s="710"/>
      <c r="L103" s="719"/>
      <c r="M103" s="710"/>
      <c r="N103" s="714"/>
      <c r="O103" s="692"/>
      <c r="P103" s="709"/>
      <c r="Q103" s="709"/>
      <c r="R103" s="709"/>
    </row>
    <row r="104" spans="1:18" ht="14.25">
      <c r="A104" s="709"/>
      <c r="B104" s="710"/>
      <c r="C104" s="710"/>
      <c r="D104" s="716" t="s">
        <v>129</v>
      </c>
      <c r="E104" s="717" t="s">
        <v>130</v>
      </c>
      <c r="F104" s="718"/>
      <c r="G104" s="710"/>
      <c r="H104" s="710"/>
      <c r="I104" s="710"/>
      <c r="J104" s="710"/>
      <c r="K104" s="710"/>
      <c r="L104" s="719"/>
      <c r="M104" s="710"/>
      <c r="N104" s="714"/>
      <c r="O104" s="692"/>
      <c r="P104" s="709"/>
      <c r="Q104" s="709"/>
      <c r="R104" s="709"/>
    </row>
    <row r="105" spans="1:18" ht="5.25" customHeight="1">
      <c r="A105" s="684"/>
      <c r="B105" s="685"/>
      <c r="C105" s="685"/>
      <c r="D105" s="746"/>
      <c r="E105" s="715"/>
      <c r="F105" s="693"/>
      <c r="G105" s="685"/>
      <c r="H105" s="685"/>
      <c r="I105" s="685"/>
      <c r="J105" s="685"/>
      <c r="K105" s="685"/>
      <c r="L105" s="694"/>
      <c r="M105" s="685"/>
      <c r="N105" s="695"/>
      <c r="O105" s="692"/>
      <c r="P105" s="684"/>
      <c r="Q105" s="684"/>
      <c r="R105" s="684"/>
    </row>
    <row r="106" spans="1:18" ht="24">
      <c r="A106" s="720"/>
      <c r="B106" s="703"/>
      <c r="C106" s="703"/>
      <c r="D106" s="725" t="s">
        <v>19</v>
      </c>
      <c r="E106" s="722" t="s">
        <v>63</v>
      </c>
      <c r="F106" s="723" t="s">
        <v>131</v>
      </c>
      <c r="G106" s="703"/>
      <c r="H106" s="703"/>
      <c r="I106" s="703"/>
      <c r="J106" s="703"/>
      <c r="K106" s="703"/>
      <c r="L106" s="726" t="s">
        <v>26</v>
      </c>
      <c r="M106" s="703"/>
      <c r="N106" s="695"/>
      <c r="O106" s="692">
        <f>VLOOKUP(L106,$C$21:$G$26,5,FALSE)</f>
        <v>3</v>
      </c>
      <c r="P106" s="720"/>
      <c r="Q106" s="720"/>
      <c r="R106" s="720"/>
    </row>
    <row r="107" spans="1:18" ht="14.25">
      <c r="A107" s="720"/>
      <c r="B107" s="703"/>
      <c r="C107" s="703"/>
      <c r="D107" s="747"/>
      <c r="E107" s="722"/>
      <c r="F107" s="723"/>
      <c r="G107" s="703"/>
      <c r="H107" s="703"/>
      <c r="I107" s="703"/>
      <c r="J107" s="703"/>
      <c r="K107" s="703"/>
      <c r="L107" s="724"/>
      <c r="M107" s="703"/>
      <c r="N107" s="695"/>
      <c r="O107" s="692"/>
      <c r="P107" s="720"/>
      <c r="Q107" s="720"/>
      <c r="R107" s="720"/>
    </row>
    <row r="108" spans="1:18" ht="5.25" customHeight="1">
      <c r="A108" s="684"/>
      <c r="B108" s="685"/>
      <c r="C108" s="685"/>
      <c r="D108" s="746"/>
      <c r="E108" s="665"/>
      <c r="F108" s="748"/>
      <c r="G108" s="685"/>
      <c r="H108" s="685"/>
      <c r="I108" s="685"/>
      <c r="J108" s="685"/>
      <c r="K108" s="685"/>
      <c r="L108" s="694"/>
      <c r="M108" s="685"/>
      <c r="N108" s="695"/>
      <c r="O108" s="692"/>
      <c r="P108" s="684"/>
      <c r="Q108" s="684"/>
      <c r="R108" s="684"/>
    </row>
    <row r="109" spans="1:18" ht="14.25">
      <c r="A109" s="709"/>
      <c r="B109" s="710"/>
      <c r="C109" s="710"/>
      <c r="D109" s="716" t="s">
        <v>132</v>
      </c>
      <c r="E109" s="717" t="s">
        <v>133</v>
      </c>
      <c r="F109" s="718"/>
      <c r="G109" s="710"/>
      <c r="H109" s="710"/>
      <c r="I109" s="710"/>
      <c r="J109" s="710"/>
      <c r="K109" s="710"/>
      <c r="L109" s="719"/>
      <c r="M109" s="710"/>
      <c r="N109" s="714"/>
      <c r="O109" s="692"/>
      <c r="P109" s="709"/>
      <c r="Q109" s="709"/>
      <c r="R109" s="709"/>
    </row>
    <row r="110" spans="1:18" ht="5.25" customHeight="1">
      <c r="A110" s="684"/>
      <c r="B110" s="685"/>
      <c r="C110" s="685"/>
      <c r="D110" s="746"/>
      <c r="E110" s="715"/>
      <c r="F110" s="693"/>
      <c r="G110" s="685"/>
      <c r="H110" s="685"/>
      <c r="I110" s="685"/>
      <c r="J110" s="685"/>
      <c r="K110" s="685"/>
      <c r="L110" s="694"/>
      <c r="M110" s="685"/>
      <c r="N110" s="695"/>
      <c r="O110" s="692"/>
      <c r="P110" s="684"/>
      <c r="Q110" s="684"/>
      <c r="R110" s="684"/>
    </row>
    <row r="111" spans="1:18" ht="24">
      <c r="A111" s="720"/>
      <c r="B111" s="703"/>
      <c r="C111" s="703"/>
      <c r="D111" s="725" t="s">
        <v>19</v>
      </c>
      <c r="E111" s="722" t="s">
        <v>63</v>
      </c>
      <c r="F111" s="723" t="s">
        <v>134</v>
      </c>
      <c r="G111" s="703"/>
      <c r="H111" s="703"/>
      <c r="I111" s="703"/>
      <c r="J111" s="703"/>
      <c r="K111" s="703"/>
      <c r="L111" s="726" t="s">
        <v>27</v>
      </c>
      <c r="M111" s="703"/>
      <c r="N111" s="695"/>
      <c r="O111" s="692">
        <f>VLOOKUP(L111,$C$21:$G$26,5,FALSE)</f>
        <v>4</v>
      </c>
      <c r="P111" s="720"/>
      <c r="Q111" s="720"/>
      <c r="R111" s="720"/>
    </row>
    <row r="112" spans="1:18" ht="14.25">
      <c r="A112" s="720"/>
      <c r="B112" s="703"/>
      <c r="C112" s="703"/>
      <c r="D112" s="747"/>
      <c r="E112" s="722"/>
      <c r="F112" s="749" t="s">
        <v>135</v>
      </c>
      <c r="G112" s="703"/>
      <c r="H112" s="703"/>
      <c r="I112" s="703"/>
      <c r="J112" s="703"/>
      <c r="K112" s="703"/>
      <c r="L112" s="724"/>
      <c r="M112" s="703"/>
      <c r="N112" s="695"/>
      <c r="O112" s="692"/>
      <c r="P112" s="720"/>
      <c r="Q112" s="720"/>
      <c r="R112" s="720"/>
    </row>
    <row r="113" spans="1:18" ht="24">
      <c r="A113" s="720"/>
      <c r="B113" s="703"/>
      <c r="C113" s="703"/>
      <c r="D113" s="747"/>
      <c r="E113" s="722"/>
      <c r="F113" s="723" t="s">
        <v>136</v>
      </c>
      <c r="G113" s="703"/>
      <c r="H113" s="703"/>
      <c r="I113" s="703"/>
      <c r="J113" s="703"/>
      <c r="K113" s="703"/>
      <c r="L113" s="724"/>
      <c r="M113" s="703"/>
      <c r="N113" s="695"/>
      <c r="O113" s="692"/>
      <c r="P113" s="720"/>
      <c r="Q113" s="720"/>
      <c r="R113" s="720"/>
    </row>
    <row r="114" spans="1:18" ht="5.25" customHeight="1">
      <c r="A114" s="684"/>
      <c r="B114" s="685"/>
      <c r="C114" s="685"/>
      <c r="D114" s="746"/>
      <c r="E114" s="715"/>
      <c r="F114" s="693"/>
      <c r="G114" s="685"/>
      <c r="H114" s="685"/>
      <c r="I114" s="685"/>
      <c r="J114" s="685"/>
      <c r="K114" s="685"/>
      <c r="L114" s="694"/>
      <c r="M114" s="685"/>
      <c r="N114" s="695"/>
      <c r="O114" s="692"/>
      <c r="P114" s="684"/>
      <c r="Q114" s="684"/>
      <c r="R114" s="684"/>
    </row>
    <row r="115" spans="1:18" ht="14.25">
      <c r="A115" s="709"/>
      <c r="B115" s="710"/>
      <c r="C115" s="710"/>
      <c r="D115" s="716" t="s">
        <v>137</v>
      </c>
      <c r="E115" s="717" t="s">
        <v>138</v>
      </c>
      <c r="F115" s="718"/>
      <c r="G115" s="710"/>
      <c r="H115" s="710"/>
      <c r="I115" s="710"/>
      <c r="J115" s="710"/>
      <c r="K115" s="710"/>
      <c r="L115" s="719"/>
      <c r="M115" s="710"/>
      <c r="N115" s="714"/>
      <c r="O115" s="692"/>
      <c r="P115" s="709"/>
      <c r="Q115" s="709"/>
      <c r="R115" s="709"/>
    </row>
    <row r="116" spans="1:18" ht="5.25" customHeight="1">
      <c r="A116" s="684"/>
      <c r="B116" s="685"/>
      <c r="C116" s="685"/>
      <c r="D116" s="685"/>
      <c r="E116" s="685"/>
      <c r="F116" s="693"/>
      <c r="G116" s="685"/>
      <c r="H116" s="685"/>
      <c r="I116" s="685"/>
      <c r="J116" s="685"/>
      <c r="K116" s="685"/>
      <c r="L116" s="694"/>
      <c r="M116" s="685"/>
      <c r="N116" s="695"/>
      <c r="O116" s="692"/>
      <c r="P116" s="684"/>
      <c r="Q116" s="684"/>
      <c r="R116" s="684"/>
    </row>
    <row r="117" spans="1:18" ht="14.25">
      <c r="A117" s="720"/>
      <c r="B117" s="703"/>
      <c r="C117" s="703"/>
      <c r="D117" s="725" t="s">
        <v>19</v>
      </c>
      <c r="E117" s="703" t="s">
        <v>63</v>
      </c>
      <c r="F117" s="703" t="s">
        <v>139</v>
      </c>
      <c r="G117" s="703"/>
      <c r="H117" s="703"/>
      <c r="I117" s="703"/>
      <c r="J117" s="703"/>
      <c r="K117" s="703"/>
      <c r="L117" s="726" t="s">
        <v>26</v>
      </c>
      <c r="M117" s="703"/>
      <c r="N117" s="695"/>
      <c r="O117" s="692">
        <f>VLOOKUP(L117,$C$21:$G$26,5,FALSE)</f>
        <v>3</v>
      </c>
      <c r="P117" s="720"/>
      <c r="Q117" s="720"/>
      <c r="R117" s="720"/>
    </row>
    <row r="118" spans="1:18" ht="14.25">
      <c r="A118" s="684"/>
      <c r="B118" s="685"/>
      <c r="C118" s="685"/>
      <c r="D118" s="685"/>
      <c r="E118" s="685"/>
      <c r="F118" s="693"/>
      <c r="G118" s="685"/>
      <c r="H118" s="685"/>
      <c r="I118" s="685"/>
      <c r="J118" s="685"/>
      <c r="K118" s="685"/>
      <c r="L118" s="694"/>
      <c r="M118" s="685"/>
      <c r="N118" s="695"/>
      <c r="O118" s="696" t="s">
        <v>29</v>
      </c>
      <c r="P118" s="684"/>
      <c r="Q118" s="684"/>
      <c r="R118" s="684"/>
    </row>
    <row r="119" spans="1:18" ht="14.25">
      <c r="A119" s="684"/>
      <c r="B119" s="685"/>
      <c r="C119" s="1135" t="s">
        <v>140</v>
      </c>
      <c r="D119" s="1136"/>
      <c r="E119" s="1136"/>
      <c r="F119" s="1136"/>
      <c r="G119" s="1136"/>
      <c r="H119" s="1136"/>
      <c r="I119" s="1136"/>
      <c r="J119" s="1136"/>
      <c r="K119" s="1136"/>
      <c r="L119" s="1137"/>
      <c r="M119" s="665"/>
      <c r="N119" s="695"/>
      <c r="O119" s="696"/>
      <c r="P119" s="684"/>
      <c r="Q119" s="684"/>
      <c r="R119" s="684"/>
    </row>
    <row r="120" spans="1:18" ht="14.25">
      <c r="A120" s="684"/>
      <c r="B120" s="685"/>
      <c r="C120" s="685"/>
      <c r="D120" s="685"/>
      <c r="E120" s="685"/>
      <c r="F120" s="693"/>
      <c r="G120" s="685"/>
      <c r="H120" s="685"/>
      <c r="I120" s="685"/>
      <c r="J120" s="685"/>
      <c r="K120" s="685"/>
      <c r="L120" s="694"/>
      <c r="M120" s="685"/>
      <c r="N120" s="695"/>
      <c r="O120" s="696"/>
      <c r="P120" s="684"/>
      <c r="Q120" s="684"/>
      <c r="R120" s="684"/>
    </row>
    <row r="121" spans="1:18">
      <c r="A121" s="684"/>
      <c r="B121" s="685"/>
      <c r="C121" s="685"/>
      <c r="D121" s="750" t="s">
        <v>141</v>
      </c>
      <c r="E121" s="750"/>
      <c r="F121" s="751"/>
      <c r="G121" s="752">
        <f>IF(G122="Null", "No Input", IF(G123="Null", "No Input", IF(G124="Null", "No Input", IF(G125="Null", "No Input",AVERAGE(G122:G125)))))</f>
        <v>0.59666666666666668</v>
      </c>
      <c r="H121" s="753" t="str">
        <f t="shared" ref="H121:H125" si="1">IF(G121&lt;= 20%, "*",IF(G121&lt;=40%, "**", IF(G121&lt;=60%, "***", IF(G121&lt;=80%, "****", "*****"))))</f>
        <v>***</v>
      </c>
      <c r="I121" s="665"/>
      <c r="J121" s="665"/>
      <c r="K121" s="665"/>
      <c r="L121" s="685"/>
      <c r="M121" s="694"/>
      <c r="N121" s="695"/>
      <c r="O121" s="696"/>
      <c r="P121" s="684"/>
      <c r="Q121" s="684"/>
      <c r="R121" s="684"/>
    </row>
    <row r="122" spans="1:18">
      <c r="A122" s="684"/>
      <c r="B122" s="685"/>
      <c r="C122" s="685"/>
      <c r="D122" s="754" t="s">
        <v>144</v>
      </c>
      <c r="E122" s="665"/>
      <c r="F122" s="755"/>
      <c r="G122" s="756">
        <f>IF(O47="*", "Null", IF(O48="*", "Null", IF(O52="*", "Null", IF(O56="*", "Null", IF(O60="*", "Null", AVERAGE(O47,O48,O52,O56,O60)/5)))))</f>
        <v>0.55999999999999994</v>
      </c>
      <c r="H122" s="753" t="str">
        <f t="shared" si="1"/>
        <v>***</v>
      </c>
      <c r="I122" s="665"/>
      <c r="J122" s="665"/>
      <c r="K122" s="665"/>
      <c r="L122" s="757"/>
      <c r="M122" s="758"/>
      <c r="N122" s="695"/>
      <c r="O122" s="696"/>
      <c r="P122" s="684"/>
      <c r="Q122" s="684"/>
      <c r="R122" s="684"/>
    </row>
    <row r="123" spans="1:18">
      <c r="A123" s="684"/>
      <c r="B123" s="685"/>
      <c r="C123" s="685"/>
      <c r="D123" s="754" t="s">
        <v>147</v>
      </c>
      <c r="E123" s="665"/>
      <c r="F123" s="755"/>
      <c r="G123" s="756">
        <f>IF(O69 = "*", "Null", IF(O73 = "*", "Null", IF(O81 = "*", "Null", AVERAGE(O69,O73,O77,O81)/5)))</f>
        <v>0.6</v>
      </c>
      <c r="H123" s="753" t="str">
        <f t="shared" si="1"/>
        <v>***</v>
      </c>
      <c r="I123" s="665"/>
      <c r="J123" s="665"/>
      <c r="K123" s="665"/>
      <c r="L123" s="759"/>
      <c r="M123" s="760"/>
      <c r="N123" s="695"/>
      <c r="O123" s="696"/>
      <c r="P123" s="684"/>
      <c r="Q123" s="684"/>
      <c r="R123" s="684"/>
    </row>
    <row r="124" spans="1:18">
      <c r="A124" s="684"/>
      <c r="B124" s="685"/>
      <c r="C124" s="685"/>
      <c r="D124" s="754" t="s">
        <v>148</v>
      </c>
      <c r="E124" s="665"/>
      <c r="F124" s="755"/>
      <c r="G124" s="756">
        <f>IF(O88 = "*", "Null", IF(O92 = "*", "Null", IF(O96 = "*", "Null",AVERAGE(O88,O92,O96)/5)))</f>
        <v>0.6</v>
      </c>
      <c r="H124" s="753" t="str">
        <f t="shared" si="1"/>
        <v>***</v>
      </c>
      <c r="I124" s="665"/>
      <c r="J124" s="665"/>
      <c r="K124" s="665"/>
      <c r="L124" s="759"/>
      <c r="M124" s="760"/>
      <c r="N124" s="695"/>
      <c r="O124" s="696"/>
      <c r="P124" s="684"/>
      <c r="Q124" s="684"/>
      <c r="R124" s="684"/>
    </row>
    <row r="125" spans="1:18">
      <c r="A125" s="684"/>
      <c r="B125" s="685"/>
      <c r="C125" s="685"/>
      <c r="D125" s="754" t="s">
        <v>149</v>
      </c>
      <c r="E125" s="665"/>
      <c r="F125" s="755"/>
      <c r="G125" s="756">
        <f>IF(O106 = "*", "Null", IF(O111 = "*", "Null", IF(O117 = "*", "Null",
(AVERAGE(G122:G124) + N("Reusability is considered as the resultant of the other three, as very subjective") + (AVERAGE(O106,O111,O117)/5) + N("However, the user is still asked to provide input which is weighted against the 3 other principles"))/2)))</f>
        <v>0.62666666666666671</v>
      </c>
      <c r="H125" s="753" t="str">
        <f t="shared" si="1"/>
        <v>****</v>
      </c>
      <c r="I125" s="665"/>
      <c r="J125" s="665"/>
      <c r="K125" s="665"/>
      <c r="L125" s="759"/>
      <c r="M125" s="760"/>
      <c r="N125" s="695"/>
      <c r="O125" s="696"/>
      <c r="P125" s="684"/>
      <c r="Q125" s="684"/>
      <c r="R125" s="684"/>
    </row>
    <row r="126" spans="1:18" ht="14.25">
      <c r="A126" s="684"/>
      <c r="B126" s="685"/>
      <c r="C126" s="685"/>
      <c r="D126" s="685"/>
      <c r="E126" s="685"/>
      <c r="F126" s="693"/>
      <c r="G126" s="685"/>
      <c r="H126" s="685"/>
      <c r="I126" s="685"/>
      <c r="J126" s="685"/>
      <c r="K126" s="685"/>
      <c r="L126" s="694"/>
      <c r="M126" s="685"/>
      <c r="N126" s="695"/>
      <c r="O126" s="696"/>
      <c r="P126" s="684"/>
      <c r="Q126" s="684"/>
      <c r="R126" s="684"/>
    </row>
    <row r="127" spans="1:18" ht="14.25">
      <c r="A127" s="684"/>
      <c r="B127" s="685"/>
      <c r="C127" s="685"/>
      <c r="D127" s="761"/>
      <c r="E127" s="761"/>
      <c r="F127" s="762"/>
      <c r="G127" s="761"/>
      <c r="H127" s="685"/>
      <c r="I127" s="685"/>
      <c r="J127" s="685"/>
      <c r="K127" s="685"/>
      <c r="L127" s="694"/>
      <c r="M127" s="685"/>
      <c r="N127" s="695"/>
      <c r="O127" s="696"/>
      <c r="P127" s="684"/>
      <c r="Q127" s="684"/>
      <c r="R127" s="684"/>
    </row>
    <row r="128" spans="1:18" ht="14.25">
      <c r="A128" s="684"/>
      <c r="B128" s="685"/>
      <c r="C128" s="685"/>
      <c r="D128" s="685"/>
      <c r="E128" s="685"/>
      <c r="F128" s="693"/>
      <c r="G128" s="685"/>
      <c r="H128" s="685"/>
      <c r="I128" s="685"/>
      <c r="J128" s="685"/>
      <c r="K128" s="685"/>
      <c r="L128" s="694"/>
      <c r="M128" s="685"/>
      <c r="N128" s="695"/>
      <c r="O128" s="696"/>
      <c r="P128" s="684"/>
      <c r="Q128" s="684"/>
      <c r="R128" s="684"/>
    </row>
    <row r="129" spans="1:18" ht="14.25">
      <c r="A129" s="684"/>
      <c r="B129" s="685"/>
      <c r="C129" s="685"/>
      <c r="D129" s="685"/>
      <c r="E129" s="685"/>
      <c r="F129" s="693"/>
      <c r="G129" s="685"/>
      <c r="H129" s="685"/>
      <c r="I129" s="685"/>
      <c r="J129" s="685"/>
      <c r="K129" s="685"/>
      <c r="L129" s="694"/>
      <c r="M129" s="685"/>
      <c r="N129" s="695"/>
      <c r="O129" s="696"/>
      <c r="P129" s="684"/>
      <c r="Q129" s="684"/>
      <c r="R129" s="684"/>
    </row>
    <row r="130" spans="1:18" ht="14.25">
      <c r="A130" s="684"/>
      <c r="B130" s="685"/>
      <c r="C130" s="685"/>
      <c r="D130" s="685"/>
      <c r="E130" s="685"/>
      <c r="F130" s="693"/>
      <c r="G130" s="685"/>
      <c r="H130" s="685"/>
      <c r="I130" s="685"/>
      <c r="J130" s="685"/>
      <c r="K130" s="685"/>
      <c r="L130" s="694"/>
      <c r="M130" s="685"/>
      <c r="N130" s="695"/>
      <c r="O130" s="696"/>
      <c r="P130" s="684"/>
      <c r="Q130" s="684"/>
      <c r="R130" s="684"/>
    </row>
    <row r="131" spans="1:18" ht="14.25">
      <c r="A131" s="684"/>
      <c r="B131" s="685"/>
      <c r="C131" s="685"/>
      <c r="D131" s="685"/>
      <c r="E131" s="685"/>
      <c r="F131" s="693"/>
      <c r="G131" s="685"/>
      <c r="H131" s="685"/>
      <c r="I131" s="685"/>
      <c r="J131" s="685"/>
      <c r="K131" s="685"/>
      <c r="L131" s="694"/>
      <c r="M131" s="685"/>
      <c r="N131" s="695"/>
      <c r="O131" s="696"/>
      <c r="P131" s="684"/>
      <c r="Q131" s="684"/>
      <c r="R131" s="684"/>
    </row>
    <row r="132" spans="1:18" ht="14.25">
      <c r="A132" s="684"/>
      <c r="B132" s="685"/>
      <c r="C132" s="685"/>
      <c r="D132" s="685"/>
      <c r="E132" s="685"/>
      <c r="F132" s="693"/>
      <c r="G132" s="685"/>
      <c r="H132" s="685"/>
      <c r="I132" s="685"/>
      <c r="J132" s="685"/>
      <c r="K132" s="685"/>
      <c r="L132" s="694"/>
      <c r="M132" s="685"/>
      <c r="N132" s="695"/>
      <c r="O132" s="696"/>
      <c r="P132" s="684"/>
      <c r="Q132" s="684"/>
      <c r="R132" s="684"/>
    </row>
    <row r="133" spans="1:18" ht="14.25">
      <c r="A133" s="684"/>
      <c r="B133" s="685"/>
      <c r="C133" s="685"/>
      <c r="D133" s="685"/>
      <c r="E133" s="685"/>
      <c r="F133" s="693"/>
      <c r="G133" s="685"/>
      <c r="H133" s="685"/>
      <c r="I133" s="685"/>
      <c r="J133" s="685"/>
      <c r="K133" s="685"/>
      <c r="L133" s="694"/>
      <c r="M133" s="685"/>
      <c r="N133" s="695"/>
      <c r="O133" s="696"/>
      <c r="P133" s="684"/>
      <c r="Q133" s="684"/>
      <c r="R133" s="684"/>
    </row>
    <row r="134" spans="1:18" ht="14.25">
      <c r="A134" s="684"/>
      <c r="B134" s="685"/>
      <c r="C134" s="685"/>
      <c r="D134" s="685"/>
      <c r="E134" s="685"/>
      <c r="F134" s="693"/>
      <c r="G134" s="685"/>
      <c r="H134" s="685"/>
      <c r="I134" s="685"/>
      <c r="J134" s="685"/>
      <c r="K134" s="685"/>
      <c r="L134" s="694"/>
      <c r="M134" s="685"/>
      <c r="N134" s="695"/>
      <c r="O134" s="696"/>
      <c r="P134" s="684"/>
      <c r="Q134" s="684"/>
      <c r="R134" s="684"/>
    </row>
    <row r="135" spans="1:18" ht="14.25">
      <c r="A135" s="684"/>
      <c r="B135" s="685"/>
      <c r="C135" s="685"/>
      <c r="D135" s="685"/>
      <c r="E135" s="685"/>
      <c r="F135" s="693"/>
      <c r="G135" s="685"/>
      <c r="H135" s="685"/>
      <c r="I135" s="685"/>
      <c r="J135" s="685"/>
      <c r="K135" s="685"/>
      <c r="L135" s="694"/>
      <c r="M135" s="685"/>
      <c r="N135" s="695"/>
      <c r="O135" s="696"/>
      <c r="P135" s="684"/>
      <c r="Q135" s="684"/>
      <c r="R135" s="684"/>
    </row>
    <row r="136" spans="1:18" ht="14.25">
      <c r="A136" s="684"/>
      <c r="B136" s="685"/>
      <c r="C136" s="685"/>
      <c r="D136" s="685"/>
      <c r="E136" s="685"/>
      <c r="F136" s="693"/>
      <c r="G136" s="685"/>
      <c r="H136" s="685"/>
      <c r="I136" s="685"/>
      <c r="J136" s="685"/>
      <c r="K136" s="685"/>
      <c r="L136" s="694"/>
      <c r="M136" s="685"/>
      <c r="N136" s="695"/>
      <c r="O136" s="696"/>
      <c r="P136" s="684"/>
      <c r="Q136" s="684"/>
      <c r="R136" s="684"/>
    </row>
    <row r="137" spans="1:18" ht="14.25">
      <c r="A137" s="684"/>
      <c r="B137" s="685"/>
      <c r="C137" s="685"/>
      <c r="D137" s="685"/>
      <c r="E137" s="685"/>
      <c r="F137" s="693"/>
      <c r="G137" s="685"/>
      <c r="H137" s="685"/>
      <c r="I137" s="685"/>
      <c r="J137" s="685"/>
      <c r="K137" s="685"/>
      <c r="L137" s="694"/>
      <c r="M137" s="685"/>
      <c r="N137" s="695"/>
      <c r="O137" s="696"/>
      <c r="P137" s="684"/>
      <c r="Q137" s="684"/>
      <c r="R137" s="684"/>
    </row>
    <row r="138" spans="1:18" ht="14.25">
      <c r="A138" s="684"/>
      <c r="B138" s="684"/>
      <c r="C138" s="684"/>
      <c r="D138" s="684"/>
      <c r="E138" s="684"/>
      <c r="F138" s="689"/>
      <c r="G138" s="684"/>
      <c r="H138" s="684"/>
      <c r="I138" s="684"/>
      <c r="J138" s="684"/>
      <c r="K138" s="684"/>
      <c r="L138" s="690"/>
      <c r="M138" s="684"/>
      <c r="N138" s="691"/>
      <c r="O138" s="692"/>
      <c r="P138" s="684"/>
      <c r="Q138" s="684"/>
      <c r="R138" s="684"/>
    </row>
    <row r="139" spans="1:18" ht="14.25">
      <c r="A139" s="684"/>
      <c r="B139" s="684" t="s">
        <v>1097</v>
      </c>
      <c r="C139" s="763"/>
      <c r="D139" s="684"/>
      <c r="E139" s="684"/>
      <c r="F139" s="689"/>
      <c r="G139" s="684"/>
      <c r="H139" s="684"/>
      <c r="I139" s="684"/>
      <c r="J139" s="684"/>
      <c r="K139" s="684"/>
      <c r="L139" s="690"/>
      <c r="M139" s="684"/>
      <c r="N139" s="691"/>
      <c r="O139" s="692"/>
      <c r="P139" s="684"/>
      <c r="Q139" s="684"/>
      <c r="R139" s="684"/>
    </row>
    <row r="140" spans="1:18" ht="14.25">
      <c r="A140" s="764"/>
      <c r="B140" s="720" t="s">
        <v>152</v>
      </c>
      <c r="C140" s="763"/>
      <c r="D140" s="684"/>
      <c r="E140" s="684"/>
      <c r="F140" s="689"/>
      <c r="G140" s="765"/>
      <c r="H140" s="765"/>
      <c r="I140" s="766" t="s">
        <v>154</v>
      </c>
      <c r="J140" s="765"/>
      <c r="K140" s="765"/>
      <c r="L140" s="767"/>
      <c r="M140" s="764"/>
      <c r="N140" s="768"/>
      <c r="O140" s="769"/>
      <c r="P140" s="764"/>
      <c r="Q140" s="764"/>
      <c r="R140" s="764"/>
    </row>
    <row r="141" spans="1:18" ht="14.25">
      <c r="A141" s="684"/>
      <c r="B141" s="765"/>
      <c r="C141" s="765"/>
      <c r="D141" s="765"/>
      <c r="E141" s="765"/>
      <c r="F141" s="770"/>
      <c r="G141" s="765"/>
      <c r="H141" s="765"/>
      <c r="I141" s="766" t="s">
        <v>155</v>
      </c>
      <c r="J141" s="765"/>
      <c r="K141" s="765"/>
      <c r="L141" s="771"/>
      <c r="M141" s="684"/>
      <c r="N141" s="691"/>
      <c r="O141" s="692"/>
      <c r="P141" s="684"/>
      <c r="Q141" s="684"/>
      <c r="R141" s="684"/>
    </row>
    <row r="142" spans="1:18" ht="14.25" hidden="1">
      <c r="A142" s="684"/>
      <c r="B142" s="720"/>
      <c r="C142" s="696" t="s">
        <v>5</v>
      </c>
      <c r="D142" s="720"/>
      <c r="E142" s="720"/>
      <c r="F142" s="772"/>
      <c r="G142" s="720"/>
      <c r="H142" s="720"/>
      <c r="I142" s="720"/>
      <c r="J142" s="720"/>
      <c r="K142" s="720"/>
      <c r="L142" s="773" t="s">
        <v>18</v>
      </c>
      <c r="M142" s="684"/>
      <c r="N142" s="691"/>
      <c r="O142" s="692"/>
      <c r="P142" s="684"/>
      <c r="Q142" s="684"/>
      <c r="R142" s="684"/>
    </row>
    <row r="143" spans="1:18" ht="14.25" hidden="1">
      <c r="A143" s="684"/>
      <c r="B143" s="720"/>
      <c r="C143" s="720" t="s">
        <v>48</v>
      </c>
      <c r="D143" s="720"/>
      <c r="E143" s="720"/>
      <c r="F143" s="772"/>
      <c r="G143" s="720"/>
      <c r="H143" s="720"/>
      <c r="I143" s="720"/>
      <c r="J143" s="720"/>
      <c r="K143" s="720"/>
      <c r="L143" s="771"/>
      <c r="M143" s="684"/>
      <c r="N143" s="691"/>
      <c r="O143" s="692"/>
      <c r="P143" s="684"/>
      <c r="Q143" s="684"/>
      <c r="R143" s="684"/>
    </row>
    <row r="144" spans="1:18" ht="14.25" hidden="1">
      <c r="A144" s="684"/>
      <c r="B144" s="720"/>
      <c r="C144" s="720"/>
      <c r="D144" s="691" t="s">
        <v>50</v>
      </c>
      <c r="E144" s="774" t="s">
        <v>157</v>
      </c>
      <c r="F144" s="772"/>
      <c r="G144" s="720"/>
      <c r="H144" s="720"/>
      <c r="I144" s="720"/>
      <c r="J144" s="720"/>
      <c r="K144" s="720"/>
      <c r="L144" s="773" t="str">
        <f t="shared" ref="L144:L161" si="2">D144&amp;" "&amp;E144</f>
        <v>F1. (meta)data are assigned a globally unique and eternally persistent identifier</v>
      </c>
      <c r="M144" s="684"/>
      <c r="N144" s="691"/>
      <c r="O144" s="692"/>
      <c r="P144" s="684"/>
      <c r="Q144" s="684"/>
      <c r="R144" s="684"/>
    </row>
    <row r="145" spans="1:18" ht="14.25" hidden="1">
      <c r="A145" s="684"/>
      <c r="B145" s="720"/>
      <c r="C145" s="720"/>
      <c r="D145" s="691" t="s">
        <v>69</v>
      </c>
      <c r="E145" s="774" t="s">
        <v>160</v>
      </c>
      <c r="F145" s="772"/>
      <c r="G145" s="720"/>
      <c r="H145" s="720"/>
      <c r="I145" s="720"/>
      <c r="J145" s="720"/>
      <c r="K145" s="720"/>
      <c r="L145" s="773" t="str">
        <f t="shared" si="2"/>
        <v>F2. data are described with rich metadata (defined by R1 below)</v>
      </c>
      <c r="M145" s="684"/>
      <c r="N145" s="691"/>
      <c r="O145" s="692"/>
      <c r="P145" s="684"/>
      <c r="Q145" s="684"/>
      <c r="R145" s="684"/>
    </row>
    <row r="146" spans="1:18" ht="14.25" hidden="1">
      <c r="A146" s="684"/>
      <c r="B146" s="720"/>
      <c r="C146" s="720"/>
      <c r="D146" s="691" t="s">
        <v>75</v>
      </c>
      <c r="E146" s="774" t="s">
        <v>161</v>
      </c>
      <c r="F146" s="772"/>
      <c r="G146" s="720"/>
      <c r="H146" s="720"/>
      <c r="I146" s="720"/>
      <c r="J146" s="720"/>
      <c r="K146" s="720"/>
      <c r="L146" s="773" t="str">
        <f t="shared" si="2"/>
        <v>F3. metadata clearly and explicitly include the identifier of the data it describes</v>
      </c>
      <c r="M146" s="684"/>
      <c r="N146" s="691"/>
      <c r="O146" s="692"/>
      <c r="P146" s="684"/>
      <c r="Q146" s="684"/>
      <c r="R146" s="684"/>
    </row>
    <row r="147" spans="1:18" ht="14.25" hidden="1">
      <c r="A147" s="684"/>
      <c r="B147" s="720"/>
      <c r="C147" s="720"/>
      <c r="D147" s="691" t="s">
        <v>78</v>
      </c>
      <c r="E147" s="774" t="s">
        <v>162</v>
      </c>
      <c r="F147" s="772"/>
      <c r="G147" s="720"/>
      <c r="H147" s="720"/>
      <c r="I147" s="720"/>
      <c r="J147" s="720"/>
      <c r="K147" s="720"/>
      <c r="L147" s="773" t="str">
        <f t="shared" si="2"/>
        <v>F4. (meta)data are registered or indexed in a searchable resource</v>
      </c>
      <c r="M147" s="684"/>
      <c r="N147" s="691"/>
      <c r="O147" s="692"/>
      <c r="P147" s="684"/>
      <c r="Q147" s="684"/>
      <c r="R147" s="684"/>
    </row>
    <row r="148" spans="1:18" ht="14.25" hidden="1">
      <c r="A148" s="684"/>
      <c r="B148" s="720"/>
      <c r="C148" s="720" t="s">
        <v>84</v>
      </c>
      <c r="D148" s="720"/>
      <c r="E148" s="720"/>
      <c r="F148" s="772"/>
      <c r="G148" s="720"/>
      <c r="H148" s="720"/>
      <c r="I148" s="720"/>
      <c r="J148" s="720"/>
      <c r="K148" s="720"/>
      <c r="L148" s="773" t="str">
        <f t="shared" si="2"/>
        <v xml:space="preserve"> </v>
      </c>
      <c r="M148" s="684"/>
      <c r="N148" s="691"/>
      <c r="O148" s="692"/>
      <c r="P148" s="684"/>
      <c r="Q148" s="684"/>
      <c r="R148" s="684"/>
    </row>
    <row r="149" spans="1:18" ht="14.25" hidden="1">
      <c r="A149" s="684"/>
      <c r="B149" s="720"/>
      <c r="C149" s="720"/>
      <c r="D149" s="691" t="s">
        <v>85</v>
      </c>
      <c r="E149" s="774" t="s">
        <v>163</v>
      </c>
      <c r="F149" s="772"/>
      <c r="G149" s="720"/>
      <c r="H149" s="720"/>
      <c r="I149" s="720"/>
      <c r="J149" s="720"/>
      <c r="K149" s="720"/>
      <c r="L149" s="773" t="str">
        <f t="shared" si="2"/>
        <v>A1. (meta)data are retrievable by their identifier using a standardised communications protocol</v>
      </c>
      <c r="M149" s="684"/>
      <c r="N149" s="691"/>
      <c r="O149" s="692"/>
      <c r="P149" s="684"/>
      <c r="Q149" s="684"/>
      <c r="R149" s="684"/>
    </row>
    <row r="150" spans="1:18" ht="14.25" hidden="1">
      <c r="A150" s="684"/>
      <c r="B150" s="720"/>
      <c r="C150" s="720"/>
      <c r="D150" s="691" t="s">
        <v>88</v>
      </c>
      <c r="E150" s="774" t="s">
        <v>89</v>
      </c>
      <c r="F150" s="772"/>
      <c r="G150" s="720"/>
      <c r="H150" s="720"/>
      <c r="I150" s="720"/>
      <c r="J150" s="720"/>
      <c r="K150" s="720"/>
      <c r="L150" s="773" t="str">
        <f t="shared" si="2"/>
        <v>A1.1. the protocol is open, free, and universally implementable</v>
      </c>
      <c r="M150" s="684"/>
      <c r="N150" s="691"/>
      <c r="O150" s="692"/>
      <c r="P150" s="684"/>
      <c r="Q150" s="684"/>
      <c r="R150" s="684"/>
    </row>
    <row r="151" spans="1:18" ht="14.25" hidden="1">
      <c r="A151" s="684"/>
      <c r="B151" s="720"/>
      <c r="C151" s="720"/>
      <c r="D151" s="691" t="s">
        <v>92</v>
      </c>
      <c r="E151" s="720" t="s">
        <v>93</v>
      </c>
      <c r="F151" s="772"/>
      <c r="G151" s="720"/>
      <c r="H151" s="720"/>
      <c r="I151" s="720"/>
      <c r="J151" s="720"/>
      <c r="K151" s="720"/>
      <c r="L151" s="773" t="str">
        <f t="shared" si="2"/>
        <v>A1.2. the protocol allows for an authentication and authorization procedure, where necessary</v>
      </c>
      <c r="M151" s="684"/>
      <c r="N151" s="691"/>
      <c r="O151" s="692"/>
      <c r="P151" s="684"/>
      <c r="Q151" s="684"/>
      <c r="R151" s="684"/>
    </row>
    <row r="152" spans="1:18" ht="14.25" hidden="1">
      <c r="A152" s="684"/>
      <c r="B152" s="720"/>
      <c r="C152" s="720"/>
      <c r="D152" s="691" t="s">
        <v>96</v>
      </c>
      <c r="E152" s="774" t="s">
        <v>166</v>
      </c>
      <c r="F152" s="772"/>
      <c r="G152" s="720"/>
      <c r="H152" s="720"/>
      <c r="I152" s="720"/>
      <c r="J152" s="720"/>
      <c r="K152" s="720"/>
      <c r="L152" s="773" t="str">
        <f t="shared" si="2"/>
        <v>A2. metadata are accessible, even when the data are no longer available</v>
      </c>
      <c r="M152" s="684"/>
      <c r="N152" s="691"/>
      <c r="O152" s="692"/>
      <c r="P152" s="684"/>
      <c r="Q152" s="684"/>
      <c r="R152" s="684"/>
    </row>
    <row r="153" spans="1:18" ht="14.25" hidden="1">
      <c r="A153" s="684"/>
      <c r="B153" s="720"/>
      <c r="C153" s="720" t="s">
        <v>109</v>
      </c>
      <c r="D153" s="720"/>
      <c r="E153" s="720"/>
      <c r="F153" s="772"/>
      <c r="G153" s="720"/>
      <c r="H153" s="720"/>
      <c r="I153" s="720"/>
      <c r="J153" s="720"/>
      <c r="K153" s="720"/>
      <c r="L153" s="773" t="str">
        <f t="shared" si="2"/>
        <v xml:space="preserve"> </v>
      </c>
      <c r="M153" s="684"/>
      <c r="N153" s="691"/>
      <c r="O153" s="692"/>
      <c r="P153" s="684"/>
      <c r="Q153" s="684"/>
      <c r="R153" s="684"/>
    </row>
    <row r="154" spans="1:18" ht="14.25" hidden="1">
      <c r="A154" s="684"/>
      <c r="B154" s="720"/>
      <c r="C154" s="720"/>
      <c r="D154" s="691" t="s">
        <v>114</v>
      </c>
      <c r="E154" s="774" t="s">
        <v>168</v>
      </c>
      <c r="F154" s="772"/>
      <c r="G154" s="720"/>
      <c r="H154" s="720"/>
      <c r="I154" s="720"/>
      <c r="J154" s="720"/>
      <c r="K154" s="720"/>
      <c r="L154" s="773" t="str">
        <f t="shared" si="2"/>
        <v>I1. (meta)data use a formal, accessible, shared, and broadly applicable language for knowledge representation</v>
      </c>
      <c r="M154" s="684"/>
      <c r="N154" s="691"/>
      <c r="O154" s="692"/>
      <c r="P154" s="684"/>
      <c r="Q154" s="684"/>
      <c r="R154" s="684"/>
    </row>
    <row r="155" spans="1:18" ht="14.25" hidden="1">
      <c r="A155" s="684"/>
      <c r="B155" s="720"/>
      <c r="C155" s="720"/>
      <c r="D155" s="691" t="s">
        <v>119</v>
      </c>
      <c r="E155" s="774" t="s">
        <v>169</v>
      </c>
      <c r="F155" s="772"/>
      <c r="G155" s="720"/>
      <c r="H155" s="720"/>
      <c r="I155" s="720"/>
      <c r="J155" s="720"/>
      <c r="K155" s="720"/>
      <c r="L155" s="773" t="str">
        <f t="shared" si="2"/>
        <v>I2. (meta)data use vocabularies that follow FAIR principles</v>
      </c>
      <c r="M155" s="684"/>
      <c r="N155" s="691"/>
      <c r="O155" s="692"/>
      <c r="P155" s="684"/>
      <c r="Q155" s="684"/>
      <c r="R155" s="684"/>
    </row>
    <row r="156" spans="1:18" ht="14.25" hidden="1">
      <c r="A156" s="684"/>
      <c r="B156" s="720"/>
      <c r="C156" s="720"/>
      <c r="D156" s="691" t="s">
        <v>123</v>
      </c>
      <c r="E156" s="774" t="s">
        <v>170</v>
      </c>
      <c r="F156" s="772"/>
      <c r="G156" s="720"/>
      <c r="H156" s="720"/>
      <c r="I156" s="720"/>
      <c r="J156" s="720"/>
      <c r="K156" s="720"/>
      <c r="L156" s="773" t="str">
        <f t="shared" si="2"/>
        <v>I3. (meta)data include qualified references to other (meta)data</v>
      </c>
      <c r="M156" s="684"/>
      <c r="N156" s="691"/>
      <c r="O156" s="692"/>
      <c r="P156" s="684"/>
      <c r="Q156" s="684"/>
      <c r="R156" s="684"/>
    </row>
    <row r="157" spans="1:18" ht="14.25" hidden="1">
      <c r="A157" s="684"/>
      <c r="B157" s="720"/>
      <c r="C157" s="720" t="s">
        <v>126</v>
      </c>
      <c r="D157" s="720"/>
      <c r="E157" s="720"/>
      <c r="F157" s="772"/>
      <c r="G157" s="720"/>
      <c r="H157" s="720"/>
      <c r="I157" s="720"/>
      <c r="J157" s="720"/>
      <c r="K157" s="720"/>
      <c r="L157" s="773" t="str">
        <f t="shared" si="2"/>
        <v xml:space="preserve"> </v>
      </c>
      <c r="M157" s="684"/>
      <c r="N157" s="691"/>
      <c r="O157" s="692"/>
      <c r="P157" s="684"/>
      <c r="Q157" s="684"/>
      <c r="R157" s="684"/>
    </row>
    <row r="158" spans="1:18" ht="14.25" hidden="1">
      <c r="A158" s="684"/>
      <c r="B158" s="720"/>
      <c r="C158" s="720"/>
      <c r="D158" s="691" t="s">
        <v>127</v>
      </c>
      <c r="E158" s="774" t="s">
        <v>172</v>
      </c>
      <c r="F158" s="772"/>
      <c r="G158" s="720"/>
      <c r="H158" s="720"/>
      <c r="I158" s="720"/>
      <c r="J158" s="720"/>
      <c r="K158" s="720"/>
      <c r="L158" s="773" t="str">
        <f t="shared" si="2"/>
        <v>R1. meta(data) are richly described with a plurality of accurate and relevant attributes</v>
      </c>
      <c r="M158" s="684"/>
      <c r="N158" s="691"/>
      <c r="O158" s="692"/>
      <c r="P158" s="684"/>
      <c r="Q158" s="684"/>
      <c r="R158" s="684"/>
    </row>
    <row r="159" spans="1:18" ht="14.25" hidden="1">
      <c r="A159" s="684"/>
      <c r="B159" s="720"/>
      <c r="C159" s="720"/>
      <c r="D159" s="691" t="s">
        <v>129</v>
      </c>
      <c r="E159" s="774" t="s">
        <v>173</v>
      </c>
      <c r="F159" s="772"/>
      <c r="G159" s="720"/>
      <c r="H159" s="720"/>
      <c r="I159" s="720"/>
      <c r="J159" s="720"/>
      <c r="K159" s="720"/>
      <c r="L159" s="773" t="str">
        <f t="shared" si="2"/>
        <v>R1.1. (meta)data are released with a clear and accessible data usage licence</v>
      </c>
      <c r="M159" s="684"/>
      <c r="N159" s="691"/>
      <c r="O159" s="692"/>
      <c r="P159" s="684"/>
      <c r="Q159" s="684"/>
      <c r="R159" s="684"/>
    </row>
    <row r="160" spans="1:18" ht="14.25" hidden="1">
      <c r="A160" s="684"/>
      <c r="B160" s="720"/>
      <c r="C160" s="720"/>
      <c r="D160" s="691" t="s">
        <v>132</v>
      </c>
      <c r="E160" s="774" t="s">
        <v>174</v>
      </c>
      <c r="F160" s="772"/>
      <c r="G160" s="720"/>
      <c r="H160" s="720"/>
      <c r="I160" s="720"/>
      <c r="J160" s="720"/>
      <c r="K160" s="720"/>
      <c r="L160" s="773" t="str">
        <f t="shared" si="2"/>
        <v>R1.2. (meta)data are associated with detailed provenance</v>
      </c>
      <c r="M160" s="684"/>
      <c r="N160" s="691"/>
      <c r="O160" s="692"/>
      <c r="P160" s="684"/>
      <c r="Q160" s="684"/>
      <c r="R160" s="684"/>
    </row>
    <row r="161" spans="1:18" ht="14.25" hidden="1">
      <c r="A161" s="684"/>
      <c r="B161" s="720"/>
      <c r="C161" s="720"/>
      <c r="D161" s="691" t="s">
        <v>137</v>
      </c>
      <c r="E161" s="774" t="s">
        <v>175</v>
      </c>
      <c r="F161" s="772"/>
      <c r="G161" s="720"/>
      <c r="H161" s="720"/>
      <c r="I161" s="720"/>
      <c r="J161" s="720"/>
      <c r="K161" s="720"/>
      <c r="L161" s="773" t="str">
        <f t="shared" si="2"/>
        <v>R1.3. (meta)data meet domain-relevant community standards</v>
      </c>
      <c r="M161" s="684"/>
      <c r="N161" s="691"/>
      <c r="O161" s="692"/>
      <c r="P161" s="684"/>
      <c r="Q161" s="684"/>
      <c r="R161" s="684"/>
    </row>
    <row r="162" spans="1:18" ht="14.25" hidden="1">
      <c r="A162" s="684"/>
      <c r="B162" s="720"/>
      <c r="C162" s="696" t="s">
        <v>29</v>
      </c>
      <c r="D162" s="720"/>
      <c r="E162" s="720"/>
      <c r="F162" s="772"/>
      <c r="G162" s="720"/>
      <c r="H162" s="720"/>
      <c r="I162" s="720"/>
      <c r="J162" s="720"/>
      <c r="K162" s="720"/>
      <c r="L162" s="771"/>
      <c r="M162" s="684"/>
      <c r="N162" s="691"/>
      <c r="O162" s="692"/>
      <c r="P162" s="684"/>
      <c r="Q162" s="684"/>
      <c r="R162" s="684"/>
    </row>
    <row r="163" spans="1:18" ht="14.25">
      <c r="A163" s="684"/>
      <c r="B163" s="720"/>
      <c r="C163" s="720"/>
      <c r="D163" s="720"/>
      <c r="E163" s="720"/>
      <c r="F163" s="772"/>
      <c r="G163" s="720"/>
      <c r="H163" s="720"/>
      <c r="I163" s="720"/>
      <c r="J163" s="720"/>
      <c r="K163" s="720"/>
      <c r="L163" s="771"/>
      <c r="M163" s="684"/>
      <c r="N163" s="691"/>
      <c r="O163" s="692"/>
      <c r="P163" s="684"/>
      <c r="Q163" s="684"/>
      <c r="R163" s="684"/>
    </row>
    <row r="164" spans="1:18" ht="14.25">
      <c r="A164" s="684"/>
      <c r="B164" s="703"/>
      <c r="C164" s="703"/>
      <c r="D164" s="703"/>
      <c r="E164" s="703"/>
      <c r="F164" s="723"/>
      <c r="G164" s="703"/>
      <c r="H164" s="703"/>
      <c r="I164" s="703"/>
      <c r="J164" s="703"/>
      <c r="K164" s="703"/>
      <c r="L164" s="724"/>
      <c r="M164" s="685"/>
      <c r="N164" s="695"/>
      <c r="O164" s="692"/>
      <c r="P164" s="684"/>
      <c r="Q164" s="684"/>
      <c r="R164" s="684"/>
    </row>
    <row r="165" spans="1:18" ht="14.25">
      <c r="A165" s="684"/>
      <c r="B165" s="703"/>
      <c r="C165" s="1135" t="s">
        <v>179</v>
      </c>
      <c r="D165" s="1136"/>
      <c r="E165" s="1136"/>
      <c r="F165" s="1136"/>
      <c r="G165" s="1136"/>
      <c r="H165" s="1136"/>
      <c r="I165" s="1136"/>
      <c r="J165" s="1136"/>
      <c r="K165" s="1136"/>
      <c r="L165" s="1137"/>
      <c r="M165" s="685"/>
      <c r="N165" s="695"/>
      <c r="O165" s="692"/>
      <c r="P165" s="684"/>
      <c r="Q165" s="684"/>
      <c r="R165" s="684"/>
    </row>
    <row r="166" spans="1:18" ht="14.25">
      <c r="A166" s="684"/>
      <c r="B166" s="703"/>
      <c r="C166" s="703"/>
      <c r="D166" s="703"/>
      <c r="E166" s="703"/>
      <c r="F166" s="723"/>
      <c r="G166" s="703"/>
      <c r="H166" s="703"/>
      <c r="I166" s="703"/>
      <c r="J166" s="703"/>
      <c r="K166" s="703"/>
      <c r="L166" s="724"/>
      <c r="M166" s="685"/>
      <c r="N166" s="695"/>
      <c r="O166" s="692"/>
      <c r="P166" s="684"/>
      <c r="Q166" s="684"/>
      <c r="R166" s="684"/>
    </row>
    <row r="167" spans="1:18" ht="18.95" customHeight="1">
      <c r="A167" s="684"/>
      <c r="B167" s="703"/>
      <c r="C167" s="703"/>
      <c r="D167" s="1139" t="s">
        <v>1103</v>
      </c>
      <c r="E167" s="1139"/>
      <c r="F167" s="1139"/>
      <c r="G167" s="1139"/>
      <c r="H167" s="1139"/>
      <c r="I167" s="1139"/>
      <c r="J167" s="1139"/>
      <c r="K167" s="1139"/>
      <c r="L167" s="1139"/>
      <c r="M167" s="685"/>
      <c r="N167" s="695"/>
      <c r="O167" s="692"/>
      <c r="P167" s="684"/>
      <c r="Q167" s="684"/>
      <c r="R167" s="684"/>
    </row>
    <row r="168" spans="1:18" ht="51.6" customHeight="1">
      <c r="A168" s="684"/>
      <c r="B168" s="685"/>
      <c r="C168" s="685"/>
      <c r="D168" s="1140" t="s">
        <v>1104</v>
      </c>
      <c r="E168" s="1140"/>
      <c r="F168" s="1140"/>
      <c r="G168" s="1140"/>
      <c r="H168" s="1140"/>
      <c r="I168" s="1140"/>
      <c r="J168" s="1140"/>
      <c r="K168" s="1140"/>
      <c r="L168" s="1140"/>
      <c r="M168" s="685"/>
      <c r="N168" s="695"/>
      <c r="O168" s="692"/>
      <c r="P168" s="684"/>
      <c r="Q168" s="684"/>
      <c r="R168" s="684"/>
    </row>
    <row r="169" spans="1:18" ht="5.25" customHeight="1">
      <c r="A169" s="684"/>
      <c r="B169" s="685"/>
      <c r="C169" s="685"/>
      <c r="D169" s="685"/>
      <c r="E169" s="685"/>
      <c r="F169" s="693"/>
      <c r="G169" s="685"/>
      <c r="H169" s="685"/>
      <c r="I169" s="685"/>
      <c r="J169" s="685"/>
      <c r="K169" s="685"/>
      <c r="L169" s="694"/>
      <c r="M169" s="685"/>
      <c r="N169" s="695"/>
      <c r="O169" s="692"/>
      <c r="P169" s="684"/>
      <c r="Q169" s="684"/>
      <c r="R169" s="684"/>
    </row>
    <row r="170" spans="1:18" ht="14.25">
      <c r="A170" s="684"/>
      <c r="B170" s="685"/>
      <c r="C170" s="685"/>
      <c r="D170" s="1141" t="s">
        <v>184</v>
      </c>
      <c r="E170" s="1132"/>
      <c r="F170" s="1132"/>
      <c r="G170" s="1132"/>
      <c r="H170" s="1132"/>
      <c r="I170" s="1132"/>
      <c r="J170" s="1132"/>
      <c r="K170" s="1132"/>
      <c r="L170" s="1132"/>
      <c r="M170" s="685"/>
      <c r="N170" s="695"/>
      <c r="O170" s="692"/>
      <c r="P170" s="684"/>
      <c r="Q170" s="684"/>
      <c r="R170" s="684"/>
    </row>
    <row r="171" spans="1:18" ht="14.25">
      <c r="A171" s="684"/>
      <c r="B171" s="685"/>
      <c r="C171" s="685"/>
      <c r="D171" s="685"/>
      <c r="E171" s="685"/>
      <c r="F171" s="685"/>
      <c r="G171" s="685"/>
      <c r="H171" s="685"/>
      <c r="I171" s="685"/>
      <c r="J171" s="685"/>
      <c r="K171" s="685"/>
      <c r="L171" s="685"/>
      <c r="M171" s="685"/>
      <c r="N171" s="695"/>
      <c r="O171" s="692"/>
      <c r="P171" s="684"/>
      <c r="Q171" s="684"/>
      <c r="R171" s="684"/>
    </row>
    <row r="172" spans="1:18" ht="14.25">
      <c r="A172" s="684"/>
      <c r="B172" s="685"/>
      <c r="C172" s="685"/>
      <c r="D172" s="703" t="s">
        <v>188</v>
      </c>
      <c r="E172" s="685"/>
      <c r="F172" s="693"/>
      <c r="G172" s="685"/>
      <c r="H172" s="685"/>
      <c r="I172" s="685"/>
      <c r="J172" s="685"/>
      <c r="K172" s="685"/>
      <c r="L172" s="694"/>
      <c r="M172" s="685"/>
      <c r="N172" s="695"/>
      <c r="O172" s="692"/>
      <c r="P172" s="684"/>
      <c r="Q172" s="684"/>
      <c r="R172" s="684"/>
    </row>
    <row r="173" spans="1:18" ht="5.25" customHeight="1">
      <c r="A173" s="684"/>
      <c r="B173" s="685"/>
      <c r="C173" s="685"/>
      <c r="D173" s="685"/>
      <c r="E173" s="685"/>
      <c r="F173" s="693"/>
      <c r="G173" s="685"/>
      <c r="H173" s="685"/>
      <c r="I173" s="685"/>
      <c r="J173" s="685"/>
      <c r="K173" s="685"/>
      <c r="L173" s="694"/>
      <c r="M173" s="685"/>
      <c r="N173" s="695"/>
      <c r="O173" s="692"/>
      <c r="P173" s="684"/>
      <c r="Q173" s="684"/>
      <c r="R173" s="684"/>
    </row>
    <row r="174" spans="1:18" ht="23.45" customHeight="1">
      <c r="A174" s="684"/>
      <c r="B174" s="685"/>
      <c r="C174" s="685"/>
      <c r="D174" s="1138" t="str">
        <f>IF($D$170= L142, "*", IF($D$170 = D190, D192, IF($D$170 = D200, D202, IF($D$170=D210, D212, IF($D$170=D220, D222, IF($D$170=D230, D232, IF($D$170=D240, D242, IF($D$170=D250,D252, IF($D$170=D260, D262, IF($D$170=D270,D272,IF($D$170=D280,D282, IF($D$170 =D290,D292, IF($D$170=D300,D302, IF($D$170=D310,D312, IF($D$170=D320,D322,D332  )))))))))))))))</f>
        <v>Whether there is a scheme to uniquely identify the digital resource.
// 
Whether there is a policy that describes what the provider will do in the event an identifier scheme becomes deprecated.</v>
      </c>
      <c r="E174" s="1132"/>
      <c r="F174" s="1132"/>
      <c r="G174" s="1132"/>
      <c r="H174" s="1132"/>
      <c r="I174" s="1132"/>
      <c r="J174" s="1132"/>
      <c r="K174" s="1132"/>
      <c r="L174" s="1132"/>
      <c r="M174" s="685"/>
      <c r="N174" s="695"/>
      <c r="O174" s="692"/>
      <c r="P174" s="684"/>
      <c r="Q174" s="684"/>
      <c r="R174" s="684"/>
    </row>
    <row r="175" spans="1:18" ht="14.25">
      <c r="A175" s="684"/>
      <c r="B175" s="685"/>
      <c r="C175" s="685"/>
      <c r="D175" s="685"/>
      <c r="E175" s="685"/>
      <c r="F175" s="693"/>
      <c r="G175" s="685"/>
      <c r="H175" s="685"/>
      <c r="I175" s="685"/>
      <c r="J175" s="685"/>
      <c r="K175" s="685"/>
      <c r="L175" s="694"/>
      <c r="M175" s="685"/>
      <c r="N175" s="695"/>
      <c r="O175" s="692"/>
      <c r="P175" s="684"/>
      <c r="Q175" s="684"/>
      <c r="R175" s="684"/>
    </row>
    <row r="176" spans="1:18" ht="14.25">
      <c r="A176" s="684"/>
      <c r="B176" s="685"/>
      <c r="C176" s="685"/>
      <c r="D176" s="703" t="s">
        <v>194</v>
      </c>
      <c r="E176" s="685"/>
      <c r="F176" s="693"/>
      <c r="G176" s="685"/>
      <c r="H176" s="685"/>
      <c r="I176" s="685"/>
      <c r="J176" s="685"/>
      <c r="K176" s="685"/>
      <c r="L176" s="694"/>
      <c r="M176" s="685"/>
      <c r="N176" s="695"/>
      <c r="O176" s="692"/>
      <c r="P176" s="684"/>
      <c r="Q176" s="684"/>
      <c r="R176" s="684"/>
    </row>
    <row r="177" spans="1:18" ht="5.25" customHeight="1">
      <c r="A177" s="684"/>
      <c r="B177" s="685"/>
      <c r="C177" s="685"/>
      <c r="D177" s="685"/>
      <c r="E177" s="685"/>
      <c r="F177" s="693"/>
      <c r="G177" s="685"/>
      <c r="H177" s="685"/>
      <c r="I177" s="685"/>
      <c r="J177" s="685"/>
      <c r="K177" s="685"/>
      <c r="L177" s="694"/>
      <c r="M177" s="685"/>
      <c r="N177" s="695"/>
      <c r="O177" s="692"/>
      <c r="P177" s="684"/>
      <c r="Q177" s="684"/>
      <c r="R177" s="684"/>
    </row>
    <row r="178" spans="1:18" ht="58.5" customHeight="1">
      <c r="A178" s="684"/>
      <c r="B178" s="685"/>
      <c r="C178" s="685"/>
      <c r="D178" s="1138" t="str">
        <f>IF($D$170= L142, "*", IF($D$170 = D190, D194, IF($D$170 = D200, D204, IF($D$170=D210, D214, IF($D$170=D220, D224, IF($D$170=D230, D234, IF($D$170=D240, D244, IF($D$170=D250,D254, IF($D$170=D260, D264, IF($D$170=D270,D274,IF($D$170=D280,D284, IF($D$170 =D290,D294, IF($D$170=D300,D304, IF($D$170=D310,D314, IF($D$170=D320,D324,D334  )))))))))))))))</f>
        <v>URL to a registered identifier scheme.
//
A URL that resolves to a document containing the relevant policy.</v>
      </c>
      <c r="E178" s="1132"/>
      <c r="F178" s="1132"/>
      <c r="G178" s="1132"/>
      <c r="H178" s="1132"/>
      <c r="I178" s="1132"/>
      <c r="J178" s="1132"/>
      <c r="K178" s="1132"/>
      <c r="L178" s="1132"/>
      <c r="M178" s="685"/>
      <c r="N178" s="695"/>
      <c r="O178" s="692"/>
      <c r="P178" s="684"/>
      <c r="Q178" s="684"/>
      <c r="R178" s="684"/>
    </row>
    <row r="179" spans="1:18" ht="14.25">
      <c r="A179" s="684"/>
      <c r="B179" s="685"/>
      <c r="C179" s="685"/>
      <c r="D179" s="685"/>
      <c r="E179" s="685"/>
      <c r="F179" s="693"/>
      <c r="G179" s="685"/>
      <c r="H179" s="685"/>
      <c r="I179" s="685"/>
      <c r="J179" s="685"/>
      <c r="K179" s="685"/>
      <c r="L179" s="694"/>
      <c r="M179" s="685"/>
      <c r="N179" s="695"/>
      <c r="O179" s="692"/>
      <c r="P179" s="684"/>
      <c r="Q179" s="684"/>
      <c r="R179" s="684"/>
    </row>
    <row r="180" spans="1:18" ht="14.25">
      <c r="A180" s="684"/>
      <c r="B180" s="685"/>
      <c r="C180" s="685"/>
      <c r="D180" s="703" t="s">
        <v>1102</v>
      </c>
      <c r="E180" s="685"/>
      <c r="F180" s="693"/>
      <c r="G180" s="685"/>
      <c r="H180" s="685"/>
      <c r="I180" s="685"/>
      <c r="J180" s="685"/>
      <c r="K180" s="685"/>
      <c r="L180" s="694"/>
      <c r="M180" s="685"/>
      <c r="N180" s="695"/>
      <c r="O180" s="692"/>
      <c r="P180" s="684"/>
      <c r="Q180" s="684"/>
      <c r="R180" s="684"/>
    </row>
    <row r="181" spans="1:18" ht="5.0999999999999996" customHeight="1">
      <c r="A181" s="684"/>
      <c r="B181" s="685"/>
      <c r="C181" s="685"/>
      <c r="D181" s="685"/>
      <c r="E181" s="685"/>
      <c r="F181" s="693"/>
      <c r="G181" s="685"/>
      <c r="H181" s="685"/>
      <c r="I181" s="685"/>
      <c r="J181" s="685"/>
      <c r="K181" s="685"/>
      <c r="L181" s="694"/>
      <c r="M181" s="685"/>
      <c r="N181" s="695"/>
      <c r="O181" s="692"/>
      <c r="P181" s="684"/>
      <c r="Q181" s="684"/>
      <c r="R181" s="684"/>
    </row>
    <row r="182" spans="1:18" ht="99" customHeight="1">
      <c r="A182" s="684"/>
      <c r="B182" s="685"/>
      <c r="C182" s="685"/>
      <c r="D182" s="1138" t="str">
        <f>IF($D$170= L142, "*", IF($D$170 = D190, D196, IF($D$170 = D200, D206, IF($D$170=D210, D216, IF($D$170=D220, D226, IF($D$170=D230, D236, IF($D$170=D240, D246, IF($D$170=D250,D256, IF($D$170=D260, D266, IF($D$170=D270,D276,IF($D$170=D280,D286, IF($D$170 =D290,D296, IF($D$170=D300,D306, IF($D$170=D310,D316, IF($D$170=D320,D326,D336  )))))))))))))))</f>
        <v>An identifer scheme is valid if and only if it is described in a repository that can register and present such identifer schemes (e.g. fairsharing.org). Information about the identifier scheme must be presented with a machine-readable document containing the FM1 attribute with the URL to where the scheme is described.
//
Use an HTTP GET on URL provided.</v>
      </c>
      <c r="E182" s="1132"/>
      <c r="F182" s="1132"/>
      <c r="G182" s="1132"/>
      <c r="H182" s="1132"/>
      <c r="I182" s="1132"/>
      <c r="J182" s="1132"/>
      <c r="K182" s="1132"/>
      <c r="L182" s="1132"/>
      <c r="M182" s="685"/>
      <c r="N182" s="695"/>
      <c r="O182" s="692"/>
      <c r="P182" s="684"/>
      <c r="Q182" s="684"/>
      <c r="R182" s="684"/>
    </row>
    <row r="183" spans="1:18" ht="14.25">
      <c r="A183" s="684"/>
      <c r="B183" s="685"/>
      <c r="C183" s="685"/>
      <c r="D183" s="685"/>
      <c r="E183" s="685"/>
      <c r="F183" s="693"/>
      <c r="G183" s="685"/>
      <c r="H183" s="685"/>
      <c r="I183" s="685"/>
      <c r="J183" s="685"/>
      <c r="K183" s="685"/>
      <c r="L183" s="694"/>
      <c r="M183" s="685"/>
      <c r="N183" s="695"/>
      <c r="O183" s="692"/>
      <c r="P183" s="684"/>
      <c r="Q183" s="684"/>
      <c r="R183" s="684"/>
    </row>
    <row r="184" spans="1:18" ht="14.25">
      <c r="A184" s="684"/>
      <c r="B184" s="685"/>
      <c r="C184" s="685"/>
      <c r="D184" s="703" t="s">
        <v>205</v>
      </c>
      <c r="E184" s="685"/>
      <c r="F184" s="693"/>
      <c r="G184" s="685"/>
      <c r="H184" s="685"/>
      <c r="I184" s="685"/>
      <c r="J184" s="685"/>
      <c r="K184" s="685"/>
      <c r="L184" s="694"/>
      <c r="M184" s="685"/>
      <c r="N184" s="695"/>
      <c r="O184" s="692"/>
      <c r="P184" s="684"/>
      <c r="Q184" s="684"/>
      <c r="R184" s="684"/>
    </row>
    <row r="185" spans="1:18" ht="5.25" customHeight="1">
      <c r="A185" s="684"/>
      <c r="B185" s="685"/>
      <c r="C185" s="685"/>
      <c r="D185" s="685"/>
      <c r="E185" s="685"/>
      <c r="F185" s="693"/>
      <c r="G185" s="685"/>
      <c r="H185" s="685"/>
      <c r="I185" s="685"/>
      <c r="J185" s="685"/>
      <c r="K185" s="685"/>
      <c r="L185" s="694"/>
      <c r="M185" s="685"/>
      <c r="N185" s="695"/>
      <c r="O185" s="692"/>
      <c r="P185" s="684"/>
      <c r="Q185" s="684"/>
      <c r="R185" s="684"/>
    </row>
    <row r="186" spans="1:18" ht="84" customHeight="1">
      <c r="A186" s="684"/>
      <c r="B186" s="685"/>
      <c r="C186" s="685"/>
      <c r="D186" s="1138" t="str">
        <f>IF($D$170= L142, "*", IF($D$170 = D190, D198, IF($D$170 = D200, D208, IF($D$170=D210, D218, IF($D$170=D220, D228, IF($D$170=D230, D238, IF($D$170=D240, D248, IF($D$170=D250,D258, IF($D$170=D260, D268, IF($D$170=D270,D278,IF($D$170=D280,D288, IF($D$170 =D290,D298, IF($D$170=D300,D308, IF($D$170=D310,D318, IF($D$170=D320,D328,D338  )))))))))))))))</f>
        <v>Present or Absent
//
Present (a 200,202,203 or 206 HTTP response after resolving all and any prior redirects. e.g. 301 -&gt; 302 -&gt; 200 OK.) or Absent (any other HTTP code)</v>
      </c>
      <c r="E186" s="1132"/>
      <c r="F186" s="1132"/>
      <c r="G186" s="1132"/>
      <c r="H186" s="1132"/>
      <c r="I186" s="1132"/>
      <c r="J186" s="1132"/>
      <c r="K186" s="1132"/>
      <c r="L186" s="1132"/>
      <c r="M186" s="685"/>
      <c r="N186" s="695"/>
      <c r="O186" s="692"/>
      <c r="P186" s="684"/>
      <c r="Q186" s="684"/>
      <c r="R186" s="684"/>
    </row>
    <row r="187" spans="1:18" ht="14.25">
      <c r="A187" s="684"/>
      <c r="B187" s="685"/>
      <c r="C187" s="685"/>
      <c r="D187" s="685"/>
      <c r="E187" s="685"/>
      <c r="F187" s="693"/>
      <c r="G187" s="685"/>
      <c r="H187" s="685"/>
      <c r="I187" s="685"/>
      <c r="J187" s="685"/>
      <c r="K187" s="685"/>
      <c r="L187" s="694"/>
      <c r="M187" s="685"/>
      <c r="N187" s="695"/>
      <c r="O187" s="692"/>
      <c r="P187" s="684"/>
      <c r="Q187" s="684"/>
      <c r="R187" s="684"/>
    </row>
    <row r="188" spans="1:18" ht="14.25">
      <c r="A188" s="684"/>
      <c r="B188" s="685"/>
      <c r="C188" s="685"/>
      <c r="D188" s="685"/>
      <c r="E188" s="685"/>
      <c r="F188" s="693"/>
      <c r="G188" s="685"/>
      <c r="H188" s="685"/>
      <c r="I188" s="685"/>
      <c r="J188" s="685"/>
      <c r="K188" s="685"/>
      <c r="L188" s="694"/>
      <c r="M188" s="685"/>
      <c r="N188" s="695"/>
      <c r="O188" s="692"/>
      <c r="P188" s="684"/>
      <c r="Q188" s="684"/>
      <c r="R188" s="684"/>
    </row>
    <row r="189" spans="1:18" ht="14.25" hidden="1">
      <c r="A189" s="684"/>
      <c r="B189" s="684"/>
      <c r="C189" s="684"/>
      <c r="D189" s="696" t="s">
        <v>5</v>
      </c>
      <c r="E189" s="684"/>
      <c r="F189" s="689"/>
      <c r="G189" s="684"/>
      <c r="H189" s="684"/>
      <c r="I189" s="684"/>
      <c r="J189" s="684"/>
      <c r="K189" s="684"/>
      <c r="L189" s="690"/>
      <c r="M189" s="684"/>
      <c r="N189" s="691"/>
      <c r="O189" s="692"/>
      <c r="P189" s="684"/>
      <c r="Q189" s="684"/>
      <c r="R189" s="684"/>
    </row>
    <row r="190" spans="1:18" ht="14.25" hidden="1">
      <c r="A190" s="684"/>
      <c r="B190" s="684"/>
      <c r="C190" s="684"/>
      <c r="D190" s="684" t="str">
        <f>L144</f>
        <v>F1. (meta)data are assigned a globally unique and eternally persistent identifier</v>
      </c>
      <c r="E190" s="684"/>
      <c r="F190" s="689"/>
      <c r="G190" s="684"/>
      <c r="H190" s="684"/>
      <c r="I190" s="684"/>
      <c r="J190" s="684"/>
      <c r="K190" s="684"/>
      <c r="L190" s="690"/>
      <c r="M190" s="684"/>
      <c r="N190" s="691"/>
      <c r="O190" s="692"/>
      <c r="P190" s="684"/>
      <c r="Q190" s="684"/>
      <c r="R190" s="684"/>
    </row>
    <row r="191" spans="1:18" ht="14.25" hidden="1">
      <c r="A191" s="684"/>
      <c r="B191" s="684"/>
      <c r="C191" s="684"/>
      <c r="D191" s="720" t="str">
        <f>$D$172</f>
        <v>What is being measured?</v>
      </c>
      <c r="E191" s="684"/>
      <c r="F191" s="689"/>
      <c r="G191" s="684"/>
      <c r="H191" s="684"/>
      <c r="I191" s="684"/>
      <c r="J191" s="684"/>
      <c r="K191" s="684"/>
      <c r="L191" s="690"/>
      <c r="M191" s="684"/>
      <c r="N191" s="691"/>
      <c r="O191" s="692"/>
      <c r="P191" s="684"/>
      <c r="Q191" s="684"/>
      <c r="R191" s="684"/>
    </row>
    <row r="192" spans="1:18" ht="14.25" hidden="1">
      <c r="A192" s="684"/>
      <c r="B192" s="684"/>
      <c r="C192" s="684"/>
      <c r="D192" s="1131" t="s">
        <v>209</v>
      </c>
      <c r="E192" s="1132"/>
      <c r="F192" s="1132"/>
      <c r="G192" s="1132"/>
      <c r="H192" s="1132"/>
      <c r="I192" s="1132"/>
      <c r="J192" s="1132"/>
      <c r="K192" s="1132"/>
      <c r="L192" s="690"/>
      <c r="M192" s="684"/>
      <c r="N192" s="691"/>
      <c r="O192" s="692"/>
      <c r="P192" s="684"/>
      <c r="Q192" s="684"/>
      <c r="R192" s="684"/>
    </row>
    <row r="193" spans="1:18" ht="14.25" hidden="1">
      <c r="A193" s="684"/>
      <c r="B193" s="684"/>
      <c r="C193" s="684"/>
      <c r="D193" s="720" t="str">
        <f>$D$176</f>
        <v>What must be provided?</v>
      </c>
      <c r="E193" s="684"/>
      <c r="F193" s="689"/>
      <c r="G193" s="684"/>
      <c r="H193" s="684"/>
      <c r="I193" s="684"/>
      <c r="J193" s="684"/>
      <c r="K193" s="684"/>
      <c r="L193" s="690"/>
      <c r="M193" s="684"/>
      <c r="N193" s="691"/>
      <c r="O193" s="692"/>
      <c r="P193" s="684"/>
      <c r="Q193" s="684"/>
      <c r="R193" s="684"/>
    </row>
    <row r="194" spans="1:18" ht="14.25" hidden="1">
      <c r="A194" s="684"/>
      <c r="B194" s="684"/>
      <c r="C194" s="684"/>
      <c r="D194" s="1131" t="s">
        <v>211</v>
      </c>
      <c r="E194" s="1132"/>
      <c r="F194" s="1132"/>
      <c r="G194" s="1132"/>
      <c r="H194" s="1132"/>
      <c r="I194" s="1132"/>
      <c r="J194" s="1132"/>
      <c r="K194" s="1132"/>
      <c r="L194" s="690"/>
      <c r="M194" s="684"/>
      <c r="N194" s="691"/>
      <c r="O194" s="692"/>
      <c r="P194" s="684"/>
      <c r="Q194" s="684"/>
      <c r="R194" s="684"/>
    </row>
    <row r="195" spans="1:18" ht="14.25" hidden="1">
      <c r="A195" s="684"/>
      <c r="B195" s="684"/>
      <c r="C195" s="684"/>
      <c r="D195" s="720" t="str">
        <f>$D$180</f>
        <v>How can it be measured?</v>
      </c>
      <c r="E195" s="684"/>
      <c r="F195" s="689"/>
      <c r="G195" s="684"/>
      <c r="H195" s="684"/>
      <c r="I195" s="684"/>
      <c r="J195" s="684"/>
      <c r="K195" s="684"/>
      <c r="L195" s="690"/>
      <c r="M195" s="684"/>
      <c r="N195" s="691"/>
      <c r="O195" s="692"/>
      <c r="P195" s="684"/>
      <c r="Q195" s="684"/>
      <c r="R195" s="684"/>
    </row>
    <row r="196" spans="1:18" ht="14.25" hidden="1">
      <c r="A196" s="684"/>
      <c r="B196" s="684"/>
      <c r="C196" s="684"/>
      <c r="D196" s="1131" t="s">
        <v>212</v>
      </c>
      <c r="E196" s="1132"/>
      <c r="F196" s="1132"/>
      <c r="G196" s="1132"/>
      <c r="H196" s="1132"/>
      <c r="I196" s="1132"/>
      <c r="J196" s="1132"/>
      <c r="K196" s="1132"/>
      <c r="L196" s="690"/>
      <c r="M196" s="684"/>
      <c r="N196" s="691"/>
      <c r="O196" s="692"/>
      <c r="P196" s="684"/>
      <c r="Q196" s="684"/>
      <c r="R196" s="684"/>
    </row>
    <row r="197" spans="1:18" ht="14.25" hidden="1">
      <c r="A197" s="684"/>
      <c r="B197" s="684"/>
      <c r="C197" s="684"/>
      <c r="D197" s="720" t="str">
        <f>$D$184</f>
        <v>What is a valid result?</v>
      </c>
      <c r="E197" s="684"/>
      <c r="F197" s="689"/>
      <c r="G197" s="684"/>
      <c r="H197" s="684"/>
      <c r="I197" s="684"/>
      <c r="J197" s="684"/>
      <c r="K197" s="684"/>
      <c r="L197" s="690"/>
      <c r="M197" s="684"/>
      <c r="N197" s="691"/>
      <c r="O197" s="692"/>
      <c r="P197" s="684"/>
      <c r="Q197" s="684"/>
      <c r="R197" s="684"/>
    </row>
    <row r="198" spans="1:18" ht="14.25" hidden="1">
      <c r="A198" s="684"/>
      <c r="B198" s="684"/>
      <c r="C198" s="684"/>
      <c r="D198" s="1131" t="s">
        <v>213</v>
      </c>
      <c r="E198" s="1132"/>
      <c r="F198" s="1132"/>
      <c r="G198" s="1132"/>
      <c r="H198" s="1132"/>
      <c r="I198" s="1132"/>
      <c r="J198" s="1132"/>
      <c r="K198" s="1132"/>
      <c r="L198" s="690"/>
      <c r="M198" s="684"/>
      <c r="N198" s="691"/>
      <c r="O198" s="692"/>
      <c r="P198" s="684"/>
      <c r="Q198" s="684"/>
      <c r="R198" s="684"/>
    </row>
    <row r="199" spans="1:18" ht="14.25" hidden="1">
      <c r="A199" s="684"/>
      <c r="B199" s="684"/>
      <c r="C199" s="684"/>
      <c r="D199" s="684"/>
      <c r="E199" s="684"/>
      <c r="F199" s="689"/>
      <c r="G199" s="684"/>
      <c r="H199" s="684"/>
      <c r="I199" s="684"/>
      <c r="J199" s="684"/>
      <c r="K199" s="684"/>
      <c r="L199" s="690"/>
      <c r="M199" s="684"/>
      <c r="N199" s="691"/>
      <c r="O199" s="692"/>
      <c r="P199" s="684"/>
      <c r="Q199" s="684"/>
      <c r="R199" s="684"/>
    </row>
    <row r="200" spans="1:18" ht="14.25" hidden="1">
      <c r="A200" s="684"/>
      <c r="B200" s="684"/>
      <c r="C200" s="684"/>
      <c r="D200" s="684" t="str">
        <f>L145</f>
        <v>F2. data are described with rich metadata (defined by R1 below)</v>
      </c>
      <c r="E200" s="684"/>
      <c r="F200" s="689"/>
      <c r="G200" s="684"/>
      <c r="H200" s="684"/>
      <c r="I200" s="684"/>
      <c r="J200" s="684"/>
      <c r="K200" s="684"/>
      <c r="L200" s="690"/>
      <c r="M200" s="684"/>
      <c r="N200" s="691"/>
      <c r="O200" s="692"/>
      <c r="P200" s="684"/>
      <c r="Q200" s="684"/>
      <c r="R200" s="684"/>
    </row>
    <row r="201" spans="1:18" ht="14.25" hidden="1">
      <c r="A201" s="684"/>
      <c r="B201" s="684"/>
      <c r="C201" s="684"/>
      <c r="D201" s="720" t="str">
        <f>$D$172</f>
        <v>What is being measured?</v>
      </c>
      <c r="E201" s="684"/>
      <c r="F201" s="689"/>
      <c r="G201" s="684"/>
      <c r="H201" s="684"/>
      <c r="I201" s="684"/>
      <c r="J201" s="684"/>
      <c r="K201" s="684"/>
      <c r="L201" s="690"/>
      <c r="M201" s="684"/>
      <c r="N201" s="691"/>
      <c r="O201" s="692"/>
      <c r="P201" s="684"/>
      <c r="Q201" s="684"/>
      <c r="R201" s="684"/>
    </row>
    <row r="202" spans="1:18" ht="14.25" hidden="1">
      <c r="A202" s="684"/>
      <c r="B202" s="684"/>
      <c r="C202" s="684"/>
      <c r="D202" s="1131" t="s">
        <v>214</v>
      </c>
      <c r="E202" s="1132"/>
      <c r="F202" s="1132"/>
      <c r="G202" s="1132"/>
      <c r="H202" s="1132"/>
      <c r="I202" s="1132"/>
      <c r="J202" s="1132"/>
      <c r="K202" s="1132"/>
      <c r="L202" s="690"/>
      <c r="M202" s="684"/>
      <c r="N202" s="691"/>
      <c r="O202" s="692"/>
      <c r="P202" s="684"/>
      <c r="Q202" s="684"/>
      <c r="R202" s="684"/>
    </row>
    <row r="203" spans="1:18" ht="14.25" hidden="1">
      <c r="A203" s="684"/>
      <c r="B203" s="684"/>
      <c r="C203" s="684"/>
      <c r="D203" s="720" t="str">
        <f>$D$176</f>
        <v>What must be provided?</v>
      </c>
      <c r="E203" s="684"/>
      <c r="F203" s="689"/>
      <c r="G203" s="684"/>
      <c r="H203" s="684"/>
      <c r="I203" s="684"/>
      <c r="J203" s="684"/>
      <c r="K203" s="684"/>
      <c r="L203" s="690"/>
      <c r="M203" s="684"/>
      <c r="N203" s="691"/>
      <c r="O203" s="692"/>
      <c r="P203" s="684"/>
      <c r="Q203" s="684"/>
      <c r="R203" s="684"/>
    </row>
    <row r="204" spans="1:18" ht="14.25" hidden="1">
      <c r="A204" s="684"/>
      <c r="B204" s="684"/>
      <c r="C204" s="684"/>
      <c r="D204" s="1131" t="s">
        <v>215</v>
      </c>
      <c r="E204" s="1132"/>
      <c r="F204" s="1132"/>
      <c r="G204" s="1132"/>
      <c r="H204" s="1132"/>
      <c r="I204" s="1132"/>
      <c r="J204" s="1132"/>
      <c r="K204" s="1132"/>
      <c r="L204" s="690"/>
      <c r="M204" s="684"/>
      <c r="N204" s="691"/>
      <c r="O204" s="692"/>
      <c r="P204" s="684"/>
      <c r="Q204" s="684"/>
      <c r="R204" s="684"/>
    </row>
    <row r="205" spans="1:18" ht="14.25" hidden="1">
      <c r="A205" s="684"/>
      <c r="B205" s="684"/>
      <c r="C205" s="684"/>
      <c r="D205" s="720" t="str">
        <f>$D$180</f>
        <v>How can it be measured?</v>
      </c>
      <c r="E205" s="684"/>
      <c r="F205" s="689"/>
      <c r="G205" s="684"/>
      <c r="H205" s="684"/>
      <c r="I205" s="684"/>
      <c r="J205" s="684"/>
      <c r="K205" s="684"/>
      <c r="L205" s="690"/>
      <c r="M205" s="684"/>
      <c r="N205" s="691"/>
      <c r="O205" s="692"/>
      <c r="P205" s="684"/>
      <c r="Q205" s="684"/>
      <c r="R205" s="684"/>
    </row>
    <row r="206" spans="1:18" ht="14.25" hidden="1">
      <c r="A206" s="684"/>
      <c r="B206" s="684"/>
      <c r="C206" s="684"/>
      <c r="D206" s="1131" t="s">
        <v>216</v>
      </c>
      <c r="E206" s="1132"/>
      <c r="F206" s="1132"/>
      <c r="G206" s="1132"/>
      <c r="H206" s="1132"/>
      <c r="I206" s="1132"/>
      <c r="J206" s="1132"/>
      <c r="K206" s="1132"/>
      <c r="L206" s="690"/>
      <c r="M206" s="684"/>
      <c r="N206" s="691"/>
      <c r="O206" s="692"/>
      <c r="P206" s="684"/>
      <c r="Q206" s="684"/>
      <c r="R206" s="684"/>
    </row>
    <row r="207" spans="1:18" ht="14.25" hidden="1">
      <c r="A207" s="684"/>
      <c r="B207" s="684"/>
      <c r="C207" s="684"/>
      <c r="D207" s="720" t="str">
        <f>$D$184</f>
        <v>What is a valid result?</v>
      </c>
      <c r="E207" s="684"/>
      <c r="F207" s="689"/>
      <c r="G207" s="684"/>
      <c r="H207" s="684"/>
      <c r="I207" s="684"/>
      <c r="J207" s="684"/>
      <c r="K207" s="684"/>
      <c r="L207" s="690"/>
      <c r="M207" s="684"/>
      <c r="N207" s="691"/>
      <c r="O207" s="692"/>
      <c r="P207" s="684"/>
      <c r="Q207" s="684"/>
      <c r="R207" s="684"/>
    </row>
    <row r="208" spans="1:18" ht="14.25" hidden="1">
      <c r="A208" s="684"/>
      <c r="B208" s="684"/>
      <c r="C208" s="684"/>
      <c r="D208" s="1131" t="s">
        <v>217</v>
      </c>
      <c r="E208" s="1132"/>
      <c r="F208" s="1132"/>
      <c r="G208" s="1132"/>
      <c r="H208" s="1132"/>
      <c r="I208" s="1132"/>
      <c r="J208" s="1132"/>
      <c r="K208" s="1132"/>
      <c r="L208" s="690"/>
      <c r="M208" s="684"/>
      <c r="N208" s="691"/>
      <c r="O208" s="692"/>
      <c r="P208" s="684"/>
      <c r="Q208" s="684"/>
      <c r="R208" s="684"/>
    </row>
    <row r="209" spans="1:18" ht="14.25" hidden="1">
      <c r="A209" s="684"/>
      <c r="B209" s="684"/>
      <c r="C209" s="684"/>
      <c r="D209" s="684"/>
      <c r="E209" s="684"/>
      <c r="F209" s="689"/>
      <c r="G209" s="684"/>
      <c r="H209" s="684"/>
      <c r="I209" s="684"/>
      <c r="J209" s="684"/>
      <c r="K209" s="684"/>
      <c r="L209" s="690"/>
      <c r="M209" s="684"/>
      <c r="N209" s="691"/>
      <c r="O209" s="692"/>
      <c r="P209" s="684"/>
      <c r="Q209" s="684"/>
      <c r="R209" s="684"/>
    </row>
    <row r="210" spans="1:18" ht="14.25" hidden="1">
      <c r="A210" s="684"/>
      <c r="B210" s="684"/>
      <c r="C210" s="684"/>
      <c r="D210" s="684" t="str">
        <f>L146</f>
        <v>F3. metadata clearly and explicitly include the identifier of the data it describes</v>
      </c>
      <c r="E210" s="684"/>
      <c r="F210" s="689"/>
      <c r="G210" s="684"/>
      <c r="H210" s="684"/>
      <c r="I210" s="684"/>
      <c r="J210" s="684"/>
      <c r="K210" s="684"/>
      <c r="L210" s="690"/>
      <c r="M210" s="684"/>
      <c r="N210" s="691"/>
      <c r="O210" s="692"/>
      <c r="P210" s="684"/>
      <c r="Q210" s="684"/>
      <c r="R210" s="684"/>
    </row>
    <row r="211" spans="1:18" ht="14.25" hidden="1">
      <c r="A211" s="684"/>
      <c r="B211" s="684"/>
      <c r="C211" s="684"/>
      <c r="D211" s="720" t="str">
        <f>$D$172</f>
        <v>What is being measured?</v>
      </c>
      <c r="E211" s="684"/>
      <c r="F211" s="689"/>
      <c r="G211" s="684"/>
      <c r="H211" s="684"/>
      <c r="I211" s="684"/>
      <c r="J211" s="684"/>
      <c r="K211" s="684"/>
      <c r="L211" s="690"/>
      <c r="M211" s="684"/>
      <c r="N211" s="691"/>
      <c r="O211" s="692"/>
      <c r="P211" s="684"/>
      <c r="Q211" s="684"/>
      <c r="R211" s="684"/>
    </row>
    <row r="212" spans="1:18" ht="14.25" hidden="1">
      <c r="A212" s="684"/>
      <c r="B212" s="684"/>
      <c r="C212" s="684"/>
      <c r="D212" s="1131" t="s">
        <v>218</v>
      </c>
      <c r="E212" s="1132"/>
      <c r="F212" s="1132"/>
      <c r="G212" s="1132"/>
      <c r="H212" s="1132"/>
      <c r="I212" s="1132"/>
      <c r="J212" s="1132"/>
      <c r="K212" s="1132"/>
      <c r="L212" s="690"/>
      <c r="M212" s="684"/>
      <c r="N212" s="691"/>
      <c r="O212" s="692"/>
      <c r="P212" s="684"/>
      <c r="Q212" s="684"/>
      <c r="R212" s="684"/>
    </row>
    <row r="213" spans="1:18" ht="14.25" hidden="1">
      <c r="A213" s="684"/>
      <c r="B213" s="684"/>
      <c r="C213" s="684"/>
      <c r="D213" s="720" t="str">
        <f>$D$176</f>
        <v>What must be provided?</v>
      </c>
      <c r="E213" s="684"/>
      <c r="F213" s="689"/>
      <c r="G213" s="684"/>
      <c r="H213" s="684"/>
      <c r="I213" s="684"/>
      <c r="J213" s="684"/>
      <c r="K213" s="684"/>
      <c r="L213" s="690"/>
      <c r="M213" s="684"/>
      <c r="N213" s="691"/>
      <c r="O213" s="692"/>
      <c r="P213" s="684"/>
      <c r="Q213" s="684"/>
      <c r="R213" s="684"/>
    </row>
    <row r="214" spans="1:18" ht="14.25" hidden="1">
      <c r="A214" s="684"/>
      <c r="B214" s="684"/>
      <c r="C214" s="684"/>
      <c r="D214" s="1131" t="s">
        <v>219</v>
      </c>
      <c r="E214" s="1132"/>
      <c r="F214" s="1132"/>
      <c r="G214" s="1132"/>
      <c r="H214" s="1132"/>
      <c r="I214" s="1132"/>
      <c r="J214" s="1132"/>
      <c r="K214" s="1132"/>
      <c r="L214" s="690"/>
      <c r="M214" s="684"/>
      <c r="N214" s="691"/>
      <c r="O214" s="692"/>
      <c r="P214" s="684"/>
      <c r="Q214" s="684"/>
      <c r="R214" s="684"/>
    </row>
    <row r="215" spans="1:18" ht="14.25" hidden="1">
      <c r="A215" s="684"/>
      <c r="B215" s="684"/>
      <c r="C215" s="684"/>
      <c r="D215" s="720" t="str">
        <f>$D$180</f>
        <v>How can it be measured?</v>
      </c>
      <c r="E215" s="684"/>
      <c r="F215" s="689"/>
      <c r="G215" s="684"/>
      <c r="H215" s="684"/>
      <c r="I215" s="684"/>
      <c r="J215" s="684"/>
      <c r="K215" s="684"/>
      <c r="L215" s="690"/>
      <c r="M215" s="684"/>
      <c r="N215" s="691"/>
      <c r="O215" s="692"/>
      <c r="P215" s="684"/>
      <c r="Q215" s="684"/>
      <c r="R215" s="684"/>
    </row>
    <row r="216" spans="1:18" ht="14.25" hidden="1">
      <c r="A216" s="684"/>
      <c r="B216" s="684"/>
      <c r="C216" s="684"/>
      <c r="D216" s="1131" t="s">
        <v>220</v>
      </c>
      <c r="E216" s="1132"/>
      <c r="F216" s="1132"/>
      <c r="G216" s="1132"/>
      <c r="H216" s="1132"/>
      <c r="I216" s="1132"/>
      <c r="J216" s="1132"/>
      <c r="K216" s="1132"/>
      <c r="L216" s="690"/>
      <c r="M216" s="684"/>
      <c r="N216" s="691"/>
      <c r="O216" s="692"/>
      <c r="P216" s="684"/>
      <c r="Q216" s="684"/>
      <c r="R216" s="684"/>
    </row>
    <row r="217" spans="1:18" ht="14.25" hidden="1">
      <c r="A217" s="684"/>
      <c r="B217" s="684"/>
      <c r="C217" s="684"/>
      <c r="D217" s="720" t="str">
        <f>$D$184</f>
        <v>What is a valid result?</v>
      </c>
      <c r="E217" s="684"/>
      <c r="F217" s="689"/>
      <c r="G217" s="684"/>
      <c r="H217" s="684"/>
      <c r="I217" s="684"/>
      <c r="J217" s="684"/>
      <c r="K217" s="684"/>
      <c r="L217" s="690"/>
      <c r="M217" s="684"/>
      <c r="N217" s="691"/>
      <c r="O217" s="692"/>
      <c r="P217" s="684"/>
      <c r="Q217" s="684"/>
      <c r="R217" s="684"/>
    </row>
    <row r="218" spans="1:18" ht="14.25" hidden="1">
      <c r="A218" s="684"/>
      <c r="B218" s="684"/>
      <c r="C218" s="684"/>
      <c r="D218" s="1131" t="s">
        <v>221</v>
      </c>
      <c r="E218" s="1132"/>
      <c r="F218" s="1132"/>
      <c r="G218" s="1132"/>
      <c r="H218" s="1132"/>
      <c r="I218" s="1132"/>
      <c r="J218" s="1132"/>
      <c r="K218" s="1132"/>
      <c r="L218" s="690"/>
      <c r="M218" s="684"/>
      <c r="N218" s="691"/>
      <c r="O218" s="692"/>
      <c r="P218" s="684"/>
      <c r="Q218" s="684"/>
      <c r="R218" s="684"/>
    </row>
    <row r="219" spans="1:18" ht="14.25" hidden="1">
      <c r="A219" s="684"/>
      <c r="B219" s="684"/>
      <c r="C219" s="684"/>
      <c r="D219" s="684"/>
      <c r="E219" s="684"/>
      <c r="F219" s="689"/>
      <c r="G219" s="684"/>
      <c r="H219" s="684"/>
      <c r="I219" s="684"/>
      <c r="J219" s="684"/>
      <c r="K219" s="684"/>
      <c r="L219" s="690"/>
      <c r="M219" s="684"/>
      <c r="N219" s="691"/>
      <c r="O219" s="692"/>
      <c r="P219" s="684"/>
      <c r="Q219" s="684"/>
      <c r="R219" s="684"/>
    </row>
    <row r="220" spans="1:18" ht="14.25" hidden="1">
      <c r="A220" s="684"/>
      <c r="B220" s="684"/>
      <c r="C220" s="684"/>
      <c r="D220" s="684" t="str">
        <f>L147</f>
        <v>F4. (meta)data are registered or indexed in a searchable resource</v>
      </c>
      <c r="E220" s="684"/>
      <c r="F220" s="689"/>
      <c r="G220" s="684"/>
      <c r="H220" s="684"/>
      <c r="I220" s="684"/>
      <c r="J220" s="684"/>
      <c r="K220" s="684"/>
      <c r="L220" s="690"/>
      <c r="M220" s="684"/>
      <c r="N220" s="691"/>
      <c r="O220" s="692"/>
      <c r="P220" s="684"/>
      <c r="Q220" s="684"/>
      <c r="R220" s="684"/>
    </row>
    <row r="221" spans="1:18" ht="14.25" hidden="1">
      <c r="A221" s="684"/>
      <c r="B221" s="684"/>
      <c r="C221" s="684"/>
      <c r="D221" s="720" t="str">
        <f>$D$172</f>
        <v>What is being measured?</v>
      </c>
      <c r="E221" s="684"/>
      <c r="F221" s="689"/>
      <c r="G221" s="684"/>
      <c r="H221" s="684"/>
      <c r="I221" s="684"/>
      <c r="J221" s="684"/>
      <c r="K221" s="684"/>
      <c r="L221" s="690"/>
      <c r="M221" s="684"/>
      <c r="N221" s="691"/>
      <c r="O221" s="692"/>
      <c r="P221" s="684"/>
      <c r="Q221" s="684"/>
      <c r="R221" s="684"/>
    </row>
    <row r="222" spans="1:18" ht="14.25" hidden="1">
      <c r="A222" s="684"/>
      <c r="B222" s="684"/>
      <c r="C222" s="684"/>
      <c r="D222" s="1131" t="s">
        <v>222</v>
      </c>
      <c r="E222" s="1132"/>
      <c r="F222" s="1132"/>
      <c r="G222" s="1132"/>
      <c r="H222" s="1132"/>
      <c r="I222" s="1132"/>
      <c r="J222" s="1132"/>
      <c r="K222" s="1132"/>
      <c r="L222" s="690"/>
      <c r="M222" s="684"/>
      <c r="N222" s="691"/>
      <c r="O222" s="692"/>
      <c r="P222" s="684"/>
      <c r="Q222" s="684"/>
      <c r="R222" s="684"/>
    </row>
    <row r="223" spans="1:18" ht="14.25" hidden="1">
      <c r="A223" s="684"/>
      <c r="B223" s="684"/>
      <c r="C223" s="684"/>
      <c r="D223" s="720" t="str">
        <f>$D$176</f>
        <v>What must be provided?</v>
      </c>
      <c r="E223" s="684"/>
      <c r="F223" s="689"/>
      <c r="G223" s="684"/>
      <c r="H223" s="684"/>
      <c r="I223" s="684"/>
      <c r="J223" s="684"/>
      <c r="K223" s="684"/>
      <c r="L223" s="690"/>
      <c r="M223" s="684"/>
      <c r="N223" s="691"/>
      <c r="O223" s="692"/>
      <c r="P223" s="684"/>
      <c r="Q223" s="684"/>
      <c r="R223" s="684"/>
    </row>
    <row r="224" spans="1:18" ht="14.25" hidden="1">
      <c r="A224" s="684"/>
      <c r="B224" s="684"/>
      <c r="C224" s="684"/>
      <c r="D224" s="1131" t="s">
        <v>224</v>
      </c>
      <c r="E224" s="1132"/>
      <c r="F224" s="1132"/>
      <c r="G224" s="1132"/>
      <c r="H224" s="1132"/>
      <c r="I224" s="1132"/>
      <c r="J224" s="1132"/>
      <c r="K224" s="1132"/>
      <c r="L224" s="690"/>
      <c r="M224" s="684"/>
      <c r="N224" s="691"/>
      <c r="O224" s="692"/>
      <c r="P224" s="684"/>
      <c r="Q224" s="684"/>
      <c r="R224" s="684"/>
    </row>
    <row r="225" spans="1:18" ht="14.25" hidden="1">
      <c r="A225" s="684"/>
      <c r="B225" s="684"/>
      <c r="C225" s="684"/>
      <c r="D225" s="720" t="str">
        <f>$D$180</f>
        <v>How can it be measured?</v>
      </c>
      <c r="E225" s="684"/>
      <c r="F225" s="689"/>
      <c r="G225" s="684"/>
      <c r="H225" s="684"/>
      <c r="I225" s="684"/>
      <c r="J225" s="684"/>
      <c r="K225" s="684"/>
      <c r="L225" s="690"/>
      <c r="M225" s="684"/>
      <c r="N225" s="691"/>
      <c r="O225" s="692"/>
      <c r="P225" s="684"/>
      <c r="Q225" s="684"/>
      <c r="R225" s="684"/>
    </row>
    <row r="226" spans="1:18" ht="14.25" hidden="1">
      <c r="A226" s="684"/>
      <c r="B226" s="684"/>
      <c r="C226" s="684"/>
      <c r="D226" s="1131" t="s">
        <v>226</v>
      </c>
      <c r="E226" s="1132"/>
      <c r="F226" s="1132"/>
      <c r="G226" s="1132"/>
      <c r="H226" s="1132"/>
      <c r="I226" s="1132"/>
      <c r="J226" s="1132"/>
      <c r="K226" s="1132"/>
      <c r="L226" s="690"/>
      <c r="M226" s="684"/>
      <c r="N226" s="691"/>
      <c r="O226" s="692"/>
      <c r="P226" s="684"/>
      <c r="Q226" s="684"/>
      <c r="R226" s="684"/>
    </row>
    <row r="227" spans="1:18" ht="14.25" hidden="1">
      <c r="A227" s="684"/>
      <c r="B227" s="684"/>
      <c r="C227" s="684"/>
      <c r="D227" s="720" t="str">
        <f>$D$184</f>
        <v>What is a valid result?</v>
      </c>
      <c r="E227" s="684"/>
      <c r="F227" s="689"/>
      <c r="G227" s="684"/>
      <c r="H227" s="684"/>
      <c r="I227" s="684"/>
      <c r="J227" s="684"/>
      <c r="K227" s="684"/>
      <c r="L227" s="690"/>
      <c r="M227" s="684"/>
      <c r="N227" s="691"/>
      <c r="O227" s="692"/>
      <c r="P227" s="684"/>
      <c r="Q227" s="684"/>
      <c r="R227" s="684"/>
    </row>
    <row r="228" spans="1:18" ht="14.25" hidden="1">
      <c r="A228" s="684"/>
      <c r="B228" s="684"/>
      <c r="C228" s="684"/>
      <c r="D228" s="1131" t="s">
        <v>228</v>
      </c>
      <c r="E228" s="1132"/>
      <c r="F228" s="1132"/>
      <c r="G228" s="1132"/>
      <c r="H228" s="1132"/>
      <c r="I228" s="1132"/>
      <c r="J228" s="1132"/>
      <c r="K228" s="1132"/>
      <c r="L228" s="690"/>
      <c r="M228" s="684"/>
      <c r="N228" s="691"/>
      <c r="O228" s="692"/>
      <c r="P228" s="684"/>
      <c r="Q228" s="684"/>
      <c r="R228" s="684"/>
    </row>
    <row r="229" spans="1:18" ht="14.25" hidden="1">
      <c r="A229" s="684"/>
      <c r="B229" s="684"/>
      <c r="C229" s="684"/>
      <c r="D229" s="684"/>
      <c r="E229" s="684"/>
      <c r="F229" s="689"/>
      <c r="G229" s="684"/>
      <c r="H229" s="684"/>
      <c r="I229" s="684"/>
      <c r="J229" s="684"/>
      <c r="K229" s="684"/>
      <c r="L229" s="690"/>
      <c r="M229" s="684"/>
      <c r="N229" s="691"/>
      <c r="O229" s="692"/>
      <c r="P229" s="684"/>
      <c r="Q229" s="684"/>
      <c r="R229" s="684"/>
    </row>
    <row r="230" spans="1:18" ht="14.25" hidden="1">
      <c r="A230" s="684"/>
      <c r="B230" s="684"/>
      <c r="C230" s="684"/>
      <c r="D230" s="684" t="str">
        <f>L149</f>
        <v>A1. (meta)data are retrievable by their identifier using a standardised communications protocol</v>
      </c>
      <c r="E230" s="684"/>
      <c r="F230" s="689"/>
      <c r="G230" s="684"/>
      <c r="H230" s="684"/>
      <c r="I230" s="684"/>
      <c r="J230" s="684"/>
      <c r="K230" s="684"/>
      <c r="L230" s="690"/>
      <c r="M230" s="684"/>
      <c r="N230" s="691"/>
      <c r="O230" s="692"/>
      <c r="P230" s="684"/>
      <c r="Q230" s="684"/>
      <c r="R230" s="684"/>
    </row>
    <row r="231" spans="1:18" ht="14.25" hidden="1">
      <c r="A231" s="684"/>
      <c r="B231" s="684"/>
      <c r="C231" s="684"/>
      <c r="D231" s="720" t="str">
        <f>$D$172</f>
        <v>What is being measured?</v>
      </c>
      <c r="E231" s="684"/>
      <c r="F231" s="689"/>
      <c r="G231" s="684"/>
      <c r="H231" s="684"/>
      <c r="I231" s="684"/>
      <c r="J231" s="684"/>
      <c r="K231" s="684"/>
      <c r="L231" s="690"/>
      <c r="M231" s="684"/>
      <c r="N231" s="691"/>
      <c r="O231" s="692"/>
      <c r="P231" s="684"/>
      <c r="Q231" s="684"/>
      <c r="R231" s="684"/>
    </row>
    <row r="232" spans="1:18" ht="14.25" hidden="1">
      <c r="A232" s="684"/>
      <c r="B232" s="684"/>
      <c r="C232" s="684"/>
      <c r="D232" s="1131" t="s">
        <v>19</v>
      </c>
      <c r="E232" s="1132"/>
      <c r="F232" s="1132"/>
      <c r="G232" s="1132"/>
      <c r="H232" s="1132"/>
      <c r="I232" s="1132"/>
      <c r="J232" s="1132"/>
      <c r="K232" s="1132"/>
      <c r="L232" s="690"/>
      <c r="M232" s="684"/>
      <c r="N232" s="691"/>
      <c r="O232" s="692"/>
      <c r="P232" s="684"/>
      <c r="Q232" s="684"/>
      <c r="R232" s="684"/>
    </row>
    <row r="233" spans="1:18" ht="14.25" hidden="1">
      <c r="A233" s="684"/>
      <c r="B233" s="684"/>
      <c r="C233" s="684"/>
      <c r="D233" s="720" t="str">
        <f>$D$176</f>
        <v>What must be provided?</v>
      </c>
      <c r="E233" s="684"/>
      <c r="F233" s="689"/>
      <c r="G233" s="684"/>
      <c r="H233" s="684"/>
      <c r="I233" s="684"/>
      <c r="J233" s="684"/>
      <c r="K233" s="684"/>
      <c r="L233" s="690"/>
      <c r="M233" s="684"/>
      <c r="N233" s="691"/>
      <c r="O233" s="692"/>
      <c r="P233" s="684"/>
      <c r="Q233" s="684"/>
      <c r="R233" s="684"/>
    </row>
    <row r="234" spans="1:18" ht="14.25" hidden="1">
      <c r="A234" s="684"/>
      <c r="B234" s="684"/>
      <c r="C234" s="684"/>
      <c r="D234" s="1131" t="s">
        <v>19</v>
      </c>
      <c r="E234" s="1132"/>
      <c r="F234" s="1132"/>
      <c r="G234" s="1132"/>
      <c r="H234" s="1132"/>
      <c r="I234" s="1132"/>
      <c r="J234" s="1132"/>
      <c r="K234" s="1132"/>
      <c r="L234" s="690"/>
      <c r="M234" s="684"/>
      <c r="N234" s="691"/>
      <c r="O234" s="692"/>
      <c r="P234" s="684"/>
      <c r="Q234" s="684"/>
      <c r="R234" s="684"/>
    </row>
    <row r="235" spans="1:18" ht="14.25" hidden="1">
      <c r="A235" s="684"/>
      <c r="B235" s="684"/>
      <c r="C235" s="684"/>
      <c r="D235" s="720" t="str">
        <f>$D$180</f>
        <v>How can it be measured?</v>
      </c>
      <c r="E235" s="684"/>
      <c r="F235" s="689"/>
      <c r="G235" s="684"/>
      <c r="H235" s="684"/>
      <c r="I235" s="684"/>
      <c r="J235" s="684"/>
      <c r="K235" s="684"/>
      <c r="L235" s="690"/>
      <c r="M235" s="684"/>
      <c r="N235" s="691"/>
      <c r="O235" s="692"/>
      <c r="P235" s="684"/>
      <c r="Q235" s="684"/>
      <c r="R235" s="684"/>
    </row>
    <row r="236" spans="1:18" ht="14.25" hidden="1">
      <c r="A236" s="684"/>
      <c r="B236" s="684"/>
      <c r="C236" s="684"/>
      <c r="D236" s="1131" t="s">
        <v>19</v>
      </c>
      <c r="E236" s="1132"/>
      <c r="F236" s="1132"/>
      <c r="G236" s="1132"/>
      <c r="H236" s="1132"/>
      <c r="I236" s="1132"/>
      <c r="J236" s="1132"/>
      <c r="K236" s="1132"/>
      <c r="L236" s="690"/>
      <c r="M236" s="684"/>
      <c r="N236" s="691"/>
      <c r="O236" s="692"/>
      <c r="P236" s="684"/>
      <c r="Q236" s="684"/>
      <c r="R236" s="684"/>
    </row>
    <row r="237" spans="1:18" ht="14.25" hidden="1">
      <c r="A237" s="684"/>
      <c r="B237" s="684"/>
      <c r="C237" s="684"/>
      <c r="D237" s="720" t="str">
        <f>$D$184</f>
        <v>What is a valid result?</v>
      </c>
      <c r="E237" s="684"/>
      <c r="F237" s="689"/>
      <c r="G237" s="684"/>
      <c r="H237" s="684"/>
      <c r="I237" s="684"/>
      <c r="J237" s="684"/>
      <c r="K237" s="684"/>
      <c r="L237" s="690"/>
      <c r="M237" s="684"/>
      <c r="N237" s="691"/>
      <c r="O237" s="692"/>
      <c r="P237" s="684"/>
      <c r="Q237" s="684"/>
      <c r="R237" s="684"/>
    </row>
    <row r="238" spans="1:18" ht="14.25" hidden="1">
      <c r="A238" s="684"/>
      <c r="B238" s="684"/>
      <c r="C238" s="684"/>
      <c r="D238" s="1131" t="s">
        <v>19</v>
      </c>
      <c r="E238" s="1132"/>
      <c r="F238" s="1132"/>
      <c r="G238" s="1132"/>
      <c r="H238" s="1132"/>
      <c r="I238" s="1132"/>
      <c r="J238" s="1132"/>
      <c r="K238" s="1132"/>
      <c r="L238" s="690"/>
      <c r="M238" s="684"/>
      <c r="N238" s="691"/>
      <c r="O238" s="692"/>
      <c r="P238" s="684"/>
      <c r="Q238" s="684"/>
      <c r="R238" s="684"/>
    </row>
    <row r="239" spans="1:18" ht="14.25" hidden="1">
      <c r="A239" s="684"/>
      <c r="B239" s="684"/>
      <c r="C239" s="684"/>
      <c r="D239" s="684"/>
      <c r="E239" s="684"/>
      <c r="F239" s="689"/>
      <c r="G239" s="684"/>
      <c r="H239" s="684"/>
      <c r="I239" s="684"/>
      <c r="J239" s="684"/>
      <c r="K239" s="684"/>
      <c r="L239" s="690"/>
      <c r="M239" s="684"/>
      <c r="N239" s="691"/>
      <c r="O239" s="692"/>
      <c r="P239" s="684"/>
      <c r="Q239" s="684"/>
      <c r="R239" s="684"/>
    </row>
    <row r="240" spans="1:18" ht="14.25" hidden="1">
      <c r="A240" s="684"/>
      <c r="B240" s="684"/>
      <c r="C240" s="684"/>
      <c r="D240" s="684" t="str">
        <f>L150</f>
        <v>A1.1. the protocol is open, free, and universally implementable</v>
      </c>
      <c r="E240" s="684"/>
      <c r="F240" s="689"/>
      <c r="G240" s="684"/>
      <c r="H240" s="684"/>
      <c r="I240" s="684"/>
      <c r="J240" s="684"/>
      <c r="K240" s="684"/>
      <c r="L240" s="690"/>
      <c r="M240" s="684"/>
      <c r="N240" s="691"/>
      <c r="O240" s="692"/>
      <c r="P240" s="684"/>
      <c r="Q240" s="684"/>
      <c r="R240" s="684"/>
    </row>
    <row r="241" spans="1:18" ht="14.25" hidden="1">
      <c r="A241" s="684"/>
      <c r="B241" s="684"/>
      <c r="C241" s="684"/>
      <c r="D241" s="720" t="str">
        <f>$D$172</f>
        <v>What is being measured?</v>
      </c>
      <c r="E241" s="684"/>
      <c r="F241" s="689"/>
      <c r="G241" s="684"/>
      <c r="H241" s="684"/>
      <c r="I241" s="684"/>
      <c r="J241" s="684"/>
      <c r="K241" s="684"/>
      <c r="L241" s="690"/>
      <c r="M241" s="684"/>
      <c r="N241" s="691"/>
      <c r="O241" s="692"/>
      <c r="P241" s="684"/>
      <c r="Q241" s="684"/>
      <c r="R241" s="684"/>
    </row>
    <row r="242" spans="1:18" ht="14.25" hidden="1">
      <c r="A242" s="684"/>
      <c r="B242" s="684"/>
      <c r="C242" s="684"/>
      <c r="D242" s="1131" t="s">
        <v>229</v>
      </c>
      <c r="E242" s="1132"/>
      <c r="F242" s="1132"/>
      <c r="G242" s="1132"/>
      <c r="H242" s="1132"/>
      <c r="I242" s="1132"/>
      <c r="J242" s="1132"/>
      <c r="K242" s="1132"/>
      <c r="L242" s="690"/>
      <c r="M242" s="684"/>
      <c r="N242" s="691"/>
      <c r="O242" s="692"/>
      <c r="P242" s="684"/>
      <c r="Q242" s="684"/>
      <c r="R242" s="684"/>
    </row>
    <row r="243" spans="1:18" ht="14.25" hidden="1">
      <c r="A243" s="684"/>
      <c r="B243" s="684"/>
      <c r="C243" s="684"/>
      <c r="D243" s="720" t="str">
        <f>$D$176</f>
        <v>What must be provided?</v>
      </c>
      <c r="E243" s="684"/>
      <c r="F243" s="689"/>
      <c r="G243" s="684"/>
      <c r="H243" s="684"/>
      <c r="I243" s="684"/>
      <c r="J243" s="684"/>
      <c r="K243" s="684"/>
      <c r="L243" s="690"/>
      <c r="M243" s="684"/>
      <c r="N243" s="691"/>
      <c r="O243" s="692"/>
      <c r="P243" s="684"/>
      <c r="Q243" s="684"/>
      <c r="R243" s="684"/>
    </row>
    <row r="244" spans="1:18" ht="14.25" hidden="1">
      <c r="A244" s="684"/>
      <c r="B244" s="684"/>
      <c r="C244" s="684"/>
      <c r="D244" s="1131" t="s">
        <v>230</v>
      </c>
      <c r="E244" s="1132"/>
      <c r="F244" s="1132"/>
      <c r="G244" s="1132"/>
      <c r="H244" s="1132"/>
      <c r="I244" s="1132"/>
      <c r="J244" s="1132"/>
      <c r="K244" s="1132"/>
      <c r="L244" s="690"/>
      <c r="M244" s="684"/>
      <c r="N244" s="691"/>
      <c r="O244" s="692"/>
      <c r="P244" s="684"/>
      <c r="Q244" s="684"/>
      <c r="R244" s="684"/>
    </row>
    <row r="245" spans="1:18" ht="14.25" hidden="1">
      <c r="A245" s="684"/>
      <c r="B245" s="684"/>
      <c r="C245" s="684"/>
      <c r="D245" s="720" t="str">
        <f>$D$180</f>
        <v>How can it be measured?</v>
      </c>
      <c r="E245" s="684"/>
      <c r="F245" s="689"/>
      <c r="G245" s="684"/>
      <c r="H245" s="684"/>
      <c r="I245" s="684"/>
      <c r="J245" s="684"/>
      <c r="K245" s="684"/>
      <c r="L245" s="690"/>
      <c r="M245" s="684"/>
      <c r="N245" s="691"/>
      <c r="O245" s="692"/>
      <c r="P245" s="684"/>
      <c r="Q245" s="684"/>
      <c r="R245" s="684"/>
    </row>
    <row r="246" spans="1:18" ht="14.25" hidden="1">
      <c r="A246" s="684"/>
      <c r="B246" s="684"/>
      <c r="C246" s="684"/>
      <c r="D246" s="1131" t="s">
        <v>232</v>
      </c>
      <c r="E246" s="1132"/>
      <c r="F246" s="1132"/>
      <c r="G246" s="1132"/>
      <c r="H246" s="1132"/>
      <c r="I246" s="1132"/>
      <c r="J246" s="1132"/>
      <c r="K246" s="1132"/>
      <c r="L246" s="690"/>
      <c r="M246" s="684"/>
      <c r="N246" s="691"/>
      <c r="O246" s="692"/>
      <c r="P246" s="684"/>
      <c r="Q246" s="684"/>
      <c r="R246" s="684"/>
    </row>
    <row r="247" spans="1:18" ht="14.25" hidden="1">
      <c r="A247" s="684"/>
      <c r="B247" s="684"/>
      <c r="C247" s="684"/>
      <c r="D247" s="720" t="str">
        <f>$D$184</f>
        <v>What is a valid result?</v>
      </c>
      <c r="E247" s="684"/>
      <c r="F247" s="689"/>
      <c r="G247" s="684"/>
      <c r="H247" s="684"/>
      <c r="I247" s="684"/>
      <c r="J247" s="684"/>
      <c r="K247" s="684"/>
      <c r="L247" s="690"/>
      <c r="M247" s="684"/>
      <c r="N247" s="691"/>
      <c r="O247" s="692"/>
      <c r="P247" s="684"/>
      <c r="Q247" s="684"/>
      <c r="R247" s="684"/>
    </row>
    <row r="248" spans="1:18" ht="14.25" hidden="1">
      <c r="A248" s="684"/>
      <c r="B248" s="684"/>
      <c r="C248" s="684"/>
      <c r="D248" s="1131" t="s">
        <v>234</v>
      </c>
      <c r="E248" s="1132"/>
      <c r="F248" s="1132"/>
      <c r="G248" s="1132"/>
      <c r="H248" s="1132"/>
      <c r="I248" s="1132"/>
      <c r="J248" s="1132"/>
      <c r="K248" s="1132"/>
      <c r="L248" s="690"/>
      <c r="M248" s="684"/>
      <c r="N248" s="691"/>
      <c r="O248" s="692"/>
      <c r="P248" s="684"/>
      <c r="Q248" s="684"/>
      <c r="R248" s="684"/>
    </row>
    <row r="249" spans="1:18" ht="14.25" hidden="1">
      <c r="A249" s="684"/>
      <c r="B249" s="684"/>
      <c r="C249" s="684"/>
      <c r="D249" s="684"/>
      <c r="E249" s="684"/>
      <c r="F249" s="689"/>
      <c r="G249" s="684"/>
      <c r="H249" s="684"/>
      <c r="I249" s="684"/>
      <c r="J249" s="684"/>
      <c r="K249" s="684"/>
      <c r="L249" s="690"/>
      <c r="M249" s="684"/>
      <c r="N249" s="691"/>
      <c r="O249" s="692"/>
      <c r="P249" s="684"/>
      <c r="Q249" s="684"/>
      <c r="R249" s="684"/>
    </row>
    <row r="250" spans="1:18" ht="14.25" hidden="1">
      <c r="A250" s="684"/>
      <c r="B250" s="684"/>
      <c r="C250" s="684"/>
      <c r="D250" s="684" t="str">
        <f>L151</f>
        <v>A1.2. the protocol allows for an authentication and authorization procedure, where necessary</v>
      </c>
      <c r="E250" s="684"/>
      <c r="F250" s="689"/>
      <c r="G250" s="684"/>
      <c r="H250" s="684"/>
      <c r="I250" s="684"/>
      <c r="J250" s="684"/>
      <c r="K250" s="684"/>
      <c r="L250" s="690"/>
      <c r="M250" s="684"/>
      <c r="N250" s="691"/>
      <c r="O250" s="692"/>
      <c r="P250" s="684"/>
      <c r="Q250" s="684"/>
      <c r="R250" s="684"/>
    </row>
    <row r="251" spans="1:18" ht="14.25" hidden="1">
      <c r="A251" s="684"/>
      <c r="B251" s="684"/>
      <c r="C251" s="684"/>
      <c r="D251" s="720" t="str">
        <f>$D$172</f>
        <v>What is being measured?</v>
      </c>
      <c r="E251" s="684"/>
      <c r="F251" s="689"/>
      <c r="G251" s="684"/>
      <c r="H251" s="684"/>
      <c r="I251" s="684"/>
      <c r="J251" s="684"/>
      <c r="K251" s="684"/>
      <c r="L251" s="690"/>
      <c r="M251" s="684"/>
      <c r="N251" s="691"/>
      <c r="O251" s="692"/>
      <c r="P251" s="684"/>
      <c r="Q251" s="684"/>
      <c r="R251" s="684"/>
    </row>
    <row r="252" spans="1:18" ht="14.25" hidden="1">
      <c r="A252" s="684"/>
      <c r="B252" s="684"/>
      <c r="C252" s="684"/>
      <c r="D252" s="1131" t="s">
        <v>236</v>
      </c>
      <c r="E252" s="1132"/>
      <c r="F252" s="1132"/>
      <c r="G252" s="1132"/>
      <c r="H252" s="1132"/>
      <c r="I252" s="1132"/>
      <c r="J252" s="1132"/>
      <c r="K252" s="1132"/>
      <c r="L252" s="690"/>
      <c r="M252" s="684"/>
      <c r="N252" s="691"/>
      <c r="O252" s="692"/>
      <c r="P252" s="684"/>
      <c r="Q252" s="684"/>
      <c r="R252" s="684"/>
    </row>
    <row r="253" spans="1:18" ht="14.25" hidden="1">
      <c r="A253" s="684"/>
      <c r="B253" s="684"/>
      <c r="C253" s="684"/>
      <c r="D253" s="720" t="str">
        <f>$D$176</f>
        <v>What must be provided?</v>
      </c>
      <c r="E253" s="684"/>
      <c r="F253" s="689"/>
      <c r="G253" s="684"/>
      <c r="H253" s="684"/>
      <c r="I253" s="684"/>
      <c r="J253" s="684"/>
      <c r="K253" s="684"/>
      <c r="L253" s="690"/>
      <c r="M253" s="684"/>
      <c r="N253" s="691"/>
      <c r="O253" s="692"/>
      <c r="P253" s="684"/>
      <c r="Q253" s="684"/>
      <c r="R253" s="684"/>
    </row>
    <row r="254" spans="1:18" ht="14.25" hidden="1">
      <c r="A254" s="684"/>
      <c r="B254" s="684"/>
      <c r="C254" s="684"/>
      <c r="D254" s="1131" t="s">
        <v>237</v>
      </c>
      <c r="E254" s="1132"/>
      <c r="F254" s="1132"/>
      <c r="G254" s="1132"/>
      <c r="H254" s="1132"/>
      <c r="I254" s="1132"/>
      <c r="J254" s="1132"/>
      <c r="K254" s="1132"/>
      <c r="L254" s="690"/>
      <c r="M254" s="684"/>
      <c r="N254" s="691"/>
      <c r="O254" s="692"/>
      <c r="P254" s="684"/>
      <c r="Q254" s="684"/>
      <c r="R254" s="684"/>
    </row>
    <row r="255" spans="1:18" ht="14.25" hidden="1">
      <c r="A255" s="684"/>
      <c r="B255" s="684"/>
      <c r="C255" s="684"/>
      <c r="D255" s="720" t="str">
        <f>$D$180</f>
        <v>How can it be measured?</v>
      </c>
      <c r="E255" s="684"/>
      <c r="F255" s="689"/>
      <c r="G255" s="684"/>
      <c r="H255" s="684"/>
      <c r="I255" s="684"/>
      <c r="J255" s="684"/>
      <c r="K255" s="684"/>
      <c r="L255" s="690"/>
      <c r="M255" s="684"/>
      <c r="N255" s="691"/>
      <c r="O255" s="692"/>
      <c r="P255" s="684"/>
      <c r="Q255" s="684"/>
      <c r="R255" s="684"/>
    </row>
    <row r="256" spans="1:18" ht="14.25" hidden="1">
      <c r="A256" s="684"/>
      <c r="B256" s="684"/>
      <c r="C256" s="684"/>
      <c r="D256" s="1131" t="s">
        <v>238</v>
      </c>
      <c r="E256" s="1132"/>
      <c r="F256" s="1132"/>
      <c r="G256" s="1132"/>
      <c r="H256" s="1132"/>
      <c r="I256" s="1132"/>
      <c r="J256" s="1132"/>
      <c r="K256" s="1132"/>
      <c r="L256" s="690"/>
      <c r="M256" s="684"/>
      <c r="N256" s="691"/>
      <c r="O256" s="692"/>
      <c r="P256" s="684"/>
      <c r="Q256" s="684"/>
      <c r="R256" s="684"/>
    </row>
    <row r="257" spans="1:18" ht="14.25" hidden="1">
      <c r="A257" s="684"/>
      <c r="B257" s="684"/>
      <c r="C257" s="684"/>
      <c r="D257" s="720" t="str">
        <f>$D$184</f>
        <v>What is a valid result?</v>
      </c>
      <c r="E257" s="684"/>
      <c r="F257" s="689"/>
      <c r="G257" s="684"/>
      <c r="H257" s="684"/>
      <c r="I257" s="684"/>
      <c r="J257" s="684"/>
      <c r="K257" s="684"/>
      <c r="L257" s="690"/>
      <c r="M257" s="684"/>
      <c r="N257" s="691"/>
      <c r="O257" s="692"/>
      <c r="P257" s="684"/>
      <c r="Q257" s="684"/>
      <c r="R257" s="684"/>
    </row>
    <row r="258" spans="1:18" ht="14.25" hidden="1">
      <c r="A258" s="684"/>
      <c r="B258" s="684"/>
      <c r="C258" s="684"/>
      <c r="D258" s="1131" t="s">
        <v>242</v>
      </c>
      <c r="E258" s="1132"/>
      <c r="F258" s="1132"/>
      <c r="G258" s="1132"/>
      <c r="H258" s="1132"/>
      <c r="I258" s="1132"/>
      <c r="J258" s="1132"/>
      <c r="K258" s="1132"/>
      <c r="L258" s="690"/>
      <c r="M258" s="684"/>
      <c r="N258" s="691"/>
      <c r="O258" s="692"/>
      <c r="P258" s="684"/>
      <c r="Q258" s="684"/>
      <c r="R258" s="684"/>
    </row>
    <row r="259" spans="1:18" ht="14.25" hidden="1">
      <c r="A259" s="684"/>
      <c r="B259" s="684"/>
      <c r="C259" s="684"/>
      <c r="D259" s="684"/>
      <c r="E259" s="684"/>
      <c r="F259" s="689"/>
      <c r="G259" s="684"/>
      <c r="H259" s="684"/>
      <c r="I259" s="684"/>
      <c r="J259" s="684"/>
      <c r="K259" s="684"/>
      <c r="L259" s="690"/>
      <c r="M259" s="684"/>
      <c r="N259" s="691"/>
      <c r="O259" s="692"/>
      <c r="P259" s="684"/>
      <c r="Q259" s="684"/>
      <c r="R259" s="684"/>
    </row>
    <row r="260" spans="1:18" ht="14.25" hidden="1">
      <c r="A260" s="684"/>
      <c r="B260" s="684"/>
      <c r="C260" s="684"/>
      <c r="D260" s="684" t="str">
        <f>L152</f>
        <v>A2. metadata are accessible, even when the data are no longer available</v>
      </c>
      <c r="E260" s="684"/>
      <c r="F260" s="689"/>
      <c r="G260" s="684"/>
      <c r="H260" s="684"/>
      <c r="I260" s="684"/>
      <c r="J260" s="684"/>
      <c r="K260" s="684"/>
      <c r="L260" s="690"/>
      <c r="M260" s="684"/>
      <c r="N260" s="691"/>
      <c r="O260" s="692"/>
      <c r="P260" s="684"/>
      <c r="Q260" s="684"/>
      <c r="R260" s="684"/>
    </row>
    <row r="261" spans="1:18" ht="14.25" hidden="1">
      <c r="A261" s="684"/>
      <c r="B261" s="684"/>
      <c r="C261" s="684"/>
      <c r="D261" s="720" t="str">
        <f>$D$172</f>
        <v>What is being measured?</v>
      </c>
      <c r="E261" s="684"/>
      <c r="F261" s="689"/>
      <c r="G261" s="684"/>
      <c r="H261" s="684"/>
      <c r="I261" s="684"/>
      <c r="J261" s="684"/>
      <c r="K261" s="684"/>
      <c r="L261" s="690"/>
      <c r="M261" s="684"/>
      <c r="N261" s="691"/>
      <c r="O261" s="692"/>
      <c r="P261" s="684"/>
      <c r="Q261" s="684"/>
      <c r="R261" s="684"/>
    </row>
    <row r="262" spans="1:18" ht="14.25" hidden="1">
      <c r="A262" s="684"/>
      <c r="B262" s="684"/>
      <c r="C262" s="684"/>
      <c r="D262" s="1131" t="s">
        <v>244</v>
      </c>
      <c r="E262" s="1132"/>
      <c r="F262" s="1132"/>
      <c r="G262" s="1132"/>
      <c r="H262" s="1132"/>
      <c r="I262" s="1132"/>
      <c r="J262" s="1132"/>
      <c r="K262" s="1132"/>
      <c r="L262" s="690"/>
      <c r="M262" s="684"/>
      <c r="N262" s="691"/>
      <c r="O262" s="692"/>
      <c r="P262" s="684"/>
      <c r="Q262" s="684"/>
      <c r="R262" s="684"/>
    </row>
    <row r="263" spans="1:18" ht="14.25" hidden="1">
      <c r="A263" s="684"/>
      <c r="B263" s="684"/>
      <c r="C263" s="684"/>
      <c r="D263" s="720" t="str">
        <f>$D$176</f>
        <v>What must be provided?</v>
      </c>
      <c r="E263" s="684"/>
      <c r="F263" s="689"/>
      <c r="G263" s="684"/>
      <c r="H263" s="684"/>
      <c r="I263" s="684"/>
      <c r="J263" s="684"/>
      <c r="K263" s="684"/>
      <c r="L263" s="690"/>
      <c r="M263" s="684"/>
      <c r="N263" s="691"/>
      <c r="O263" s="692"/>
      <c r="P263" s="684"/>
      <c r="Q263" s="684"/>
      <c r="R263" s="684"/>
    </row>
    <row r="264" spans="1:18" ht="14.25" hidden="1">
      <c r="A264" s="684"/>
      <c r="B264" s="684"/>
      <c r="C264" s="684"/>
      <c r="D264" s="1131" t="s">
        <v>247</v>
      </c>
      <c r="E264" s="1132"/>
      <c r="F264" s="1132"/>
      <c r="G264" s="1132"/>
      <c r="H264" s="1132"/>
      <c r="I264" s="1132"/>
      <c r="J264" s="1132"/>
      <c r="K264" s="1132"/>
      <c r="L264" s="690"/>
      <c r="M264" s="684"/>
      <c r="N264" s="691"/>
      <c r="O264" s="692"/>
      <c r="P264" s="684"/>
      <c r="Q264" s="684"/>
      <c r="R264" s="684"/>
    </row>
    <row r="265" spans="1:18" ht="14.25" hidden="1">
      <c r="A265" s="684"/>
      <c r="B265" s="684"/>
      <c r="C265" s="684"/>
      <c r="D265" s="720" t="str">
        <f>$D$180</f>
        <v>How can it be measured?</v>
      </c>
      <c r="E265" s="684"/>
      <c r="F265" s="689"/>
      <c r="G265" s="684"/>
      <c r="H265" s="684"/>
      <c r="I265" s="684"/>
      <c r="J265" s="684"/>
      <c r="K265" s="684"/>
      <c r="L265" s="690"/>
      <c r="M265" s="684"/>
      <c r="N265" s="691"/>
      <c r="O265" s="692"/>
      <c r="P265" s="684"/>
      <c r="Q265" s="684"/>
      <c r="R265" s="684"/>
    </row>
    <row r="266" spans="1:18" ht="14.25" hidden="1">
      <c r="A266" s="684"/>
      <c r="B266" s="684"/>
      <c r="C266" s="684"/>
      <c r="D266" s="1131" t="s">
        <v>249</v>
      </c>
      <c r="E266" s="1132"/>
      <c r="F266" s="1132"/>
      <c r="G266" s="1132"/>
      <c r="H266" s="1132"/>
      <c r="I266" s="1132"/>
      <c r="J266" s="1132"/>
      <c r="K266" s="1132"/>
      <c r="L266" s="690"/>
      <c r="M266" s="684"/>
      <c r="N266" s="691"/>
      <c r="O266" s="692"/>
      <c r="P266" s="684"/>
      <c r="Q266" s="684"/>
      <c r="R266" s="684"/>
    </row>
    <row r="267" spans="1:18" ht="14.25" hidden="1">
      <c r="A267" s="684"/>
      <c r="B267" s="684"/>
      <c r="C267" s="684"/>
      <c r="D267" s="720" t="str">
        <f>$D$184</f>
        <v>What is a valid result?</v>
      </c>
      <c r="E267" s="684"/>
      <c r="F267" s="689"/>
      <c r="G267" s="684"/>
      <c r="H267" s="684"/>
      <c r="I267" s="684"/>
      <c r="J267" s="684"/>
      <c r="K267" s="684"/>
      <c r="L267" s="690"/>
      <c r="M267" s="684"/>
      <c r="N267" s="691"/>
      <c r="O267" s="692"/>
      <c r="P267" s="684"/>
      <c r="Q267" s="684"/>
      <c r="R267" s="684"/>
    </row>
    <row r="268" spans="1:18" ht="14.25" hidden="1">
      <c r="A268" s="684"/>
      <c r="B268" s="684"/>
      <c r="C268" s="684"/>
      <c r="D268" s="1131" t="s">
        <v>251</v>
      </c>
      <c r="E268" s="1132"/>
      <c r="F268" s="1132"/>
      <c r="G268" s="1132"/>
      <c r="H268" s="1132"/>
      <c r="I268" s="1132"/>
      <c r="J268" s="1132"/>
      <c r="K268" s="1132"/>
      <c r="L268" s="690"/>
      <c r="M268" s="684"/>
      <c r="N268" s="691"/>
      <c r="O268" s="692"/>
      <c r="P268" s="684"/>
      <c r="Q268" s="684"/>
      <c r="R268" s="684"/>
    </row>
    <row r="269" spans="1:18" ht="14.25" hidden="1">
      <c r="A269" s="684"/>
      <c r="B269" s="684"/>
      <c r="C269" s="684"/>
      <c r="D269" s="684"/>
      <c r="E269" s="684"/>
      <c r="F269" s="689"/>
      <c r="G269" s="684"/>
      <c r="H269" s="684"/>
      <c r="I269" s="684"/>
      <c r="J269" s="684"/>
      <c r="K269" s="684"/>
      <c r="L269" s="690"/>
      <c r="M269" s="684"/>
      <c r="N269" s="691"/>
      <c r="O269" s="692"/>
      <c r="P269" s="684"/>
      <c r="Q269" s="684"/>
      <c r="R269" s="684"/>
    </row>
    <row r="270" spans="1:18" ht="14.25" hidden="1">
      <c r="A270" s="684"/>
      <c r="B270" s="684"/>
      <c r="C270" s="684"/>
      <c r="D270" s="684" t="str">
        <f>L154</f>
        <v>I1. (meta)data use a formal, accessible, shared, and broadly applicable language for knowledge representation</v>
      </c>
      <c r="E270" s="684"/>
      <c r="F270" s="689"/>
      <c r="G270" s="684"/>
      <c r="H270" s="684"/>
      <c r="I270" s="684"/>
      <c r="J270" s="684"/>
      <c r="K270" s="684"/>
      <c r="L270" s="690"/>
      <c r="M270" s="684"/>
      <c r="N270" s="691"/>
      <c r="O270" s="692"/>
      <c r="P270" s="684"/>
      <c r="Q270" s="684"/>
      <c r="R270" s="684"/>
    </row>
    <row r="271" spans="1:18" ht="14.25" hidden="1">
      <c r="A271" s="684"/>
      <c r="B271" s="684"/>
      <c r="C271" s="684"/>
      <c r="D271" s="720" t="str">
        <f>$D$172</f>
        <v>What is being measured?</v>
      </c>
      <c r="E271" s="684"/>
      <c r="F271" s="689"/>
      <c r="G271" s="684"/>
      <c r="H271" s="684"/>
      <c r="I271" s="684"/>
      <c r="J271" s="684"/>
      <c r="K271" s="684"/>
      <c r="L271" s="690"/>
      <c r="M271" s="684"/>
      <c r="N271" s="691"/>
      <c r="O271" s="692"/>
      <c r="P271" s="684"/>
      <c r="Q271" s="684"/>
      <c r="R271" s="684"/>
    </row>
    <row r="272" spans="1:18" ht="14.25" hidden="1">
      <c r="A272" s="684"/>
      <c r="B272" s="684"/>
      <c r="C272" s="684"/>
      <c r="D272" s="1131" t="s">
        <v>254</v>
      </c>
      <c r="E272" s="1132"/>
      <c r="F272" s="1132"/>
      <c r="G272" s="1132"/>
      <c r="H272" s="1132"/>
      <c r="I272" s="1132"/>
      <c r="J272" s="1132"/>
      <c r="K272" s="1132"/>
      <c r="L272" s="690"/>
      <c r="M272" s="684"/>
      <c r="N272" s="691"/>
      <c r="O272" s="692"/>
      <c r="P272" s="684"/>
      <c r="Q272" s="684"/>
      <c r="R272" s="684"/>
    </row>
    <row r="273" spans="1:18" ht="14.25" hidden="1">
      <c r="A273" s="684"/>
      <c r="B273" s="684"/>
      <c r="C273" s="684"/>
      <c r="D273" s="720" t="str">
        <f>$D$176</f>
        <v>What must be provided?</v>
      </c>
      <c r="E273" s="684"/>
      <c r="F273" s="689"/>
      <c r="G273" s="684"/>
      <c r="H273" s="684"/>
      <c r="I273" s="684"/>
      <c r="J273" s="684"/>
      <c r="K273" s="684"/>
      <c r="L273" s="690"/>
      <c r="M273" s="684"/>
      <c r="N273" s="691"/>
      <c r="O273" s="692"/>
      <c r="P273" s="684"/>
      <c r="Q273" s="684"/>
      <c r="R273" s="684"/>
    </row>
    <row r="274" spans="1:18" ht="14.25" hidden="1">
      <c r="A274" s="684"/>
      <c r="B274" s="684"/>
      <c r="C274" s="684"/>
      <c r="D274" s="1131" t="s">
        <v>257</v>
      </c>
      <c r="E274" s="1132"/>
      <c r="F274" s="1132"/>
      <c r="G274" s="1132"/>
      <c r="H274" s="1132"/>
      <c r="I274" s="1132"/>
      <c r="J274" s="1132"/>
      <c r="K274" s="1132"/>
      <c r="L274" s="690"/>
      <c r="M274" s="684"/>
      <c r="N274" s="691"/>
      <c r="O274" s="692"/>
      <c r="P274" s="684"/>
      <c r="Q274" s="684"/>
      <c r="R274" s="684"/>
    </row>
    <row r="275" spans="1:18" ht="14.25" hidden="1">
      <c r="A275" s="684"/>
      <c r="B275" s="684"/>
      <c r="C275" s="684"/>
      <c r="D275" s="720" t="str">
        <f>$D$180</f>
        <v>How can it be measured?</v>
      </c>
      <c r="E275" s="684"/>
      <c r="F275" s="689"/>
      <c r="G275" s="684"/>
      <c r="H275" s="684"/>
      <c r="I275" s="684"/>
      <c r="J275" s="684"/>
      <c r="K275" s="684"/>
      <c r="L275" s="690"/>
      <c r="M275" s="684"/>
      <c r="N275" s="691"/>
      <c r="O275" s="692"/>
      <c r="P275" s="684"/>
      <c r="Q275" s="684"/>
      <c r="R275" s="684"/>
    </row>
    <row r="276" spans="1:18" ht="14.25" hidden="1">
      <c r="A276" s="684"/>
      <c r="B276" s="684"/>
      <c r="C276" s="684"/>
      <c r="D276" s="1131" t="s">
        <v>258</v>
      </c>
      <c r="E276" s="1132"/>
      <c r="F276" s="1132"/>
      <c r="G276" s="1132"/>
      <c r="H276" s="1132"/>
      <c r="I276" s="1132"/>
      <c r="J276" s="1132"/>
      <c r="K276" s="1132"/>
      <c r="L276" s="690"/>
      <c r="M276" s="684"/>
      <c r="N276" s="691"/>
      <c r="O276" s="692"/>
      <c r="P276" s="684"/>
      <c r="Q276" s="684"/>
      <c r="R276" s="684"/>
    </row>
    <row r="277" spans="1:18" ht="14.25" hidden="1">
      <c r="A277" s="684"/>
      <c r="B277" s="684"/>
      <c r="C277" s="684"/>
      <c r="D277" s="720" t="str">
        <f>$D$184</f>
        <v>What is a valid result?</v>
      </c>
      <c r="E277" s="684"/>
      <c r="F277" s="689"/>
      <c r="G277" s="684"/>
      <c r="H277" s="684"/>
      <c r="I277" s="684"/>
      <c r="J277" s="684"/>
      <c r="K277" s="684"/>
      <c r="L277" s="690"/>
      <c r="M277" s="684"/>
      <c r="N277" s="691"/>
      <c r="O277" s="692"/>
      <c r="P277" s="684"/>
      <c r="Q277" s="684"/>
      <c r="R277" s="684"/>
    </row>
    <row r="278" spans="1:18" ht="14.25" hidden="1">
      <c r="A278" s="684"/>
      <c r="B278" s="684"/>
      <c r="C278" s="684"/>
      <c r="D278" s="1131" t="s">
        <v>259</v>
      </c>
      <c r="E278" s="1132"/>
      <c r="F278" s="1132"/>
      <c r="G278" s="1132"/>
      <c r="H278" s="1132"/>
      <c r="I278" s="1132"/>
      <c r="J278" s="1132"/>
      <c r="K278" s="1132"/>
      <c r="L278" s="690"/>
      <c r="M278" s="684"/>
      <c r="N278" s="691"/>
      <c r="O278" s="692"/>
      <c r="P278" s="684"/>
      <c r="Q278" s="684"/>
      <c r="R278" s="684"/>
    </row>
    <row r="279" spans="1:18" ht="14.25" hidden="1">
      <c r="A279" s="684"/>
      <c r="B279" s="684"/>
      <c r="C279" s="684"/>
      <c r="D279" s="684"/>
      <c r="E279" s="684"/>
      <c r="F279" s="689"/>
      <c r="G279" s="684"/>
      <c r="H279" s="684"/>
      <c r="I279" s="684"/>
      <c r="J279" s="684"/>
      <c r="K279" s="684"/>
      <c r="L279" s="690"/>
      <c r="M279" s="684"/>
      <c r="N279" s="691"/>
      <c r="O279" s="692"/>
      <c r="P279" s="684"/>
      <c r="Q279" s="684"/>
      <c r="R279" s="684"/>
    </row>
    <row r="280" spans="1:18" ht="14.25" hidden="1">
      <c r="A280" s="684"/>
      <c r="B280" s="684"/>
      <c r="C280" s="684"/>
      <c r="D280" s="684" t="str">
        <f>L155</f>
        <v>I2. (meta)data use vocabularies that follow FAIR principles</v>
      </c>
      <c r="E280" s="684"/>
      <c r="F280" s="689"/>
      <c r="G280" s="684"/>
      <c r="H280" s="684"/>
      <c r="I280" s="684"/>
      <c r="J280" s="684"/>
      <c r="K280" s="684"/>
      <c r="L280" s="690"/>
      <c r="M280" s="684"/>
      <c r="N280" s="691"/>
      <c r="O280" s="692"/>
      <c r="P280" s="684"/>
      <c r="Q280" s="684"/>
      <c r="R280" s="684"/>
    </row>
    <row r="281" spans="1:18" ht="14.25" hidden="1">
      <c r="A281" s="684"/>
      <c r="B281" s="684"/>
      <c r="C281" s="684"/>
      <c r="D281" s="720" t="str">
        <f>$D$172</f>
        <v>What is being measured?</v>
      </c>
      <c r="E281" s="684"/>
      <c r="F281" s="689"/>
      <c r="G281" s="684"/>
      <c r="H281" s="684"/>
      <c r="I281" s="684"/>
      <c r="J281" s="684"/>
      <c r="K281" s="684"/>
      <c r="L281" s="690"/>
      <c r="M281" s="684"/>
      <c r="N281" s="691"/>
      <c r="O281" s="692"/>
      <c r="P281" s="684"/>
      <c r="Q281" s="684"/>
      <c r="R281" s="684"/>
    </row>
    <row r="282" spans="1:18" ht="14.25" hidden="1">
      <c r="A282" s="684"/>
      <c r="B282" s="684"/>
      <c r="C282" s="684"/>
      <c r="D282" s="1131" t="s">
        <v>261</v>
      </c>
      <c r="E282" s="1132"/>
      <c r="F282" s="1132"/>
      <c r="G282" s="1132"/>
      <c r="H282" s="1132"/>
      <c r="I282" s="1132"/>
      <c r="J282" s="1132"/>
      <c r="K282" s="1132"/>
      <c r="L282" s="690"/>
      <c r="M282" s="684"/>
      <c r="N282" s="691"/>
      <c r="O282" s="692"/>
      <c r="P282" s="684"/>
      <c r="Q282" s="684"/>
      <c r="R282" s="684"/>
    </row>
    <row r="283" spans="1:18" ht="14.25" hidden="1">
      <c r="A283" s="684"/>
      <c r="B283" s="684"/>
      <c r="C283" s="684"/>
      <c r="D283" s="720" t="str">
        <f>$D$176</f>
        <v>What must be provided?</v>
      </c>
      <c r="E283" s="684"/>
      <c r="F283" s="689"/>
      <c r="G283" s="684"/>
      <c r="H283" s="684"/>
      <c r="I283" s="684"/>
      <c r="J283" s="684"/>
      <c r="K283" s="684"/>
      <c r="L283" s="690"/>
      <c r="M283" s="684"/>
      <c r="N283" s="691"/>
      <c r="O283" s="692"/>
      <c r="P283" s="684"/>
      <c r="Q283" s="684"/>
      <c r="R283" s="684"/>
    </row>
    <row r="284" spans="1:18" ht="14.25" hidden="1">
      <c r="A284" s="684"/>
      <c r="B284" s="684"/>
      <c r="C284" s="684"/>
      <c r="D284" s="1131" t="s">
        <v>263</v>
      </c>
      <c r="E284" s="1132"/>
      <c r="F284" s="1132"/>
      <c r="G284" s="1132"/>
      <c r="H284" s="1132"/>
      <c r="I284" s="1132"/>
      <c r="J284" s="1132"/>
      <c r="K284" s="1132"/>
      <c r="L284" s="690"/>
      <c r="M284" s="684"/>
      <c r="N284" s="691"/>
      <c r="O284" s="692"/>
      <c r="P284" s="684"/>
      <c r="Q284" s="684"/>
      <c r="R284" s="684"/>
    </row>
    <row r="285" spans="1:18" ht="14.25" hidden="1">
      <c r="A285" s="684"/>
      <c r="B285" s="684"/>
      <c r="C285" s="684"/>
      <c r="D285" s="720" t="str">
        <f>$D$180</f>
        <v>How can it be measured?</v>
      </c>
      <c r="E285" s="684"/>
      <c r="F285" s="689"/>
      <c r="G285" s="684"/>
      <c r="H285" s="684"/>
      <c r="I285" s="684"/>
      <c r="J285" s="684"/>
      <c r="K285" s="684"/>
      <c r="L285" s="690"/>
      <c r="M285" s="684"/>
      <c r="N285" s="691"/>
      <c r="O285" s="692"/>
      <c r="P285" s="684"/>
      <c r="Q285" s="684"/>
      <c r="R285" s="684"/>
    </row>
    <row r="286" spans="1:18" ht="14.25" hidden="1">
      <c r="A286" s="684"/>
      <c r="B286" s="684"/>
      <c r="C286" s="684"/>
      <c r="D286" s="1131" t="s">
        <v>264</v>
      </c>
      <c r="E286" s="1132"/>
      <c r="F286" s="1132"/>
      <c r="G286" s="1132"/>
      <c r="H286" s="1132"/>
      <c r="I286" s="1132"/>
      <c r="J286" s="1132"/>
      <c r="K286" s="1132"/>
      <c r="L286" s="690"/>
      <c r="M286" s="684"/>
      <c r="N286" s="691"/>
      <c r="O286" s="692"/>
      <c r="P286" s="684"/>
      <c r="Q286" s="684"/>
      <c r="R286" s="684"/>
    </row>
    <row r="287" spans="1:18" ht="14.25" hidden="1">
      <c r="A287" s="684"/>
      <c r="B287" s="684"/>
      <c r="C287" s="684"/>
      <c r="D287" s="720" t="str">
        <f>$D$184</f>
        <v>What is a valid result?</v>
      </c>
      <c r="E287" s="684"/>
      <c r="F287" s="689"/>
      <c r="G287" s="684"/>
      <c r="H287" s="684"/>
      <c r="I287" s="684"/>
      <c r="J287" s="684"/>
      <c r="K287" s="684"/>
      <c r="L287" s="690"/>
      <c r="M287" s="684"/>
      <c r="N287" s="691"/>
      <c r="O287" s="692"/>
      <c r="P287" s="684"/>
      <c r="Q287" s="684"/>
      <c r="R287" s="684"/>
    </row>
    <row r="288" spans="1:18" ht="14.25" hidden="1">
      <c r="A288" s="684"/>
      <c r="B288" s="684"/>
      <c r="C288" s="684"/>
      <c r="D288" s="1131" t="s">
        <v>266</v>
      </c>
      <c r="E288" s="1132"/>
      <c r="F288" s="1132"/>
      <c r="G288" s="1132"/>
      <c r="H288" s="1132"/>
      <c r="I288" s="1132"/>
      <c r="J288" s="1132"/>
      <c r="K288" s="1132"/>
      <c r="L288" s="690"/>
      <c r="M288" s="684"/>
      <c r="N288" s="691"/>
      <c r="O288" s="692"/>
      <c r="P288" s="684"/>
      <c r="Q288" s="684"/>
      <c r="R288" s="684"/>
    </row>
    <row r="289" spans="1:18" ht="14.25" hidden="1">
      <c r="A289" s="684"/>
      <c r="B289" s="684"/>
      <c r="C289" s="684"/>
      <c r="D289" s="684"/>
      <c r="E289" s="684"/>
      <c r="F289" s="689"/>
      <c r="G289" s="684"/>
      <c r="H289" s="684"/>
      <c r="I289" s="684"/>
      <c r="J289" s="684"/>
      <c r="K289" s="684"/>
      <c r="L289" s="690"/>
      <c r="M289" s="684"/>
      <c r="N289" s="691"/>
      <c r="O289" s="692"/>
      <c r="P289" s="684"/>
      <c r="Q289" s="684"/>
      <c r="R289" s="684"/>
    </row>
    <row r="290" spans="1:18" ht="14.25" hidden="1">
      <c r="A290" s="684"/>
      <c r="B290" s="684"/>
      <c r="C290" s="684"/>
      <c r="D290" s="684" t="str">
        <f>L156</f>
        <v>I3. (meta)data include qualified references to other (meta)data</v>
      </c>
      <c r="E290" s="684"/>
      <c r="F290" s="689"/>
      <c r="G290" s="684"/>
      <c r="H290" s="684"/>
      <c r="I290" s="684"/>
      <c r="J290" s="684"/>
      <c r="K290" s="684"/>
      <c r="L290" s="690"/>
      <c r="M290" s="684"/>
      <c r="N290" s="691"/>
      <c r="O290" s="692"/>
      <c r="P290" s="684"/>
      <c r="Q290" s="684"/>
      <c r="R290" s="684"/>
    </row>
    <row r="291" spans="1:18" ht="14.25" hidden="1">
      <c r="A291" s="684"/>
      <c r="B291" s="684"/>
      <c r="C291" s="684"/>
      <c r="D291" s="720" t="str">
        <f>$D$172</f>
        <v>What is being measured?</v>
      </c>
      <c r="E291" s="684"/>
      <c r="F291" s="689"/>
      <c r="G291" s="684"/>
      <c r="H291" s="684"/>
      <c r="I291" s="684"/>
      <c r="J291" s="684"/>
      <c r="K291" s="684"/>
      <c r="L291" s="690"/>
      <c r="M291" s="684"/>
      <c r="N291" s="691"/>
      <c r="O291" s="692"/>
      <c r="P291" s="684"/>
      <c r="Q291" s="684"/>
      <c r="R291" s="684"/>
    </row>
    <row r="292" spans="1:18" ht="14.25" hidden="1">
      <c r="A292" s="684"/>
      <c r="B292" s="684"/>
      <c r="C292" s="684"/>
      <c r="D292" s="1131" t="s">
        <v>267</v>
      </c>
      <c r="E292" s="1132"/>
      <c r="F292" s="1132"/>
      <c r="G292" s="1132"/>
      <c r="H292" s="1132"/>
      <c r="I292" s="1132"/>
      <c r="J292" s="1132"/>
      <c r="K292" s="1132"/>
      <c r="L292" s="690"/>
      <c r="M292" s="684"/>
      <c r="N292" s="691"/>
      <c r="O292" s="692"/>
      <c r="P292" s="684"/>
      <c r="Q292" s="684"/>
      <c r="R292" s="684"/>
    </row>
    <row r="293" spans="1:18" ht="14.25" hidden="1">
      <c r="A293" s="684"/>
      <c r="B293" s="684"/>
      <c r="C293" s="684"/>
      <c r="D293" s="720" t="str">
        <f>$D$176</f>
        <v>What must be provided?</v>
      </c>
      <c r="E293" s="684"/>
      <c r="F293" s="689"/>
      <c r="G293" s="684"/>
      <c r="H293" s="684"/>
      <c r="I293" s="684"/>
      <c r="J293" s="684"/>
      <c r="K293" s="684"/>
      <c r="L293" s="690"/>
      <c r="M293" s="684"/>
      <c r="N293" s="691"/>
      <c r="O293" s="692"/>
      <c r="P293" s="684"/>
      <c r="Q293" s="684"/>
      <c r="R293" s="684"/>
    </row>
    <row r="294" spans="1:18" ht="14.25" hidden="1">
      <c r="A294" s="684"/>
      <c r="B294" s="684"/>
      <c r="C294" s="684"/>
      <c r="D294" s="1131" t="s">
        <v>268</v>
      </c>
      <c r="E294" s="1132"/>
      <c r="F294" s="1132"/>
      <c r="G294" s="1132"/>
      <c r="H294" s="1132"/>
      <c r="I294" s="1132"/>
      <c r="J294" s="1132"/>
      <c r="K294" s="1132"/>
      <c r="L294" s="690"/>
      <c r="M294" s="684"/>
      <c r="N294" s="691"/>
      <c r="O294" s="692"/>
      <c r="P294" s="684"/>
      <c r="Q294" s="684"/>
      <c r="R294" s="684"/>
    </row>
    <row r="295" spans="1:18" ht="14.25" hidden="1">
      <c r="A295" s="684"/>
      <c r="B295" s="684"/>
      <c r="C295" s="684"/>
      <c r="D295" s="720" t="str">
        <f>$D$180</f>
        <v>How can it be measured?</v>
      </c>
      <c r="E295" s="684"/>
      <c r="F295" s="689"/>
      <c r="G295" s="684"/>
      <c r="H295" s="684"/>
      <c r="I295" s="684"/>
      <c r="J295" s="684"/>
      <c r="K295" s="684"/>
      <c r="L295" s="690"/>
      <c r="M295" s="684"/>
      <c r="N295" s="691"/>
      <c r="O295" s="692"/>
      <c r="P295" s="684"/>
      <c r="Q295" s="684"/>
      <c r="R295" s="684"/>
    </row>
    <row r="296" spans="1:18" ht="14.25" hidden="1">
      <c r="A296" s="684"/>
      <c r="B296" s="684"/>
      <c r="C296" s="684"/>
      <c r="D296" s="1131" t="s">
        <v>269</v>
      </c>
      <c r="E296" s="1132"/>
      <c r="F296" s="1132"/>
      <c r="G296" s="1132"/>
      <c r="H296" s="1132"/>
      <c r="I296" s="1132"/>
      <c r="J296" s="1132"/>
      <c r="K296" s="1132"/>
      <c r="L296" s="690"/>
      <c r="M296" s="684"/>
      <c r="N296" s="691"/>
      <c r="O296" s="692"/>
      <c r="P296" s="684"/>
      <c r="Q296" s="684"/>
      <c r="R296" s="684"/>
    </row>
    <row r="297" spans="1:18" ht="14.25" hidden="1">
      <c r="A297" s="684"/>
      <c r="B297" s="684"/>
      <c r="C297" s="684"/>
      <c r="D297" s="720" t="str">
        <f>$D$184</f>
        <v>What is a valid result?</v>
      </c>
      <c r="E297" s="684"/>
      <c r="F297" s="689"/>
      <c r="G297" s="684"/>
      <c r="H297" s="684"/>
      <c r="I297" s="684"/>
      <c r="J297" s="684"/>
      <c r="K297" s="684"/>
      <c r="L297" s="690"/>
      <c r="M297" s="684"/>
      <c r="N297" s="691"/>
      <c r="O297" s="692"/>
      <c r="P297" s="684"/>
      <c r="Q297" s="684"/>
      <c r="R297" s="684"/>
    </row>
    <row r="298" spans="1:18" ht="14.25" hidden="1">
      <c r="A298" s="684"/>
      <c r="B298" s="684"/>
      <c r="C298" s="684"/>
      <c r="D298" s="1131" t="s">
        <v>270</v>
      </c>
      <c r="E298" s="1132"/>
      <c r="F298" s="1132"/>
      <c r="G298" s="1132"/>
      <c r="H298" s="1132"/>
      <c r="I298" s="1132"/>
      <c r="J298" s="1132"/>
      <c r="K298" s="1132"/>
      <c r="L298" s="690"/>
      <c r="M298" s="684"/>
      <c r="N298" s="691"/>
      <c r="O298" s="692"/>
      <c r="P298" s="684"/>
      <c r="Q298" s="684"/>
      <c r="R298" s="684"/>
    </row>
    <row r="299" spans="1:18" ht="14.25" hidden="1">
      <c r="A299" s="684"/>
      <c r="B299" s="684"/>
      <c r="C299" s="684"/>
      <c r="D299" s="684"/>
      <c r="E299" s="684"/>
      <c r="F299" s="689"/>
      <c r="G299" s="684"/>
      <c r="H299" s="684"/>
      <c r="I299" s="684"/>
      <c r="J299" s="684"/>
      <c r="K299" s="684"/>
      <c r="L299" s="690"/>
      <c r="M299" s="684"/>
      <c r="N299" s="691"/>
      <c r="O299" s="692"/>
      <c r="P299" s="684"/>
      <c r="Q299" s="684"/>
      <c r="R299" s="684"/>
    </row>
    <row r="300" spans="1:18" ht="14.25" hidden="1">
      <c r="A300" s="684"/>
      <c r="B300" s="684"/>
      <c r="C300" s="684"/>
      <c r="D300" s="684" t="str">
        <f>L158</f>
        <v>R1. meta(data) are richly described with a plurality of accurate and relevant attributes</v>
      </c>
      <c r="E300" s="684"/>
      <c r="F300" s="689"/>
      <c r="G300" s="684"/>
      <c r="H300" s="684"/>
      <c r="I300" s="684"/>
      <c r="J300" s="684"/>
      <c r="K300" s="684"/>
      <c r="L300" s="690"/>
      <c r="M300" s="684"/>
      <c r="N300" s="691"/>
      <c r="O300" s="692"/>
      <c r="P300" s="684"/>
      <c r="Q300" s="684"/>
      <c r="R300" s="684"/>
    </row>
    <row r="301" spans="1:18" ht="14.25" hidden="1">
      <c r="A301" s="684"/>
      <c r="B301" s="684"/>
      <c r="C301" s="684"/>
      <c r="D301" s="720" t="str">
        <f>$D$172</f>
        <v>What is being measured?</v>
      </c>
      <c r="E301" s="684"/>
      <c r="F301" s="689"/>
      <c r="G301" s="684"/>
      <c r="H301" s="684"/>
      <c r="I301" s="684"/>
      <c r="J301" s="684"/>
      <c r="K301" s="684"/>
      <c r="L301" s="690"/>
      <c r="M301" s="684"/>
      <c r="N301" s="691"/>
      <c r="O301" s="692"/>
      <c r="P301" s="684"/>
      <c r="Q301" s="684"/>
      <c r="R301" s="684"/>
    </row>
    <row r="302" spans="1:18" ht="14.25" hidden="1">
      <c r="A302" s="684"/>
      <c r="B302" s="684"/>
      <c r="C302" s="684"/>
      <c r="D302" s="1131" t="s">
        <v>19</v>
      </c>
      <c r="E302" s="1132"/>
      <c r="F302" s="1132"/>
      <c r="G302" s="1132"/>
      <c r="H302" s="1132"/>
      <c r="I302" s="1132"/>
      <c r="J302" s="1132"/>
      <c r="K302" s="1132"/>
      <c r="L302" s="690"/>
      <c r="M302" s="684"/>
      <c r="N302" s="691"/>
      <c r="O302" s="692"/>
      <c r="P302" s="684"/>
      <c r="Q302" s="684"/>
      <c r="R302" s="684"/>
    </row>
    <row r="303" spans="1:18" ht="14.25" hidden="1">
      <c r="A303" s="684"/>
      <c r="B303" s="684"/>
      <c r="C303" s="684"/>
      <c r="D303" s="720" t="str">
        <f>$D$176</f>
        <v>What must be provided?</v>
      </c>
      <c r="E303" s="684"/>
      <c r="F303" s="689"/>
      <c r="G303" s="684"/>
      <c r="H303" s="684"/>
      <c r="I303" s="684"/>
      <c r="J303" s="684"/>
      <c r="K303" s="684"/>
      <c r="L303" s="690"/>
      <c r="M303" s="684"/>
      <c r="N303" s="691"/>
      <c r="O303" s="692"/>
      <c r="P303" s="684"/>
      <c r="Q303" s="684"/>
      <c r="R303" s="684"/>
    </row>
    <row r="304" spans="1:18" ht="14.25" hidden="1">
      <c r="A304" s="684"/>
      <c r="B304" s="684"/>
      <c r="C304" s="684"/>
      <c r="D304" s="1131" t="s">
        <v>19</v>
      </c>
      <c r="E304" s="1132"/>
      <c r="F304" s="1132"/>
      <c r="G304" s="1132"/>
      <c r="H304" s="1132"/>
      <c r="I304" s="1132"/>
      <c r="J304" s="1132"/>
      <c r="K304" s="1132"/>
      <c r="L304" s="690"/>
      <c r="M304" s="684"/>
      <c r="N304" s="691"/>
      <c r="O304" s="692"/>
      <c r="P304" s="684"/>
      <c r="Q304" s="684"/>
      <c r="R304" s="684"/>
    </row>
    <row r="305" spans="1:18" ht="14.25" hidden="1">
      <c r="A305" s="684"/>
      <c r="B305" s="684"/>
      <c r="C305" s="684"/>
      <c r="D305" s="720" t="str">
        <f>$D$180</f>
        <v>How can it be measured?</v>
      </c>
      <c r="E305" s="684"/>
      <c r="F305" s="689"/>
      <c r="G305" s="684"/>
      <c r="H305" s="684"/>
      <c r="I305" s="684"/>
      <c r="J305" s="684"/>
      <c r="K305" s="684"/>
      <c r="L305" s="690"/>
      <c r="M305" s="684"/>
      <c r="N305" s="691"/>
      <c r="O305" s="692"/>
      <c r="P305" s="684"/>
      <c r="Q305" s="684"/>
      <c r="R305" s="684"/>
    </row>
    <row r="306" spans="1:18" ht="14.25" hidden="1">
      <c r="A306" s="684"/>
      <c r="B306" s="684"/>
      <c r="C306" s="684"/>
      <c r="D306" s="1131" t="s">
        <v>19</v>
      </c>
      <c r="E306" s="1132"/>
      <c r="F306" s="1132"/>
      <c r="G306" s="1132"/>
      <c r="H306" s="1132"/>
      <c r="I306" s="1132"/>
      <c r="J306" s="1132"/>
      <c r="K306" s="1132"/>
      <c r="L306" s="690"/>
      <c r="M306" s="684"/>
      <c r="N306" s="691"/>
      <c r="O306" s="692"/>
      <c r="P306" s="684"/>
      <c r="Q306" s="684"/>
      <c r="R306" s="684"/>
    </row>
    <row r="307" spans="1:18" ht="14.25" hidden="1">
      <c r="A307" s="684"/>
      <c r="B307" s="684"/>
      <c r="C307" s="684"/>
      <c r="D307" s="720" t="str">
        <f>$D$184</f>
        <v>What is a valid result?</v>
      </c>
      <c r="E307" s="684"/>
      <c r="F307" s="689"/>
      <c r="G307" s="684"/>
      <c r="H307" s="684"/>
      <c r="I307" s="684"/>
      <c r="J307" s="684"/>
      <c r="K307" s="684"/>
      <c r="L307" s="690"/>
      <c r="M307" s="684"/>
      <c r="N307" s="691"/>
      <c r="O307" s="692"/>
      <c r="P307" s="684"/>
      <c r="Q307" s="684"/>
      <c r="R307" s="684"/>
    </row>
    <row r="308" spans="1:18" ht="14.25" hidden="1">
      <c r="A308" s="684"/>
      <c r="B308" s="684"/>
      <c r="C308" s="684"/>
      <c r="D308" s="1131" t="s">
        <v>19</v>
      </c>
      <c r="E308" s="1132"/>
      <c r="F308" s="1132"/>
      <c r="G308" s="1132"/>
      <c r="H308" s="1132"/>
      <c r="I308" s="1132"/>
      <c r="J308" s="1132"/>
      <c r="K308" s="1132"/>
      <c r="L308" s="690"/>
      <c r="M308" s="684"/>
      <c r="N308" s="691"/>
      <c r="O308" s="692"/>
      <c r="P308" s="684"/>
      <c r="Q308" s="684"/>
      <c r="R308" s="684"/>
    </row>
    <row r="309" spans="1:18" ht="14.25" hidden="1">
      <c r="A309" s="684"/>
      <c r="B309" s="684"/>
      <c r="C309" s="684"/>
      <c r="D309" s="684"/>
      <c r="E309" s="684"/>
      <c r="F309" s="689"/>
      <c r="G309" s="684"/>
      <c r="H309" s="684"/>
      <c r="I309" s="684"/>
      <c r="J309" s="684"/>
      <c r="K309" s="684"/>
      <c r="L309" s="690"/>
      <c r="M309" s="684"/>
      <c r="N309" s="691"/>
      <c r="O309" s="692"/>
      <c r="P309" s="684"/>
      <c r="Q309" s="684"/>
      <c r="R309" s="684"/>
    </row>
    <row r="310" spans="1:18" ht="14.25" hidden="1">
      <c r="A310" s="684"/>
      <c r="B310" s="684"/>
      <c r="C310" s="684"/>
      <c r="D310" s="684" t="str">
        <f>L159</f>
        <v>R1.1. (meta)data are released with a clear and accessible data usage licence</v>
      </c>
      <c r="E310" s="684"/>
      <c r="F310" s="689"/>
      <c r="G310" s="684"/>
      <c r="H310" s="684"/>
      <c r="I310" s="684"/>
      <c r="J310" s="684"/>
      <c r="K310" s="684"/>
      <c r="L310" s="690"/>
      <c r="M310" s="684"/>
      <c r="N310" s="691"/>
      <c r="O310" s="692"/>
      <c r="P310" s="684"/>
      <c r="Q310" s="684"/>
      <c r="R310" s="684"/>
    </row>
    <row r="311" spans="1:18" ht="14.25" hidden="1">
      <c r="A311" s="684"/>
      <c r="B311" s="684"/>
      <c r="C311" s="684"/>
      <c r="D311" s="720" t="str">
        <f>$D$172</f>
        <v>What is being measured?</v>
      </c>
      <c r="E311" s="684"/>
      <c r="F311" s="689"/>
      <c r="G311" s="684"/>
      <c r="H311" s="684"/>
      <c r="I311" s="684"/>
      <c r="J311" s="684"/>
      <c r="K311" s="684"/>
      <c r="L311" s="690"/>
      <c r="M311" s="684"/>
      <c r="N311" s="691"/>
      <c r="O311" s="692"/>
      <c r="P311" s="684"/>
      <c r="Q311" s="684"/>
      <c r="R311" s="684"/>
    </row>
    <row r="312" spans="1:18" ht="14.25" hidden="1">
      <c r="A312" s="684"/>
      <c r="B312" s="684"/>
      <c r="C312" s="684"/>
      <c r="D312" s="1131" t="s">
        <v>273</v>
      </c>
      <c r="E312" s="1132"/>
      <c r="F312" s="1132"/>
      <c r="G312" s="1132"/>
      <c r="H312" s="1132"/>
      <c r="I312" s="1132"/>
      <c r="J312" s="1132"/>
      <c r="K312" s="1132"/>
      <c r="L312" s="690"/>
      <c r="M312" s="684"/>
      <c r="N312" s="691"/>
      <c r="O312" s="692"/>
      <c r="P312" s="684"/>
      <c r="Q312" s="684"/>
      <c r="R312" s="684"/>
    </row>
    <row r="313" spans="1:18" ht="14.25" hidden="1">
      <c r="A313" s="684"/>
      <c r="B313" s="684"/>
      <c r="C313" s="684"/>
      <c r="D313" s="720" t="str">
        <f>$D$176</f>
        <v>What must be provided?</v>
      </c>
      <c r="E313" s="684"/>
      <c r="F313" s="689"/>
      <c r="G313" s="684"/>
      <c r="H313" s="684"/>
      <c r="I313" s="684"/>
      <c r="J313" s="684"/>
      <c r="K313" s="684"/>
      <c r="L313" s="690"/>
      <c r="M313" s="684"/>
      <c r="N313" s="691"/>
      <c r="O313" s="692"/>
      <c r="P313" s="684"/>
      <c r="Q313" s="684"/>
      <c r="R313" s="684"/>
    </row>
    <row r="314" spans="1:18" ht="14.25" hidden="1">
      <c r="A314" s="684"/>
      <c r="B314" s="684"/>
      <c r="C314" s="684"/>
      <c r="D314" s="1131" t="s">
        <v>274</v>
      </c>
      <c r="E314" s="1132"/>
      <c r="F314" s="1132"/>
      <c r="G314" s="1132"/>
      <c r="H314" s="1132"/>
      <c r="I314" s="1132"/>
      <c r="J314" s="1132"/>
      <c r="K314" s="1132"/>
      <c r="L314" s="690"/>
      <c r="M314" s="684"/>
      <c r="N314" s="691"/>
      <c r="O314" s="692"/>
      <c r="P314" s="684"/>
      <c r="Q314" s="684"/>
      <c r="R314" s="684"/>
    </row>
    <row r="315" spans="1:18" ht="14.25" hidden="1">
      <c r="A315" s="684"/>
      <c r="B315" s="684"/>
      <c r="C315" s="684"/>
      <c r="D315" s="720" t="str">
        <f>$D$180</f>
        <v>How can it be measured?</v>
      </c>
      <c r="E315" s="684"/>
      <c r="F315" s="689"/>
      <c r="G315" s="684"/>
      <c r="H315" s="684"/>
      <c r="I315" s="684"/>
      <c r="J315" s="684"/>
      <c r="K315" s="684"/>
      <c r="L315" s="690"/>
      <c r="M315" s="684"/>
      <c r="N315" s="691"/>
      <c r="O315" s="692"/>
      <c r="P315" s="684"/>
      <c r="Q315" s="684"/>
      <c r="R315" s="684"/>
    </row>
    <row r="316" spans="1:18" ht="14.25" hidden="1">
      <c r="A316" s="684"/>
      <c r="B316" s="684"/>
      <c r="C316" s="684"/>
      <c r="D316" s="1131" t="s">
        <v>275</v>
      </c>
      <c r="E316" s="1132"/>
      <c r="F316" s="1132"/>
      <c r="G316" s="1132"/>
      <c r="H316" s="1132"/>
      <c r="I316" s="1132"/>
      <c r="J316" s="1132"/>
      <c r="K316" s="1132"/>
      <c r="L316" s="690"/>
      <c r="M316" s="684"/>
      <c r="N316" s="691"/>
      <c r="O316" s="692"/>
      <c r="P316" s="684"/>
      <c r="Q316" s="684"/>
      <c r="R316" s="684"/>
    </row>
    <row r="317" spans="1:18" ht="14.25" hidden="1">
      <c r="A317" s="684"/>
      <c r="B317" s="684"/>
      <c r="C317" s="684"/>
      <c r="D317" s="720" t="str">
        <f>$D$184</f>
        <v>What is a valid result?</v>
      </c>
      <c r="E317" s="684"/>
      <c r="F317" s="689"/>
      <c r="G317" s="684"/>
      <c r="H317" s="684"/>
      <c r="I317" s="684"/>
      <c r="J317" s="684"/>
      <c r="K317" s="684"/>
      <c r="L317" s="690"/>
      <c r="M317" s="684"/>
      <c r="N317" s="691"/>
      <c r="O317" s="692"/>
      <c r="P317" s="684"/>
      <c r="Q317" s="684"/>
      <c r="R317" s="684"/>
    </row>
    <row r="318" spans="1:18" ht="14.25" hidden="1">
      <c r="A318" s="684"/>
      <c r="B318" s="684"/>
      <c r="C318" s="684"/>
      <c r="D318" s="1131" t="s">
        <v>277</v>
      </c>
      <c r="E318" s="1132"/>
      <c r="F318" s="1132"/>
      <c r="G318" s="1132"/>
      <c r="H318" s="1132"/>
      <c r="I318" s="1132"/>
      <c r="J318" s="1132"/>
      <c r="K318" s="1132"/>
      <c r="L318" s="690"/>
      <c r="M318" s="684"/>
      <c r="N318" s="691"/>
      <c r="O318" s="692"/>
      <c r="P318" s="684"/>
      <c r="Q318" s="684"/>
      <c r="R318" s="684"/>
    </row>
    <row r="319" spans="1:18" ht="14.25" hidden="1">
      <c r="A319" s="684"/>
      <c r="B319" s="684"/>
      <c r="C319" s="684"/>
      <c r="D319" s="684"/>
      <c r="E319" s="684"/>
      <c r="F319" s="689"/>
      <c r="G319" s="684"/>
      <c r="H319" s="684"/>
      <c r="I319" s="684"/>
      <c r="J319" s="684"/>
      <c r="K319" s="684"/>
      <c r="L319" s="690"/>
      <c r="M319" s="684"/>
      <c r="N319" s="691"/>
      <c r="O319" s="692"/>
      <c r="P319" s="684"/>
      <c r="Q319" s="684"/>
      <c r="R319" s="684"/>
    </row>
    <row r="320" spans="1:18" ht="14.25" hidden="1">
      <c r="A320" s="684"/>
      <c r="B320" s="684"/>
      <c r="C320" s="684"/>
      <c r="D320" s="684" t="str">
        <f>L160</f>
        <v>R1.2. (meta)data are associated with detailed provenance</v>
      </c>
      <c r="E320" s="684"/>
      <c r="F320" s="689"/>
      <c r="G320" s="684"/>
      <c r="H320" s="684"/>
      <c r="I320" s="684"/>
      <c r="J320" s="684"/>
      <c r="K320" s="684"/>
      <c r="L320" s="690"/>
      <c r="M320" s="684"/>
      <c r="N320" s="691"/>
      <c r="O320" s="692"/>
      <c r="P320" s="684"/>
      <c r="Q320" s="684"/>
      <c r="R320" s="684"/>
    </row>
    <row r="321" spans="1:18" ht="14.25" hidden="1">
      <c r="A321" s="684"/>
      <c r="B321" s="684"/>
      <c r="C321" s="684"/>
      <c r="D321" s="720" t="str">
        <f>$D$172</f>
        <v>What is being measured?</v>
      </c>
      <c r="E321" s="684"/>
      <c r="F321" s="689"/>
      <c r="G321" s="684"/>
      <c r="H321" s="684"/>
      <c r="I321" s="684"/>
      <c r="J321" s="684"/>
      <c r="K321" s="684"/>
      <c r="L321" s="690"/>
      <c r="M321" s="684"/>
      <c r="N321" s="691"/>
      <c r="O321" s="692"/>
      <c r="P321" s="684"/>
      <c r="Q321" s="684"/>
      <c r="R321" s="684"/>
    </row>
    <row r="322" spans="1:18" ht="14.25" hidden="1">
      <c r="A322" s="684"/>
      <c r="B322" s="684"/>
      <c r="C322" s="684"/>
      <c r="D322" s="1131" t="s">
        <v>278</v>
      </c>
      <c r="E322" s="1132"/>
      <c r="F322" s="1132"/>
      <c r="G322" s="1132"/>
      <c r="H322" s="1132"/>
      <c r="I322" s="1132"/>
      <c r="J322" s="1132"/>
      <c r="K322" s="1132"/>
      <c r="L322" s="690"/>
      <c r="M322" s="684"/>
      <c r="N322" s="691"/>
      <c r="O322" s="692"/>
      <c r="P322" s="684"/>
      <c r="Q322" s="684"/>
      <c r="R322" s="684"/>
    </row>
    <row r="323" spans="1:18" ht="14.25" hidden="1">
      <c r="A323" s="684"/>
      <c r="B323" s="684"/>
      <c r="C323" s="684"/>
      <c r="D323" s="720" t="str">
        <f>$D$176</f>
        <v>What must be provided?</v>
      </c>
      <c r="E323" s="684"/>
      <c r="F323" s="689"/>
      <c r="G323" s="684"/>
      <c r="H323" s="684"/>
      <c r="I323" s="684"/>
      <c r="J323" s="684"/>
      <c r="K323" s="684"/>
      <c r="L323" s="690"/>
      <c r="M323" s="684"/>
      <c r="N323" s="691"/>
      <c r="O323" s="692"/>
      <c r="P323" s="684"/>
      <c r="Q323" s="684"/>
      <c r="R323" s="684"/>
    </row>
    <row r="324" spans="1:18" ht="14.25" hidden="1">
      <c r="A324" s="684"/>
      <c r="B324" s="684"/>
      <c r="C324" s="684"/>
      <c r="D324" s="1131" t="s">
        <v>279</v>
      </c>
      <c r="E324" s="1132"/>
      <c r="F324" s="1132"/>
      <c r="G324" s="1132"/>
      <c r="H324" s="1132"/>
      <c r="I324" s="1132"/>
      <c r="J324" s="1132"/>
      <c r="K324" s="1132"/>
      <c r="L324" s="690"/>
      <c r="M324" s="684"/>
      <c r="N324" s="691"/>
      <c r="O324" s="692"/>
      <c r="P324" s="684"/>
      <c r="Q324" s="684"/>
      <c r="R324" s="684"/>
    </row>
    <row r="325" spans="1:18" ht="14.25" hidden="1">
      <c r="A325" s="684"/>
      <c r="B325" s="684"/>
      <c r="C325" s="684"/>
      <c r="D325" s="720" t="str">
        <f>$D$180</f>
        <v>How can it be measured?</v>
      </c>
      <c r="E325" s="684"/>
      <c r="F325" s="689"/>
      <c r="G325" s="684"/>
      <c r="H325" s="684"/>
      <c r="I325" s="684"/>
      <c r="J325" s="684"/>
      <c r="K325" s="684"/>
      <c r="L325" s="690"/>
      <c r="M325" s="684"/>
      <c r="N325" s="691"/>
      <c r="O325" s="692"/>
      <c r="P325" s="684"/>
      <c r="Q325" s="684"/>
      <c r="R325" s="684"/>
    </row>
    <row r="326" spans="1:18" ht="14.25" hidden="1">
      <c r="A326" s="684"/>
      <c r="B326" s="684"/>
      <c r="C326" s="684"/>
      <c r="D326" s="1131" t="s">
        <v>280</v>
      </c>
      <c r="E326" s="1132"/>
      <c r="F326" s="1132"/>
      <c r="G326" s="1132"/>
      <c r="H326" s="1132"/>
      <c r="I326" s="1132"/>
      <c r="J326" s="1132"/>
      <c r="K326" s="1132"/>
      <c r="L326" s="690"/>
      <c r="M326" s="684"/>
      <c r="N326" s="691"/>
      <c r="O326" s="692"/>
      <c r="P326" s="684"/>
      <c r="Q326" s="684"/>
      <c r="R326" s="684"/>
    </row>
    <row r="327" spans="1:18" ht="14.25" hidden="1">
      <c r="A327" s="684"/>
      <c r="B327" s="684"/>
      <c r="C327" s="684"/>
      <c r="D327" s="720" t="str">
        <f>$D$184</f>
        <v>What is a valid result?</v>
      </c>
      <c r="E327" s="684"/>
      <c r="F327" s="689"/>
      <c r="G327" s="684"/>
      <c r="H327" s="684"/>
      <c r="I327" s="684"/>
      <c r="J327" s="684"/>
      <c r="K327" s="684"/>
      <c r="L327" s="690"/>
      <c r="M327" s="684"/>
      <c r="N327" s="691"/>
      <c r="O327" s="692"/>
      <c r="P327" s="684"/>
      <c r="Q327" s="684"/>
      <c r="R327" s="684"/>
    </row>
    <row r="328" spans="1:18" ht="14.25" hidden="1">
      <c r="A328" s="684"/>
      <c r="B328" s="684"/>
      <c r="C328" s="684"/>
      <c r="D328" s="1131" t="s">
        <v>281</v>
      </c>
      <c r="E328" s="1132"/>
      <c r="F328" s="1132"/>
      <c r="G328" s="1132"/>
      <c r="H328" s="1132"/>
      <c r="I328" s="1132"/>
      <c r="J328" s="1132"/>
      <c r="K328" s="1132"/>
      <c r="L328" s="690"/>
      <c r="M328" s="684"/>
      <c r="N328" s="691"/>
      <c r="O328" s="692"/>
      <c r="P328" s="684"/>
      <c r="Q328" s="684"/>
      <c r="R328" s="684"/>
    </row>
    <row r="329" spans="1:18" ht="14.25" hidden="1">
      <c r="A329" s="684"/>
      <c r="B329" s="684"/>
      <c r="C329" s="684"/>
      <c r="D329" s="684"/>
      <c r="E329" s="684"/>
      <c r="F329" s="689"/>
      <c r="G329" s="684"/>
      <c r="H329" s="684"/>
      <c r="I329" s="684"/>
      <c r="J329" s="684"/>
      <c r="K329" s="684"/>
      <c r="L329" s="690"/>
      <c r="M329" s="684"/>
      <c r="N329" s="691"/>
      <c r="O329" s="692"/>
      <c r="P329" s="684"/>
      <c r="Q329" s="684"/>
      <c r="R329" s="684"/>
    </row>
    <row r="330" spans="1:18" ht="14.25" hidden="1">
      <c r="A330" s="684"/>
      <c r="B330" s="684"/>
      <c r="C330" s="684"/>
      <c r="D330" s="684" t="str">
        <f>L161</f>
        <v>R1.3. (meta)data meet domain-relevant community standards</v>
      </c>
      <c r="E330" s="684"/>
      <c r="F330" s="689"/>
      <c r="G330" s="684"/>
      <c r="H330" s="684"/>
      <c r="I330" s="684"/>
      <c r="J330" s="684"/>
      <c r="K330" s="684"/>
      <c r="L330" s="690"/>
      <c r="M330" s="684"/>
      <c r="N330" s="691"/>
      <c r="O330" s="692"/>
      <c r="P330" s="684"/>
      <c r="Q330" s="684"/>
      <c r="R330" s="684"/>
    </row>
    <row r="331" spans="1:18" ht="14.25" hidden="1">
      <c r="A331" s="684"/>
      <c r="B331" s="684"/>
      <c r="C331" s="684"/>
      <c r="D331" s="720" t="str">
        <f>$D$172</f>
        <v>What is being measured?</v>
      </c>
      <c r="E331" s="684"/>
      <c r="F331" s="689"/>
      <c r="G331" s="684"/>
      <c r="H331" s="684"/>
      <c r="I331" s="684"/>
      <c r="J331" s="684"/>
      <c r="K331" s="684"/>
      <c r="L331" s="690"/>
      <c r="M331" s="684"/>
      <c r="N331" s="691"/>
      <c r="O331" s="692"/>
      <c r="P331" s="684"/>
      <c r="Q331" s="684"/>
      <c r="R331" s="684"/>
    </row>
    <row r="332" spans="1:18" ht="14.25" hidden="1">
      <c r="A332" s="684"/>
      <c r="B332" s="684"/>
      <c r="C332" s="684"/>
      <c r="D332" s="1131" t="s">
        <v>282</v>
      </c>
      <c r="E332" s="1132"/>
      <c r="F332" s="1132"/>
      <c r="G332" s="1132"/>
      <c r="H332" s="1132"/>
      <c r="I332" s="1132"/>
      <c r="J332" s="1132"/>
      <c r="K332" s="1132"/>
      <c r="L332" s="690"/>
      <c r="M332" s="684"/>
      <c r="N332" s="691"/>
      <c r="O332" s="692"/>
      <c r="P332" s="684"/>
      <c r="Q332" s="684"/>
      <c r="R332" s="684"/>
    </row>
    <row r="333" spans="1:18" ht="14.25" hidden="1">
      <c r="A333" s="684"/>
      <c r="B333" s="684"/>
      <c r="C333" s="684"/>
      <c r="D333" s="720" t="str">
        <f>$D$176</f>
        <v>What must be provided?</v>
      </c>
      <c r="E333" s="684"/>
      <c r="F333" s="689"/>
      <c r="G333" s="684"/>
      <c r="H333" s="684"/>
      <c r="I333" s="684"/>
      <c r="J333" s="684"/>
      <c r="K333" s="684"/>
      <c r="L333" s="690"/>
      <c r="M333" s="684"/>
      <c r="N333" s="691"/>
      <c r="O333" s="692"/>
      <c r="P333" s="684"/>
      <c r="Q333" s="684"/>
      <c r="R333" s="684"/>
    </row>
    <row r="334" spans="1:18" ht="14.25" hidden="1">
      <c r="A334" s="684"/>
      <c r="B334" s="684"/>
      <c r="C334" s="684"/>
      <c r="D334" s="1131" t="s">
        <v>283</v>
      </c>
      <c r="E334" s="1132"/>
      <c r="F334" s="1132"/>
      <c r="G334" s="1132"/>
      <c r="H334" s="1132"/>
      <c r="I334" s="1132"/>
      <c r="J334" s="1132"/>
      <c r="K334" s="1132"/>
      <c r="L334" s="690"/>
      <c r="M334" s="684"/>
      <c r="N334" s="691"/>
      <c r="O334" s="692"/>
      <c r="P334" s="684"/>
      <c r="Q334" s="684"/>
      <c r="R334" s="684"/>
    </row>
    <row r="335" spans="1:18" ht="14.25" hidden="1">
      <c r="A335" s="684"/>
      <c r="B335" s="684"/>
      <c r="C335" s="684"/>
      <c r="D335" s="720" t="str">
        <f>$D$180</f>
        <v>How can it be measured?</v>
      </c>
      <c r="E335" s="684"/>
      <c r="F335" s="689"/>
      <c r="G335" s="684"/>
      <c r="H335" s="684"/>
      <c r="I335" s="684"/>
      <c r="J335" s="684"/>
      <c r="K335" s="684"/>
      <c r="L335" s="690"/>
      <c r="M335" s="684"/>
      <c r="N335" s="691"/>
      <c r="O335" s="692"/>
      <c r="P335" s="684"/>
      <c r="Q335" s="684"/>
      <c r="R335" s="684"/>
    </row>
    <row r="336" spans="1:18" ht="14.25" hidden="1">
      <c r="A336" s="684"/>
      <c r="B336" s="684"/>
      <c r="C336" s="684"/>
      <c r="D336" s="1131" t="s">
        <v>284</v>
      </c>
      <c r="E336" s="1132"/>
      <c r="F336" s="1132"/>
      <c r="G336" s="1132"/>
      <c r="H336" s="1132"/>
      <c r="I336" s="1132"/>
      <c r="J336" s="1132"/>
      <c r="K336" s="1132"/>
      <c r="L336" s="690"/>
      <c r="M336" s="684"/>
      <c r="N336" s="691"/>
      <c r="O336" s="692"/>
      <c r="P336" s="684"/>
      <c r="Q336" s="684"/>
      <c r="R336" s="684"/>
    </row>
    <row r="337" spans="1:18" ht="14.25" hidden="1">
      <c r="A337" s="684"/>
      <c r="B337" s="684"/>
      <c r="C337" s="684"/>
      <c r="D337" s="720" t="str">
        <f>$D$184</f>
        <v>What is a valid result?</v>
      </c>
      <c r="E337" s="684"/>
      <c r="F337" s="689"/>
      <c r="G337" s="684"/>
      <c r="H337" s="684"/>
      <c r="I337" s="684"/>
      <c r="J337" s="684"/>
      <c r="K337" s="684"/>
      <c r="L337" s="690"/>
      <c r="M337" s="684"/>
      <c r="N337" s="691"/>
      <c r="O337" s="692"/>
      <c r="P337" s="684"/>
      <c r="Q337" s="684"/>
      <c r="R337" s="684"/>
    </row>
    <row r="338" spans="1:18" ht="14.25" hidden="1">
      <c r="A338" s="684"/>
      <c r="B338" s="684"/>
      <c r="C338" s="684"/>
      <c r="D338" s="1131" t="s">
        <v>286</v>
      </c>
      <c r="E338" s="1132"/>
      <c r="F338" s="1132"/>
      <c r="G338" s="1132"/>
      <c r="H338" s="1132"/>
      <c r="I338" s="1132"/>
      <c r="J338" s="1132"/>
      <c r="K338" s="1132"/>
      <c r="L338" s="690"/>
      <c r="M338" s="684"/>
      <c r="N338" s="691"/>
      <c r="O338" s="692"/>
      <c r="P338" s="684"/>
      <c r="Q338" s="684"/>
      <c r="R338" s="684"/>
    </row>
    <row r="339" spans="1:18" ht="14.25" hidden="1">
      <c r="A339" s="684"/>
      <c r="B339" s="684"/>
      <c r="C339" s="684"/>
      <c r="D339" s="696" t="s">
        <v>29</v>
      </c>
      <c r="E339" s="684"/>
      <c r="F339" s="689"/>
      <c r="G339" s="684"/>
      <c r="H339" s="684"/>
      <c r="I339" s="684"/>
      <c r="J339" s="684"/>
      <c r="K339" s="684"/>
      <c r="L339" s="690"/>
      <c r="M339" s="684"/>
      <c r="N339" s="691"/>
      <c r="O339" s="692"/>
      <c r="P339" s="684"/>
      <c r="Q339" s="684"/>
      <c r="R339" s="684"/>
    </row>
    <row r="340" spans="1:18" ht="14.25">
      <c r="A340" s="684"/>
      <c r="B340" s="684"/>
      <c r="C340" s="684"/>
      <c r="D340" s="684"/>
      <c r="E340" s="684"/>
      <c r="F340" s="689"/>
      <c r="G340" s="684"/>
      <c r="H340" s="684"/>
      <c r="I340" s="684"/>
      <c r="J340" s="684"/>
      <c r="K340" s="684"/>
      <c r="L340" s="690"/>
      <c r="M340" s="684"/>
      <c r="N340" s="691"/>
      <c r="O340" s="692"/>
      <c r="P340" s="684"/>
      <c r="Q340" s="684"/>
      <c r="R340" s="684"/>
    </row>
    <row r="341" spans="1:18" ht="14.25">
      <c r="A341" s="684"/>
      <c r="B341" s="765" t="s">
        <v>287</v>
      </c>
      <c r="C341" s="765"/>
      <c r="D341" s="765"/>
      <c r="E341" s="766" t="s">
        <v>154</v>
      </c>
      <c r="F341" s="770"/>
      <c r="G341" s="765"/>
      <c r="H341" s="765"/>
      <c r="I341" s="765"/>
      <c r="J341" s="684"/>
      <c r="K341" s="684"/>
      <c r="L341" s="690"/>
      <c r="M341" s="684"/>
      <c r="N341" s="691"/>
      <c r="O341" s="692"/>
      <c r="P341" s="684"/>
      <c r="Q341" s="684"/>
      <c r="R341" s="684"/>
    </row>
    <row r="342" spans="1:18" ht="14.25">
      <c r="A342" s="684"/>
      <c r="B342" s="684"/>
      <c r="C342" s="684"/>
      <c r="D342" s="684"/>
      <c r="E342" s="684"/>
      <c r="F342" s="689"/>
      <c r="G342" s="684"/>
      <c r="H342" s="684"/>
      <c r="I342" s="684"/>
      <c r="J342" s="684"/>
      <c r="K342" s="684"/>
      <c r="L342" s="690"/>
      <c r="M342" s="684"/>
      <c r="N342" s="691"/>
      <c r="O342" s="692"/>
      <c r="P342" s="684"/>
      <c r="Q342" s="684"/>
      <c r="R342" s="684"/>
    </row>
    <row r="343" spans="1:18" ht="14.25">
      <c r="A343" s="684"/>
      <c r="B343" s="684"/>
      <c r="C343" s="684"/>
      <c r="D343" s="684"/>
      <c r="E343" s="684"/>
      <c r="F343" s="689"/>
      <c r="G343" s="684"/>
      <c r="H343" s="684"/>
      <c r="I343" s="684"/>
      <c r="J343" s="684"/>
      <c r="K343" s="684"/>
      <c r="L343" s="690"/>
      <c r="M343" s="684"/>
      <c r="N343" s="691"/>
      <c r="O343" s="692"/>
      <c r="P343" s="684"/>
      <c r="Q343" s="684"/>
      <c r="R343" s="684"/>
    </row>
    <row r="344" spans="1:18" ht="14.25">
      <c r="A344" s="684"/>
      <c r="B344" s="684"/>
      <c r="C344" s="684"/>
      <c r="D344" s="684"/>
      <c r="E344" s="684"/>
      <c r="F344" s="689"/>
      <c r="G344" s="684"/>
      <c r="H344" s="684"/>
      <c r="I344" s="684"/>
      <c r="J344" s="684"/>
      <c r="K344" s="684"/>
      <c r="L344" s="690"/>
      <c r="M344" s="684"/>
      <c r="N344" s="691"/>
      <c r="O344" s="692"/>
      <c r="P344" s="684"/>
      <c r="Q344" s="684"/>
      <c r="R344" s="684"/>
    </row>
    <row r="345" spans="1:18" ht="14.25">
      <c r="A345" s="684"/>
      <c r="B345" s="684"/>
      <c r="C345" s="684"/>
      <c r="D345" s="684"/>
      <c r="E345" s="684"/>
      <c r="F345" s="689"/>
      <c r="G345" s="684"/>
      <c r="H345" s="684"/>
      <c r="I345" s="684"/>
      <c r="J345" s="684"/>
      <c r="K345" s="684"/>
      <c r="L345" s="690"/>
      <c r="M345" s="684"/>
      <c r="N345" s="691"/>
      <c r="O345" s="692"/>
      <c r="P345" s="684"/>
      <c r="Q345" s="684"/>
      <c r="R345" s="684"/>
    </row>
    <row r="346" spans="1:18" ht="14.25">
      <c r="A346" s="684"/>
      <c r="B346" s="684"/>
      <c r="C346" s="684"/>
      <c r="D346" s="684"/>
      <c r="E346" s="684"/>
      <c r="F346" s="689"/>
      <c r="G346" s="684"/>
      <c r="H346" s="684"/>
      <c r="I346" s="684"/>
      <c r="J346" s="684"/>
      <c r="K346" s="684"/>
      <c r="L346" s="690"/>
      <c r="M346" s="684"/>
      <c r="N346" s="691"/>
      <c r="O346" s="692"/>
      <c r="P346" s="684"/>
      <c r="Q346" s="684"/>
      <c r="R346" s="684"/>
    </row>
    <row r="347" spans="1:18" ht="14.25">
      <c r="A347" s="684"/>
      <c r="B347" s="684"/>
      <c r="C347" s="684"/>
      <c r="D347" s="684"/>
      <c r="E347" s="684"/>
      <c r="F347" s="689"/>
      <c r="G347" s="684"/>
      <c r="H347" s="684"/>
      <c r="I347" s="684"/>
      <c r="J347" s="684"/>
      <c r="K347" s="684"/>
      <c r="L347" s="690"/>
      <c r="M347" s="684"/>
      <c r="N347" s="691"/>
      <c r="O347" s="692"/>
      <c r="P347" s="684"/>
      <c r="Q347" s="684"/>
      <c r="R347" s="684"/>
    </row>
    <row r="348" spans="1:18" ht="14.25">
      <c r="A348" s="684"/>
      <c r="B348" s="684"/>
      <c r="C348" s="684"/>
      <c r="D348" s="684"/>
      <c r="E348" s="684"/>
      <c r="F348" s="689"/>
      <c r="G348" s="684"/>
      <c r="H348" s="684"/>
      <c r="I348" s="684"/>
      <c r="J348" s="684"/>
      <c r="K348" s="684"/>
      <c r="L348" s="690"/>
      <c r="M348" s="684"/>
      <c r="N348" s="691"/>
      <c r="O348" s="692"/>
      <c r="P348" s="684"/>
      <c r="Q348" s="684"/>
      <c r="R348" s="684"/>
    </row>
  </sheetData>
  <mergeCells count="74">
    <mergeCell ref="D326:K326"/>
    <mergeCell ref="D318:K318"/>
    <mergeCell ref="D296:K296"/>
    <mergeCell ref="D298:K298"/>
    <mergeCell ref="D288:K288"/>
    <mergeCell ref="D294:K294"/>
    <mergeCell ref="D292:K292"/>
    <mergeCell ref="D324:K324"/>
    <mergeCell ref="D322:K322"/>
    <mergeCell ref="D306:K306"/>
    <mergeCell ref="D302:K302"/>
    <mergeCell ref="D304:K304"/>
    <mergeCell ref="D316:K316"/>
    <mergeCell ref="D314:K314"/>
    <mergeCell ref="D328:K328"/>
    <mergeCell ref="D336:K336"/>
    <mergeCell ref="D338:K338"/>
    <mergeCell ref="D334:K334"/>
    <mergeCell ref="D332:K332"/>
    <mergeCell ref="C5:L5"/>
    <mergeCell ref="D192:K192"/>
    <mergeCell ref="D206:K206"/>
    <mergeCell ref="D212:K212"/>
    <mergeCell ref="D208:K208"/>
    <mergeCell ref="D196:K196"/>
    <mergeCell ref="D204:K204"/>
    <mergeCell ref="D202:K202"/>
    <mergeCell ref="D198:K198"/>
    <mergeCell ref="D167:L167"/>
    <mergeCell ref="D168:L168"/>
    <mergeCell ref="D194:K194"/>
    <mergeCell ref="C165:L165"/>
    <mergeCell ref="C119:L119"/>
    <mergeCell ref="D170:L170"/>
    <mergeCell ref="C7:L7"/>
    <mergeCell ref="C9:L9"/>
    <mergeCell ref="C41:L41"/>
    <mergeCell ref="C37:L37"/>
    <mergeCell ref="D186:L186"/>
    <mergeCell ref="D182:L182"/>
    <mergeCell ref="D174:L174"/>
    <mergeCell ref="D178:L178"/>
    <mergeCell ref="D234:K234"/>
    <mergeCell ref="D232:K232"/>
    <mergeCell ref="D268:K268"/>
    <mergeCell ref="D266:K266"/>
    <mergeCell ref="D246:K246"/>
    <mergeCell ref="D262:K262"/>
    <mergeCell ref="D256:K256"/>
    <mergeCell ref="D264:K264"/>
    <mergeCell ref="D282:K282"/>
    <mergeCell ref="D284:K284"/>
    <mergeCell ref="D312:K312"/>
    <mergeCell ref="D308:K308"/>
    <mergeCell ref="D274:K274"/>
    <mergeCell ref="D286:K286"/>
    <mergeCell ref="D276:K276"/>
    <mergeCell ref="D278:K278"/>
    <mergeCell ref="D272:K272"/>
    <mergeCell ref="D248:K248"/>
    <mergeCell ref="D252:K252"/>
    <mergeCell ref="D214:K214"/>
    <mergeCell ref="D224:K224"/>
    <mergeCell ref="D222:K222"/>
    <mergeCell ref="D216:K216"/>
    <mergeCell ref="D218:K218"/>
    <mergeCell ref="D258:K258"/>
    <mergeCell ref="D254:K254"/>
    <mergeCell ref="D226:K226"/>
    <mergeCell ref="D228:K228"/>
    <mergeCell ref="D244:K244"/>
    <mergeCell ref="D242:K242"/>
    <mergeCell ref="D236:K236"/>
    <mergeCell ref="D238:K238"/>
  </mergeCells>
  <conditionalFormatting sqref="G121">
    <cfRule type="containsText" dxfId="38" priority="1" operator="containsText" text="No Input">
      <formula>NOT(ISERROR(SEARCH(("No Input"),(G121))))</formula>
    </cfRule>
  </conditionalFormatting>
  <dataValidations count="2">
    <dataValidation type="list" allowBlank="1" sqref="L47:L48 L52 L56 L60 L69 L73 L77 L81 L88 L92 L96 L106 L111 L117">
      <formula1>$C$21:$C$26</formula1>
    </dataValidation>
    <dataValidation type="list" allowBlank="1" showInputMessage="1" prompt="Please select a FAIR facet to display information" sqref="D170">
      <formula1>$L$142:$L$161</formula1>
    </dataValidation>
  </dataValidations>
  <hyperlinks>
    <hyperlink ref="C18" r:id="rId1"/>
    <hyperlink ref="C19" r:id="rId2"/>
    <hyperlink ref="C41" location="Google_Sheet_Link_599341295" display="Should you need help to compete the questionnaire, please refer to the FAQ which is below the questionnaire"/>
    <hyperlink ref="I140" r:id="rId3"/>
    <hyperlink ref="I141" r:id="rId4"/>
    <hyperlink ref="E341" r:id="rId5"/>
  </hyperlinks>
  <pageMargins left="0.7" right="0.7" top="0.75" bottom="0.75" header="0.3" footer="0.3"/>
  <pageSetup paperSize="9" orientation="portrait" r:id="rId6"/>
  <drawing r:id="rId7"/>
  <legacy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6900"/>
    <outlinePr summaryBelow="0" summaryRight="0"/>
  </sheetPr>
  <dimension ref="A1:Z123"/>
  <sheetViews>
    <sheetView showGridLines="0" workbookViewId="0">
      <selection activeCell="H101" sqref="H101"/>
    </sheetView>
  </sheetViews>
  <sheetFormatPr defaultColWidth="14.42578125" defaultRowHeight="15" customHeight="1"/>
  <cols>
    <col min="1" max="1" width="3.5703125" style="662" customWidth="1"/>
    <col min="2" max="3" width="2.28515625" style="662" customWidth="1"/>
    <col min="4" max="4" width="3" style="662" customWidth="1"/>
    <col min="5" max="5" width="64.28515625" style="662" customWidth="1"/>
    <col min="6" max="6" width="3.42578125" style="662" customWidth="1"/>
    <col min="7" max="7" width="11.85546875" style="662" customWidth="1"/>
    <col min="8" max="15" width="15.85546875" style="662" customWidth="1"/>
    <col min="16" max="17" width="2.28515625" style="662" customWidth="1"/>
    <col min="18" max="18" width="4.42578125" style="662" bestFit="1" customWidth="1"/>
    <col min="19" max="19" width="1.140625" style="662" customWidth="1"/>
    <col min="20" max="20" width="4.42578125" style="662" bestFit="1" customWidth="1"/>
    <col min="21" max="21" width="2.28515625" style="662" customWidth="1"/>
    <col min="22" max="22" width="2.5703125" style="662" customWidth="1"/>
    <col min="23" max="26" width="8.7109375" style="662" customWidth="1"/>
    <col min="27" max="16384" width="14.42578125" style="662"/>
  </cols>
  <sheetData>
    <row r="1" spans="1:26" ht="14.25">
      <c r="A1" s="684"/>
      <c r="B1" s="684"/>
      <c r="C1" s="684"/>
      <c r="D1" s="684"/>
      <c r="E1" s="689"/>
      <c r="F1" s="690"/>
      <c r="G1" s="684"/>
      <c r="H1" s="684"/>
      <c r="I1" s="684"/>
      <c r="J1" s="684"/>
      <c r="K1" s="684"/>
      <c r="L1" s="684"/>
      <c r="M1" s="684"/>
      <c r="N1" s="684"/>
      <c r="O1" s="684"/>
      <c r="P1" s="684"/>
      <c r="Q1" s="684"/>
      <c r="R1" s="684"/>
      <c r="S1" s="684"/>
      <c r="T1" s="684"/>
      <c r="U1" s="684"/>
      <c r="V1" s="684"/>
      <c r="W1" s="684"/>
      <c r="X1" s="780"/>
      <c r="Y1" s="684"/>
      <c r="Z1" s="684"/>
    </row>
    <row r="2" spans="1:26" ht="9.75" customHeight="1">
      <c r="A2" s="684"/>
      <c r="B2" s="757"/>
      <c r="C2" s="757"/>
      <c r="D2" s="757"/>
      <c r="E2" s="748"/>
      <c r="F2" s="781"/>
      <c r="G2" s="782"/>
      <c r="H2" s="782"/>
      <c r="I2" s="782"/>
      <c r="J2" s="782"/>
      <c r="K2" s="782"/>
      <c r="L2" s="782"/>
      <c r="M2" s="782"/>
      <c r="N2" s="782"/>
      <c r="O2" s="782"/>
      <c r="P2" s="782"/>
      <c r="Q2" s="782"/>
      <c r="R2" s="782"/>
      <c r="S2" s="782"/>
      <c r="T2" s="782"/>
      <c r="U2" s="782"/>
      <c r="V2" s="782"/>
      <c r="W2" s="684"/>
      <c r="X2" s="780"/>
      <c r="Y2" s="684"/>
      <c r="Z2" s="684"/>
    </row>
    <row r="3" spans="1:26" ht="17.25" customHeight="1">
      <c r="A3" s="684"/>
      <c r="B3" s="757"/>
      <c r="C3" s="783" t="s">
        <v>142</v>
      </c>
      <c r="D3" s="665"/>
      <c r="E3" s="784"/>
      <c r="F3" s="785"/>
      <c r="G3" s="782"/>
      <c r="H3" s="782"/>
      <c r="I3" s="663"/>
      <c r="J3" s="782"/>
      <c r="K3" s="782"/>
      <c r="L3" s="782"/>
      <c r="M3" s="782"/>
      <c r="N3" s="782"/>
      <c r="O3" s="782"/>
      <c r="P3" s="782"/>
      <c r="Q3" s="782"/>
      <c r="R3" s="782"/>
      <c r="S3" s="782"/>
      <c r="T3" s="782"/>
      <c r="U3" s="782"/>
      <c r="V3" s="782"/>
      <c r="W3" s="684"/>
      <c r="X3" s="780"/>
      <c r="Y3" s="684"/>
      <c r="Z3" s="684"/>
    </row>
    <row r="4" spans="1:26">
      <c r="A4" s="684"/>
      <c r="B4" s="685"/>
      <c r="C4" s="666"/>
      <c r="D4" s="685"/>
      <c r="E4" s="693"/>
      <c r="F4" s="694"/>
      <c r="G4" s="685"/>
      <c r="H4" s="685"/>
      <c r="I4" s="663"/>
      <c r="J4" s="685"/>
      <c r="K4" s="685"/>
      <c r="L4" s="685"/>
      <c r="M4" s="685"/>
      <c r="N4" s="685"/>
      <c r="O4" s="685"/>
      <c r="P4" s="685"/>
      <c r="Q4" s="685"/>
      <c r="R4" s="685"/>
      <c r="S4" s="685"/>
      <c r="T4" s="685"/>
      <c r="U4" s="685"/>
      <c r="V4" s="685"/>
      <c r="W4" s="684"/>
      <c r="X4" s="780"/>
      <c r="Y4" s="684"/>
      <c r="Z4" s="684"/>
    </row>
    <row r="5" spans="1:26" ht="14.25">
      <c r="A5" s="684"/>
      <c r="B5" s="685"/>
      <c r="C5" s="1135" t="s">
        <v>8</v>
      </c>
      <c r="D5" s="1136"/>
      <c r="E5" s="1136"/>
      <c r="F5" s="1136"/>
      <c r="G5" s="1136"/>
      <c r="H5" s="1136"/>
      <c r="I5" s="1137"/>
      <c r="J5" s="710"/>
      <c r="K5" s="710"/>
      <c r="L5" s="710"/>
      <c r="M5" s="685"/>
      <c r="N5" s="685"/>
      <c r="O5" s="685"/>
      <c r="P5" s="685"/>
      <c r="Q5" s="685"/>
      <c r="R5" s="685"/>
      <c r="S5" s="685"/>
      <c r="T5" s="685"/>
      <c r="U5" s="685"/>
      <c r="V5" s="685"/>
      <c r="W5" s="684"/>
      <c r="X5" s="780"/>
      <c r="Y5" s="684"/>
      <c r="Z5" s="684"/>
    </row>
    <row r="6" spans="1:26" ht="5.25" customHeight="1">
      <c r="A6" s="684"/>
      <c r="B6" s="685"/>
      <c r="C6" s="703"/>
      <c r="D6" s="685"/>
      <c r="E6" s="693"/>
      <c r="F6" s="694"/>
      <c r="G6" s="685"/>
      <c r="H6" s="685"/>
      <c r="I6" s="663"/>
      <c r="J6" s="685"/>
      <c r="K6" s="685"/>
      <c r="L6" s="685"/>
      <c r="M6" s="685"/>
      <c r="N6" s="685"/>
      <c r="O6" s="685"/>
      <c r="P6" s="685"/>
      <c r="Q6" s="685"/>
      <c r="R6" s="685"/>
      <c r="S6" s="685"/>
      <c r="T6" s="685"/>
      <c r="U6" s="685"/>
      <c r="V6" s="685"/>
      <c r="W6" s="684"/>
      <c r="X6" s="780"/>
      <c r="Y6" s="684"/>
      <c r="Z6" s="684"/>
    </row>
    <row r="7" spans="1:26" ht="25.5" customHeight="1">
      <c r="A7" s="684"/>
      <c r="B7" s="685"/>
      <c r="C7" s="1142" t="s">
        <v>143</v>
      </c>
      <c r="D7" s="1132"/>
      <c r="E7" s="1132"/>
      <c r="F7" s="1132"/>
      <c r="G7" s="1132"/>
      <c r="H7" s="1132"/>
      <c r="I7" s="1132"/>
      <c r="J7" s="685"/>
      <c r="K7" s="685"/>
      <c r="L7" s="685"/>
      <c r="M7" s="685"/>
      <c r="N7" s="685"/>
      <c r="O7" s="685"/>
      <c r="P7" s="685"/>
      <c r="Q7" s="685"/>
      <c r="R7" s="685"/>
      <c r="S7" s="685"/>
      <c r="T7" s="685"/>
      <c r="U7" s="685"/>
      <c r="V7" s="685"/>
      <c r="W7" s="684"/>
      <c r="X7" s="780"/>
      <c r="Y7" s="684"/>
      <c r="Z7" s="684"/>
    </row>
    <row r="8" spans="1:26" ht="14.25">
      <c r="A8" s="684"/>
      <c r="B8" s="685"/>
      <c r="C8" s="703"/>
      <c r="D8" s="685"/>
      <c r="E8" s="693"/>
      <c r="F8" s="694"/>
      <c r="G8" s="685"/>
      <c r="H8" s="685"/>
      <c r="I8" s="663"/>
      <c r="J8" s="685"/>
      <c r="K8" s="685"/>
      <c r="L8" s="685"/>
      <c r="M8" s="685"/>
      <c r="N8" s="685"/>
      <c r="O8" s="685"/>
      <c r="P8" s="685"/>
      <c r="Q8" s="685"/>
      <c r="R8" s="685"/>
      <c r="S8" s="685"/>
      <c r="T8" s="685"/>
      <c r="U8" s="685"/>
      <c r="V8" s="685"/>
      <c r="W8" s="684"/>
      <c r="X8" s="780"/>
      <c r="Y8" s="684"/>
      <c r="Z8" s="684"/>
    </row>
    <row r="9" spans="1:26" ht="27.95" customHeight="1">
      <c r="A9" s="684"/>
      <c r="B9" s="685"/>
      <c r="C9" s="1142" t="s">
        <v>1105</v>
      </c>
      <c r="D9" s="1112"/>
      <c r="E9" s="1112"/>
      <c r="F9" s="1112"/>
      <c r="G9" s="1112"/>
      <c r="H9" s="1112"/>
      <c r="I9" s="1112"/>
      <c r="J9" s="685"/>
      <c r="K9" s="685"/>
      <c r="L9" s="685"/>
      <c r="M9" s="685"/>
      <c r="N9" s="685"/>
      <c r="O9" s="685"/>
      <c r="P9" s="685"/>
      <c r="Q9" s="685"/>
      <c r="R9" s="685"/>
      <c r="S9" s="685"/>
      <c r="T9" s="685"/>
      <c r="U9" s="685"/>
      <c r="V9" s="685"/>
      <c r="W9" s="684"/>
      <c r="X9" s="780"/>
      <c r="Y9" s="684"/>
      <c r="Z9" s="684"/>
    </row>
    <row r="10" spans="1:26" ht="14.25">
      <c r="A10" s="684"/>
      <c r="B10" s="685"/>
      <c r="C10" s="703"/>
      <c r="D10" s="685"/>
      <c r="E10" s="693"/>
      <c r="F10" s="694"/>
      <c r="G10" s="685"/>
      <c r="H10" s="685"/>
      <c r="I10" s="663"/>
      <c r="J10" s="685"/>
      <c r="K10" s="685"/>
      <c r="L10" s="685"/>
      <c r="M10" s="685"/>
      <c r="N10" s="685"/>
      <c r="O10" s="685"/>
      <c r="P10" s="685"/>
      <c r="Q10" s="685"/>
      <c r="R10" s="685"/>
      <c r="S10" s="685"/>
      <c r="T10" s="685"/>
      <c r="U10" s="685"/>
      <c r="V10" s="685"/>
      <c r="W10" s="684"/>
      <c r="X10" s="780"/>
      <c r="Y10" s="684"/>
      <c r="Z10" s="684"/>
    </row>
    <row r="11" spans="1:26" ht="5.25" customHeight="1">
      <c r="A11" s="684"/>
      <c r="B11" s="685"/>
      <c r="C11" s="786"/>
      <c r="D11" s="787"/>
      <c r="E11" s="788"/>
      <c r="F11" s="789"/>
      <c r="G11" s="787"/>
      <c r="H11" s="787"/>
      <c r="I11" s="790"/>
      <c r="J11" s="685"/>
      <c r="K11" s="685"/>
      <c r="L11" s="685"/>
      <c r="M11" s="685"/>
      <c r="N11" s="685"/>
      <c r="O11" s="685"/>
      <c r="P11" s="685"/>
      <c r="Q11" s="685"/>
      <c r="R11" s="685"/>
      <c r="S11" s="685"/>
      <c r="T11" s="685"/>
      <c r="U11" s="685"/>
      <c r="V11" s="685"/>
      <c r="W11" s="684"/>
      <c r="X11" s="780"/>
      <c r="Y11" s="684"/>
      <c r="Z11" s="684"/>
    </row>
    <row r="12" spans="1:26" ht="14.25">
      <c r="A12" s="684"/>
      <c r="B12" s="685"/>
      <c r="C12" s="1145" t="s">
        <v>145</v>
      </c>
      <c r="D12" s="1132"/>
      <c r="E12" s="1132"/>
      <c r="F12" s="1132"/>
      <c r="G12" s="1132"/>
      <c r="H12" s="1132"/>
      <c r="I12" s="1144"/>
      <c r="J12" s="685"/>
      <c r="K12" s="685"/>
      <c r="L12" s="685"/>
      <c r="M12" s="685"/>
      <c r="N12" s="685"/>
      <c r="O12" s="685"/>
      <c r="P12" s="685"/>
      <c r="Q12" s="685"/>
      <c r="R12" s="685"/>
      <c r="S12" s="685"/>
      <c r="T12" s="685"/>
      <c r="U12" s="685"/>
      <c r="V12" s="685"/>
      <c r="W12" s="684"/>
      <c r="X12" s="780"/>
      <c r="Y12" s="684"/>
      <c r="Z12" s="684"/>
    </row>
    <row r="13" spans="1:26" ht="28.5" customHeight="1">
      <c r="A13" s="684"/>
      <c r="B13" s="685"/>
      <c r="C13" s="1143" t="s">
        <v>146</v>
      </c>
      <c r="D13" s="1132"/>
      <c r="E13" s="1132"/>
      <c r="F13" s="1132"/>
      <c r="G13" s="1132"/>
      <c r="H13" s="1132"/>
      <c r="I13" s="1144"/>
      <c r="J13" s="685"/>
      <c r="K13" s="685"/>
      <c r="L13" s="685"/>
      <c r="M13" s="685"/>
      <c r="N13" s="685"/>
      <c r="O13" s="685"/>
      <c r="P13" s="685"/>
      <c r="Q13" s="685"/>
      <c r="R13" s="685"/>
      <c r="S13" s="685"/>
      <c r="T13" s="685"/>
      <c r="U13" s="685"/>
      <c r="V13" s="685"/>
      <c r="W13" s="684"/>
      <c r="X13" s="780"/>
      <c r="Y13" s="684"/>
      <c r="Z13" s="684"/>
    </row>
    <row r="14" spans="1:26" ht="5.25" customHeight="1">
      <c r="A14" s="684"/>
      <c r="B14" s="685"/>
      <c r="C14" s="791"/>
      <c r="D14" s="792"/>
      <c r="E14" s="793"/>
      <c r="F14" s="794"/>
      <c r="G14" s="792"/>
      <c r="H14" s="792"/>
      <c r="I14" s="795"/>
      <c r="J14" s="685"/>
      <c r="K14" s="685"/>
      <c r="L14" s="685"/>
      <c r="M14" s="685"/>
      <c r="N14" s="685"/>
      <c r="O14" s="685"/>
      <c r="P14" s="685"/>
      <c r="Q14" s="685"/>
      <c r="R14" s="685"/>
      <c r="S14" s="685"/>
      <c r="T14" s="685"/>
      <c r="U14" s="685"/>
      <c r="V14" s="685"/>
      <c r="W14" s="684"/>
      <c r="X14" s="780"/>
      <c r="Y14" s="684"/>
      <c r="Z14" s="684"/>
    </row>
    <row r="15" spans="1:26" ht="14.25">
      <c r="A15" s="684"/>
      <c r="B15" s="685"/>
      <c r="C15" s="680"/>
      <c r="D15" s="685"/>
      <c r="E15" s="693"/>
      <c r="F15" s="694"/>
      <c r="G15" s="685"/>
      <c r="H15" s="685"/>
      <c r="I15" s="663"/>
      <c r="J15" s="685"/>
      <c r="K15" s="685"/>
      <c r="L15" s="685"/>
      <c r="M15" s="685"/>
      <c r="N15" s="685"/>
      <c r="O15" s="685"/>
      <c r="P15" s="685"/>
      <c r="Q15" s="685"/>
      <c r="R15" s="685"/>
      <c r="S15" s="685"/>
      <c r="T15" s="685"/>
      <c r="U15" s="685"/>
      <c r="V15" s="685"/>
      <c r="W15" s="684"/>
      <c r="X15" s="780"/>
      <c r="Y15" s="684"/>
      <c r="Z15" s="684"/>
    </row>
    <row r="16" spans="1:26" ht="14.25">
      <c r="A16" s="684"/>
      <c r="B16" s="685"/>
      <c r="C16" s="1135" t="s">
        <v>36</v>
      </c>
      <c r="D16" s="1136"/>
      <c r="E16" s="1136"/>
      <c r="F16" s="1136"/>
      <c r="G16" s="1136"/>
      <c r="H16" s="1136"/>
      <c r="I16" s="1137"/>
      <c r="J16" s="685"/>
      <c r="K16" s="685"/>
      <c r="L16" s="685"/>
      <c r="M16" s="685"/>
      <c r="N16" s="685"/>
      <c r="O16" s="685"/>
      <c r="P16" s="685"/>
      <c r="Q16" s="685"/>
      <c r="R16" s="685"/>
      <c r="S16" s="685"/>
      <c r="T16" s="685"/>
      <c r="U16" s="685"/>
      <c r="V16" s="685"/>
      <c r="W16" s="684"/>
      <c r="X16" s="780"/>
      <c r="Y16" s="684"/>
      <c r="Z16" s="684"/>
    </row>
    <row r="17" spans="1:26" ht="14.25">
      <c r="A17" s="684"/>
      <c r="B17" s="685"/>
      <c r="C17" s="685"/>
      <c r="D17" s="685"/>
      <c r="E17" s="693"/>
      <c r="F17" s="694"/>
      <c r="G17" s="685"/>
      <c r="H17" s="685"/>
      <c r="I17" s="685"/>
      <c r="J17" s="685"/>
      <c r="K17" s="685"/>
      <c r="L17" s="685"/>
      <c r="M17" s="685"/>
      <c r="N17" s="685"/>
      <c r="O17" s="685"/>
      <c r="P17" s="685"/>
      <c r="Q17" s="685"/>
      <c r="R17" s="685"/>
      <c r="S17" s="685"/>
      <c r="T17" s="685"/>
      <c r="U17" s="685"/>
      <c r="V17" s="685"/>
      <c r="W17" s="684"/>
      <c r="X17" s="780"/>
      <c r="Y17" s="684"/>
      <c r="Z17" s="684"/>
    </row>
    <row r="18" spans="1:26" ht="19.5">
      <c r="A18" s="684"/>
      <c r="B18" s="710"/>
      <c r="C18" s="710"/>
      <c r="D18" s="710" t="s">
        <v>151</v>
      </c>
      <c r="E18" s="748"/>
      <c r="F18" s="796"/>
      <c r="G18" s="694"/>
      <c r="H18" s="694"/>
      <c r="I18" s="797" t="s">
        <v>19</v>
      </c>
      <c r="J18" s="798"/>
      <c r="K18" s="685"/>
      <c r="L18" s="685"/>
      <c r="M18" s="685"/>
      <c r="N18" s="685"/>
      <c r="O18" s="685"/>
      <c r="P18" s="685"/>
      <c r="Q18" s="685"/>
      <c r="R18" s="685"/>
      <c r="S18" s="685"/>
      <c r="T18" s="685"/>
      <c r="U18" s="685"/>
      <c r="V18" s="685"/>
      <c r="W18" s="684"/>
      <c r="X18" s="780"/>
      <c r="Y18" s="684"/>
      <c r="Z18" s="684"/>
    </row>
    <row r="19" spans="1:26" ht="6" customHeight="1">
      <c r="A19" s="684"/>
      <c r="B19" s="685"/>
      <c r="C19" s="799"/>
      <c r="D19" s="800"/>
      <c r="E19" s="801"/>
      <c r="F19" s="802"/>
      <c r="G19" s="802"/>
      <c r="H19" s="803"/>
      <c r="I19" s="804"/>
      <c r="J19" s="685"/>
      <c r="K19" s="685"/>
      <c r="L19" s="685"/>
      <c r="M19" s="685"/>
      <c r="N19" s="685"/>
      <c r="O19" s="685"/>
      <c r="P19" s="685"/>
      <c r="Q19" s="685"/>
      <c r="R19" s="685"/>
      <c r="S19" s="685"/>
      <c r="T19" s="685"/>
      <c r="U19" s="685"/>
      <c r="V19" s="685"/>
      <c r="W19" s="684"/>
      <c r="X19" s="780"/>
      <c r="Y19" s="684"/>
      <c r="Z19" s="684"/>
    </row>
    <row r="20" spans="1:26" ht="14.25">
      <c r="A20" s="684"/>
      <c r="B20" s="685"/>
      <c r="C20" s="805"/>
      <c r="D20" s="806" t="s">
        <v>156</v>
      </c>
      <c r="E20" s="693" t="s">
        <v>180</v>
      </c>
      <c r="F20" s="694"/>
      <c r="G20" s="694" t="s">
        <v>181</v>
      </c>
      <c r="H20" s="807">
        <f ca="1">YEAR(NOW())</f>
        <v>2018</v>
      </c>
      <c r="I20" s="808"/>
      <c r="J20" s="685"/>
      <c r="K20" s="685"/>
      <c r="L20" s="685"/>
      <c r="M20" s="685"/>
      <c r="N20" s="685"/>
      <c r="O20" s="685"/>
      <c r="P20" s="685"/>
      <c r="Q20" s="685"/>
      <c r="R20" s="685"/>
      <c r="S20" s="685"/>
      <c r="T20" s="685"/>
      <c r="U20" s="685"/>
      <c r="V20" s="685"/>
      <c r="W20" s="684"/>
      <c r="X20" s="780"/>
      <c r="Y20" s="684"/>
      <c r="Z20" s="684"/>
    </row>
    <row r="21" spans="1:26" ht="14.25">
      <c r="A21" s="684"/>
      <c r="B21" s="685"/>
      <c r="C21" s="805"/>
      <c r="D21" s="806"/>
      <c r="E21" s="693"/>
      <c r="F21" s="694"/>
      <c r="G21" s="694"/>
      <c r="H21" s="694"/>
      <c r="I21" s="808"/>
      <c r="J21" s="685"/>
      <c r="K21" s="685"/>
      <c r="L21" s="685"/>
      <c r="M21" s="685"/>
      <c r="N21" s="685"/>
      <c r="O21" s="685"/>
      <c r="P21" s="685"/>
      <c r="Q21" s="685"/>
      <c r="R21" s="685"/>
      <c r="S21" s="685"/>
      <c r="T21" s="685"/>
      <c r="U21" s="685"/>
      <c r="V21" s="685"/>
      <c r="W21" s="684"/>
      <c r="X21" s="780"/>
      <c r="Y21" s="684"/>
      <c r="Z21" s="684"/>
    </row>
    <row r="22" spans="1:26" ht="14.25">
      <c r="A22" s="684"/>
      <c r="B22" s="685"/>
      <c r="C22" s="805"/>
      <c r="D22" s="806" t="str">
        <f>LEFT($D20,LEN($D20)-1)+1&amp;")"</f>
        <v>2)</v>
      </c>
      <c r="E22" s="693" t="s">
        <v>182</v>
      </c>
      <c r="F22" s="694"/>
      <c r="G22" s="694" t="s">
        <v>44</v>
      </c>
      <c r="H22" s="809" t="s">
        <v>183</v>
      </c>
      <c r="I22" s="808"/>
      <c r="J22" s="685"/>
      <c r="K22" s="685"/>
      <c r="L22" s="685"/>
      <c r="M22" s="685"/>
      <c r="N22" s="685"/>
      <c r="O22" s="685"/>
      <c r="P22" s="685"/>
      <c r="Q22" s="685"/>
      <c r="R22" s="685"/>
      <c r="S22" s="685"/>
      <c r="T22" s="685"/>
      <c r="U22" s="685"/>
      <c r="V22" s="685"/>
      <c r="W22" s="684"/>
      <c r="X22" s="780"/>
      <c r="Y22" s="684"/>
      <c r="Z22" s="684"/>
    </row>
    <row r="23" spans="1:26" ht="14.25" hidden="1">
      <c r="A23" s="684"/>
      <c r="B23" s="685"/>
      <c r="C23" s="805"/>
      <c r="D23" s="806"/>
      <c r="E23" s="693"/>
      <c r="F23" s="694"/>
      <c r="G23" s="694" t="s">
        <v>44</v>
      </c>
      <c r="H23" s="809" t="s">
        <v>185</v>
      </c>
      <c r="I23" s="808"/>
      <c r="J23" s="685"/>
      <c r="K23" s="685"/>
      <c r="L23" s="685"/>
      <c r="M23" s="685"/>
      <c r="N23" s="685"/>
      <c r="O23" s="685"/>
      <c r="P23" s="685"/>
      <c r="Q23" s="685"/>
      <c r="R23" s="685"/>
      <c r="S23" s="685"/>
      <c r="T23" s="685"/>
      <c r="U23" s="685"/>
      <c r="V23" s="685"/>
      <c r="W23" s="684"/>
      <c r="X23" s="780"/>
      <c r="Y23" s="684"/>
      <c r="Z23" s="684"/>
    </row>
    <row r="24" spans="1:26" ht="14.25" hidden="1">
      <c r="A24" s="684"/>
      <c r="B24" s="685"/>
      <c r="C24" s="805"/>
      <c r="D24" s="806"/>
      <c r="E24" s="693"/>
      <c r="F24" s="694"/>
      <c r="G24" s="694" t="s">
        <v>44</v>
      </c>
      <c r="H24" s="809" t="s">
        <v>186</v>
      </c>
      <c r="I24" s="808"/>
      <c r="J24" s="685"/>
      <c r="K24" s="685"/>
      <c r="L24" s="685"/>
      <c r="M24" s="685"/>
      <c r="N24" s="685"/>
      <c r="O24" s="685"/>
      <c r="P24" s="685"/>
      <c r="Q24" s="685"/>
      <c r="R24" s="685"/>
      <c r="S24" s="685"/>
      <c r="T24" s="685"/>
      <c r="U24" s="685"/>
      <c r="V24" s="685"/>
      <c r="W24" s="684"/>
      <c r="X24" s="780"/>
      <c r="Y24" s="684"/>
      <c r="Z24" s="684"/>
    </row>
    <row r="25" spans="1:26" ht="14.25" hidden="1">
      <c r="A25" s="684"/>
      <c r="B25" s="685"/>
      <c r="C25" s="805"/>
      <c r="D25" s="806"/>
      <c r="E25" s="693"/>
      <c r="F25" s="694"/>
      <c r="G25" s="694" t="s">
        <v>44</v>
      </c>
      <c r="H25" s="809" t="s">
        <v>183</v>
      </c>
      <c r="I25" s="808"/>
      <c r="J25" s="685"/>
      <c r="K25" s="685"/>
      <c r="L25" s="685"/>
      <c r="M25" s="685"/>
      <c r="N25" s="685"/>
      <c r="O25" s="685"/>
      <c r="P25" s="685"/>
      <c r="Q25" s="685"/>
      <c r="R25" s="685"/>
      <c r="S25" s="685"/>
      <c r="T25" s="685"/>
      <c r="U25" s="685"/>
      <c r="V25" s="685"/>
      <c r="W25" s="684"/>
      <c r="X25" s="780"/>
      <c r="Y25" s="684"/>
      <c r="Z25" s="684"/>
    </row>
    <row r="26" spans="1:26" ht="14.25" hidden="1">
      <c r="A26" s="684"/>
      <c r="B26" s="685"/>
      <c r="C26" s="805"/>
      <c r="D26" s="806"/>
      <c r="E26" s="693"/>
      <c r="F26" s="694"/>
      <c r="G26" s="694" t="s">
        <v>44</v>
      </c>
      <c r="H26" s="809" t="s">
        <v>187</v>
      </c>
      <c r="I26" s="808"/>
      <c r="J26" s="685"/>
      <c r="K26" s="685"/>
      <c r="L26" s="685"/>
      <c r="M26" s="685"/>
      <c r="N26" s="685"/>
      <c r="O26" s="685"/>
      <c r="P26" s="685"/>
      <c r="Q26" s="685"/>
      <c r="R26" s="685"/>
      <c r="S26" s="685"/>
      <c r="T26" s="685"/>
      <c r="U26" s="685"/>
      <c r="V26" s="685"/>
      <c r="W26" s="684"/>
      <c r="X26" s="780"/>
      <c r="Y26" s="684"/>
      <c r="Z26" s="684"/>
    </row>
    <row r="27" spans="1:26" ht="14.25">
      <c r="A27" s="684"/>
      <c r="B27" s="685"/>
      <c r="C27" s="805"/>
      <c r="D27" s="806"/>
      <c r="E27" s="693"/>
      <c r="F27" s="694"/>
      <c r="G27" s="694"/>
      <c r="H27" s="694"/>
      <c r="I27" s="808"/>
      <c r="J27" s="685"/>
      <c r="K27" s="685"/>
      <c r="L27" s="685"/>
      <c r="M27" s="685"/>
      <c r="N27" s="685"/>
      <c r="O27" s="685"/>
      <c r="P27" s="685"/>
      <c r="Q27" s="685"/>
      <c r="R27" s="685"/>
      <c r="S27" s="685"/>
      <c r="T27" s="685"/>
      <c r="U27" s="685"/>
      <c r="V27" s="685"/>
      <c r="W27" s="684"/>
      <c r="X27" s="780"/>
      <c r="Y27" s="684"/>
      <c r="Z27" s="684"/>
    </row>
    <row r="28" spans="1:26" ht="14.25">
      <c r="A28" s="684"/>
      <c r="B28" s="685"/>
      <c r="C28" s="805"/>
      <c r="D28" s="806"/>
      <c r="E28" s="693"/>
      <c r="F28" s="694"/>
      <c r="G28" s="694" t="s">
        <v>44</v>
      </c>
      <c r="H28" s="809" t="s">
        <v>189</v>
      </c>
      <c r="I28" s="808"/>
      <c r="J28" s="685"/>
      <c r="K28" s="685"/>
      <c r="L28" s="685"/>
      <c r="M28" s="685"/>
      <c r="N28" s="685"/>
      <c r="O28" s="685"/>
      <c r="P28" s="685"/>
      <c r="Q28" s="685"/>
      <c r="R28" s="685"/>
      <c r="S28" s="685"/>
      <c r="T28" s="685"/>
      <c r="U28" s="685"/>
      <c r="V28" s="685"/>
      <c r="W28" s="684"/>
      <c r="X28" s="780"/>
      <c r="Y28" s="684"/>
      <c r="Z28" s="684"/>
    </row>
    <row r="29" spans="1:26" ht="14.25">
      <c r="A29" s="684"/>
      <c r="B29" s="685"/>
      <c r="C29" s="805"/>
      <c r="D29" s="806"/>
      <c r="E29" s="693"/>
      <c r="F29" s="694"/>
      <c r="G29" s="694"/>
      <c r="H29" s="694"/>
      <c r="I29" s="808"/>
      <c r="J29" s="685"/>
      <c r="K29" s="685"/>
      <c r="L29" s="685"/>
      <c r="M29" s="685"/>
      <c r="N29" s="685"/>
      <c r="O29" s="685"/>
      <c r="P29" s="685"/>
      <c r="Q29" s="685"/>
      <c r="R29" s="685"/>
      <c r="S29" s="685"/>
      <c r="T29" s="685"/>
      <c r="U29" s="685"/>
      <c r="V29" s="685"/>
      <c r="W29" s="684"/>
      <c r="X29" s="780"/>
      <c r="Y29" s="684"/>
      <c r="Z29" s="684"/>
    </row>
    <row r="30" spans="1:26" ht="14.25" hidden="1">
      <c r="A30" s="684"/>
      <c r="B30" s="685"/>
      <c r="C30" s="805"/>
      <c r="D30" s="806"/>
      <c r="E30" s="693" t="s">
        <v>190</v>
      </c>
      <c r="F30" s="694"/>
      <c r="G30" s="694"/>
      <c r="H30" s="694"/>
      <c r="I30" s="808"/>
      <c r="J30" s="685"/>
      <c r="K30" s="685"/>
      <c r="L30" s="685"/>
      <c r="M30" s="685"/>
      <c r="N30" s="685"/>
      <c r="O30" s="685"/>
      <c r="P30" s="685"/>
      <c r="Q30" s="685"/>
      <c r="R30" s="685"/>
      <c r="S30" s="685"/>
      <c r="T30" s="685"/>
      <c r="U30" s="685"/>
      <c r="V30" s="685"/>
      <c r="W30" s="684"/>
      <c r="X30" s="780"/>
      <c r="Y30" s="684"/>
      <c r="Z30" s="684"/>
    </row>
    <row r="31" spans="1:26" ht="14.25" hidden="1">
      <c r="A31" s="684"/>
      <c r="B31" s="685"/>
      <c r="C31" s="805"/>
      <c r="D31" s="806"/>
      <c r="E31" s="693" t="s">
        <v>192</v>
      </c>
      <c r="F31" s="694"/>
      <c r="G31" s="694"/>
      <c r="H31" s="694"/>
      <c r="I31" s="808"/>
      <c r="J31" s="685"/>
      <c r="K31" s="685"/>
      <c r="L31" s="685"/>
      <c r="M31" s="685"/>
      <c r="N31" s="685"/>
      <c r="O31" s="685"/>
      <c r="P31" s="685"/>
      <c r="Q31" s="685"/>
      <c r="R31" s="685"/>
      <c r="S31" s="685"/>
      <c r="T31" s="685"/>
      <c r="U31" s="685"/>
      <c r="V31" s="685"/>
      <c r="W31" s="684"/>
      <c r="X31" s="780"/>
      <c r="Y31" s="684"/>
      <c r="Z31" s="684"/>
    </row>
    <row r="32" spans="1:26" ht="14.25" hidden="1">
      <c r="A32" s="684"/>
      <c r="B32" s="685"/>
      <c r="C32" s="805"/>
      <c r="D32" s="806"/>
      <c r="E32" s="693" t="s">
        <v>189</v>
      </c>
      <c r="F32" s="694"/>
      <c r="G32" s="694"/>
      <c r="H32" s="694"/>
      <c r="I32" s="808"/>
      <c r="J32" s="685"/>
      <c r="K32" s="685"/>
      <c r="L32" s="685"/>
      <c r="M32" s="685"/>
      <c r="N32" s="685"/>
      <c r="O32" s="685"/>
      <c r="P32" s="685"/>
      <c r="Q32" s="685"/>
      <c r="R32" s="685"/>
      <c r="S32" s="685"/>
      <c r="T32" s="685"/>
      <c r="U32" s="685"/>
      <c r="V32" s="685"/>
      <c r="W32" s="684"/>
      <c r="X32" s="780"/>
      <c r="Y32" s="684"/>
      <c r="Z32" s="684"/>
    </row>
    <row r="33" spans="1:26" ht="14.25" hidden="1">
      <c r="A33" s="684"/>
      <c r="B33" s="685"/>
      <c r="C33" s="805"/>
      <c r="D33" s="806"/>
      <c r="E33" s="693" t="s">
        <v>193</v>
      </c>
      <c r="F33" s="694"/>
      <c r="G33" s="694"/>
      <c r="H33" s="694"/>
      <c r="I33" s="808"/>
      <c r="J33" s="685"/>
      <c r="K33" s="685"/>
      <c r="L33" s="685"/>
      <c r="M33" s="685"/>
      <c r="N33" s="685"/>
      <c r="O33" s="685"/>
      <c r="P33" s="685"/>
      <c r="Q33" s="685"/>
      <c r="R33" s="685"/>
      <c r="S33" s="685"/>
      <c r="T33" s="685"/>
      <c r="U33" s="685"/>
      <c r="V33" s="685"/>
      <c r="W33" s="684"/>
      <c r="X33" s="780"/>
      <c r="Y33" s="684"/>
      <c r="Z33" s="684"/>
    </row>
    <row r="34" spans="1:26" ht="14.25">
      <c r="A34" s="684"/>
      <c r="B34" s="685"/>
      <c r="C34" s="805"/>
      <c r="D34" s="806" t="str">
        <f>LEFT($D22,LEN($D22)-1)+1&amp;")"</f>
        <v>3)</v>
      </c>
      <c r="E34" s="693" t="s">
        <v>196</v>
      </c>
      <c r="F34" s="694"/>
      <c r="G34" s="694" t="s">
        <v>44</v>
      </c>
      <c r="H34" s="809" t="s">
        <v>845</v>
      </c>
      <c r="I34" s="808"/>
      <c r="J34" s="685"/>
      <c r="K34" s="685"/>
      <c r="L34" s="685"/>
      <c r="M34" s="685"/>
      <c r="N34" s="685"/>
      <c r="O34" s="685"/>
      <c r="P34" s="685"/>
      <c r="Q34" s="685"/>
      <c r="R34" s="685"/>
      <c r="S34" s="685"/>
      <c r="T34" s="685"/>
      <c r="U34" s="685"/>
      <c r="V34" s="685"/>
      <c r="W34" s="684"/>
      <c r="X34" s="780"/>
      <c r="Y34" s="684"/>
      <c r="Z34" s="684"/>
    </row>
    <row r="35" spans="1:26" ht="14.25">
      <c r="A35" s="684"/>
      <c r="B35" s="685"/>
      <c r="C35" s="805"/>
      <c r="D35" s="806"/>
      <c r="E35" s="693"/>
      <c r="F35" s="694"/>
      <c r="G35" s="694"/>
      <c r="H35" s="707"/>
      <c r="I35" s="808"/>
      <c r="J35" s="685"/>
      <c r="K35" s="685"/>
      <c r="L35" s="685"/>
      <c r="M35" s="685"/>
      <c r="N35" s="685"/>
      <c r="O35" s="685"/>
      <c r="P35" s="685"/>
      <c r="Q35" s="685"/>
      <c r="R35" s="685"/>
      <c r="S35" s="685"/>
      <c r="T35" s="685"/>
      <c r="U35" s="685"/>
      <c r="V35" s="685"/>
      <c r="W35" s="684"/>
      <c r="X35" s="780"/>
      <c r="Y35" s="684"/>
      <c r="Z35" s="684"/>
    </row>
    <row r="36" spans="1:26" ht="24">
      <c r="A36" s="684"/>
      <c r="B36" s="685"/>
      <c r="C36" s="805"/>
      <c r="D36" s="806" t="str">
        <f>LEFT($D34,LEN($D34)-1)+1&amp;")"</f>
        <v>4)</v>
      </c>
      <c r="E36" s="693" t="str">
        <f>"What is the total number of employees for the scope you decided in the Input_FAIR_Facets sheet in "&amp;ADDRESS(G38,G39,4)&amp;"?"</f>
        <v>What is the total number of employees for the scope you decided in the Input_FAIR_Facets sheet in H39?</v>
      </c>
      <c r="F36" s="694"/>
      <c r="G36" s="694" t="s">
        <v>201</v>
      </c>
      <c r="H36" s="809">
        <v>100</v>
      </c>
      <c r="I36" s="808"/>
      <c r="J36" s="685"/>
      <c r="K36" s="685"/>
      <c r="L36" s="685"/>
      <c r="M36" s="685"/>
      <c r="N36" s="685"/>
      <c r="O36" s="685"/>
      <c r="P36" s="685"/>
      <c r="Q36" s="685"/>
      <c r="R36" s="685"/>
      <c r="S36" s="685"/>
      <c r="T36" s="685"/>
      <c r="U36" s="685"/>
      <c r="V36" s="685"/>
      <c r="W36" s="684"/>
      <c r="X36" s="780"/>
      <c r="Y36" s="684"/>
      <c r="Z36" s="684"/>
    </row>
    <row r="37" spans="1:26" ht="14.25">
      <c r="A37" s="684"/>
      <c r="B37" s="685"/>
      <c r="C37" s="805"/>
      <c r="D37" s="806"/>
      <c r="E37" s="693"/>
      <c r="F37" s="694"/>
      <c r="G37" s="694"/>
      <c r="H37" s="810"/>
      <c r="I37" s="808"/>
      <c r="J37" s="685"/>
      <c r="K37" s="663"/>
      <c r="L37" s="663"/>
      <c r="M37" s="685"/>
      <c r="N37" s="685"/>
      <c r="O37" s="685"/>
      <c r="P37" s="685"/>
      <c r="Q37" s="685"/>
      <c r="R37" s="685"/>
      <c r="S37" s="685"/>
      <c r="T37" s="685"/>
      <c r="U37" s="685"/>
      <c r="V37" s="685"/>
      <c r="W37" s="684"/>
      <c r="X37" s="780"/>
      <c r="Y37" s="684"/>
      <c r="Z37" s="684"/>
    </row>
    <row r="38" spans="1:26" ht="14.25" hidden="1">
      <c r="A38" s="684"/>
      <c r="B38" s="685"/>
      <c r="C38" s="805"/>
      <c r="D38" s="806"/>
      <c r="E38" s="693"/>
      <c r="F38" s="811" t="s">
        <v>203</v>
      </c>
      <c r="G38" s="812">
        <f>ROW('2.1 Input_FAIR_Facets'!H39)</f>
        <v>39</v>
      </c>
      <c r="H38" s="810"/>
      <c r="I38" s="808"/>
      <c r="J38" s="685"/>
      <c r="K38" s="685"/>
      <c r="L38" s="663"/>
      <c r="M38" s="685"/>
      <c r="N38" s="685"/>
      <c r="O38" s="685"/>
      <c r="P38" s="685"/>
      <c r="Q38" s="685"/>
      <c r="R38" s="685"/>
      <c r="S38" s="685"/>
      <c r="T38" s="685"/>
      <c r="U38" s="685"/>
      <c r="V38" s="685"/>
      <c r="W38" s="684"/>
      <c r="X38" s="780"/>
      <c r="Y38" s="684"/>
      <c r="Z38" s="684"/>
    </row>
    <row r="39" spans="1:26" ht="14.25" hidden="1">
      <c r="A39" s="684"/>
      <c r="B39" s="685"/>
      <c r="C39" s="805"/>
      <c r="D39" s="806"/>
      <c r="E39" s="693"/>
      <c r="F39" s="811" t="s">
        <v>206</v>
      </c>
      <c r="G39" s="812">
        <f>COLUMN('2.1 Input_FAIR_Facets'!H39)</f>
        <v>8</v>
      </c>
      <c r="H39" s="810"/>
      <c r="I39" s="808"/>
      <c r="J39" s="685"/>
      <c r="K39" s="685"/>
      <c r="L39" s="663"/>
      <c r="M39" s="685"/>
      <c r="N39" s="685"/>
      <c r="O39" s="685"/>
      <c r="P39" s="685"/>
      <c r="Q39" s="685"/>
      <c r="R39" s="685"/>
      <c r="S39" s="685"/>
      <c r="T39" s="685"/>
      <c r="U39" s="685"/>
      <c r="V39" s="685"/>
      <c r="W39" s="684"/>
      <c r="X39" s="780"/>
      <c r="Y39" s="684"/>
      <c r="Z39" s="684"/>
    </row>
    <row r="40" spans="1:26" ht="24.75" thickBot="1">
      <c r="A40" s="684"/>
      <c r="B40" s="685"/>
      <c r="C40" s="805"/>
      <c r="D40" s="806" t="str">
        <f>LEFT($D36,LEN($D36)-1)+1&amp;")"</f>
        <v>5)</v>
      </c>
      <c r="E40" s="693" t="s">
        <v>207</v>
      </c>
      <c r="F40" s="706" t="s">
        <v>40</v>
      </c>
      <c r="G40" s="694" t="s">
        <v>208</v>
      </c>
      <c r="H40" s="813">
        <v>3</v>
      </c>
      <c r="I40" s="808"/>
      <c r="J40" s="685"/>
      <c r="K40" s="663"/>
      <c r="L40" s="685"/>
      <c r="M40" s="685"/>
      <c r="N40" s="685"/>
      <c r="O40" s="685"/>
      <c r="P40" s="685"/>
      <c r="Q40" s="685"/>
      <c r="R40" s="685"/>
      <c r="S40" s="685"/>
      <c r="T40" s="685"/>
      <c r="U40" s="685"/>
      <c r="V40" s="685"/>
      <c r="W40" s="684"/>
      <c r="X40" s="780"/>
      <c r="Y40" s="684"/>
      <c r="Z40" s="684"/>
    </row>
    <row r="41" spans="1:26" ht="14.25">
      <c r="A41" s="684"/>
      <c r="B41" s="685"/>
      <c r="C41" s="805"/>
      <c r="D41" s="806"/>
      <c r="E41" s="693"/>
      <c r="F41" s="814"/>
      <c r="G41" s="694"/>
      <c r="H41" s="815"/>
      <c r="I41" s="808"/>
      <c r="J41" s="685"/>
      <c r="K41" s="685"/>
      <c r="L41" s="685"/>
      <c r="M41" s="685"/>
      <c r="N41" s="685"/>
      <c r="O41" s="685"/>
      <c r="P41" s="685"/>
      <c r="Q41" s="685"/>
      <c r="R41" s="685"/>
      <c r="S41" s="685"/>
      <c r="T41" s="685"/>
      <c r="U41" s="685"/>
      <c r="V41" s="685"/>
      <c r="W41" s="684"/>
      <c r="X41" s="780"/>
      <c r="Y41" s="684"/>
      <c r="Z41" s="684"/>
    </row>
    <row r="42" spans="1:26" ht="5.25" customHeight="1">
      <c r="A42" s="684"/>
      <c r="B42" s="685"/>
      <c r="C42" s="805"/>
      <c r="D42" s="806"/>
      <c r="E42" s="786"/>
      <c r="F42" s="816"/>
      <c r="G42" s="816"/>
      <c r="H42" s="817"/>
      <c r="I42" s="808"/>
      <c r="J42" s="685"/>
      <c r="K42" s="703"/>
      <c r="L42" s="685"/>
      <c r="M42" s="663"/>
      <c r="N42" s="685"/>
      <c r="O42" s="685"/>
      <c r="P42" s="685"/>
      <c r="Q42" s="685"/>
      <c r="R42" s="663"/>
      <c r="S42" s="685"/>
      <c r="T42" s="685"/>
      <c r="U42" s="685"/>
      <c r="V42" s="685"/>
      <c r="W42" s="684"/>
      <c r="X42" s="780"/>
      <c r="Y42" s="684"/>
      <c r="Z42" s="684"/>
    </row>
    <row r="43" spans="1:26" ht="14.25">
      <c r="A43" s="684"/>
      <c r="B43" s="685"/>
      <c r="C43" s="805"/>
      <c r="D43" s="806"/>
      <c r="E43" s="1148" t="s">
        <v>210</v>
      </c>
      <c r="F43" s="1132"/>
      <c r="G43" s="1132"/>
      <c r="H43" s="1144"/>
      <c r="I43" s="808"/>
      <c r="J43" s="685"/>
      <c r="K43" s="703"/>
      <c r="L43" s="685"/>
      <c r="M43" s="685"/>
      <c r="N43" s="685"/>
      <c r="O43" s="685"/>
      <c r="P43" s="685"/>
      <c r="Q43" s="685"/>
      <c r="R43" s="663"/>
      <c r="S43" s="685"/>
      <c r="T43" s="685"/>
      <c r="U43" s="685"/>
      <c r="V43" s="685"/>
      <c r="W43" s="684"/>
      <c r="X43" s="780"/>
      <c r="Y43" s="684"/>
      <c r="Z43" s="684"/>
    </row>
    <row r="44" spans="1:26" ht="31.5" customHeight="1">
      <c r="A44" s="684"/>
      <c r="B44" s="685"/>
      <c r="C44" s="805"/>
      <c r="D44" s="806"/>
      <c r="E44" s="1143" t="str">
        <f>"Given that your FAIR compliance is equivalent to "&amp;IF('2.1 Input_FAIR_Facets'!G121="No Input",HYPERLINK("#gid=1281913486","Find out here"),TEXT('2.1 Input_FAIR_Facets'!G121,"#.#%"))&amp;" - which can be labelled as "&amp;IF($H$46&lt;= 25%, " a No FAIR",IF($H$46&lt;=50%," an Introduction", IF($H$46&lt;= 75%, "a Growth", "a Maturity")))&amp;" phase - we recommend you to implement FAIR within"&amp;IF($H$46&lt;= 25%, " 5 to 8 years",IF($H$46&lt;=50%," 4 to 5 years", IF($H$46&lt;= 75%, " 3 to 4 years", " less than 3 years")))&amp;"
Obviously the choice is yours and depends on several factors such as; 
- The type of organisation your are (E.g. Data Infrastructure or Research Performing Organisation)
- The scope (E.g. the size of the project/structure for which you want to implement"&amp;" the FAIR principles)"</f>
        <v>Given that your FAIR compliance is equivalent to 60% - which can be labelled as a Growth phase - we recommend you to implement FAIR within 3 to 4 years
Obviously the choice is yours and depends on several factors such as; 
- The type of organisation your are (E.g. Data Infrastructure or Research Performing Organisation)
- The scope (E.g. the size of the project/structure for which you want to implement the FAIR principles)</v>
      </c>
      <c r="F44" s="1132"/>
      <c r="G44" s="1132"/>
      <c r="H44" s="1144"/>
      <c r="I44" s="808"/>
      <c r="J44" s="685"/>
      <c r="K44" s="1146"/>
      <c r="L44" s="1132"/>
      <c r="M44" s="1132"/>
      <c r="N44" s="1132"/>
      <c r="O44" s="1132"/>
      <c r="P44" s="1132"/>
      <c r="Q44" s="1132"/>
      <c r="R44" s="1132"/>
      <c r="S44" s="685"/>
      <c r="T44" s="685"/>
      <c r="U44" s="685"/>
      <c r="V44" s="685"/>
      <c r="W44" s="684"/>
      <c r="X44" s="780"/>
      <c r="Y44" s="684"/>
      <c r="Z44" s="684"/>
    </row>
    <row r="45" spans="1:26" ht="5.25" customHeight="1">
      <c r="A45" s="684"/>
      <c r="B45" s="685"/>
      <c r="C45" s="805"/>
      <c r="D45" s="806"/>
      <c r="E45" s="791"/>
      <c r="F45" s="818"/>
      <c r="G45" s="818"/>
      <c r="H45" s="819"/>
      <c r="I45" s="808"/>
      <c r="J45" s="685"/>
      <c r="K45" s="1147"/>
      <c r="L45" s="1132"/>
      <c r="M45" s="1132"/>
      <c r="N45" s="1132"/>
      <c r="O45" s="1132"/>
      <c r="P45" s="1132"/>
      <c r="Q45" s="1132"/>
      <c r="R45" s="1132"/>
      <c r="S45" s="685"/>
      <c r="T45" s="685"/>
      <c r="U45" s="685"/>
      <c r="V45" s="685"/>
      <c r="W45" s="684"/>
      <c r="X45" s="780"/>
      <c r="Y45" s="684"/>
      <c r="Z45" s="684"/>
    </row>
    <row r="46" spans="1:26" ht="14.25" hidden="1">
      <c r="A46" s="684"/>
      <c r="B46" s="685"/>
      <c r="C46" s="805"/>
      <c r="D46" s="806"/>
      <c r="E46" s="776" t="s">
        <v>223</v>
      </c>
      <c r="F46" s="777"/>
      <c r="G46" s="777"/>
      <c r="H46" s="820">
        <f>IF('2.1 Input_FAIR_Facets'!G121="No Input",HYPERLINK("#gid=1281913486","Find out here"),'2.1 Input_FAIR_Facets'!G121)</f>
        <v>0.59666666666666668</v>
      </c>
      <c r="I46" s="821"/>
      <c r="J46" s="685"/>
      <c r="K46" s="685"/>
      <c r="L46" s="685"/>
      <c r="M46" s="685"/>
      <c r="N46" s="685"/>
      <c r="O46" s="685"/>
      <c r="P46" s="685"/>
      <c r="Q46" s="685"/>
      <c r="R46" s="685"/>
      <c r="S46" s="685"/>
      <c r="T46" s="685"/>
      <c r="U46" s="685"/>
      <c r="V46" s="685"/>
      <c r="W46" s="684"/>
      <c r="X46" s="780"/>
      <c r="Y46" s="684"/>
      <c r="Z46" s="684"/>
    </row>
    <row r="47" spans="1:26" ht="14.25">
      <c r="A47" s="684"/>
      <c r="B47" s="685"/>
      <c r="C47" s="805"/>
      <c r="D47" s="806"/>
      <c r="E47" s="693"/>
      <c r="F47" s="694"/>
      <c r="G47" s="694"/>
      <c r="H47" s="707"/>
      <c r="I47" s="808"/>
      <c r="J47" s="685"/>
      <c r="K47" s="685"/>
      <c r="L47" s="685"/>
      <c r="M47" s="685"/>
      <c r="N47" s="685"/>
      <c r="O47" s="685"/>
      <c r="P47" s="685"/>
      <c r="Q47" s="685"/>
      <c r="R47" s="685"/>
      <c r="S47" s="685"/>
      <c r="T47" s="685"/>
      <c r="U47" s="685"/>
      <c r="V47" s="685"/>
      <c r="W47" s="684"/>
      <c r="X47" s="780"/>
      <c r="Y47" s="684"/>
      <c r="Z47" s="684"/>
    </row>
    <row r="48" spans="1:26" ht="24">
      <c r="A48" s="684"/>
      <c r="B48" s="685"/>
      <c r="C48" s="805"/>
      <c r="D48" s="806" t="str">
        <f>LEFT($D40,LEN($D40)-1)+1&amp;")"</f>
        <v>6)</v>
      </c>
      <c r="E48" s="693" t="s">
        <v>231</v>
      </c>
      <c r="F48" s="694"/>
      <c r="G48" s="694" t="s">
        <v>44</v>
      </c>
      <c r="H48" s="809" t="s">
        <v>233</v>
      </c>
      <c r="I48" s="808"/>
      <c r="J48" s="685"/>
      <c r="K48" s="685"/>
      <c r="L48" s="685"/>
      <c r="M48" s="685"/>
      <c r="N48" s="685"/>
      <c r="O48" s="685"/>
      <c r="P48" s="685"/>
      <c r="Q48" s="685"/>
      <c r="R48" s="685"/>
      <c r="S48" s="685"/>
      <c r="T48" s="685"/>
      <c r="U48" s="685"/>
      <c r="V48" s="685"/>
      <c r="W48" s="684"/>
      <c r="X48" s="780"/>
      <c r="Y48" s="684"/>
      <c r="Z48" s="684"/>
    </row>
    <row r="49" spans="1:26" ht="14.25">
      <c r="A49" s="684"/>
      <c r="B49" s="685"/>
      <c r="C49" s="805"/>
      <c r="D49" s="806"/>
      <c r="E49" s="693"/>
      <c r="F49" s="694"/>
      <c r="G49" s="694"/>
      <c r="H49" s="822"/>
      <c r="I49" s="808"/>
      <c r="J49" s="685"/>
      <c r="K49" s="685"/>
      <c r="L49" s="685"/>
      <c r="M49" s="685"/>
      <c r="N49" s="685"/>
      <c r="O49" s="685"/>
      <c r="P49" s="685"/>
      <c r="Q49" s="685"/>
      <c r="R49" s="685"/>
      <c r="S49" s="685"/>
      <c r="T49" s="685"/>
      <c r="U49" s="685"/>
      <c r="V49" s="685"/>
      <c r="W49" s="684"/>
      <c r="X49" s="780"/>
      <c r="Y49" s="684"/>
      <c r="Z49" s="684"/>
    </row>
    <row r="50" spans="1:26" ht="14.25" hidden="1">
      <c r="A50" s="684"/>
      <c r="B50" s="685"/>
      <c r="C50" s="805"/>
      <c r="D50" s="806"/>
      <c r="E50" s="823" t="s">
        <v>5</v>
      </c>
      <c r="F50" s="824"/>
      <c r="G50" s="685"/>
      <c r="H50" s="685"/>
      <c r="I50" s="808"/>
      <c r="J50" s="685"/>
      <c r="K50" s="685"/>
      <c r="L50" s="685"/>
      <c r="M50" s="685"/>
      <c r="N50" s="685"/>
      <c r="O50" s="685"/>
      <c r="P50" s="685"/>
      <c r="Q50" s="685"/>
      <c r="R50" s="685"/>
      <c r="S50" s="685"/>
      <c r="T50" s="685"/>
      <c r="U50" s="685"/>
      <c r="V50" s="685"/>
      <c r="W50" s="684"/>
      <c r="X50" s="780"/>
      <c r="Y50" s="684"/>
      <c r="Z50" s="684"/>
    </row>
    <row r="51" spans="1:26" ht="14.25" hidden="1">
      <c r="A51" s="684"/>
      <c r="B51" s="685"/>
      <c r="C51" s="805"/>
      <c r="D51" s="806"/>
      <c r="E51" s="693" t="s">
        <v>239</v>
      </c>
      <c r="F51" s="693"/>
      <c r="G51" s="824">
        <v>0.05</v>
      </c>
      <c r="H51" s="685"/>
      <c r="I51" s="808"/>
      <c r="J51" s="685"/>
      <c r="K51" s="685"/>
      <c r="L51" s="685"/>
      <c r="M51" s="685"/>
      <c r="N51" s="685"/>
      <c r="O51" s="685"/>
      <c r="P51" s="685"/>
      <c r="Q51" s="685"/>
      <c r="R51" s="685"/>
      <c r="S51" s="685"/>
      <c r="T51" s="685"/>
      <c r="U51" s="685"/>
      <c r="V51" s="685"/>
      <c r="W51" s="684"/>
      <c r="X51" s="780"/>
      <c r="Y51" s="684"/>
      <c r="Z51" s="684"/>
    </row>
    <row r="52" spans="1:26" ht="14.25" hidden="1">
      <c r="A52" s="684"/>
      <c r="B52" s="685"/>
      <c r="C52" s="805"/>
      <c r="D52" s="806"/>
      <c r="E52" s="693" t="s">
        <v>240</v>
      </c>
      <c r="F52" s="693"/>
      <c r="G52" s="824">
        <v>0.1</v>
      </c>
      <c r="H52" s="685"/>
      <c r="I52" s="808"/>
      <c r="J52" s="685"/>
      <c r="K52" s="685"/>
      <c r="L52" s="685"/>
      <c r="M52" s="685"/>
      <c r="N52" s="685"/>
      <c r="O52" s="685"/>
      <c r="P52" s="685"/>
      <c r="Q52" s="685"/>
      <c r="R52" s="685"/>
      <c r="S52" s="685"/>
      <c r="T52" s="685"/>
      <c r="U52" s="685"/>
      <c r="V52" s="685"/>
      <c r="W52" s="684"/>
      <c r="X52" s="780"/>
      <c r="Y52" s="684"/>
      <c r="Z52" s="684"/>
    </row>
    <row r="53" spans="1:26" ht="14.25" hidden="1">
      <c r="A53" s="684"/>
      <c r="B53" s="685"/>
      <c r="C53" s="805"/>
      <c r="D53" s="806"/>
      <c r="E53" s="693" t="s">
        <v>241</v>
      </c>
      <c r="F53" s="693"/>
      <c r="G53" s="824">
        <v>0.15</v>
      </c>
      <c r="H53" s="685"/>
      <c r="I53" s="808"/>
      <c r="J53" s="685"/>
      <c r="K53" s="685"/>
      <c r="L53" s="685"/>
      <c r="M53" s="685"/>
      <c r="N53" s="685"/>
      <c r="O53" s="685"/>
      <c r="P53" s="685"/>
      <c r="Q53" s="685"/>
      <c r="R53" s="685"/>
      <c r="S53" s="685"/>
      <c r="T53" s="685"/>
      <c r="U53" s="685"/>
      <c r="V53" s="685"/>
      <c r="W53" s="684"/>
      <c r="X53" s="780"/>
      <c r="Y53" s="684"/>
      <c r="Z53" s="684"/>
    </row>
    <row r="54" spans="1:26" ht="14.25" hidden="1">
      <c r="A54" s="684"/>
      <c r="B54" s="685"/>
      <c r="C54" s="805"/>
      <c r="D54" s="806"/>
      <c r="E54" s="693" t="s">
        <v>233</v>
      </c>
      <c r="F54" s="693"/>
      <c r="G54" s="824">
        <v>0.2</v>
      </c>
      <c r="H54" s="685"/>
      <c r="I54" s="808"/>
      <c r="J54" s="685"/>
      <c r="K54" s="685"/>
      <c r="L54" s="685"/>
      <c r="M54" s="685"/>
      <c r="N54" s="685"/>
      <c r="O54" s="685"/>
      <c r="P54" s="685"/>
      <c r="Q54" s="685"/>
      <c r="R54" s="685"/>
      <c r="S54" s="685"/>
      <c r="T54" s="685"/>
      <c r="U54" s="685"/>
      <c r="V54" s="685"/>
      <c r="W54" s="684"/>
      <c r="X54" s="780"/>
      <c r="Y54" s="684"/>
      <c r="Z54" s="684"/>
    </row>
    <row r="55" spans="1:26" ht="14.25" hidden="1">
      <c r="A55" s="684"/>
      <c r="B55" s="685"/>
      <c r="C55" s="805"/>
      <c r="D55" s="806"/>
      <c r="E55" s="823" t="s">
        <v>29</v>
      </c>
      <c r="F55" s="824"/>
      <c r="G55" s="685"/>
      <c r="H55" s="685"/>
      <c r="I55" s="808"/>
      <c r="J55" s="685"/>
      <c r="K55" s="685"/>
      <c r="L55" s="685"/>
      <c r="M55" s="685"/>
      <c r="N55" s="685"/>
      <c r="O55" s="685"/>
      <c r="P55" s="685"/>
      <c r="Q55" s="685"/>
      <c r="R55" s="685"/>
      <c r="S55" s="685"/>
      <c r="T55" s="685"/>
      <c r="U55" s="685"/>
      <c r="V55" s="685"/>
      <c r="W55" s="684"/>
      <c r="X55" s="780"/>
      <c r="Y55" s="684"/>
      <c r="Z55" s="684"/>
    </row>
    <row r="56" spans="1:26" ht="36.75" thickBot="1">
      <c r="A56" s="684"/>
      <c r="B56" s="685"/>
      <c r="C56" s="805"/>
      <c r="D56" s="806" t="str">
        <f>LEFT($D48,LEN($D48)-1)+1&amp;")"</f>
        <v>7)</v>
      </c>
      <c r="E56" s="693" t="s">
        <v>245</v>
      </c>
      <c r="F56" s="706" t="s">
        <v>40</v>
      </c>
      <c r="G56" s="694" t="s">
        <v>246</v>
      </c>
      <c r="H56" s="825">
        <v>0.15</v>
      </c>
      <c r="I56" s="808"/>
      <c r="J56" s="685"/>
      <c r="K56" s="685"/>
      <c r="L56" s="685"/>
      <c r="M56" s="685"/>
      <c r="N56" s="685"/>
      <c r="O56" s="685"/>
      <c r="P56" s="685"/>
      <c r="Q56" s="685"/>
      <c r="R56" s="685"/>
      <c r="S56" s="685"/>
      <c r="T56" s="685"/>
      <c r="U56" s="685"/>
      <c r="V56" s="685"/>
      <c r="W56" s="684"/>
      <c r="X56" s="780"/>
      <c r="Y56" s="684"/>
      <c r="Z56" s="684"/>
    </row>
    <row r="57" spans="1:26" ht="14.25" hidden="1">
      <c r="A57" s="684"/>
      <c r="B57" s="685"/>
      <c r="C57" s="805"/>
      <c r="D57" s="806"/>
      <c r="E57" s="693" t="s">
        <v>250</v>
      </c>
      <c r="F57" s="694"/>
      <c r="G57" s="694"/>
      <c r="H57" s="779"/>
      <c r="I57" s="808"/>
      <c r="J57" s="685"/>
      <c r="K57" s="685"/>
      <c r="L57" s="685"/>
      <c r="M57" s="685"/>
      <c r="N57" s="685"/>
      <c r="O57" s="685"/>
      <c r="P57" s="685"/>
      <c r="Q57" s="685"/>
      <c r="R57" s="685"/>
      <c r="S57" s="685"/>
      <c r="T57" s="685"/>
      <c r="U57" s="685"/>
      <c r="V57" s="685"/>
      <c r="W57" s="684"/>
      <c r="X57" s="780"/>
      <c r="Y57" s="684"/>
      <c r="Z57" s="684"/>
    </row>
    <row r="58" spans="1:26" ht="14.25" hidden="1">
      <c r="A58" s="684"/>
      <c r="B58" s="685"/>
      <c r="C58" s="805"/>
      <c r="D58" s="806"/>
      <c r="E58" s="693"/>
      <c r="F58" s="694" t="s">
        <v>252</v>
      </c>
      <c r="G58" s="694" t="s">
        <v>201</v>
      </c>
      <c r="H58" s="826">
        <f>1/0.8893</f>
        <v>1.1244799280332847</v>
      </c>
      <c r="I58" s="808"/>
      <c r="J58" s="685"/>
      <c r="K58" s="685"/>
      <c r="L58" s="685"/>
      <c r="M58" s="685"/>
      <c r="N58" s="685"/>
      <c r="O58" s="685"/>
      <c r="P58" s="685"/>
      <c r="Q58" s="685"/>
      <c r="R58" s="685"/>
      <c r="S58" s="685"/>
      <c r="T58" s="685"/>
      <c r="U58" s="685"/>
      <c r="V58" s="685"/>
      <c r="W58" s="684"/>
      <c r="X58" s="780"/>
      <c r="Y58" s="684"/>
      <c r="Z58" s="684"/>
    </row>
    <row r="59" spans="1:26" ht="14.25" hidden="1">
      <c r="A59" s="684"/>
      <c r="B59" s="685"/>
      <c r="C59" s="805"/>
      <c r="D59" s="806"/>
      <c r="E59" s="693"/>
      <c r="F59" s="694" t="s">
        <v>256</v>
      </c>
      <c r="G59" s="694" t="s">
        <v>201</v>
      </c>
      <c r="H59" s="826">
        <f>1/1.2291</f>
        <v>0.81360344967862663</v>
      </c>
      <c r="I59" s="808"/>
      <c r="J59" s="685"/>
      <c r="K59" s="685"/>
      <c r="L59" s="685"/>
      <c r="M59" s="685"/>
      <c r="N59" s="685"/>
      <c r="O59" s="685"/>
      <c r="P59" s="685"/>
      <c r="Q59" s="685"/>
      <c r="R59" s="685"/>
      <c r="S59" s="685"/>
      <c r="T59" s="685"/>
      <c r="U59" s="685"/>
      <c r="V59" s="685"/>
      <c r="W59" s="684"/>
      <c r="X59" s="780"/>
      <c r="Y59" s="684"/>
      <c r="Z59" s="684"/>
    </row>
    <row r="60" spans="1:26" ht="14.25">
      <c r="A60" s="684"/>
      <c r="B60" s="685"/>
      <c r="C60" s="827"/>
      <c r="D60" s="828"/>
      <c r="E60" s="829"/>
      <c r="F60" s="830"/>
      <c r="G60" s="830"/>
      <c r="H60" s="828"/>
      <c r="I60" s="831"/>
      <c r="J60" s="685"/>
      <c r="K60" s="685"/>
      <c r="L60" s="685"/>
      <c r="M60" s="685"/>
      <c r="N60" s="685"/>
      <c r="O60" s="685"/>
      <c r="P60" s="685"/>
      <c r="Q60" s="685"/>
      <c r="R60" s="685"/>
      <c r="S60" s="685"/>
      <c r="T60" s="685"/>
      <c r="U60" s="685"/>
      <c r="V60" s="685"/>
      <c r="W60" s="684"/>
      <c r="X60" s="780"/>
      <c r="Y60" s="684"/>
      <c r="Z60" s="684"/>
    </row>
    <row r="61" spans="1:26" ht="14.25">
      <c r="A61" s="684"/>
      <c r="B61" s="685"/>
      <c r="C61" s="685"/>
      <c r="D61" s="685"/>
      <c r="E61" s="693"/>
      <c r="F61" s="694"/>
      <c r="G61" s="685"/>
      <c r="H61" s="685"/>
      <c r="I61" s="685"/>
      <c r="J61" s="685"/>
      <c r="K61" s="685"/>
      <c r="L61" s="685"/>
      <c r="M61" s="685"/>
      <c r="N61" s="685"/>
      <c r="O61" s="685"/>
      <c r="P61" s="685"/>
      <c r="Q61" s="685"/>
      <c r="R61" s="685"/>
      <c r="S61" s="685"/>
      <c r="T61" s="685"/>
      <c r="U61" s="685"/>
      <c r="V61" s="685"/>
      <c r="W61" s="684"/>
      <c r="X61" s="780"/>
      <c r="Y61" s="684"/>
      <c r="Z61" s="684"/>
    </row>
    <row r="62" spans="1:26" ht="14.25">
      <c r="A62" s="684"/>
      <c r="B62" s="710"/>
      <c r="C62" s="710"/>
      <c r="D62" s="710"/>
      <c r="E62" s="748"/>
      <c r="F62" s="796"/>
      <c r="G62" s="694"/>
      <c r="H62" s="775"/>
      <c r="I62" s="775"/>
      <c r="J62" s="775"/>
      <c r="K62" s="775"/>
      <c r="L62" s="775"/>
      <c r="M62" s="775"/>
      <c r="N62" s="775"/>
      <c r="O62" s="775"/>
      <c r="P62" s="775"/>
      <c r="Q62" s="775"/>
      <c r="R62" s="775"/>
      <c r="S62" s="775"/>
      <c r="T62" s="775"/>
      <c r="U62" s="775"/>
      <c r="V62" s="775"/>
      <c r="W62" s="684"/>
      <c r="X62" s="780"/>
      <c r="Y62" s="832"/>
      <c r="Z62" s="832"/>
    </row>
    <row r="63" spans="1:26" ht="5.25" customHeight="1">
      <c r="A63" s="684"/>
      <c r="B63" s="710"/>
      <c r="C63" s="786"/>
      <c r="D63" s="787"/>
      <c r="E63" s="788"/>
      <c r="F63" s="789"/>
      <c r="G63" s="787"/>
      <c r="H63" s="787"/>
      <c r="I63" s="833"/>
      <c r="J63" s="663"/>
      <c r="K63" s="775"/>
      <c r="L63" s="775"/>
      <c r="M63" s="775"/>
      <c r="N63" s="775"/>
      <c r="O63" s="775"/>
      <c r="P63" s="775"/>
      <c r="Q63" s="775"/>
      <c r="R63" s="775"/>
      <c r="S63" s="775"/>
      <c r="T63" s="775"/>
      <c r="U63" s="775"/>
      <c r="V63" s="775"/>
      <c r="W63" s="684"/>
      <c r="X63" s="780"/>
      <c r="Y63" s="832"/>
      <c r="Z63" s="832"/>
    </row>
    <row r="64" spans="1:26" ht="14.25">
      <c r="A64" s="684"/>
      <c r="B64" s="710"/>
      <c r="C64" s="1145" t="s">
        <v>145</v>
      </c>
      <c r="D64" s="1132"/>
      <c r="E64" s="1132"/>
      <c r="F64" s="1132"/>
      <c r="G64" s="1132"/>
      <c r="H64" s="1132"/>
      <c r="I64" s="834"/>
      <c r="J64" s="835"/>
      <c r="K64" s="775"/>
      <c r="L64" s="775"/>
      <c r="M64" s="775"/>
      <c r="N64" s="775"/>
      <c r="O64" s="775"/>
      <c r="P64" s="775"/>
      <c r="Q64" s="775"/>
      <c r="R64" s="775"/>
      <c r="S64" s="775"/>
      <c r="T64" s="775"/>
      <c r="U64" s="775"/>
      <c r="V64" s="775"/>
      <c r="W64" s="684"/>
      <c r="X64" s="780"/>
      <c r="Y64" s="832"/>
      <c r="Z64" s="832"/>
    </row>
    <row r="65" spans="1:26" ht="36" customHeight="1">
      <c r="A65" s="684"/>
      <c r="B65" s="710"/>
      <c r="C65" s="1143" t="s">
        <v>271</v>
      </c>
      <c r="D65" s="1132"/>
      <c r="E65" s="1132"/>
      <c r="F65" s="1132"/>
      <c r="G65" s="1132"/>
      <c r="H65" s="1132"/>
      <c r="I65" s="1144"/>
      <c r="J65" s="836"/>
      <c r="K65" s="775"/>
      <c r="L65" s="775"/>
      <c r="M65" s="775"/>
      <c r="N65" s="775"/>
      <c r="O65" s="775"/>
      <c r="P65" s="775"/>
      <c r="Q65" s="775"/>
      <c r="R65" s="775"/>
      <c r="S65" s="775"/>
      <c r="T65" s="775"/>
      <c r="U65" s="775"/>
      <c r="V65" s="775"/>
      <c r="W65" s="684"/>
      <c r="X65" s="780"/>
      <c r="Y65" s="832"/>
      <c r="Z65" s="832"/>
    </row>
    <row r="66" spans="1:26" ht="5.25" customHeight="1">
      <c r="A66" s="684"/>
      <c r="B66" s="710"/>
      <c r="C66" s="837"/>
      <c r="D66" s="838"/>
      <c r="E66" s="839"/>
      <c r="F66" s="840"/>
      <c r="G66" s="838"/>
      <c r="H66" s="838"/>
      <c r="I66" s="834"/>
      <c r="J66" s="663"/>
      <c r="K66" s="775"/>
      <c r="L66" s="775"/>
      <c r="M66" s="775"/>
      <c r="N66" s="775"/>
      <c r="O66" s="775"/>
      <c r="P66" s="775"/>
      <c r="Q66" s="775"/>
      <c r="R66" s="775"/>
      <c r="S66" s="775"/>
      <c r="T66" s="775"/>
      <c r="U66" s="775"/>
      <c r="V66" s="775"/>
      <c r="W66" s="684"/>
      <c r="X66" s="780"/>
      <c r="Y66" s="832"/>
      <c r="Z66" s="832"/>
    </row>
    <row r="67" spans="1:26" ht="14.25">
      <c r="A67" s="684"/>
      <c r="B67" s="710"/>
      <c r="C67" s="710"/>
      <c r="D67" s="710"/>
      <c r="E67" s="748"/>
      <c r="F67" s="796"/>
      <c r="G67" s="694"/>
      <c r="H67" s="775"/>
      <c r="I67" s="775"/>
      <c r="J67" s="775"/>
      <c r="K67" s="775"/>
      <c r="L67" s="775"/>
      <c r="M67" s="775"/>
      <c r="N67" s="775"/>
      <c r="O67" s="775"/>
      <c r="P67" s="775"/>
      <c r="Q67" s="775"/>
      <c r="R67" s="775"/>
      <c r="S67" s="775"/>
      <c r="T67" s="775"/>
      <c r="U67" s="775"/>
      <c r="V67" s="775"/>
      <c r="W67" s="684"/>
      <c r="X67" s="780"/>
      <c r="Y67" s="832"/>
      <c r="Z67" s="832"/>
    </row>
    <row r="68" spans="1:26" ht="14.25">
      <c r="A68" s="684"/>
      <c r="B68" s="710"/>
      <c r="C68" s="710"/>
      <c r="D68" s="710" t="s">
        <v>276</v>
      </c>
      <c r="E68" s="748"/>
      <c r="F68" s="796"/>
      <c r="G68" s="694"/>
      <c r="H68" s="775"/>
      <c r="I68" s="775"/>
      <c r="J68" s="775"/>
      <c r="K68" s="775"/>
      <c r="L68" s="775"/>
      <c r="M68" s="775"/>
      <c r="N68" s="775"/>
      <c r="O68" s="775"/>
      <c r="P68" s="775"/>
      <c r="Q68" s="775"/>
      <c r="R68" s="775"/>
      <c r="S68" s="775"/>
      <c r="T68" s="775"/>
      <c r="U68" s="775"/>
      <c r="V68" s="775"/>
      <c r="W68" s="684"/>
      <c r="X68" s="780"/>
      <c r="Y68" s="832"/>
      <c r="Z68" s="832"/>
    </row>
    <row r="69" spans="1:26" ht="6" customHeight="1">
      <c r="A69" s="684"/>
      <c r="B69" s="665"/>
      <c r="C69" s="841"/>
      <c r="D69" s="842"/>
      <c r="E69" s="843"/>
      <c r="F69" s="844"/>
      <c r="G69" s="845"/>
      <c r="H69" s="845"/>
      <c r="I69" s="845"/>
      <c r="J69" s="845"/>
      <c r="K69" s="845"/>
      <c r="L69" s="845"/>
      <c r="M69" s="845"/>
      <c r="N69" s="845"/>
      <c r="O69" s="845"/>
      <c r="P69" s="845"/>
      <c r="Q69" s="845"/>
      <c r="R69" s="845"/>
      <c r="S69" s="845"/>
      <c r="T69" s="845"/>
      <c r="U69" s="846"/>
      <c r="V69" s="775"/>
      <c r="W69" s="684"/>
      <c r="X69" s="780"/>
      <c r="Y69" s="847"/>
      <c r="Z69" s="832"/>
    </row>
    <row r="70" spans="1:26" ht="14.25" hidden="1">
      <c r="A70" s="684"/>
      <c r="B70" s="665"/>
      <c r="C70" s="848"/>
      <c r="D70" s="665"/>
      <c r="E70" s="849" t="s">
        <v>5</v>
      </c>
      <c r="F70" s="796"/>
      <c r="G70" s="722" t="s">
        <v>292</v>
      </c>
      <c r="H70" s="775"/>
      <c r="I70" s="775"/>
      <c r="J70" s="775"/>
      <c r="K70" s="775"/>
      <c r="L70" s="775"/>
      <c r="M70" s="775"/>
      <c r="N70" s="775"/>
      <c r="O70" s="775"/>
      <c r="P70" s="775"/>
      <c r="Q70" s="775"/>
      <c r="R70" s="775"/>
      <c r="S70" s="775"/>
      <c r="T70" s="775"/>
      <c r="U70" s="850"/>
      <c r="V70" s="775"/>
      <c r="W70" s="684"/>
      <c r="X70" s="780"/>
      <c r="Y70" s="847"/>
      <c r="Z70" s="832"/>
    </row>
    <row r="71" spans="1:26" ht="14.25" hidden="1">
      <c r="A71" s="684"/>
      <c r="B71" s="665"/>
      <c r="C71" s="848"/>
      <c r="D71" s="665"/>
      <c r="E71" s="693" t="s">
        <v>297</v>
      </c>
      <c r="F71" s="796"/>
      <c r="G71" s="715">
        <v>0.8</v>
      </c>
      <c r="H71" s="775"/>
      <c r="I71" s="775"/>
      <c r="J71" s="775"/>
      <c r="K71" s="775"/>
      <c r="L71" s="775"/>
      <c r="M71" s="775"/>
      <c r="N71" s="775"/>
      <c r="O71" s="775"/>
      <c r="P71" s="775"/>
      <c r="Q71" s="775"/>
      <c r="R71" s="775"/>
      <c r="S71" s="775"/>
      <c r="T71" s="775"/>
      <c r="U71" s="850"/>
      <c r="V71" s="775"/>
      <c r="W71" s="684"/>
      <c r="X71" s="780"/>
      <c r="Y71" s="847"/>
      <c r="Z71" s="832"/>
    </row>
    <row r="72" spans="1:26" ht="14.25" hidden="1">
      <c r="A72" s="684"/>
      <c r="B72" s="665"/>
      <c r="C72" s="848"/>
      <c r="D72" s="665"/>
      <c r="E72" s="693" t="s">
        <v>299</v>
      </c>
      <c r="F72" s="796"/>
      <c r="G72" s="715">
        <v>1</v>
      </c>
      <c r="H72" s="775"/>
      <c r="I72" s="775"/>
      <c r="J72" s="775"/>
      <c r="K72" s="775"/>
      <c r="L72" s="775"/>
      <c r="M72" s="775"/>
      <c r="N72" s="775"/>
      <c r="O72" s="775"/>
      <c r="P72" s="775"/>
      <c r="Q72" s="775"/>
      <c r="R72" s="775"/>
      <c r="S72" s="775"/>
      <c r="T72" s="775"/>
      <c r="U72" s="850"/>
      <c r="V72" s="775"/>
      <c r="W72" s="684"/>
      <c r="X72" s="780"/>
      <c r="Y72" s="847"/>
      <c r="Z72" s="832"/>
    </row>
    <row r="73" spans="1:26" ht="14.25" hidden="1">
      <c r="A73" s="684"/>
      <c r="B73" s="665"/>
      <c r="C73" s="848"/>
      <c r="D73" s="665"/>
      <c r="E73" s="693" t="s">
        <v>300</v>
      </c>
      <c r="F73" s="796"/>
      <c r="G73" s="715">
        <v>0.5</v>
      </c>
      <c r="H73" s="775"/>
      <c r="I73" s="775"/>
      <c r="J73" s="775"/>
      <c r="K73" s="775"/>
      <c r="L73" s="775"/>
      <c r="M73" s="775"/>
      <c r="N73" s="775"/>
      <c r="O73" s="775"/>
      <c r="P73" s="775"/>
      <c r="Q73" s="775"/>
      <c r="R73" s="775"/>
      <c r="S73" s="775"/>
      <c r="T73" s="775"/>
      <c r="U73" s="850"/>
      <c r="V73" s="775"/>
      <c r="W73" s="684"/>
      <c r="X73" s="780"/>
      <c r="Y73" s="847"/>
      <c r="Z73" s="832"/>
    </row>
    <row r="74" spans="1:26" ht="14.25" hidden="1">
      <c r="A74" s="684"/>
      <c r="B74" s="665"/>
      <c r="C74" s="848"/>
      <c r="D74" s="665"/>
      <c r="E74" s="693" t="s">
        <v>296</v>
      </c>
      <c r="F74" s="796"/>
      <c r="G74" s="715">
        <v>0.3</v>
      </c>
      <c r="H74" s="775"/>
      <c r="I74" s="775"/>
      <c r="J74" s="775"/>
      <c r="K74" s="775"/>
      <c r="L74" s="775"/>
      <c r="M74" s="775"/>
      <c r="N74" s="775"/>
      <c r="O74" s="775"/>
      <c r="P74" s="775"/>
      <c r="Q74" s="775"/>
      <c r="R74" s="775"/>
      <c r="S74" s="775"/>
      <c r="T74" s="775"/>
      <c r="U74" s="850"/>
      <c r="V74" s="775"/>
      <c r="W74" s="684"/>
      <c r="X74" s="780"/>
      <c r="Y74" s="847"/>
      <c r="Z74" s="832"/>
    </row>
    <row r="75" spans="1:26" ht="14.25" hidden="1">
      <c r="A75" s="684"/>
      <c r="B75" s="665"/>
      <c r="C75" s="848"/>
      <c r="D75" s="665"/>
      <c r="E75" s="693" t="s">
        <v>295</v>
      </c>
      <c r="F75" s="796"/>
      <c r="G75" s="715">
        <v>0.7</v>
      </c>
      <c r="H75" s="775"/>
      <c r="I75" s="775"/>
      <c r="J75" s="775"/>
      <c r="K75" s="775"/>
      <c r="L75" s="775"/>
      <c r="M75" s="775"/>
      <c r="N75" s="775"/>
      <c r="O75" s="775"/>
      <c r="P75" s="775"/>
      <c r="Q75" s="775"/>
      <c r="R75" s="775"/>
      <c r="S75" s="775"/>
      <c r="T75" s="775"/>
      <c r="U75" s="850"/>
      <c r="V75" s="775"/>
      <c r="W75" s="684"/>
      <c r="X75" s="780"/>
      <c r="Y75" s="847"/>
      <c r="Z75" s="832"/>
    </row>
    <row r="76" spans="1:26" ht="14.25" hidden="1">
      <c r="A76" s="684"/>
      <c r="B76" s="665"/>
      <c r="C76" s="848"/>
      <c r="D76" s="665"/>
      <c r="E76" s="693" t="s">
        <v>294</v>
      </c>
      <c r="F76" s="796"/>
      <c r="G76" s="715">
        <v>0.35</v>
      </c>
      <c r="H76" s="775"/>
      <c r="I76" s="775"/>
      <c r="J76" s="775"/>
      <c r="K76" s="775"/>
      <c r="L76" s="775"/>
      <c r="M76" s="775"/>
      <c r="N76" s="775"/>
      <c r="O76" s="775"/>
      <c r="P76" s="775"/>
      <c r="Q76" s="775"/>
      <c r="R76" s="775"/>
      <c r="S76" s="775"/>
      <c r="T76" s="775"/>
      <c r="U76" s="850"/>
      <c r="V76" s="775"/>
      <c r="W76" s="684"/>
      <c r="X76" s="780"/>
      <c r="Y76" s="847"/>
      <c r="Z76" s="832"/>
    </row>
    <row r="77" spans="1:26" ht="14.25" hidden="1">
      <c r="A77" s="684"/>
      <c r="B77" s="665"/>
      <c r="C77" s="848"/>
      <c r="D77" s="665"/>
      <c r="E77" s="693" t="s">
        <v>301</v>
      </c>
      <c r="F77" s="796"/>
      <c r="G77" s="715">
        <v>0.75</v>
      </c>
      <c r="H77" s="775"/>
      <c r="I77" s="775"/>
      <c r="J77" s="775"/>
      <c r="K77" s="775"/>
      <c r="L77" s="775"/>
      <c r="M77" s="775"/>
      <c r="N77" s="775"/>
      <c r="O77" s="775"/>
      <c r="P77" s="775"/>
      <c r="Q77" s="775"/>
      <c r="R77" s="775"/>
      <c r="S77" s="775"/>
      <c r="T77" s="775"/>
      <c r="U77" s="850"/>
      <c r="V77" s="775"/>
      <c r="W77" s="684"/>
      <c r="X77" s="780"/>
      <c r="Y77" s="847"/>
      <c r="Z77" s="832"/>
    </row>
    <row r="78" spans="1:26" ht="14.25" hidden="1">
      <c r="A78" s="684"/>
      <c r="B78" s="665"/>
      <c r="C78" s="848"/>
      <c r="D78" s="665"/>
      <c r="E78" s="693" t="s">
        <v>302</v>
      </c>
      <c r="F78" s="796"/>
      <c r="G78" s="715">
        <v>1</v>
      </c>
      <c r="H78" s="775"/>
      <c r="I78" s="775"/>
      <c r="J78" s="775"/>
      <c r="K78" s="775"/>
      <c r="L78" s="775"/>
      <c r="M78" s="775"/>
      <c r="N78" s="775"/>
      <c r="O78" s="775"/>
      <c r="P78" s="775"/>
      <c r="Q78" s="775"/>
      <c r="R78" s="775"/>
      <c r="S78" s="775"/>
      <c r="T78" s="775"/>
      <c r="U78" s="850"/>
      <c r="V78" s="775"/>
      <c r="W78" s="684"/>
      <c r="X78" s="780"/>
      <c r="Y78" s="847"/>
      <c r="Z78" s="832"/>
    </row>
    <row r="79" spans="1:26" ht="14.25" hidden="1">
      <c r="A79" s="684"/>
      <c r="B79" s="665"/>
      <c r="C79" s="848"/>
      <c r="D79" s="665"/>
      <c r="E79" s="693" t="s">
        <v>303</v>
      </c>
      <c r="F79" s="796"/>
      <c r="G79" s="715">
        <v>1.25</v>
      </c>
      <c r="H79" s="775"/>
      <c r="I79" s="775"/>
      <c r="J79" s="775"/>
      <c r="K79" s="775"/>
      <c r="L79" s="775"/>
      <c r="M79" s="775"/>
      <c r="N79" s="775"/>
      <c r="O79" s="775"/>
      <c r="P79" s="775"/>
      <c r="Q79" s="775"/>
      <c r="R79" s="775"/>
      <c r="S79" s="775"/>
      <c r="T79" s="775"/>
      <c r="U79" s="850"/>
      <c r="V79" s="775"/>
      <c r="W79" s="684"/>
      <c r="X79" s="780"/>
      <c r="Y79" s="847"/>
      <c r="Z79" s="832"/>
    </row>
    <row r="80" spans="1:26" ht="14.25" hidden="1">
      <c r="A80" s="684"/>
      <c r="B80" s="665"/>
      <c r="C80" s="848"/>
      <c r="D80" s="665"/>
      <c r="E80" s="693" t="s">
        <v>193</v>
      </c>
      <c r="F80" s="796"/>
      <c r="G80" s="715">
        <v>0.8</v>
      </c>
      <c r="H80" s="775"/>
      <c r="I80" s="775"/>
      <c r="J80" s="775"/>
      <c r="K80" s="775"/>
      <c r="L80" s="775"/>
      <c r="M80" s="775"/>
      <c r="N80" s="775"/>
      <c r="O80" s="775"/>
      <c r="P80" s="775"/>
      <c r="Q80" s="775"/>
      <c r="R80" s="775"/>
      <c r="S80" s="775"/>
      <c r="T80" s="775"/>
      <c r="U80" s="850"/>
      <c r="V80" s="775"/>
      <c r="W80" s="684"/>
      <c r="X80" s="780"/>
      <c r="Y80" s="847"/>
      <c r="Z80" s="832"/>
    </row>
    <row r="81" spans="1:26" ht="14.25" hidden="1">
      <c r="A81" s="684"/>
      <c r="B81" s="665"/>
      <c r="C81" s="848"/>
      <c r="D81" s="665"/>
      <c r="E81" s="693" t="s">
        <v>305</v>
      </c>
      <c r="F81" s="796"/>
      <c r="G81" s="715">
        <v>1</v>
      </c>
      <c r="H81" s="775"/>
      <c r="I81" s="775"/>
      <c r="J81" s="775"/>
      <c r="K81" s="775"/>
      <c r="L81" s="775"/>
      <c r="M81" s="775"/>
      <c r="N81" s="775"/>
      <c r="O81" s="775"/>
      <c r="P81" s="775"/>
      <c r="Q81" s="775"/>
      <c r="R81" s="775"/>
      <c r="S81" s="775"/>
      <c r="T81" s="775"/>
      <c r="U81" s="850"/>
      <c r="V81" s="775"/>
      <c r="W81" s="684"/>
      <c r="X81" s="780"/>
      <c r="Y81" s="847"/>
      <c r="Z81" s="832"/>
    </row>
    <row r="82" spans="1:26" ht="14.25" hidden="1">
      <c r="A82" s="684"/>
      <c r="B82" s="665"/>
      <c r="C82" s="848"/>
      <c r="D82" s="665"/>
      <c r="E82" s="693" t="s">
        <v>306</v>
      </c>
      <c r="F82" s="796"/>
      <c r="G82" s="715">
        <v>1</v>
      </c>
      <c r="H82" s="775"/>
      <c r="I82" s="775"/>
      <c r="J82" s="775"/>
      <c r="K82" s="775"/>
      <c r="L82" s="775"/>
      <c r="M82" s="775"/>
      <c r="N82" s="775"/>
      <c r="O82" s="775"/>
      <c r="P82" s="775"/>
      <c r="Q82" s="775"/>
      <c r="R82" s="775"/>
      <c r="S82" s="775"/>
      <c r="T82" s="775"/>
      <c r="U82" s="850"/>
      <c r="V82" s="775"/>
      <c r="W82" s="684"/>
      <c r="X82" s="780"/>
      <c r="Y82" s="847"/>
      <c r="Z82" s="832"/>
    </row>
    <row r="83" spans="1:26" ht="14.25" hidden="1">
      <c r="A83" s="684"/>
      <c r="B83" s="665"/>
      <c r="C83" s="848"/>
      <c r="D83" s="665"/>
      <c r="E83" s="693" t="s">
        <v>307</v>
      </c>
      <c r="F83" s="796"/>
      <c r="G83" s="715">
        <v>1</v>
      </c>
      <c r="H83" s="775"/>
      <c r="I83" s="775"/>
      <c r="J83" s="775"/>
      <c r="K83" s="775"/>
      <c r="L83" s="775"/>
      <c r="M83" s="775"/>
      <c r="N83" s="775"/>
      <c r="O83" s="775"/>
      <c r="P83" s="775"/>
      <c r="Q83" s="775"/>
      <c r="R83" s="775"/>
      <c r="S83" s="775"/>
      <c r="T83" s="775"/>
      <c r="U83" s="850"/>
      <c r="V83" s="775"/>
      <c r="W83" s="684"/>
      <c r="X83" s="780"/>
      <c r="Y83" s="847"/>
      <c r="Z83" s="832"/>
    </row>
    <row r="84" spans="1:26" ht="14.25" hidden="1">
      <c r="A84" s="684"/>
      <c r="B84" s="665"/>
      <c r="C84" s="848"/>
      <c r="D84" s="665"/>
      <c r="E84" s="693" t="s">
        <v>308</v>
      </c>
      <c r="F84" s="796"/>
      <c r="G84" s="715">
        <v>1</v>
      </c>
      <c r="H84" s="775"/>
      <c r="I84" s="775"/>
      <c r="J84" s="775"/>
      <c r="K84" s="775"/>
      <c r="L84" s="775"/>
      <c r="M84" s="775"/>
      <c r="N84" s="775"/>
      <c r="O84" s="775"/>
      <c r="P84" s="775"/>
      <c r="Q84" s="775"/>
      <c r="R84" s="775"/>
      <c r="S84" s="775"/>
      <c r="T84" s="775"/>
      <c r="U84" s="850"/>
      <c r="V84" s="775"/>
      <c r="W84" s="684"/>
      <c r="X84" s="780"/>
      <c r="Y84" s="847"/>
      <c r="Z84" s="832"/>
    </row>
    <row r="85" spans="1:26" ht="14.25" hidden="1">
      <c r="A85" s="684"/>
      <c r="B85" s="665"/>
      <c r="C85" s="848"/>
      <c r="D85" s="665"/>
      <c r="E85" s="693" t="s">
        <v>310</v>
      </c>
      <c r="F85" s="796"/>
      <c r="G85" s="715">
        <v>1</v>
      </c>
      <c r="H85" s="775"/>
      <c r="I85" s="775"/>
      <c r="J85" s="775"/>
      <c r="K85" s="775"/>
      <c r="L85" s="775"/>
      <c r="M85" s="775"/>
      <c r="N85" s="775"/>
      <c r="O85" s="775"/>
      <c r="P85" s="775"/>
      <c r="Q85" s="775"/>
      <c r="R85" s="775"/>
      <c r="S85" s="775"/>
      <c r="T85" s="775"/>
      <c r="U85" s="850"/>
      <c r="V85" s="775"/>
      <c r="W85" s="684"/>
      <c r="X85" s="780"/>
      <c r="Y85" s="847"/>
      <c r="Z85" s="832"/>
    </row>
    <row r="86" spans="1:26" ht="14.25" hidden="1">
      <c r="A86" s="684"/>
      <c r="B86" s="665"/>
      <c r="C86" s="848"/>
      <c r="D86" s="665"/>
      <c r="E86" s="693" t="s">
        <v>311</v>
      </c>
      <c r="F86" s="796"/>
      <c r="G86" s="715">
        <v>1</v>
      </c>
      <c r="H86" s="775"/>
      <c r="I86" s="775"/>
      <c r="J86" s="775"/>
      <c r="K86" s="775"/>
      <c r="L86" s="775"/>
      <c r="M86" s="775"/>
      <c r="N86" s="775"/>
      <c r="O86" s="775"/>
      <c r="P86" s="775"/>
      <c r="Q86" s="775"/>
      <c r="R86" s="775"/>
      <c r="S86" s="775"/>
      <c r="T86" s="775"/>
      <c r="U86" s="850"/>
      <c r="V86" s="775"/>
      <c r="W86" s="684"/>
      <c r="X86" s="780"/>
      <c r="Y86" s="847"/>
      <c r="Z86" s="832"/>
    </row>
    <row r="87" spans="1:26" ht="14.25" hidden="1">
      <c r="A87" s="684"/>
      <c r="B87" s="665"/>
      <c r="C87" s="848"/>
      <c r="D87" s="665"/>
      <c r="E87" s="693" t="s">
        <v>298</v>
      </c>
      <c r="F87" s="796"/>
      <c r="G87" s="715">
        <v>1</v>
      </c>
      <c r="H87" s="775"/>
      <c r="I87" s="775"/>
      <c r="J87" s="775"/>
      <c r="K87" s="775"/>
      <c r="L87" s="775"/>
      <c r="M87" s="775"/>
      <c r="N87" s="775"/>
      <c r="O87" s="775"/>
      <c r="P87" s="775"/>
      <c r="Q87" s="775"/>
      <c r="R87" s="775"/>
      <c r="S87" s="775"/>
      <c r="T87" s="775"/>
      <c r="U87" s="850"/>
      <c r="V87" s="775"/>
      <c r="W87" s="684"/>
      <c r="X87" s="780"/>
      <c r="Y87" s="847"/>
      <c r="Z87" s="832"/>
    </row>
    <row r="88" spans="1:26" ht="14.25" hidden="1">
      <c r="A88" s="684"/>
      <c r="B88" s="665"/>
      <c r="C88" s="848"/>
      <c r="D88" s="665"/>
      <c r="E88" s="693" t="s">
        <v>313</v>
      </c>
      <c r="F88" s="796"/>
      <c r="G88" s="715">
        <v>1</v>
      </c>
      <c r="H88" s="775"/>
      <c r="I88" s="775"/>
      <c r="J88" s="775"/>
      <c r="K88" s="775"/>
      <c r="L88" s="775"/>
      <c r="M88" s="775"/>
      <c r="N88" s="775"/>
      <c r="O88" s="775"/>
      <c r="P88" s="775"/>
      <c r="Q88" s="775"/>
      <c r="R88" s="775"/>
      <c r="S88" s="775"/>
      <c r="T88" s="775"/>
      <c r="U88" s="850"/>
      <c r="V88" s="775"/>
      <c r="W88" s="684"/>
      <c r="X88" s="780"/>
      <c r="Y88" s="847"/>
      <c r="Z88" s="832"/>
    </row>
    <row r="89" spans="1:26" ht="14.25" hidden="1">
      <c r="A89" s="684"/>
      <c r="B89" s="665"/>
      <c r="C89" s="848"/>
      <c r="D89" s="665"/>
      <c r="E89" s="849" t="s">
        <v>5</v>
      </c>
      <c r="F89" s="796"/>
      <c r="G89" s="715"/>
      <c r="H89" s="775"/>
      <c r="I89" s="775"/>
      <c r="J89" s="775"/>
      <c r="K89" s="775"/>
      <c r="L89" s="775"/>
      <c r="M89" s="775"/>
      <c r="N89" s="775"/>
      <c r="O89" s="775"/>
      <c r="P89" s="775"/>
      <c r="Q89" s="775"/>
      <c r="R89" s="775"/>
      <c r="S89" s="775"/>
      <c r="T89" s="775"/>
      <c r="U89" s="850"/>
      <c r="V89" s="775"/>
      <c r="W89" s="684"/>
      <c r="X89" s="780"/>
      <c r="Y89" s="847"/>
      <c r="Z89" s="832"/>
    </row>
    <row r="90" spans="1:26" ht="14.25">
      <c r="A90" s="684"/>
      <c r="B90" s="665"/>
      <c r="C90" s="848"/>
      <c r="D90" s="665"/>
      <c r="E90" s="693"/>
      <c r="F90" s="796"/>
      <c r="G90" s="775"/>
      <c r="H90" s="775"/>
      <c r="I90" s="775"/>
      <c r="J90" s="775"/>
      <c r="K90" s="775"/>
      <c r="L90" s="775"/>
      <c r="M90" s="775"/>
      <c r="N90" s="775"/>
      <c r="O90" s="775"/>
      <c r="P90" s="775"/>
      <c r="Q90" s="775"/>
      <c r="R90" s="775"/>
      <c r="S90" s="775"/>
      <c r="T90" s="775"/>
      <c r="U90" s="850"/>
      <c r="V90" s="775"/>
      <c r="W90" s="684"/>
      <c r="X90" s="780"/>
      <c r="Y90" s="847"/>
      <c r="Z90" s="832"/>
    </row>
    <row r="91" spans="1:26" ht="14.25">
      <c r="A91" s="684"/>
      <c r="B91" s="665"/>
      <c r="C91" s="848"/>
      <c r="D91" s="806" t="str">
        <f>LEFT(D56,LEN(D56)-1)+1&amp;")"</f>
        <v>8)</v>
      </c>
      <c r="E91" s="693" t="s">
        <v>314</v>
      </c>
      <c r="F91" s="796"/>
      <c r="G91" s="694" t="s">
        <v>293</v>
      </c>
      <c r="H91" s="851" t="s">
        <v>294</v>
      </c>
      <c r="I91" s="851" t="s">
        <v>296</v>
      </c>
      <c r="J91" s="851" t="s">
        <v>295</v>
      </c>
      <c r="K91" s="851" t="s">
        <v>193</v>
      </c>
      <c r="L91" s="851" t="s">
        <v>310</v>
      </c>
      <c r="M91" s="851" t="s">
        <v>311</v>
      </c>
      <c r="N91" s="851" t="s">
        <v>298</v>
      </c>
      <c r="O91" s="851" t="s">
        <v>313</v>
      </c>
      <c r="P91" s="796" t="s">
        <v>315</v>
      </c>
      <c r="Q91" s="796"/>
      <c r="R91" s="1149" t="s">
        <v>317</v>
      </c>
      <c r="S91" s="1132"/>
      <c r="T91" s="1132"/>
      <c r="U91" s="852"/>
      <c r="V91" s="775"/>
      <c r="W91" s="684"/>
      <c r="X91" s="780"/>
      <c r="Y91" s="847"/>
      <c r="Z91" s="832"/>
    </row>
    <row r="92" spans="1:26" ht="20.25" thickBot="1">
      <c r="A92" s="684"/>
      <c r="B92" s="685"/>
      <c r="C92" s="805"/>
      <c r="D92" s="806" t="str">
        <f t="shared" ref="D92:D94" si="0">LEFT($D91,LEN($D91)-1)+1&amp;")"</f>
        <v>9)</v>
      </c>
      <c r="E92" s="693" t="s">
        <v>319</v>
      </c>
      <c r="F92" s="706" t="s">
        <v>40</v>
      </c>
      <c r="G92" s="694" t="s">
        <v>201</v>
      </c>
      <c r="H92" s="813">
        <v>70</v>
      </c>
      <c r="I92" s="813">
        <v>15</v>
      </c>
      <c r="J92" s="813">
        <v>10</v>
      </c>
      <c r="K92" s="813">
        <v>5</v>
      </c>
      <c r="L92" s="813">
        <v>0</v>
      </c>
      <c r="M92" s="813">
        <v>0</v>
      </c>
      <c r="N92" s="813">
        <v>0</v>
      </c>
      <c r="O92" s="813">
        <v>0</v>
      </c>
      <c r="P92" s="797" t="s">
        <v>19</v>
      </c>
      <c r="Q92" s="797"/>
      <c r="R92" s="854">
        <f>SUM(H92:O92)</f>
        <v>100</v>
      </c>
      <c r="S92" s="854" t="s">
        <v>326</v>
      </c>
      <c r="T92" s="854">
        <f>H36</f>
        <v>100</v>
      </c>
      <c r="U92" s="855"/>
      <c r="V92" s="853"/>
      <c r="W92" s="684"/>
      <c r="X92" s="780"/>
      <c r="Y92" s="847"/>
      <c r="Z92" s="832"/>
    </row>
    <row r="93" spans="1:26" ht="14.25">
      <c r="A93" s="684"/>
      <c r="B93" s="685"/>
      <c r="C93" s="805"/>
      <c r="D93" s="806" t="str">
        <f t="shared" si="0"/>
        <v>10)</v>
      </c>
      <c r="E93" s="693" t="s">
        <v>327</v>
      </c>
      <c r="F93" s="694"/>
      <c r="G93" s="694" t="s">
        <v>246</v>
      </c>
      <c r="H93" s="856">
        <v>0.32119999999999999</v>
      </c>
      <c r="I93" s="856">
        <v>0.29099999999999998</v>
      </c>
      <c r="J93" s="856">
        <v>0.39190000000000003</v>
      </c>
      <c r="K93" s="856">
        <v>0.40129999999999999</v>
      </c>
      <c r="L93" s="856">
        <v>0</v>
      </c>
      <c r="M93" s="856">
        <v>0</v>
      </c>
      <c r="N93" s="856">
        <v>0</v>
      </c>
      <c r="O93" s="856">
        <v>0</v>
      </c>
      <c r="P93" s="857"/>
      <c r="Q93" s="857"/>
      <c r="R93" s="857"/>
      <c r="S93" s="857"/>
      <c r="T93" s="857"/>
      <c r="U93" s="858"/>
      <c r="V93" s="857"/>
      <c r="W93" s="684"/>
      <c r="X93" s="780"/>
      <c r="Y93" s="847"/>
      <c r="Z93" s="684"/>
    </row>
    <row r="94" spans="1:26" ht="14.25">
      <c r="A94" s="684"/>
      <c r="B94" s="685"/>
      <c r="C94" s="805"/>
      <c r="D94" s="806" t="str">
        <f t="shared" si="0"/>
        <v>11)</v>
      </c>
      <c r="E94" s="693" t="s">
        <v>329</v>
      </c>
      <c r="F94" s="694"/>
      <c r="G94" s="694" t="s">
        <v>291</v>
      </c>
      <c r="H94" s="859">
        <f ca="1">IF($H$22="Academic",VLOOKUP($H$34,Researchers_Salaries!$B$71:$Y$100,HLOOKUP($H$20,Researchers_Salaries!$C$3:$X$4,2,FALSE),FALSE),IF($H$22="Private",VLOOKUP($H$34,Researchers_Salaries!$B$5:$Y$34,HLOOKUP($H$20,Researchers_Salaries!$C$3:$X$4,2,FALSE),FALSE),VLOOKUP($H$34,Researchers_Salaries!$B$38:$Y$68,HLOOKUP($H$20,Researchers_Salaries!$C$3:$X$4,2,FALSE),FALSE))) * (VLOOKUP(H$91,$E$71:$G$88, 3,FALSE))</f>
        <v>15394.846390788431</v>
      </c>
      <c r="I94" s="859">
        <f ca="1">IF($H$22="Academic",VLOOKUP($H$34,Researchers_Salaries!$B$71:$Y$100,HLOOKUP($H$20,Researchers_Salaries!$C$3:$X$4,2,FALSE),FALSE),IF($H$22="Private",VLOOKUP($H$34,Researchers_Salaries!$B$5:$Y$34,HLOOKUP($H$20,Researchers_Salaries!$C$3:$X$4,2,FALSE),FALSE),VLOOKUP($H$34,Researchers_Salaries!$B$38:$Y$68,HLOOKUP($H$20,Researchers_Salaries!$C$3:$X$4,2,FALSE),FALSE))) * (VLOOKUP(I$91,$E$71:$G$88, 3,FALSE))</f>
        <v>13195.582620675799</v>
      </c>
      <c r="J94" s="859">
        <f ca="1">IF($H$22="Academic",VLOOKUP($H$34,Researchers_Salaries!$B$71:$Y$100,HLOOKUP($H$20,Researchers_Salaries!$C$3:$X$4,2,FALSE),FALSE),IF($H$22="Private",VLOOKUP($H$34,Researchers_Salaries!$B$5:$Y$34,HLOOKUP($H$20,Researchers_Salaries!$C$3:$X$4,2,FALSE),FALSE),VLOOKUP($H$34,Researchers_Salaries!$B$38:$Y$68,HLOOKUP($H$20,Researchers_Salaries!$C$3:$X$4,2,FALSE),FALSE))) * (VLOOKUP(J$91,$E$71:$G$88, 3,FALSE))</f>
        <v>30789.692781576861</v>
      </c>
      <c r="K94" s="859">
        <f ca="1">IF($H$22="Academic",VLOOKUP($H$34,Researchers_Salaries!$B$71:$Y$100,HLOOKUP($H$20,Researchers_Salaries!$C$3:$X$4,2,FALSE),FALSE),IF($H$22="Private",VLOOKUP($H$34,Researchers_Salaries!$B$5:$Y$34,HLOOKUP($H$20,Researchers_Salaries!$C$3:$X$4,2,FALSE),FALSE),VLOOKUP($H$34,Researchers_Salaries!$B$38:$Y$68,HLOOKUP($H$20,Researchers_Salaries!$C$3:$X$4,2,FALSE),FALSE))) * (VLOOKUP(K$91,$E$71:$G$88, 3,FALSE))</f>
        <v>35188.220321802131</v>
      </c>
      <c r="L94" s="859">
        <f ca="1">IF($H$22="Academic",VLOOKUP($H$34,Researchers_Salaries!$B$71:$Y$100,HLOOKUP($H$20,Researchers_Salaries!$C$3:$X$4,2,FALSE),FALSE),IF($H$22="Private",VLOOKUP($H$34,Researchers_Salaries!$B$5:$Y$34,HLOOKUP($H$20,Researchers_Salaries!$C$3:$X$4,2,FALSE),FALSE),VLOOKUP($H$34,Researchers_Salaries!$B$38:$Y$68,HLOOKUP($H$20,Researchers_Salaries!$C$3:$X$4,2,FALSE),FALSE))) * (VLOOKUP(L$91,$E$71:$G$88, 3,FALSE))</f>
        <v>43985.275402252664</v>
      </c>
      <c r="M94" s="859">
        <f ca="1">IF($H$22="Academic",VLOOKUP($H$34,Researchers_Salaries!$B$71:$Y$100,HLOOKUP($H$20,Researchers_Salaries!$C$3:$X$4,2,FALSE),FALSE),IF($H$22="Private",VLOOKUP($H$34,Researchers_Salaries!$B$5:$Y$34,HLOOKUP($H$20,Researchers_Salaries!$C$3:$X$4,2,FALSE),FALSE),VLOOKUP($H$34,Researchers_Salaries!$B$38:$Y$68,HLOOKUP($H$20,Researchers_Salaries!$C$3:$X$4,2,FALSE),FALSE))) * (VLOOKUP(M$91,$E$71:$G$88, 3,FALSE))</f>
        <v>43985.275402252664</v>
      </c>
      <c r="N94" s="859">
        <f ca="1">IF($H$22="Academic",VLOOKUP($H$34,Researchers_Salaries!$B$71:$Y$100,HLOOKUP($H$20,Researchers_Salaries!$C$3:$X$4,2,FALSE),FALSE),IF($H$22="Private",VLOOKUP($H$34,Researchers_Salaries!$B$5:$Y$34,HLOOKUP($H$20,Researchers_Salaries!$C$3:$X$4,2,FALSE),FALSE),VLOOKUP($H$34,Researchers_Salaries!$B$38:$Y$68,HLOOKUP($H$20,Researchers_Salaries!$C$3:$X$4,2,FALSE),FALSE))) * (VLOOKUP(N$91,$E$71:$G$88, 3,FALSE))</f>
        <v>43985.275402252664</v>
      </c>
      <c r="O94" s="859">
        <f ca="1">IF($H$22="Academic",VLOOKUP($H$34,Researchers_Salaries!$B$71:$Y$100,HLOOKUP($H$20,Researchers_Salaries!$C$3:$X$4,2,FALSE),FALSE),IF($H$22="Private",VLOOKUP($H$34,Researchers_Salaries!$B$5:$Y$34,HLOOKUP($H$20,Researchers_Salaries!$C$3:$X$4,2,FALSE),FALSE),VLOOKUP($H$34,Researchers_Salaries!$B$38:$Y$68,HLOOKUP($H$20,Researchers_Salaries!$C$3:$X$4,2,FALSE),FALSE))) * (VLOOKUP(O$91,$E$71:$G$88, 3,FALSE))</f>
        <v>43985.275402252664</v>
      </c>
      <c r="P94" s="860"/>
      <c r="Q94" s="860"/>
      <c r="R94" s="860"/>
      <c r="S94" s="860"/>
      <c r="T94" s="860"/>
      <c r="U94" s="861"/>
      <c r="V94" s="860"/>
      <c r="W94" s="684"/>
      <c r="X94" s="780"/>
      <c r="Y94" s="847"/>
      <c r="Z94" s="684"/>
    </row>
    <row r="95" spans="1:26" ht="14.25" hidden="1">
      <c r="A95" s="684"/>
      <c r="B95" s="685"/>
      <c r="C95" s="805"/>
      <c r="D95" s="663"/>
      <c r="E95" s="849" t="s">
        <v>5</v>
      </c>
      <c r="F95" s="694"/>
      <c r="G95" s="694"/>
      <c r="H95" s="862"/>
      <c r="I95" s="862"/>
      <c r="J95" s="862"/>
      <c r="K95" s="862"/>
      <c r="L95" s="862"/>
      <c r="M95" s="862"/>
      <c r="N95" s="862"/>
      <c r="O95" s="862"/>
      <c r="P95" s="860"/>
      <c r="Q95" s="860"/>
      <c r="R95" s="860"/>
      <c r="S95" s="860"/>
      <c r="T95" s="860"/>
      <c r="U95" s="861"/>
      <c r="V95" s="860"/>
      <c r="W95" s="684"/>
      <c r="X95" s="780"/>
      <c r="Y95" s="847"/>
      <c r="Z95" s="684"/>
    </row>
    <row r="96" spans="1:26" ht="14.25" hidden="1">
      <c r="A96" s="684"/>
      <c r="B96" s="685"/>
      <c r="C96" s="805"/>
      <c r="D96" s="663"/>
      <c r="E96" s="693" t="s">
        <v>329</v>
      </c>
      <c r="F96" s="694"/>
      <c r="G96" s="694" t="s">
        <v>291</v>
      </c>
      <c r="H96" s="863">
        <f ca="1">IF($H$22="Academic",VLOOKUP($H$34,Researchers_Salaries!$B$71:$Y$100,HLOOKUP($H$20,Researchers_Salaries!$C$3:$X$4,2,FALSE),FALSE),IF($H$22="Private",VLOOKUP($H$34,Researchers_Salaries!$B$5:$Y$34,HLOOKUP($H$20,Researchers_Salaries!$C$3:$X$4,2,FALSE),FALSE),VLOOKUP($H$34,Researchers_Salaries!$B$38:$Y$68,HLOOKUP($H$20,Researchers_Salaries!$C$3:$X$4,2,FALSE),FALSE))) * (VLOOKUP(H$91,$E$71:$G$88, 3,FALSE))</f>
        <v>15394.846390788431</v>
      </c>
      <c r="I96" s="863">
        <f ca="1">IF($H$22="Academic",VLOOKUP($H$34,Researchers_Salaries!$B$71:$Y$100,HLOOKUP($H$20,Researchers_Salaries!$C$3:$X$4,2,FALSE),FALSE),IF($H$22="Private",VLOOKUP($H$34,Researchers_Salaries!$B$5:$Y$34,HLOOKUP($H$20,Researchers_Salaries!$C$3:$X$4,2,FALSE),FALSE),VLOOKUP($H$34,Researchers_Salaries!$B$38:$Y$68,HLOOKUP($H$20,Researchers_Salaries!$C$3:$X$4,2,FALSE),FALSE))) * (VLOOKUP(I$91,$E$71:$G$88, 3,FALSE))</f>
        <v>13195.582620675799</v>
      </c>
      <c r="J96" s="863">
        <f ca="1">IF($H$22="Academic",VLOOKUP($H$34,Researchers_Salaries!$B$71:$Y$100,HLOOKUP($H$20,Researchers_Salaries!$C$3:$X$4,2,FALSE),FALSE),IF($H$22="Private",VLOOKUP($H$34,Researchers_Salaries!$B$5:$Y$34,HLOOKUP($H$20,Researchers_Salaries!$C$3:$X$4,2,FALSE),FALSE),VLOOKUP($H$34,Researchers_Salaries!$B$38:$Y$68,HLOOKUP($H$20,Researchers_Salaries!$C$3:$X$4,2,FALSE),FALSE))) * (VLOOKUP(J$91,$E$71:$G$88, 3,FALSE))</f>
        <v>30789.692781576861</v>
      </c>
      <c r="K96" s="863">
        <f ca="1">IF($H$22="Academic",VLOOKUP($H$34,Researchers_Salaries!$B$71:$Y$100,HLOOKUP($H$20,Researchers_Salaries!$C$3:$X$4,2,FALSE),FALSE),IF($H$22="Private",VLOOKUP($H$34,Researchers_Salaries!$B$5:$Y$34,HLOOKUP($H$20,Researchers_Salaries!$C$3:$X$4,2,FALSE),FALSE),VLOOKUP($H$34,Researchers_Salaries!$B$38:$Y$68,HLOOKUP($H$20,Researchers_Salaries!$C$3:$X$4,2,FALSE),FALSE))) * (VLOOKUP(K$91,$E$71:$G$88, 3,FALSE))</f>
        <v>35188.220321802131</v>
      </c>
      <c r="L96" s="863">
        <f ca="1">IF($H$22="Academic",VLOOKUP($H$34,Researchers_Salaries!$B$71:$Y$100,HLOOKUP($H$20,Researchers_Salaries!$C$3:$X$4,2,FALSE),FALSE),IF($H$22="Private",VLOOKUP($H$34,Researchers_Salaries!$B$5:$Y$34,HLOOKUP($H$20,Researchers_Salaries!$C$3:$X$4,2,FALSE),FALSE),VLOOKUP($H$34,Researchers_Salaries!$B$38:$Y$68,HLOOKUP($H$20,Researchers_Salaries!$C$3:$X$4,2,FALSE),FALSE))) * (VLOOKUP(L$91,$E$71:$G$88, 3,FALSE))</f>
        <v>43985.275402252664</v>
      </c>
      <c r="M96" s="863">
        <f ca="1">IF($H$22="Academic",VLOOKUP($H$34,Researchers_Salaries!$B$71:$Y$100,HLOOKUP($H$20,Researchers_Salaries!$C$3:$X$4,2,FALSE),FALSE),IF($H$22="Private",VLOOKUP($H$34,Researchers_Salaries!$B$5:$Y$34,HLOOKUP($H$20,Researchers_Salaries!$C$3:$X$4,2,FALSE),FALSE),VLOOKUP($H$34,Researchers_Salaries!$B$38:$Y$68,HLOOKUP($H$20,Researchers_Salaries!$C$3:$X$4,2,FALSE),FALSE))) * (VLOOKUP(M$91,$E$71:$G$88, 3,FALSE))</f>
        <v>43985.275402252664</v>
      </c>
      <c r="N96" s="863">
        <f ca="1">IF($H$22="Academic",VLOOKUP($H$34,Researchers_Salaries!$B$71:$Y$100,HLOOKUP($H$20,Researchers_Salaries!$C$3:$X$4,2,FALSE),FALSE),IF($H$22="Private",VLOOKUP($H$34,Researchers_Salaries!$B$5:$Y$34,HLOOKUP($H$20,Researchers_Salaries!$C$3:$X$4,2,FALSE),FALSE),VLOOKUP($H$34,Researchers_Salaries!$B$38:$Y$68,HLOOKUP($H$20,Researchers_Salaries!$C$3:$X$4,2,FALSE),FALSE))) * (VLOOKUP(N$91,$E$71:$G$88, 3,FALSE))</f>
        <v>43985.275402252664</v>
      </c>
      <c r="O96" s="863">
        <f ca="1">IF($H$22="Academic",VLOOKUP($H$34,Researchers_Salaries!$B$71:$Y$100,HLOOKUP($H$20,Researchers_Salaries!$C$3:$X$4,2,FALSE),FALSE),IF($H$22="Private",VLOOKUP($H$34,Researchers_Salaries!$B$5:$Y$34,HLOOKUP($H$20,Researchers_Salaries!$C$3:$X$4,2,FALSE),FALSE),VLOOKUP($H$34,Researchers_Salaries!$B$38:$Y$68,HLOOKUP($H$20,Researchers_Salaries!$C$3:$X$4,2,FALSE),FALSE))) * (VLOOKUP(O$91,$E$71:$G$88, 3,FALSE))</f>
        <v>43985.275402252664</v>
      </c>
      <c r="P96" s="860"/>
      <c r="Q96" s="860"/>
      <c r="R96" s="860"/>
      <c r="S96" s="860"/>
      <c r="T96" s="860"/>
      <c r="U96" s="861"/>
      <c r="V96" s="860"/>
      <c r="W96" s="684"/>
      <c r="X96" s="780"/>
      <c r="Y96" s="847"/>
      <c r="Z96" s="684"/>
    </row>
    <row r="97" spans="1:26" ht="14.25" hidden="1">
      <c r="A97" s="684"/>
      <c r="B97" s="685"/>
      <c r="C97" s="805"/>
      <c r="D97" s="663"/>
      <c r="E97" s="849" t="s">
        <v>29</v>
      </c>
      <c r="F97" s="694"/>
      <c r="G97" s="694"/>
      <c r="P97" s="860"/>
      <c r="Q97" s="860"/>
      <c r="R97" s="860"/>
      <c r="S97" s="860"/>
      <c r="T97" s="860"/>
      <c r="U97" s="861"/>
      <c r="V97" s="860"/>
      <c r="W97" s="684"/>
      <c r="X97" s="780"/>
      <c r="Y97" s="847"/>
      <c r="Z97" s="684"/>
    </row>
    <row r="98" spans="1:26" ht="14.25">
      <c r="A98" s="684"/>
      <c r="B98" s="685"/>
      <c r="C98" s="805"/>
      <c r="D98" s="806" t="str">
        <f>LEFT($D94,LEN($D94)-1)+1&amp;")"</f>
        <v>12)</v>
      </c>
      <c r="E98" s="693" t="s">
        <v>360</v>
      </c>
      <c r="F98" s="694"/>
      <c r="G98" s="694" t="s">
        <v>201</v>
      </c>
      <c r="H98" s="813">
        <v>40</v>
      </c>
      <c r="I98" s="813">
        <v>40</v>
      </c>
      <c r="J98" s="813">
        <v>40</v>
      </c>
      <c r="K98" s="813">
        <v>0</v>
      </c>
      <c r="L98" s="813">
        <v>0</v>
      </c>
      <c r="M98" s="813">
        <v>0</v>
      </c>
      <c r="N98" s="813">
        <v>0</v>
      </c>
      <c r="O98" s="813">
        <v>0</v>
      </c>
      <c r="P98" s="694"/>
      <c r="Q98" s="694"/>
      <c r="R98" s="694"/>
      <c r="S98" s="694"/>
      <c r="T98" s="694"/>
      <c r="U98" s="821"/>
      <c r="V98" s="694"/>
      <c r="W98" s="684"/>
      <c r="X98" s="780"/>
      <c r="Y98" s="847"/>
      <c r="Z98" s="684"/>
    </row>
    <row r="99" spans="1:26" ht="14.25" hidden="1">
      <c r="A99" s="684"/>
      <c r="B99" s="685"/>
      <c r="C99" s="805"/>
      <c r="D99" s="685"/>
      <c r="E99" s="693" t="s">
        <v>362</v>
      </c>
      <c r="F99" s="694"/>
      <c r="G99" s="694" t="s">
        <v>201</v>
      </c>
      <c r="H99" s="864">
        <f>H98/5</f>
        <v>8</v>
      </c>
      <c r="I99" s="864">
        <f t="shared" ref="I99:O99" si="1">I98/7</f>
        <v>5.7142857142857144</v>
      </c>
      <c r="J99" s="864">
        <f t="shared" si="1"/>
        <v>5.7142857142857144</v>
      </c>
      <c r="K99" s="864">
        <f t="shared" si="1"/>
        <v>0</v>
      </c>
      <c r="L99" s="864">
        <f t="shared" si="1"/>
        <v>0</v>
      </c>
      <c r="M99" s="864">
        <f t="shared" si="1"/>
        <v>0</v>
      </c>
      <c r="N99" s="864">
        <f t="shared" si="1"/>
        <v>0</v>
      </c>
      <c r="O99" s="864">
        <f t="shared" si="1"/>
        <v>0</v>
      </c>
      <c r="P99" s="864"/>
      <c r="Q99" s="864"/>
      <c r="R99" s="864"/>
      <c r="S99" s="864"/>
      <c r="T99" s="864"/>
      <c r="U99" s="865"/>
      <c r="V99" s="864"/>
      <c r="W99" s="684"/>
      <c r="X99" s="780"/>
      <c r="Y99" s="684"/>
      <c r="Z99" s="684"/>
    </row>
    <row r="100" spans="1:26" ht="14.25">
      <c r="A100" s="684"/>
      <c r="B100" s="685"/>
      <c r="C100" s="805"/>
      <c r="D100" s="806" t="str">
        <f>LEFT($D98,LEN($D98)-1)+1&amp;")"</f>
        <v>13)</v>
      </c>
      <c r="E100" s="693" t="s">
        <v>366</v>
      </c>
      <c r="F100" s="694"/>
      <c r="G100" s="694" t="s">
        <v>201</v>
      </c>
      <c r="H100" s="813">
        <v>200</v>
      </c>
      <c r="I100" s="813">
        <v>200</v>
      </c>
      <c r="J100" s="813">
        <v>200</v>
      </c>
      <c r="K100" s="813">
        <v>0</v>
      </c>
      <c r="L100" s="813">
        <v>0</v>
      </c>
      <c r="M100" s="813">
        <v>0</v>
      </c>
      <c r="N100" s="813">
        <v>0</v>
      </c>
      <c r="O100" s="813">
        <v>0</v>
      </c>
      <c r="P100" s="853"/>
      <c r="Q100" s="853"/>
      <c r="R100" s="853"/>
      <c r="S100" s="853"/>
      <c r="T100" s="853"/>
      <c r="U100" s="855"/>
      <c r="V100" s="853"/>
      <c r="W100" s="684"/>
      <c r="X100" s="780"/>
      <c r="Y100" s="684"/>
      <c r="Z100" s="684"/>
    </row>
    <row r="101" spans="1:26" thickBot="1">
      <c r="A101" s="684"/>
      <c r="B101" s="685"/>
      <c r="C101" s="805"/>
      <c r="D101" s="806" t="str">
        <f>LEFT($D100,LEN($D100)-1)+1&amp;")"</f>
        <v>14)</v>
      </c>
      <c r="E101" s="693" t="s">
        <v>370</v>
      </c>
      <c r="F101" s="706" t="s">
        <v>40</v>
      </c>
      <c r="G101" s="694" t="s">
        <v>201</v>
      </c>
      <c r="H101" s="866">
        <v>1.5</v>
      </c>
      <c r="I101" s="866">
        <v>1.5</v>
      </c>
      <c r="J101" s="866">
        <v>1.5</v>
      </c>
      <c r="K101" s="866">
        <v>1</v>
      </c>
      <c r="L101" s="866">
        <v>0</v>
      </c>
      <c r="M101" s="866">
        <v>0</v>
      </c>
      <c r="N101" s="866">
        <v>0</v>
      </c>
      <c r="O101" s="866">
        <v>0</v>
      </c>
      <c r="P101" s="867"/>
      <c r="Q101" s="867"/>
      <c r="R101" s="867"/>
      <c r="S101" s="867"/>
      <c r="T101" s="867"/>
      <c r="U101" s="868"/>
      <c r="V101" s="869"/>
      <c r="W101" s="684"/>
      <c r="X101" s="780"/>
      <c r="Y101" s="684"/>
      <c r="Z101" s="684"/>
    </row>
    <row r="102" spans="1:26" ht="14.25" hidden="1">
      <c r="A102" s="684"/>
      <c r="B102" s="685"/>
      <c r="C102" s="805"/>
      <c r="D102" s="685"/>
      <c r="E102" s="693" t="s">
        <v>372</v>
      </c>
      <c r="F102" s="694"/>
      <c r="G102" s="694" t="s">
        <v>291</v>
      </c>
      <c r="H102" s="870">
        <f t="shared" ref="H102:O102" si="2">IFERROR(#REF!/H100/H99,0)</f>
        <v>0</v>
      </c>
      <c r="I102" s="870">
        <f t="shared" si="2"/>
        <v>0</v>
      </c>
      <c r="J102" s="870">
        <f t="shared" si="2"/>
        <v>0</v>
      </c>
      <c r="K102" s="870">
        <f t="shared" si="2"/>
        <v>0</v>
      </c>
      <c r="L102" s="870">
        <f t="shared" si="2"/>
        <v>0</v>
      </c>
      <c r="M102" s="870">
        <f t="shared" si="2"/>
        <v>0</v>
      </c>
      <c r="N102" s="870">
        <f t="shared" si="2"/>
        <v>0</v>
      </c>
      <c r="O102" s="870">
        <f t="shared" si="2"/>
        <v>0</v>
      </c>
      <c r="P102" s="870"/>
      <c r="Q102" s="870"/>
      <c r="R102" s="870"/>
      <c r="S102" s="870"/>
      <c r="T102" s="870"/>
      <c r="U102" s="871"/>
      <c r="V102" s="869"/>
      <c r="W102" s="684"/>
      <c r="X102" s="780"/>
      <c r="Y102" s="684"/>
      <c r="Z102" s="684"/>
    </row>
    <row r="103" spans="1:26" ht="14.25">
      <c r="A103" s="684"/>
      <c r="B103" s="665"/>
      <c r="C103" s="872"/>
      <c r="D103" s="873"/>
      <c r="E103" s="874"/>
      <c r="F103" s="875"/>
      <c r="G103" s="873"/>
      <c r="H103" s="828"/>
      <c r="I103" s="828"/>
      <c r="J103" s="828"/>
      <c r="K103" s="828"/>
      <c r="L103" s="828"/>
      <c r="M103" s="828"/>
      <c r="N103" s="828"/>
      <c r="O103" s="828"/>
      <c r="P103" s="828"/>
      <c r="Q103" s="828"/>
      <c r="R103" s="828"/>
      <c r="S103" s="828"/>
      <c r="T103" s="828"/>
      <c r="U103" s="831"/>
      <c r="V103" s="685"/>
      <c r="W103" s="684"/>
      <c r="X103" s="780"/>
      <c r="Y103" s="684"/>
      <c r="Z103" s="684"/>
    </row>
    <row r="104" spans="1:26" ht="11.25" customHeight="1">
      <c r="A104" s="684"/>
      <c r="B104" s="665"/>
      <c r="C104" s="665"/>
      <c r="D104" s="665"/>
      <c r="E104" s="748"/>
      <c r="F104" s="876"/>
      <c r="G104" s="665"/>
      <c r="H104" s="685"/>
      <c r="I104" s="685"/>
      <c r="J104" s="685"/>
      <c r="K104" s="685"/>
      <c r="L104" s="685"/>
      <c r="M104" s="685"/>
      <c r="N104" s="685"/>
      <c r="O104" s="685"/>
      <c r="P104" s="685"/>
      <c r="Q104" s="685"/>
      <c r="R104" s="685"/>
      <c r="S104" s="685"/>
      <c r="T104" s="685"/>
      <c r="U104" s="685"/>
      <c r="V104" s="685"/>
      <c r="W104" s="684"/>
      <c r="X104" s="780"/>
      <c r="Y104" s="684"/>
      <c r="Z104" s="684"/>
    </row>
    <row r="105" spans="1:26" ht="11.25" customHeight="1">
      <c r="A105" s="684"/>
      <c r="B105" s="665"/>
      <c r="C105" s="665"/>
      <c r="D105" s="685" t="s">
        <v>1098</v>
      </c>
      <c r="E105" s="693"/>
      <c r="F105" s="876"/>
      <c r="G105" s="665"/>
      <c r="H105" s="685"/>
      <c r="I105" s="685"/>
      <c r="J105" s="685"/>
      <c r="K105" s="685"/>
      <c r="L105" s="685"/>
      <c r="M105" s="685"/>
      <c r="N105" s="685"/>
      <c r="O105" s="685"/>
      <c r="P105" s="685"/>
      <c r="Q105" s="685"/>
      <c r="R105" s="685"/>
      <c r="S105" s="685"/>
      <c r="T105" s="685"/>
      <c r="U105" s="685"/>
      <c r="V105" s="685"/>
      <c r="W105" s="684"/>
      <c r="X105" s="780"/>
      <c r="Y105" s="684"/>
      <c r="Z105" s="684"/>
    </row>
    <row r="106" spans="1:26" ht="11.25" customHeight="1">
      <c r="A106" s="684"/>
      <c r="B106" s="665"/>
      <c r="C106" s="665"/>
      <c r="D106" s="703" t="s">
        <v>382</v>
      </c>
      <c r="E106" s="693"/>
      <c r="F106" s="876"/>
      <c r="G106" s="665"/>
      <c r="H106" s="665"/>
      <c r="I106" s="685"/>
      <c r="J106" s="685"/>
      <c r="K106" s="685"/>
      <c r="L106" s="685"/>
      <c r="M106" s="685"/>
      <c r="N106" s="685"/>
      <c r="O106" s="685"/>
      <c r="P106" s="685"/>
      <c r="Q106" s="685"/>
      <c r="R106" s="685"/>
      <c r="S106" s="685"/>
      <c r="T106" s="685"/>
      <c r="U106" s="685"/>
      <c r="V106" s="685"/>
      <c r="W106" s="684"/>
      <c r="X106" s="780"/>
      <c r="Y106" s="684"/>
      <c r="Z106" s="684"/>
    </row>
    <row r="107" spans="1:26" ht="11.25" customHeight="1">
      <c r="A107" s="684"/>
      <c r="B107" s="665"/>
      <c r="C107" s="665"/>
      <c r="D107" s="685"/>
      <c r="E107" s="748"/>
      <c r="F107" s="876"/>
      <c r="G107" s="665"/>
      <c r="H107" s="665"/>
      <c r="I107" s="685"/>
      <c r="J107" s="685"/>
      <c r="K107" s="685"/>
      <c r="L107" s="685"/>
      <c r="M107" s="685"/>
      <c r="N107" s="685"/>
      <c r="O107" s="685"/>
      <c r="P107" s="685"/>
      <c r="Q107" s="685"/>
      <c r="R107" s="685"/>
      <c r="S107" s="685"/>
      <c r="T107" s="685"/>
      <c r="U107" s="685"/>
      <c r="V107" s="685"/>
      <c r="W107" s="684"/>
      <c r="X107" s="780"/>
      <c r="Y107" s="684"/>
      <c r="Z107" s="684"/>
    </row>
    <row r="108" spans="1:26" ht="14.25">
      <c r="A108" s="684"/>
      <c r="B108" s="684"/>
      <c r="C108" s="684"/>
      <c r="D108" s="684"/>
      <c r="E108" s="689"/>
      <c r="F108" s="690"/>
      <c r="G108" s="684"/>
      <c r="H108" s="684"/>
      <c r="I108" s="684"/>
      <c r="J108" s="684"/>
      <c r="K108" s="684"/>
      <c r="L108" s="684"/>
      <c r="M108" s="684"/>
      <c r="N108" s="684"/>
      <c r="O108" s="684"/>
      <c r="P108" s="684"/>
      <c r="Q108" s="684"/>
      <c r="R108" s="684"/>
      <c r="S108" s="684"/>
      <c r="T108" s="684"/>
      <c r="U108" s="684"/>
      <c r="V108" s="684"/>
      <c r="W108" s="684"/>
      <c r="X108" s="780"/>
      <c r="Y108" s="684"/>
      <c r="Z108" s="684"/>
    </row>
    <row r="109" spans="1:26" ht="14.25">
      <c r="A109" s="684"/>
      <c r="B109" s="684"/>
      <c r="C109" s="684"/>
      <c r="D109" s="684"/>
      <c r="E109" s="689"/>
      <c r="F109" s="690"/>
      <c r="G109" s="684"/>
      <c r="H109" s="684"/>
      <c r="I109" s="684"/>
      <c r="J109" s="684"/>
      <c r="K109" s="684"/>
      <c r="L109" s="684"/>
      <c r="M109" s="684"/>
      <c r="N109" s="684"/>
      <c r="O109" s="684"/>
      <c r="P109" s="684"/>
      <c r="Q109" s="684"/>
      <c r="R109" s="684"/>
      <c r="S109" s="684"/>
      <c r="T109" s="684"/>
      <c r="U109" s="684"/>
      <c r="V109" s="684"/>
      <c r="W109" s="684"/>
      <c r="X109" s="780"/>
      <c r="Y109" s="684"/>
      <c r="Z109" s="684"/>
    </row>
    <row r="110" spans="1:26" ht="14.25">
      <c r="A110" s="684"/>
      <c r="B110" s="684"/>
      <c r="C110" s="684"/>
      <c r="D110" s="684"/>
      <c r="E110" s="689"/>
      <c r="F110" s="690"/>
      <c r="G110" s="684"/>
      <c r="H110" s="684"/>
      <c r="I110" s="684"/>
      <c r="J110" s="684"/>
      <c r="K110" s="684"/>
      <c r="L110" s="684"/>
      <c r="M110" s="684"/>
      <c r="N110" s="684"/>
      <c r="O110" s="684"/>
      <c r="P110" s="684"/>
      <c r="Q110" s="684"/>
      <c r="R110" s="684"/>
      <c r="S110" s="684"/>
      <c r="T110" s="684"/>
      <c r="U110" s="684"/>
      <c r="V110" s="684"/>
      <c r="W110" s="684"/>
      <c r="X110" s="780"/>
      <c r="Y110" s="684"/>
      <c r="Z110" s="684"/>
    </row>
    <row r="111" spans="1:26" ht="14.25">
      <c r="A111" s="684"/>
      <c r="B111" s="684"/>
      <c r="C111" s="684"/>
      <c r="D111" s="684"/>
      <c r="E111" s="689"/>
      <c r="F111" s="690"/>
      <c r="G111" s="684"/>
      <c r="L111" s="877"/>
      <c r="O111" s="684"/>
      <c r="P111" s="684"/>
      <c r="Q111" s="684"/>
      <c r="R111" s="684"/>
      <c r="S111" s="684"/>
      <c r="T111" s="684"/>
      <c r="U111" s="684"/>
      <c r="V111" s="684"/>
      <c r="W111" s="684"/>
      <c r="X111" s="780"/>
      <c r="Y111" s="684"/>
      <c r="Z111" s="684"/>
    </row>
    <row r="112" spans="1:26" ht="14.25">
      <c r="A112" s="684"/>
      <c r="B112" s="684"/>
      <c r="C112" s="684"/>
      <c r="D112" s="684"/>
      <c r="E112" s="689"/>
      <c r="F112" s="690"/>
      <c r="G112" s="684"/>
      <c r="L112" s="877"/>
      <c r="O112" s="684"/>
      <c r="P112" s="684"/>
      <c r="Q112" s="684"/>
      <c r="R112" s="684"/>
      <c r="S112" s="684"/>
      <c r="T112" s="684"/>
      <c r="U112" s="684"/>
      <c r="V112" s="684"/>
      <c r="W112" s="684"/>
      <c r="X112" s="780"/>
      <c r="Y112" s="684"/>
      <c r="Z112" s="684"/>
    </row>
    <row r="113" spans="1:26" ht="14.25">
      <c r="A113" s="684"/>
      <c r="B113" s="684"/>
      <c r="C113" s="684"/>
      <c r="D113" s="684"/>
      <c r="E113" s="689"/>
      <c r="F113" s="690"/>
      <c r="G113" s="684"/>
      <c r="L113" s="877"/>
      <c r="O113" s="684"/>
      <c r="P113" s="684"/>
      <c r="Q113" s="684"/>
      <c r="R113" s="684"/>
      <c r="S113" s="684"/>
      <c r="T113" s="684"/>
      <c r="U113" s="684"/>
      <c r="V113" s="684"/>
      <c r="W113" s="684"/>
      <c r="X113" s="780"/>
      <c r="Y113" s="684"/>
      <c r="Z113" s="684"/>
    </row>
    <row r="114" spans="1:26" ht="14.25">
      <c r="A114" s="684"/>
      <c r="B114" s="684"/>
      <c r="C114" s="684"/>
      <c r="D114" s="684"/>
      <c r="E114" s="689"/>
      <c r="F114" s="690"/>
      <c r="G114" s="684"/>
      <c r="H114" s="1132"/>
      <c r="I114" s="1132"/>
      <c r="L114" s="877"/>
      <c r="O114" s="684"/>
      <c r="P114" s="684"/>
      <c r="Q114" s="684"/>
      <c r="R114" s="684"/>
      <c r="S114" s="684"/>
      <c r="T114" s="684"/>
      <c r="U114" s="684"/>
      <c r="V114" s="684"/>
      <c r="W114" s="684"/>
      <c r="X114" s="780"/>
      <c r="Y114" s="684"/>
      <c r="Z114" s="684"/>
    </row>
    <row r="115" spans="1:26" ht="14.25">
      <c r="A115" s="684"/>
      <c r="B115" s="684"/>
      <c r="C115" s="684"/>
      <c r="D115" s="684"/>
      <c r="E115" s="689"/>
      <c r="F115" s="690"/>
      <c r="G115" s="684"/>
      <c r="L115" s="877"/>
      <c r="O115" s="684"/>
      <c r="P115" s="684"/>
      <c r="Q115" s="684"/>
      <c r="R115" s="684"/>
      <c r="S115" s="684"/>
      <c r="T115" s="684"/>
      <c r="U115" s="684"/>
      <c r="V115" s="684"/>
      <c r="W115" s="684"/>
      <c r="X115" s="780"/>
      <c r="Y115" s="684"/>
      <c r="Z115" s="684"/>
    </row>
    <row r="116" spans="1:26" ht="14.25">
      <c r="A116" s="684"/>
      <c r="B116" s="684"/>
      <c r="C116" s="684"/>
      <c r="D116" s="684"/>
      <c r="E116" s="689"/>
      <c r="F116" s="690"/>
      <c r="G116" s="684"/>
      <c r="N116" s="877"/>
      <c r="O116" s="684"/>
      <c r="P116" s="684"/>
      <c r="Q116" s="684"/>
      <c r="R116" s="684"/>
      <c r="S116" s="684"/>
      <c r="T116" s="684"/>
      <c r="U116" s="684"/>
      <c r="V116" s="684"/>
      <c r="W116" s="684"/>
      <c r="X116" s="780"/>
      <c r="Y116" s="684"/>
      <c r="Z116" s="684"/>
    </row>
    <row r="117" spans="1:26" ht="14.25">
      <c r="A117" s="684"/>
      <c r="B117" s="684"/>
      <c r="C117" s="684"/>
      <c r="D117" s="684"/>
      <c r="E117" s="689"/>
      <c r="F117" s="690"/>
      <c r="G117" s="684"/>
      <c r="O117" s="684"/>
      <c r="P117" s="684"/>
      <c r="Q117" s="684"/>
      <c r="R117" s="684"/>
      <c r="S117" s="684"/>
      <c r="T117" s="684"/>
      <c r="U117" s="684"/>
      <c r="V117" s="684"/>
      <c r="W117" s="684"/>
      <c r="X117" s="780"/>
      <c r="Y117" s="684"/>
      <c r="Z117" s="684"/>
    </row>
    <row r="118" spans="1:26" ht="14.25">
      <c r="A118" s="684"/>
      <c r="B118" s="684"/>
      <c r="C118" s="684"/>
      <c r="D118" s="684"/>
      <c r="E118" s="689"/>
      <c r="F118" s="690"/>
      <c r="G118" s="684"/>
      <c r="K118" s="878"/>
      <c r="L118" s="877"/>
      <c r="O118" s="684"/>
      <c r="P118" s="684"/>
      <c r="Q118" s="684"/>
      <c r="R118" s="684"/>
      <c r="S118" s="684"/>
      <c r="T118" s="684"/>
      <c r="U118" s="684"/>
      <c r="V118" s="684"/>
      <c r="W118" s="684"/>
      <c r="X118" s="780"/>
      <c r="Y118" s="684"/>
      <c r="Z118" s="684"/>
    </row>
    <row r="119" spans="1:26" ht="14.25">
      <c r="A119" s="684"/>
      <c r="B119" s="684"/>
      <c r="C119" s="684"/>
      <c r="D119" s="684"/>
      <c r="E119" s="689"/>
      <c r="F119" s="690"/>
      <c r="G119" s="684"/>
      <c r="H119" s="1132"/>
      <c r="I119" s="1132"/>
      <c r="K119" s="878"/>
      <c r="L119" s="877"/>
      <c r="O119" s="684"/>
      <c r="P119" s="684"/>
      <c r="Q119" s="684"/>
      <c r="R119" s="684"/>
      <c r="S119" s="684"/>
      <c r="T119" s="684"/>
      <c r="U119" s="684"/>
      <c r="V119" s="684"/>
      <c r="W119" s="684"/>
      <c r="X119" s="780"/>
      <c r="Y119" s="684"/>
      <c r="Z119" s="684"/>
    </row>
    <row r="120" spans="1:26" ht="14.25">
      <c r="A120" s="684"/>
      <c r="B120" s="684"/>
      <c r="C120" s="684"/>
      <c r="D120" s="684"/>
      <c r="E120" s="689"/>
      <c r="F120" s="690"/>
      <c r="G120" s="684"/>
      <c r="H120" s="1132"/>
      <c r="I120" s="1132"/>
      <c r="K120" s="878"/>
      <c r="L120" s="877"/>
      <c r="O120" s="684"/>
      <c r="P120" s="684"/>
      <c r="Q120" s="684"/>
      <c r="R120" s="684"/>
      <c r="S120" s="684"/>
      <c r="T120" s="684"/>
      <c r="U120" s="684"/>
      <c r="V120" s="684"/>
      <c r="W120" s="684"/>
      <c r="X120" s="780"/>
      <c r="Y120" s="684"/>
      <c r="Z120" s="684"/>
    </row>
    <row r="121" spans="1:26" ht="14.25">
      <c r="A121" s="684"/>
      <c r="B121" s="684"/>
      <c r="C121" s="684"/>
      <c r="D121" s="684"/>
      <c r="E121" s="689"/>
      <c r="F121" s="690"/>
      <c r="G121" s="684"/>
      <c r="K121" s="878"/>
      <c r="L121" s="877"/>
      <c r="O121" s="684"/>
      <c r="P121" s="684"/>
      <c r="Q121" s="684"/>
      <c r="R121" s="684"/>
      <c r="S121" s="684"/>
      <c r="T121" s="684"/>
      <c r="U121" s="684"/>
      <c r="V121" s="684"/>
      <c r="W121" s="684"/>
      <c r="X121" s="780"/>
      <c r="Y121" s="684"/>
      <c r="Z121" s="684"/>
    </row>
    <row r="122" spans="1:26" ht="14.25">
      <c r="A122" s="684"/>
      <c r="B122" s="684"/>
      <c r="C122" s="684"/>
      <c r="D122" s="684"/>
      <c r="E122" s="689"/>
      <c r="F122" s="690"/>
      <c r="G122" s="684"/>
      <c r="K122" s="878"/>
      <c r="L122" s="877"/>
      <c r="O122" s="684"/>
      <c r="P122" s="684"/>
      <c r="Q122" s="684"/>
      <c r="R122" s="684"/>
      <c r="S122" s="684"/>
      <c r="T122" s="684"/>
      <c r="U122" s="684"/>
      <c r="V122" s="684"/>
      <c r="W122" s="684"/>
      <c r="X122" s="780"/>
      <c r="Y122" s="684"/>
      <c r="Z122" s="684"/>
    </row>
    <row r="123" spans="1:26" ht="14.25">
      <c r="A123" s="684"/>
      <c r="B123" s="684"/>
      <c r="C123" s="684"/>
      <c r="D123" s="684"/>
      <c r="E123" s="689"/>
      <c r="F123" s="690"/>
      <c r="G123" s="684"/>
      <c r="K123" s="878"/>
      <c r="L123" s="877"/>
      <c r="O123" s="684"/>
      <c r="P123" s="684"/>
      <c r="Q123" s="684"/>
      <c r="R123" s="684"/>
      <c r="S123" s="684"/>
      <c r="T123" s="684"/>
      <c r="U123" s="684"/>
      <c r="V123" s="684"/>
      <c r="W123" s="684"/>
      <c r="X123" s="780"/>
      <c r="Y123" s="684"/>
      <c r="Z123" s="684"/>
    </row>
  </sheetData>
  <mergeCells count="16">
    <mergeCell ref="R91:T91"/>
    <mergeCell ref="C64:H64"/>
    <mergeCell ref="C65:I65"/>
    <mergeCell ref="H119:I119"/>
    <mergeCell ref="H120:I120"/>
    <mergeCell ref="H114:I114"/>
    <mergeCell ref="C16:I16"/>
    <mergeCell ref="K44:R44"/>
    <mergeCell ref="K45:R45"/>
    <mergeCell ref="E44:H44"/>
    <mergeCell ref="E43:H43"/>
    <mergeCell ref="C7:I7"/>
    <mergeCell ref="C5:I5"/>
    <mergeCell ref="C9:I9"/>
    <mergeCell ref="C13:I13"/>
    <mergeCell ref="C12:I12"/>
  </mergeCells>
  <conditionalFormatting sqref="Y92:Z92">
    <cfRule type="cellIs" dxfId="37" priority="1" operator="equal">
      <formula>"FALSE"</formula>
    </cfRule>
  </conditionalFormatting>
  <conditionalFormatting sqref="Y92:Z92">
    <cfRule type="cellIs" dxfId="36" priority="2" operator="equal">
      <formula>"TRUE"</formula>
    </cfRule>
  </conditionalFormatting>
  <conditionalFormatting sqref="R92">
    <cfRule type="expression" dxfId="35" priority="3">
      <formula>H36=R92</formula>
    </cfRule>
  </conditionalFormatting>
  <conditionalFormatting sqref="R92">
    <cfRule type="expression" dxfId="34" priority="4">
      <formula>H36&lt;&gt;R92</formula>
    </cfRule>
  </conditionalFormatting>
  <dataValidations count="6">
    <dataValidation type="list" allowBlank="1" sqref="H48">
      <formula1>$E$51:$E$54</formula1>
    </dataValidation>
    <dataValidation type="list" allowBlank="1" sqref="H91:O91">
      <formula1>$E$71:$E$88</formula1>
    </dataValidation>
    <dataValidation type="list" allowBlank="1" sqref="H22">
      <formula1>$H$23:$H$26</formula1>
    </dataValidation>
    <dataValidation type="decimal" allowBlank="1" showDropDown="1" showInputMessage="1" showErrorMessage="1" prompt="Enter a number between 1 and 20" sqref="H40">
      <formula1>1</formula1>
      <formula2>20</formula2>
    </dataValidation>
    <dataValidation type="list" allowBlank="1" sqref="H34">
      <formula1>"Austria,Belgium,Bulgaria,Croatia,Cyprus,Czech Republic,Denmark,Estonia,Finland,France,Germany,Greece,Hungary,Ireland,Italy,Latvia,Lithuania,Luxembourg,Malta,Netherlands,Poland,Portugal,Romania,Slovakia,Slovenia,Spain,Sweden,UK,Other"</formula1>
    </dataValidation>
    <dataValidation type="list" allowBlank="1" sqref="H28">
      <formula1>$E$30:$E$33</formula1>
    </dataValidation>
  </dataValidations>
  <pageMargins left="0.7" right="0.7" top="0.75" bottom="0.75" header="0" footer="0"/>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C6900"/>
    <outlinePr summaryBelow="0" summaryRight="0"/>
  </sheetPr>
  <dimension ref="A1:P419"/>
  <sheetViews>
    <sheetView showGridLines="0" workbookViewId="0">
      <selection activeCell="J44" sqref="J44"/>
    </sheetView>
  </sheetViews>
  <sheetFormatPr defaultColWidth="14.42578125" defaultRowHeight="15" customHeight="1"/>
  <cols>
    <col min="1" max="3" width="3" style="662" customWidth="1"/>
    <col min="4" max="4" width="3.7109375" style="662" customWidth="1"/>
    <col min="5" max="5" width="5.5703125" style="662" customWidth="1"/>
    <col min="6" max="6" width="63.5703125" style="662" customWidth="1"/>
    <col min="7" max="7" width="17.28515625" style="662" customWidth="1"/>
    <col min="8" max="8" width="15.140625" style="662" customWidth="1"/>
    <col min="9" max="9" width="15.85546875" style="662" customWidth="1"/>
    <col min="10" max="15" width="13.7109375" style="662" customWidth="1"/>
    <col min="16" max="16" width="8.7109375" style="662" customWidth="1"/>
    <col min="17" max="16384" width="14.42578125" style="662"/>
  </cols>
  <sheetData>
    <row r="1" spans="1:16" ht="14.25">
      <c r="A1" s="684"/>
      <c r="B1" s="684"/>
      <c r="C1" s="684"/>
      <c r="D1" s="684"/>
      <c r="E1" s="684"/>
      <c r="F1" s="689"/>
      <c r="G1" s="684"/>
      <c r="H1" s="684"/>
      <c r="I1" s="684"/>
      <c r="J1" s="684"/>
      <c r="K1" s="684"/>
      <c r="L1" s="684"/>
      <c r="M1" s="684"/>
      <c r="N1" s="684"/>
      <c r="O1" s="684"/>
      <c r="P1" s="684"/>
    </row>
    <row r="2" spans="1:16" ht="21.95" customHeight="1">
      <c r="A2" s="879"/>
      <c r="B2" s="880"/>
      <c r="C2" s="880"/>
      <c r="D2" s="880"/>
      <c r="E2" s="881" t="s">
        <v>150</v>
      </c>
      <c r="F2" s="882"/>
      <c r="G2" s="883"/>
      <c r="H2" s="883"/>
      <c r="I2" s="883"/>
      <c r="J2" s="883"/>
      <c r="K2" s="883"/>
      <c r="L2" s="883"/>
      <c r="M2" s="883"/>
      <c r="N2" s="883"/>
      <c r="O2" s="883"/>
      <c r="P2" s="879"/>
    </row>
    <row r="3" spans="1:16" ht="14.25">
      <c r="A3" s="684"/>
      <c r="B3" s="684"/>
      <c r="C3" s="684"/>
      <c r="D3" s="684"/>
      <c r="E3" s="684"/>
      <c r="F3" s="689"/>
      <c r="G3" s="684"/>
      <c r="H3" s="684"/>
      <c r="I3" s="684"/>
      <c r="J3" s="684"/>
      <c r="K3" s="684"/>
      <c r="L3" s="684"/>
      <c r="M3" s="684"/>
      <c r="N3" s="684"/>
      <c r="O3" s="684"/>
      <c r="P3" s="684"/>
    </row>
    <row r="4" spans="1:16" ht="14.25">
      <c r="A4" s="684"/>
      <c r="B4" s="709"/>
      <c r="C4" s="709"/>
      <c r="D4" s="709"/>
      <c r="E4" s="982" t="s">
        <v>153</v>
      </c>
      <c r="F4" s="983"/>
      <c r="G4" s="984"/>
      <c r="H4" s="984"/>
      <c r="I4" s="985"/>
    </row>
    <row r="5" spans="1:16" ht="14.25">
      <c r="A5" s="684"/>
      <c r="B5" s="884"/>
      <c r="C5" s="884"/>
      <c r="D5" s="884"/>
      <c r="E5" s="986"/>
      <c r="F5" s="987"/>
      <c r="G5" s="988"/>
      <c r="H5" s="988"/>
      <c r="I5" s="989"/>
    </row>
    <row r="6" spans="1:16" ht="30.95" customHeight="1">
      <c r="A6" s="684"/>
      <c r="B6" s="885"/>
      <c r="C6" s="885"/>
      <c r="D6" s="885"/>
      <c r="E6" s="990" t="s">
        <v>156</v>
      </c>
      <c r="F6" s="1158" t="s">
        <v>158</v>
      </c>
      <c r="G6" s="1158"/>
      <c r="H6" s="1158"/>
      <c r="I6" s="991" t="s">
        <v>159</v>
      </c>
    </row>
    <row r="7" spans="1:16" ht="29.1" customHeight="1">
      <c r="A7" s="684"/>
      <c r="B7" s="885"/>
      <c r="C7" s="885"/>
      <c r="D7" s="885"/>
      <c r="E7" s="990" t="s">
        <v>164</v>
      </c>
      <c r="F7" s="1158" t="s">
        <v>165</v>
      </c>
      <c r="G7" s="1158"/>
      <c r="H7" s="1158"/>
      <c r="I7" s="991" t="s">
        <v>159</v>
      </c>
    </row>
    <row r="8" spans="1:16" ht="23.1" customHeight="1">
      <c r="A8" s="684"/>
      <c r="B8" s="886"/>
      <c r="C8" s="886"/>
      <c r="D8" s="886"/>
      <c r="E8" s="992" t="s">
        <v>167</v>
      </c>
      <c r="F8" s="1159" t="s">
        <v>171</v>
      </c>
      <c r="G8" s="1159"/>
      <c r="H8" s="1159"/>
      <c r="I8" s="989"/>
    </row>
    <row r="9" spans="1:16" ht="26.1" customHeight="1">
      <c r="A9" s="684"/>
      <c r="B9" s="886"/>
      <c r="C9" s="886"/>
      <c r="D9" s="886"/>
      <c r="E9" s="992" t="s">
        <v>176</v>
      </c>
      <c r="F9" s="1159" t="s">
        <v>1107</v>
      </c>
      <c r="G9" s="1159"/>
      <c r="H9" s="1159"/>
      <c r="I9" s="989"/>
    </row>
    <row r="10" spans="1:16" ht="14.25">
      <c r="A10" s="684"/>
      <c r="B10" s="886"/>
      <c r="C10" s="886"/>
      <c r="D10" s="886"/>
      <c r="E10" s="1007" t="s">
        <v>177</v>
      </c>
      <c r="F10" s="1160" t="s">
        <v>178</v>
      </c>
      <c r="G10" s="1160"/>
      <c r="H10" s="1160"/>
      <c r="I10" s="995"/>
    </row>
    <row r="11" spans="1:16" ht="14.25" hidden="1">
      <c r="A11" s="684"/>
      <c r="B11" s="887"/>
      <c r="C11" s="887"/>
      <c r="D11" s="887"/>
      <c r="E11" s="993"/>
      <c r="F11" s="994"/>
      <c r="G11" s="988"/>
      <c r="H11" s="988"/>
      <c r="I11" s="989"/>
    </row>
    <row r="12" spans="1:16" ht="14.25" hidden="1">
      <c r="A12" s="684"/>
      <c r="B12" s="887"/>
      <c r="C12" s="887"/>
      <c r="D12" s="887"/>
      <c r="E12" s="993"/>
      <c r="F12" s="994"/>
      <c r="G12" s="988"/>
      <c r="H12" s="988"/>
      <c r="I12" s="989"/>
    </row>
    <row r="13" spans="1:16" ht="14.25">
      <c r="A13" s="684"/>
      <c r="B13" s="884"/>
      <c r="C13" s="884"/>
      <c r="D13" s="884"/>
      <c r="E13" s="884"/>
      <c r="F13" s="888"/>
      <c r="G13" s="889"/>
      <c r="H13" s="889"/>
      <c r="I13" s="889"/>
      <c r="J13" s="889"/>
      <c r="K13" s="889"/>
      <c r="L13" s="889"/>
      <c r="M13" s="889"/>
      <c r="N13" s="889"/>
      <c r="O13" s="889"/>
      <c r="P13" s="684"/>
    </row>
    <row r="14" spans="1:16" ht="14.25">
      <c r="E14" s="1006" t="s">
        <v>191</v>
      </c>
      <c r="F14" s="996"/>
      <c r="G14" s="997"/>
      <c r="H14" s="997"/>
      <c r="I14" s="998"/>
      <c r="J14" s="888"/>
      <c r="K14" s="889"/>
      <c r="L14" s="889"/>
      <c r="M14" s="889"/>
      <c r="N14" s="889"/>
      <c r="O14" s="889"/>
      <c r="P14" s="684"/>
    </row>
    <row r="15" spans="1:16" ht="8.4499999999999993" customHeight="1">
      <c r="E15" s="1008"/>
      <c r="F15" s="1009"/>
      <c r="G15" s="1000"/>
      <c r="H15" s="1000"/>
      <c r="I15" s="1001"/>
      <c r="J15" s="888"/>
      <c r="K15" s="889"/>
      <c r="L15" s="889"/>
      <c r="M15" s="889"/>
      <c r="N15" s="889"/>
      <c r="O15" s="889"/>
      <c r="P15" s="684"/>
    </row>
    <row r="16" spans="1:16" ht="14.25">
      <c r="E16" s="1071" t="s">
        <v>195</v>
      </c>
      <c r="F16" s="999" t="s">
        <v>198</v>
      </c>
      <c r="G16" s="1000"/>
      <c r="H16" s="1000"/>
      <c r="I16" s="989"/>
      <c r="J16" s="888"/>
      <c r="K16" s="889"/>
      <c r="L16" s="889"/>
      <c r="M16" s="889"/>
      <c r="N16" s="889"/>
      <c r="O16" s="889"/>
      <c r="P16" s="684"/>
    </row>
    <row r="17" spans="1:16" ht="14.25">
      <c r="E17" s="1070" t="s">
        <v>40</v>
      </c>
      <c r="F17" s="999" t="s">
        <v>199</v>
      </c>
      <c r="G17" s="1000"/>
      <c r="H17" s="1000"/>
      <c r="I17" s="1001"/>
      <c r="J17" s="888"/>
      <c r="K17" s="889"/>
      <c r="L17" s="889"/>
      <c r="M17" s="889"/>
      <c r="N17" s="889"/>
      <c r="O17" s="889"/>
      <c r="P17" s="684"/>
    </row>
    <row r="18" spans="1:16" ht="14.25">
      <c r="E18" s="1072" t="s">
        <v>200</v>
      </c>
      <c r="F18" s="999" t="s">
        <v>202</v>
      </c>
      <c r="G18" s="1000"/>
      <c r="H18" s="1000"/>
      <c r="I18" s="1001"/>
      <c r="J18" s="888"/>
      <c r="K18" s="889"/>
      <c r="L18" s="889"/>
      <c r="M18" s="889"/>
      <c r="N18" s="889"/>
      <c r="O18" s="889"/>
      <c r="P18" s="684"/>
    </row>
    <row r="19" spans="1:16" ht="18">
      <c r="E19" s="1073" t="s">
        <v>19</v>
      </c>
      <c r="F19" s="1002" t="s">
        <v>1118</v>
      </c>
      <c r="G19" s="1003"/>
      <c r="H19" s="1004"/>
      <c r="I19" s="1005"/>
      <c r="J19" s="888"/>
      <c r="K19" s="889"/>
      <c r="L19" s="889"/>
      <c r="M19" s="889"/>
      <c r="N19" s="889"/>
      <c r="O19" s="889"/>
      <c r="P19" s="684"/>
    </row>
    <row r="20" spans="1:16" ht="14.25">
      <c r="A20" s="684"/>
      <c r="B20" s="884"/>
      <c r="C20" s="884"/>
      <c r="D20" s="884"/>
      <c r="E20" s="884"/>
      <c r="F20" s="888"/>
      <c r="G20" s="889"/>
      <c r="H20" s="889"/>
      <c r="I20" s="889"/>
      <c r="J20" s="889"/>
      <c r="K20" s="889"/>
      <c r="L20" s="889"/>
      <c r="M20" s="889"/>
      <c r="N20" s="889"/>
      <c r="O20" s="889"/>
      <c r="P20" s="684"/>
    </row>
    <row r="21" spans="1:16" ht="14.25">
      <c r="A21" s="684"/>
      <c r="B21" s="884"/>
      <c r="C21" s="884"/>
      <c r="D21" s="884"/>
      <c r="E21" s="884"/>
      <c r="F21" s="888"/>
      <c r="G21" s="889"/>
      <c r="H21" s="889"/>
      <c r="I21" s="889"/>
      <c r="J21" s="889"/>
      <c r="K21" s="889"/>
      <c r="L21" s="889"/>
      <c r="M21" s="889"/>
      <c r="N21" s="889"/>
      <c r="O21" s="889"/>
      <c r="P21" s="684"/>
    </row>
    <row r="22" spans="1:16" ht="14.25">
      <c r="A22" s="684"/>
      <c r="B22" s="706" t="s">
        <v>40</v>
      </c>
      <c r="C22" s="884"/>
      <c r="D22" s="884"/>
      <c r="E22" s="890" t="s">
        <v>204</v>
      </c>
      <c r="F22" s="891"/>
      <c r="G22" s="892"/>
      <c r="H22" s="892"/>
      <c r="I22" s="892"/>
      <c r="J22" s="892"/>
      <c r="K22" s="892"/>
      <c r="L22" s="892"/>
      <c r="M22" s="892"/>
      <c r="N22" s="892"/>
      <c r="O22" s="892"/>
      <c r="P22" s="684"/>
    </row>
    <row r="23" spans="1:16" ht="5.25" customHeight="1">
      <c r="A23" s="684"/>
      <c r="B23" s="684"/>
      <c r="C23" s="684"/>
      <c r="D23" s="684"/>
      <c r="E23" s="684"/>
      <c r="F23" s="689"/>
      <c r="G23" s="684"/>
      <c r="H23" s="893"/>
      <c r="I23" s="893"/>
      <c r="J23" s="893"/>
      <c r="K23" s="893"/>
      <c r="L23" s="893"/>
      <c r="M23" s="893"/>
      <c r="N23" s="893"/>
      <c r="O23" s="893"/>
      <c r="P23" s="684"/>
    </row>
    <row r="24" spans="1:16" ht="14.25">
      <c r="A24" s="894"/>
      <c r="C24" s="684"/>
      <c r="D24" s="684"/>
      <c r="F24" s="689"/>
      <c r="G24" s="684"/>
      <c r="H24" s="893" t="str">
        <f>'2.2 Input_General_Information'!H91</f>
        <v>PhD researcher</v>
      </c>
      <c r="I24" s="893" t="str">
        <f>'2.2 Input_General_Information'!I91</f>
        <v>Lecturer assistant/Research assistant (Academic)</v>
      </c>
      <c r="J24" s="893" t="str">
        <f>'2.2 Input_General_Information'!J91</f>
        <v>Lecturer/Researcher (Academic)</v>
      </c>
      <c r="K24" s="893" t="str">
        <f>'2.2 Input_General_Information'!K91</f>
        <v>Other</v>
      </c>
      <c r="L24" s="893" t="str">
        <f>'2.2 Input_General_Information'!L91</f>
        <v>Profile 5</v>
      </c>
      <c r="M24" s="893" t="str">
        <f>'2.2 Input_General_Information'!M91</f>
        <v>Profile 6</v>
      </c>
      <c r="N24" s="893" t="str">
        <f>'2.2 Input_General_Information'!N91</f>
        <v>Profile 7</v>
      </c>
      <c r="O24" s="893" t="str">
        <f>'2.2 Input_General_Information'!O91</f>
        <v>Profile 8</v>
      </c>
      <c r="P24" s="684"/>
    </row>
    <row r="25" spans="1:16" ht="14.25" hidden="1">
      <c r="A25" s="684"/>
      <c r="B25" s="684"/>
      <c r="C25" s="684"/>
      <c r="D25" s="684"/>
      <c r="E25" s="684"/>
      <c r="F25" s="689"/>
      <c r="G25" s="684"/>
      <c r="H25" s="895">
        <f>'2.2 Input_General_Information'!H92</f>
        <v>70</v>
      </c>
      <c r="I25" s="895">
        <f>'2.2 Input_General_Information'!I92</f>
        <v>15</v>
      </c>
      <c r="J25" s="895">
        <f>'2.2 Input_General_Information'!J92</f>
        <v>10</v>
      </c>
      <c r="K25" s="895">
        <f>'2.2 Input_General_Information'!K92</f>
        <v>5</v>
      </c>
      <c r="L25" s="895">
        <f>'2.2 Input_General_Information'!L92</f>
        <v>0</v>
      </c>
      <c r="M25" s="895">
        <f>'2.2 Input_General_Information'!M92</f>
        <v>0</v>
      </c>
      <c r="N25" s="895">
        <f>'2.2 Input_General_Information'!N92</f>
        <v>0</v>
      </c>
      <c r="O25" s="895">
        <f>'2.2 Input_General_Information'!O92</f>
        <v>0</v>
      </c>
      <c r="P25" s="684"/>
    </row>
    <row r="26" spans="1:16" ht="5.25" customHeight="1">
      <c r="A26" s="684"/>
      <c r="B26" s="691"/>
      <c r="C26" s="691"/>
      <c r="D26" s="691"/>
      <c r="E26" s="691"/>
      <c r="F26" s="689"/>
      <c r="G26" s="690"/>
      <c r="H26" s="896"/>
      <c r="I26" s="896"/>
      <c r="J26" s="896"/>
      <c r="K26" s="896"/>
      <c r="L26" s="896"/>
      <c r="M26" s="896"/>
      <c r="N26" s="896"/>
      <c r="O26" s="896"/>
      <c r="P26" s="684"/>
    </row>
    <row r="27" spans="1:16" ht="20.25" thickBot="1">
      <c r="A27" s="684"/>
      <c r="C27" s="897" t="s">
        <v>200</v>
      </c>
      <c r="D27" s="691"/>
      <c r="E27" s="691">
        <v>1</v>
      </c>
      <c r="F27" s="689" t="s">
        <v>225</v>
      </c>
      <c r="G27" s="1010" t="s">
        <v>227</v>
      </c>
      <c r="H27" s="898">
        <v>0.1273</v>
      </c>
      <c r="I27" s="899">
        <v>0.22309999999999999</v>
      </c>
      <c r="J27" s="899">
        <v>0.19089999999999999</v>
      </c>
      <c r="K27" s="899">
        <v>0.14149999999999999</v>
      </c>
      <c r="L27" s="899">
        <f t="shared" ref="L27:O27" si="0">AVERAGE($H$27:$K$27)</f>
        <v>0.17069999999999999</v>
      </c>
      <c r="M27" s="899">
        <f t="shared" si="0"/>
        <v>0.17069999999999999</v>
      </c>
      <c r="N27" s="899">
        <f t="shared" si="0"/>
        <v>0.17069999999999999</v>
      </c>
      <c r="O27" s="900">
        <f t="shared" si="0"/>
        <v>0.17069999999999999</v>
      </c>
      <c r="P27" s="1069" t="s">
        <v>19</v>
      </c>
    </row>
    <row r="28" spans="1:16" ht="19.5">
      <c r="A28" s="684"/>
      <c r="C28" s="897" t="s">
        <v>200</v>
      </c>
      <c r="D28" s="691"/>
      <c r="E28" s="691">
        <v>2</v>
      </c>
      <c r="F28" s="689" t="s">
        <v>235</v>
      </c>
      <c r="G28" s="1010" t="s">
        <v>227</v>
      </c>
      <c r="H28" s="901">
        <v>4.5199999999999997E-2</v>
      </c>
      <c r="I28" s="902">
        <v>5.0099999999999999E-2</v>
      </c>
      <c r="J28" s="902">
        <v>8.0699999999999994E-2</v>
      </c>
      <c r="K28" s="902">
        <v>4.7800000000000002E-2</v>
      </c>
      <c r="L28" s="902">
        <f t="shared" ref="L28:O28" si="1">AVERAGE($H$28:$K$28)</f>
        <v>5.595E-2</v>
      </c>
      <c r="M28" s="902">
        <f t="shared" si="1"/>
        <v>5.595E-2</v>
      </c>
      <c r="N28" s="902">
        <f t="shared" si="1"/>
        <v>5.595E-2</v>
      </c>
      <c r="O28" s="903">
        <f t="shared" si="1"/>
        <v>5.595E-2</v>
      </c>
      <c r="P28" s="1069" t="s">
        <v>19</v>
      </c>
    </row>
    <row r="29" spans="1:16" ht="19.5">
      <c r="A29" s="684"/>
      <c r="C29" s="897" t="s">
        <v>200</v>
      </c>
      <c r="D29" s="691"/>
      <c r="E29" s="691">
        <v>3</v>
      </c>
      <c r="F29" s="689" t="s">
        <v>243</v>
      </c>
      <c r="G29" s="1010" t="s">
        <v>227</v>
      </c>
      <c r="H29" s="901">
        <v>0.1724</v>
      </c>
      <c r="I29" s="902">
        <v>0.16259999999999999</v>
      </c>
      <c r="J29" s="902">
        <v>0.1419</v>
      </c>
      <c r="K29" s="902">
        <v>0.1951</v>
      </c>
      <c r="L29" s="902">
        <f t="shared" ref="L29:O29" si="2">AVERAGE($H$29:$K$29)</f>
        <v>0.16799999999999998</v>
      </c>
      <c r="M29" s="902">
        <f t="shared" si="2"/>
        <v>0.16799999999999998</v>
      </c>
      <c r="N29" s="902">
        <f t="shared" si="2"/>
        <v>0.16799999999999998</v>
      </c>
      <c r="O29" s="903">
        <f t="shared" si="2"/>
        <v>0.16799999999999998</v>
      </c>
      <c r="P29" s="1069" t="s">
        <v>19</v>
      </c>
    </row>
    <row r="30" spans="1:16" ht="19.5">
      <c r="A30" s="684"/>
      <c r="C30" s="897" t="s">
        <v>200</v>
      </c>
      <c r="D30" s="691"/>
      <c r="E30" s="691">
        <v>4</v>
      </c>
      <c r="F30" s="689" t="s">
        <v>248</v>
      </c>
      <c r="G30" s="1010" t="s">
        <v>227</v>
      </c>
      <c r="H30" s="901">
        <v>3.0200000000000001E-2</v>
      </c>
      <c r="I30" s="902">
        <v>4.4600000000000001E-2</v>
      </c>
      <c r="J30" s="902">
        <v>3.5900000000000001E-2</v>
      </c>
      <c r="K30" s="902">
        <v>4.7800000000000002E-2</v>
      </c>
      <c r="L30" s="902">
        <f t="shared" ref="L30:O30" si="3">AVERAGE($H$30:$K$30)</f>
        <v>3.9625E-2</v>
      </c>
      <c r="M30" s="902">
        <f t="shared" si="3"/>
        <v>3.9625E-2</v>
      </c>
      <c r="N30" s="902">
        <f t="shared" si="3"/>
        <v>3.9625E-2</v>
      </c>
      <c r="O30" s="903">
        <f t="shared" si="3"/>
        <v>3.9625E-2</v>
      </c>
      <c r="P30" s="1069" t="s">
        <v>19</v>
      </c>
    </row>
    <row r="31" spans="1:16" ht="19.5">
      <c r="A31" s="684"/>
      <c r="C31" s="897" t="s">
        <v>200</v>
      </c>
      <c r="D31" s="691"/>
      <c r="E31" s="691">
        <v>5</v>
      </c>
      <c r="F31" s="689" t="s">
        <v>253</v>
      </c>
      <c r="G31" s="1010" t="s">
        <v>227</v>
      </c>
      <c r="H31" s="901">
        <v>3.0200000000000001E-2</v>
      </c>
      <c r="I31" s="902">
        <v>4.4600000000000001E-2</v>
      </c>
      <c r="J31" s="902">
        <v>3.5900000000000001E-2</v>
      </c>
      <c r="K31" s="902">
        <v>4.7800000000000002E-2</v>
      </c>
      <c r="L31" s="902">
        <f t="shared" ref="L31:O31" si="4">AVERAGE($H$31:$K$31)</f>
        <v>3.9625E-2</v>
      </c>
      <c r="M31" s="902">
        <f t="shared" si="4"/>
        <v>3.9625E-2</v>
      </c>
      <c r="N31" s="902">
        <f t="shared" si="4"/>
        <v>3.9625E-2</v>
      </c>
      <c r="O31" s="903">
        <f t="shared" si="4"/>
        <v>3.9625E-2</v>
      </c>
      <c r="P31" s="1069" t="s">
        <v>19</v>
      </c>
    </row>
    <row r="32" spans="1:16" ht="19.5">
      <c r="A32" s="684"/>
      <c r="C32" s="897" t="s">
        <v>200</v>
      </c>
      <c r="D32" s="691"/>
      <c r="E32" s="691">
        <v>6</v>
      </c>
      <c r="F32" s="689" t="s">
        <v>255</v>
      </c>
      <c r="G32" s="1010" t="s">
        <v>227</v>
      </c>
      <c r="H32" s="901">
        <v>0.16489999999999999</v>
      </c>
      <c r="I32" s="902">
        <v>8.3000000000000004E-2</v>
      </c>
      <c r="J32" s="902">
        <v>6.0400000000000002E-2</v>
      </c>
      <c r="K32" s="902">
        <v>0.17319999999999999</v>
      </c>
      <c r="L32" s="902">
        <f t="shared" ref="L32:O32" si="5">AVERAGE($H$32:$K$32)</f>
        <v>0.12037500000000001</v>
      </c>
      <c r="M32" s="902">
        <f t="shared" si="5"/>
        <v>0.12037500000000001</v>
      </c>
      <c r="N32" s="902">
        <f t="shared" si="5"/>
        <v>0.12037500000000001</v>
      </c>
      <c r="O32" s="903">
        <f t="shared" si="5"/>
        <v>0.12037500000000001</v>
      </c>
      <c r="P32" s="1069" t="s">
        <v>19</v>
      </c>
    </row>
    <row r="33" spans="1:16" ht="19.5">
      <c r="A33" s="684"/>
      <c r="C33" s="897" t="s">
        <v>200</v>
      </c>
      <c r="D33" s="691"/>
      <c r="E33" s="691">
        <v>7</v>
      </c>
      <c r="F33" s="689" t="s">
        <v>260</v>
      </c>
      <c r="G33" s="1010" t="s">
        <v>227</v>
      </c>
      <c r="H33" s="901">
        <v>0.13980000000000001</v>
      </c>
      <c r="I33" s="902">
        <v>0.16550000000000001</v>
      </c>
      <c r="J33" s="902">
        <v>0.12570000000000001</v>
      </c>
      <c r="K33" s="902">
        <v>0.13550000000000001</v>
      </c>
      <c r="L33" s="902">
        <f t="shared" ref="L33:O33" si="6">AVERAGE($H$33:$K$33)</f>
        <v>0.141625</v>
      </c>
      <c r="M33" s="902">
        <f t="shared" si="6"/>
        <v>0.141625</v>
      </c>
      <c r="N33" s="902">
        <f t="shared" si="6"/>
        <v>0.141625</v>
      </c>
      <c r="O33" s="903">
        <f t="shared" si="6"/>
        <v>0.141625</v>
      </c>
      <c r="P33" s="1069" t="s">
        <v>19</v>
      </c>
    </row>
    <row r="34" spans="1:16" ht="19.5">
      <c r="A34" s="684"/>
      <c r="C34" s="897" t="s">
        <v>200</v>
      </c>
      <c r="D34" s="691"/>
      <c r="E34" s="691">
        <v>8</v>
      </c>
      <c r="F34" s="689" t="s">
        <v>262</v>
      </c>
      <c r="G34" s="1010" t="s">
        <v>227</v>
      </c>
      <c r="H34" s="901">
        <v>0.19980000000000001</v>
      </c>
      <c r="I34" s="902">
        <v>0.15429999999999999</v>
      </c>
      <c r="J34" s="902">
        <v>0.1908</v>
      </c>
      <c r="K34" s="902">
        <v>0.1633</v>
      </c>
      <c r="L34" s="902">
        <f t="shared" ref="L34:O34" si="7">AVERAGE($H$34:$K$34)</f>
        <v>0.17704999999999999</v>
      </c>
      <c r="M34" s="902">
        <f t="shared" si="7"/>
        <v>0.17704999999999999</v>
      </c>
      <c r="N34" s="902">
        <f t="shared" si="7"/>
        <v>0.17704999999999999</v>
      </c>
      <c r="O34" s="903">
        <f t="shared" si="7"/>
        <v>0.17704999999999999</v>
      </c>
      <c r="P34" s="1069" t="s">
        <v>19</v>
      </c>
    </row>
    <row r="35" spans="1:16" ht="19.5">
      <c r="A35" s="684"/>
      <c r="C35" s="897" t="s">
        <v>200</v>
      </c>
      <c r="D35" s="691"/>
      <c r="E35" s="691">
        <v>9</v>
      </c>
      <c r="F35" s="689" t="s">
        <v>265</v>
      </c>
      <c r="G35" s="1010" t="s">
        <v>227</v>
      </c>
      <c r="H35" s="901">
        <v>9.01E-2</v>
      </c>
      <c r="I35" s="902">
        <v>7.2099999999999997E-2</v>
      </c>
      <c r="J35" s="902">
        <v>0.13780000000000001</v>
      </c>
      <c r="K35" s="902">
        <v>4.7800000000000002E-2</v>
      </c>
      <c r="L35" s="902">
        <f t="shared" ref="L35:O35" si="8">AVERAGE($H$35:$K$35)</f>
        <v>8.6950000000000013E-2</v>
      </c>
      <c r="M35" s="902">
        <f t="shared" si="8"/>
        <v>8.6950000000000013E-2</v>
      </c>
      <c r="N35" s="902">
        <f t="shared" si="8"/>
        <v>8.6950000000000013E-2</v>
      </c>
      <c r="O35" s="903">
        <f t="shared" si="8"/>
        <v>8.6950000000000013E-2</v>
      </c>
      <c r="P35" s="1069" t="s">
        <v>19</v>
      </c>
    </row>
    <row r="36" spans="1:16" ht="14.25">
      <c r="A36" s="684"/>
      <c r="B36" s="684"/>
      <c r="C36" s="684"/>
      <c r="D36" s="684"/>
      <c r="E36" s="684"/>
      <c r="F36" s="689"/>
      <c r="G36" s="684"/>
      <c r="H36" s="904">
        <f t="shared" ref="H36:O36" si="9">SUM(H27:H35)</f>
        <v>0.99990000000000001</v>
      </c>
      <c r="I36" s="905">
        <f t="shared" si="9"/>
        <v>0.99989999999999979</v>
      </c>
      <c r="J36" s="905">
        <f t="shared" si="9"/>
        <v>1</v>
      </c>
      <c r="K36" s="905">
        <f t="shared" si="9"/>
        <v>0.99979999999999991</v>
      </c>
      <c r="L36" s="905">
        <f t="shared" si="9"/>
        <v>0.9998999999999999</v>
      </c>
      <c r="M36" s="905">
        <f t="shared" si="9"/>
        <v>0.9998999999999999</v>
      </c>
      <c r="N36" s="905">
        <f t="shared" si="9"/>
        <v>0.9998999999999999</v>
      </c>
      <c r="O36" s="906">
        <f t="shared" si="9"/>
        <v>0.9998999999999999</v>
      </c>
      <c r="P36" s="684"/>
    </row>
    <row r="37" spans="1:16" ht="14.25">
      <c r="A37" s="684"/>
      <c r="B37" s="698"/>
      <c r="C37" s="698"/>
      <c r="D37" s="698"/>
      <c r="E37" s="698"/>
      <c r="F37" s="689"/>
      <c r="G37" s="684"/>
      <c r="H37" s="684"/>
      <c r="I37" s="684"/>
      <c r="J37" s="684"/>
      <c r="K37" s="684"/>
      <c r="L37" s="684"/>
      <c r="M37" s="684"/>
      <c r="N37" s="684"/>
      <c r="O37" s="684"/>
      <c r="P37" s="684"/>
    </row>
    <row r="38" spans="1:16" ht="14.25">
      <c r="A38" s="684"/>
      <c r="B38" s="884"/>
      <c r="C38" s="884"/>
      <c r="D38" s="884"/>
      <c r="E38" s="890" t="s">
        <v>272</v>
      </c>
      <c r="F38" s="891"/>
      <c r="G38" s="892"/>
      <c r="H38" s="892"/>
      <c r="I38" s="892"/>
      <c r="J38" s="892"/>
      <c r="K38" s="892"/>
      <c r="L38" s="892"/>
      <c r="M38" s="892"/>
      <c r="N38" s="892"/>
      <c r="O38" s="892"/>
      <c r="P38" s="684"/>
    </row>
    <row r="39" spans="1:16" ht="14.25">
      <c r="A39" s="907"/>
      <c r="B39" s="698"/>
      <c r="C39" s="698"/>
      <c r="D39" s="698"/>
      <c r="E39" s="698"/>
      <c r="F39" s="670"/>
      <c r="G39" s="907"/>
      <c r="H39" s="907"/>
      <c r="I39" s="907"/>
      <c r="J39" s="907"/>
      <c r="K39" s="907"/>
      <c r="L39" s="907"/>
      <c r="M39" s="907"/>
      <c r="N39" s="907"/>
      <c r="O39" s="907"/>
      <c r="P39" s="907"/>
    </row>
    <row r="40" spans="1:16" ht="14.25">
      <c r="A40" s="908" t="s">
        <v>195</v>
      </c>
      <c r="B40" s="909"/>
      <c r="C40" s="909"/>
      <c r="D40" s="698"/>
      <c r="E40" s="910" t="str">
        <f>F27</f>
        <v>(Research) project development / project initiation</v>
      </c>
      <c r="F40" s="911"/>
      <c r="G40" s="912"/>
      <c r="H40" s="912"/>
      <c r="I40" s="912"/>
      <c r="J40" s="912"/>
      <c r="K40" s="912"/>
      <c r="L40" s="912"/>
      <c r="M40" s="912"/>
      <c r="N40" s="912"/>
      <c r="O40" s="912"/>
      <c r="P40" s="907"/>
    </row>
    <row r="41" spans="1:16" ht="5.25" customHeight="1">
      <c r="A41" s="684"/>
      <c r="B41" s="913"/>
      <c r="C41" s="913"/>
      <c r="D41" s="698"/>
      <c r="E41" s="698"/>
      <c r="F41" s="689"/>
      <c r="G41" s="684"/>
      <c r="H41" s="684"/>
      <c r="I41" s="684"/>
      <c r="J41" s="684"/>
      <c r="K41" s="684"/>
      <c r="L41" s="684"/>
      <c r="M41" s="684"/>
      <c r="N41" s="684"/>
      <c r="O41" s="684"/>
      <c r="P41" s="684"/>
    </row>
    <row r="42" spans="1:16" ht="14.25">
      <c r="B42" s="909"/>
      <c r="C42" s="909"/>
      <c r="D42" s="691"/>
      <c r="E42" s="914" t="s">
        <v>156</v>
      </c>
      <c r="F42" s="915" t="s">
        <v>285</v>
      </c>
      <c r="G42" s="916"/>
      <c r="H42" s="916"/>
      <c r="I42" s="664"/>
      <c r="J42" s="917"/>
      <c r="K42" s="664"/>
      <c r="L42" s="664"/>
      <c r="M42" s="918"/>
      <c r="O42" s="664"/>
    </row>
    <row r="43" spans="1:16" ht="5.25" customHeight="1">
      <c r="B43" s="913"/>
      <c r="C43" s="913"/>
      <c r="D43" s="913"/>
      <c r="E43" s="913"/>
      <c r="F43" s="689"/>
      <c r="G43" s="690"/>
      <c r="H43" s="919"/>
      <c r="I43" s="664"/>
      <c r="J43" s="917"/>
      <c r="K43" s="664"/>
      <c r="L43" s="664"/>
      <c r="M43" s="664"/>
      <c r="N43" s="664"/>
      <c r="O43" s="664"/>
    </row>
    <row r="44" spans="1:16" ht="14.25">
      <c r="B44" s="909"/>
      <c r="C44" s="909"/>
      <c r="D44" s="909"/>
      <c r="E44" s="909" t="s">
        <v>288</v>
      </c>
      <c r="F44" s="689"/>
      <c r="G44" s="690"/>
      <c r="H44" s="919"/>
      <c r="I44" s="664"/>
      <c r="J44" s="917"/>
      <c r="K44" s="664"/>
      <c r="L44" s="664"/>
      <c r="M44" s="664"/>
      <c r="N44" s="664"/>
      <c r="O44" s="664"/>
    </row>
    <row r="45" spans="1:16" ht="19.5">
      <c r="B45" s="913"/>
      <c r="C45" s="913"/>
      <c r="D45" s="913"/>
      <c r="E45" s="913" t="s">
        <v>289</v>
      </c>
      <c r="F45" s="689" t="s">
        <v>290</v>
      </c>
      <c r="G45" s="690" t="s">
        <v>291</v>
      </c>
      <c r="H45" s="920">
        <v>8000000</v>
      </c>
      <c r="I45" s="1069" t="s">
        <v>19</v>
      </c>
      <c r="J45" s="917"/>
      <c r="K45" s="664"/>
      <c r="L45" s="664"/>
      <c r="M45" s="664"/>
      <c r="N45" s="664"/>
    </row>
    <row r="46" spans="1:16" ht="5.25" customHeight="1">
      <c r="B46" s="664"/>
      <c r="C46" s="664"/>
      <c r="D46" s="664"/>
      <c r="E46" s="664"/>
      <c r="F46" s="689"/>
      <c r="G46" s="690"/>
      <c r="H46" s="919"/>
      <c r="I46" s="919"/>
      <c r="J46" s="919"/>
      <c r="K46" s="919"/>
      <c r="L46" s="919"/>
      <c r="M46" s="664"/>
      <c r="N46" s="664"/>
      <c r="O46" s="664"/>
    </row>
    <row r="47" spans="1:16" ht="14.25">
      <c r="A47" s="908" t="s">
        <v>195</v>
      </c>
      <c r="B47" s="698"/>
      <c r="C47" s="698"/>
      <c r="D47" s="698"/>
      <c r="E47" s="910" t="str">
        <f>F28</f>
        <v>Planning of a project</v>
      </c>
      <c r="F47" s="911"/>
      <c r="G47" s="912"/>
      <c r="H47" s="912"/>
      <c r="I47" s="912"/>
      <c r="J47" s="912"/>
      <c r="K47" s="912"/>
      <c r="L47" s="912"/>
      <c r="M47" s="912"/>
      <c r="N47" s="912"/>
      <c r="O47" s="912"/>
      <c r="P47" s="907"/>
    </row>
    <row r="48" spans="1:16" ht="5.25" customHeight="1">
      <c r="A48" s="684"/>
      <c r="B48" s="698"/>
      <c r="C48" s="698"/>
      <c r="D48" s="698"/>
      <c r="E48" s="698"/>
      <c r="F48" s="689"/>
      <c r="G48" s="684"/>
      <c r="H48" s="684"/>
      <c r="I48" s="684"/>
      <c r="J48" s="684"/>
      <c r="K48" s="684"/>
      <c r="L48" s="684"/>
      <c r="M48" s="684"/>
      <c r="N48" s="684"/>
      <c r="O48" s="684"/>
      <c r="P48" s="684"/>
    </row>
    <row r="49" spans="1:16" ht="14.25">
      <c r="A49" s="684"/>
      <c r="B49" s="691"/>
      <c r="C49" s="691"/>
      <c r="D49" s="691"/>
      <c r="E49" s="914" t="str">
        <f>LEFT($E42,LEN($E42)-1)+1&amp;")"</f>
        <v>2)</v>
      </c>
      <c r="F49" s="915" t="s">
        <v>304</v>
      </c>
      <c r="G49" s="916"/>
      <c r="H49" s="916"/>
      <c r="I49" s="916"/>
      <c r="J49" s="916"/>
      <c r="K49" s="916"/>
      <c r="L49" s="916"/>
      <c r="M49" s="916"/>
      <c r="N49" s="916"/>
      <c r="O49" s="916"/>
      <c r="P49" s="684"/>
    </row>
    <row r="50" spans="1:16" ht="5.25" customHeight="1">
      <c r="A50" s="684"/>
      <c r="B50" s="698"/>
      <c r="C50" s="698"/>
      <c r="D50" s="698"/>
      <c r="E50" s="698"/>
      <c r="F50" s="689"/>
      <c r="G50" s="684"/>
      <c r="H50" s="684"/>
      <c r="I50" s="684"/>
      <c r="J50" s="684"/>
      <c r="K50" s="684"/>
      <c r="L50" s="684"/>
      <c r="M50" s="684"/>
      <c r="N50" s="684"/>
      <c r="O50" s="684"/>
      <c r="P50" s="684"/>
    </row>
    <row r="51" spans="1:16" ht="19.5">
      <c r="A51" s="684"/>
      <c r="B51" s="921"/>
      <c r="C51" s="921"/>
      <c r="D51" s="921"/>
      <c r="E51" s="921" t="s">
        <v>289</v>
      </c>
      <c r="F51" s="689" t="s">
        <v>309</v>
      </c>
      <c r="G51" s="690" t="s">
        <v>246</v>
      </c>
      <c r="H51" s="902">
        <v>0.25</v>
      </c>
      <c r="I51" s="1069" t="s">
        <v>19</v>
      </c>
      <c r="J51" s="684"/>
      <c r="K51" s="684"/>
      <c r="L51" s="684"/>
      <c r="M51" s="684"/>
      <c r="N51" s="684"/>
      <c r="O51" s="684"/>
      <c r="P51" s="684"/>
    </row>
    <row r="52" spans="1:16" ht="24">
      <c r="A52" s="684"/>
      <c r="B52" s="921"/>
      <c r="C52" s="921"/>
      <c r="D52" s="921"/>
      <c r="E52" s="921" t="s">
        <v>289</v>
      </c>
      <c r="F52" s="689" t="s">
        <v>312</v>
      </c>
      <c r="G52" s="684"/>
      <c r="H52" s="902">
        <v>0.3</v>
      </c>
      <c r="I52" s="1069" t="s">
        <v>19</v>
      </c>
      <c r="J52" s="684"/>
      <c r="K52" s="684"/>
      <c r="L52" s="684"/>
      <c r="M52" s="684"/>
      <c r="N52" s="684"/>
      <c r="O52" s="684"/>
      <c r="P52" s="684"/>
    </row>
    <row r="53" spans="1:16" ht="14.25">
      <c r="A53" s="684"/>
      <c r="B53" s="921"/>
      <c r="C53" s="921"/>
      <c r="D53" s="921"/>
      <c r="E53" s="921"/>
      <c r="F53" s="689"/>
      <c r="G53" s="684"/>
      <c r="H53" s="684"/>
      <c r="I53" s="684"/>
      <c r="J53" s="684"/>
      <c r="K53" s="684"/>
      <c r="L53" s="684"/>
      <c r="M53" s="684"/>
      <c r="N53" s="684"/>
      <c r="O53" s="684"/>
      <c r="P53" s="684"/>
    </row>
    <row r="54" spans="1:16" ht="14.25">
      <c r="A54" s="908" t="s">
        <v>195</v>
      </c>
      <c r="B54" s="706" t="s">
        <v>40</v>
      </c>
      <c r="E54" s="922" t="str">
        <f>F29</f>
        <v>Creation and collection of the data</v>
      </c>
      <c r="F54" s="923"/>
      <c r="G54" s="924"/>
      <c r="H54" s="925"/>
      <c r="I54" s="924"/>
      <c r="J54" s="924"/>
      <c r="K54" s="924"/>
      <c r="L54" s="912"/>
      <c r="M54" s="912"/>
      <c r="N54" s="912"/>
      <c r="O54" s="912"/>
      <c r="P54" s="684"/>
    </row>
    <row r="55" spans="1:16" ht="5.25" customHeight="1">
      <c r="A55" s="684"/>
      <c r="B55" s="684"/>
      <c r="C55" s="684"/>
      <c r="D55" s="684"/>
      <c r="E55" s="684"/>
      <c r="F55" s="689"/>
      <c r="G55" s="684"/>
      <c r="H55" s="684"/>
      <c r="I55" s="684"/>
      <c r="J55" s="684"/>
      <c r="K55" s="684"/>
      <c r="L55" s="684"/>
      <c r="M55" s="684"/>
      <c r="N55" s="684"/>
      <c r="O55" s="684"/>
      <c r="P55" s="684"/>
    </row>
    <row r="56" spans="1:16" ht="5.25" customHeight="1">
      <c r="A56" s="684"/>
      <c r="B56" s="691"/>
      <c r="C56" s="691"/>
      <c r="D56" s="691"/>
      <c r="E56" s="691"/>
      <c r="F56" s="926"/>
      <c r="G56" s="691"/>
      <c r="H56" s="691"/>
      <c r="I56" s="684"/>
      <c r="J56" s="684"/>
      <c r="K56" s="684"/>
      <c r="L56" s="684"/>
      <c r="M56" s="684"/>
      <c r="N56" s="684"/>
      <c r="O56" s="684"/>
      <c r="P56" s="684"/>
    </row>
    <row r="57" spans="1:16" ht="14.25">
      <c r="A57" s="684"/>
      <c r="B57" s="691"/>
      <c r="C57" s="691"/>
      <c r="D57" s="691"/>
      <c r="E57" s="914" t="str">
        <f>LEFT($E49,LEN($E49)-1)+1&amp;")"</f>
        <v>3)</v>
      </c>
      <c r="F57" s="915" t="s">
        <v>316</v>
      </c>
      <c r="G57" s="914"/>
      <c r="H57" s="914"/>
      <c r="I57" s="684"/>
      <c r="J57" s="684"/>
      <c r="K57" s="684"/>
      <c r="L57" s="927"/>
      <c r="M57" s="927"/>
      <c r="N57" s="927"/>
      <c r="O57" s="927"/>
      <c r="P57" s="684"/>
    </row>
    <row r="58" spans="1:16" ht="5.25" customHeight="1">
      <c r="A58" s="684"/>
      <c r="B58" s="684"/>
      <c r="C58" s="684"/>
      <c r="D58" s="684"/>
      <c r="E58" s="684"/>
      <c r="F58" s="689"/>
      <c r="G58" s="684"/>
      <c r="H58" s="684"/>
      <c r="I58" s="684"/>
      <c r="J58" s="684"/>
      <c r="K58" s="684"/>
      <c r="L58" s="928"/>
      <c r="M58" s="928"/>
      <c r="N58" s="928"/>
      <c r="O58" s="928"/>
      <c r="P58" s="684"/>
    </row>
    <row r="59" spans="1:16" ht="19.5">
      <c r="A59" s="684"/>
      <c r="B59" s="706" t="s">
        <v>40</v>
      </c>
      <c r="C59" s="921"/>
      <c r="D59" s="921"/>
      <c r="E59" s="921" t="s">
        <v>289</v>
      </c>
      <c r="F59" s="689" t="s">
        <v>318</v>
      </c>
      <c r="G59" s="690" t="s">
        <v>246</v>
      </c>
      <c r="H59" s="1156">
        <v>0.5</v>
      </c>
      <c r="I59" s="1132"/>
      <c r="J59" s="1069" t="s">
        <v>19</v>
      </c>
      <c r="K59" s="684"/>
      <c r="L59" s="928"/>
      <c r="M59" s="928"/>
      <c r="N59" s="928"/>
      <c r="O59" s="928"/>
      <c r="P59" s="684"/>
    </row>
    <row r="60" spans="1:16" ht="19.5">
      <c r="A60" s="684"/>
      <c r="B60" s="921"/>
      <c r="C60" s="921"/>
      <c r="D60" s="921"/>
      <c r="E60" s="921"/>
      <c r="F60" s="1157" t="s">
        <v>320</v>
      </c>
      <c r="G60" s="690" t="s">
        <v>321</v>
      </c>
      <c r="H60" s="690" t="s">
        <v>246</v>
      </c>
      <c r="I60" s="929">
        <v>0.65</v>
      </c>
      <c r="J60" s="1069" t="s">
        <v>19</v>
      </c>
      <c r="K60" s="684"/>
      <c r="L60" s="928"/>
      <c r="M60" s="928"/>
      <c r="N60" s="928"/>
      <c r="O60" s="928"/>
      <c r="P60" s="684"/>
    </row>
    <row r="61" spans="1:16" ht="36">
      <c r="A61" s="684"/>
      <c r="B61" s="921"/>
      <c r="C61" s="921"/>
      <c r="D61" s="921"/>
      <c r="E61" s="921" t="s">
        <v>289</v>
      </c>
      <c r="F61" s="1132"/>
      <c r="G61" s="930" t="s">
        <v>322</v>
      </c>
      <c r="H61" s="690" t="s">
        <v>246</v>
      </c>
      <c r="I61" s="929">
        <v>0.1</v>
      </c>
      <c r="J61" s="1069" t="s">
        <v>19</v>
      </c>
      <c r="K61" s="684"/>
      <c r="L61" s="928"/>
      <c r="M61" s="928"/>
      <c r="N61" s="928"/>
      <c r="O61" s="928"/>
      <c r="P61" s="684"/>
    </row>
    <row r="62" spans="1:16" ht="19.5">
      <c r="A62" s="684"/>
      <c r="B62" s="921"/>
      <c r="C62" s="921"/>
      <c r="D62" s="921"/>
      <c r="E62" s="921"/>
      <c r="F62" s="1132"/>
      <c r="G62" s="690" t="s">
        <v>323</v>
      </c>
      <c r="H62" s="690" t="s">
        <v>246</v>
      </c>
      <c r="I62" s="929">
        <v>0.25</v>
      </c>
      <c r="J62" s="1069" t="s">
        <v>19</v>
      </c>
      <c r="K62" s="684"/>
      <c r="L62" s="928"/>
      <c r="M62" s="928"/>
      <c r="N62" s="928"/>
      <c r="O62" s="928"/>
      <c r="P62" s="684"/>
    </row>
    <row r="63" spans="1:16" ht="19.5">
      <c r="A63" s="684"/>
      <c r="B63" s="921"/>
      <c r="C63" s="921"/>
      <c r="D63" s="921"/>
      <c r="E63" s="921" t="s">
        <v>289</v>
      </c>
      <c r="F63" s="689" t="s">
        <v>324</v>
      </c>
      <c r="G63" s="690" t="s">
        <v>246</v>
      </c>
      <c r="H63" s="1156">
        <v>0.5</v>
      </c>
      <c r="I63" s="1132"/>
      <c r="J63" s="1069" t="s">
        <v>19</v>
      </c>
      <c r="K63" s="684"/>
      <c r="L63" s="928"/>
      <c r="M63" s="928"/>
      <c r="N63" s="928"/>
      <c r="O63" s="928"/>
      <c r="P63" s="684"/>
    </row>
    <row r="64" spans="1:16" ht="5.25" customHeight="1">
      <c r="A64" s="684"/>
      <c r="B64" s="921"/>
      <c r="C64" s="921"/>
      <c r="D64" s="921"/>
      <c r="E64" s="921"/>
      <c r="F64" s="926"/>
      <c r="G64" s="690"/>
      <c r="H64" s="931"/>
      <c r="I64" s="684"/>
      <c r="J64" s="684"/>
      <c r="K64" s="684"/>
      <c r="L64" s="928"/>
      <c r="M64" s="928"/>
      <c r="N64" s="928"/>
      <c r="O64" s="928"/>
      <c r="P64" s="684"/>
    </row>
    <row r="65" spans="1:16" ht="14.25">
      <c r="A65" s="684"/>
      <c r="B65" s="921"/>
      <c r="C65" s="921"/>
      <c r="D65" s="921"/>
      <c r="E65" s="921" t="s">
        <v>325</v>
      </c>
      <c r="F65" s="926"/>
      <c r="G65" s="691"/>
      <c r="H65" s="932">
        <f>SUM(H59:H63)</f>
        <v>1</v>
      </c>
      <c r="I65" s="932">
        <f>SUM(I60:I62)</f>
        <v>1</v>
      </c>
      <c r="J65" s="684"/>
      <c r="K65" s="684"/>
      <c r="L65" s="928"/>
      <c r="M65" s="928"/>
      <c r="N65" s="928"/>
      <c r="O65" s="928"/>
      <c r="P65" s="684"/>
    </row>
    <row r="66" spans="1:16" ht="5.25" customHeight="1">
      <c r="A66" s="684"/>
      <c r="B66" s="684"/>
      <c r="C66" s="684"/>
      <c r="D66" s="684"/>
      <c r="E66" s="684"/>
      <c r="F66" s="689"/>
      <c r="G66" s="684"/>
      <c r="H66" s="684"/>
      <c r="L66" s="928"/>
      <c r="M66" s="928"/>
      <c r="N66" s="928"/>
      <c r="O66" s="928"/>
      <c r="P66" s="684"/>
    </row>
    <row r="67" spans="1:16" ht="36">
      <c r="A67" s="684"/>
      <c r="B67" s="706" t="s">
        <v>40</v>
      </c>
      <c r="C67" s="691"/>
      <c r="D67" s="691"/>
      <c r="E67" s="914" t="str">
        <f>LEFT($E57,LEN($E57)-1)+1&amp;")"</f>
        <v>4)</v>
      </c>
      <c r="F67" s="915" t="s">
        <v>328</v>
      </c>
      <c r="G67" s="914"/>
      <c r="H67" s="914"/>
      <c r="L67" s="928"/>
      <c r="M67" s="928"/>
      <c r="N67" s="928"/>
      <c r="O67" s="928"/>
      <c r="P67" s="684"/>
    </row>
    <row r="68" spans="1:16" ht="5.25" customHeight="1">
      <c r="A68" s="684"/>
      <c r="B68" s="684"/>
      <c r="C68" s="684"/>
      <c r="D68" s="684"/>
      <c r="E68" s="684"/>
      <c r="F68" s="689"/>
      <c r="G68" s="684"/>
      <c r="H68" s="684"/>
      <c r="I68" s="684"/>
      <c r="L68" s="928"/>
      <c r="M68" s="928"/>
      <c r="N68" s="928"/>
      <c r="O68" s="928"/>
      <c r="P68" s="684"/>
    </row>
    <row r="69" spans="1:16" ht="14.25">
      <c r="A69" s="684"/>
      <c r="B69" s="921"/>
      <c r="C69" s="921"/>
      <c r="D69" s="921"/>
      <c r="E69" s="921"/>
      <c r="F69" s="689"/>
      <c r="G69" s="933"/>
      <c r="H69" s="934" t="str">
        <f>"Breaking down of the time indicated in "&amp;ADDRESS(H70,H71,4)&amp;" equal to "&amp;I60*100&amp;"%"</f>
        <v>Breaking down of the time indicated in I60 equal to 65%</v>
      </c>
      <c r="J69" s="684"/>
      <c r="K69" s="684"/>
      <c r="L69" s="928"/>
      <c r="M69" s="928"/>
      <c r="N69" s="928"/>
      <c r="O69" s="928"/>
      <c r="P69" s="684"/>
    </row>
    <row r="70" spans="1:16" ht="14.25" hidden="1">
      <c r="A70" s="684"/>
      <c r="B70" s="921"/>
      <c r="C70" s="921"/>
      <c r="D70" s="921"/>
      <c r="E70" s="921"/>
      <c r="F70" s="689"/>
      <c r="G70" s="690" t="s">
        <v>203</v>
      </c>
      <c r="H70" s="935">
        <f>ROW(I60)</f>
        <v>60</v>
      </c>
      <c r="J70" s="684"/>
      <c r="K70" s="684"/>
      <c r="L70" s="928"/>
      <c r="M70" s="928"/>
      <c r="N70" s="928"/>
      <c r="O70" s="928"/>
      <c r="P70" s="684"/>
    </row>
    <row r="71" spans="1:16" ht="14.25" hidden="1">
      <c r="A71" s="684"/>
      <c r="B71" s="921"/>
      <c r="C71" s="921"/>
      <c r="D71" s="921"/>
      <c r="E71" s="921"/>
      <c r="F71" s="689"/>
      <c r="G71" s="690" t="s">
        <v>206</v>
      </c>
      <c r="H71" s="935">
        <f>COLUMN(I60)</f>
        <v>9</v>
      </c>
      <c r="J71" s="684"/>
      <c r="K71" s="684"/>
      <c r="L71" s="928"/>
      <c r="M71" s="928"/>
      <c r="N71" s="928"/>
      <c r="O71" s="928"/>
      <c r="P71" s="684"/>
    </row>
    <row r="72" spans="1:16" ht="19.5">
      <c r="A72" s="684"/>
      <c r="B72" s="921"/>
      <c r="C72" s="921"/>
      <c r="D72" s="921"/>
      <c r="E72" s="921" t="s">
        <v>289</v>
      </c>
      <c r="F72" s="689" t="s">
        <v>330</v>
      </c>
      <c r="G72" s="690" t="s">
        <v>246</v>
      </c>
      <c r="H72" s="929">
        <v>0.25</v>
      </c>
      <c r="I72" s="1069" t="s">
        <v>19</v>
      </c>
      <c r="J72" s="684"/>
      <c r="K72" s="684"/>
      <c r="L72" s="928"/>
      <c r="M72" s="928"/>
      <c r="N72" s="928"/>
      <c r="O72" s="928"/>
      <c r="P72" s="684"/>
    </row>
    <row r="73" spans="1:16" ht="19.5">
      <c r="A73" s="684"/>
      <c r="B73" s="921"/>
      <c r="C73" s="921"/>
      <c r="D73" s="921"/>
      <c r="E73" s="921" t="s">
        <v>289</v>
      </c>
      <c r="F73" s="689" t="s">
        <v>331</v>
      </c>
      <c r="G73" s="690" t="s">
        <v>246</v>
      </c>
      <c r="H73" s="929">
        <v>0.15</v>
      </c>
      <c r="I73" s="1069" t="s">
        <v>19</v>
      </c>
      <c r="J73" s="684"/>
      <c r="K73" s="684"/>
      <c r="L73" s="928"/>
      <c r="M73" s="928"/>
      <c r="N73" s="928"/>
      <c r="O73" s="928"/>
      <c r="P73" s="684"/>
    </row>
    <row r="74" spans="1:16" ht="19.5">
      <c r="A74" s="684"/>
      <c r="C74" s="897" t="s">
        <v>200</v>
      </c>
      <c r="D74" s="921"/>
      <c r="E74" s="921" t="s">
        <v>289</v>
      </c>
      <c r="F74" s="689" t="s">
        <v>332</v>
      </c>
      <c r="G74" s="690" t="s">
        <v>246</v>
      </c>
      <c r="H74" s="929">
        <v>0.08</v>
      </c>
      <c r="I74" s="1069" t="s">
        <v>19</v>
      </c>
      <c r="J74" s="684"/>
      <c r="K74" s="684"/>
      <c r="L74" s="928"/>
      <c r="M74" s="928"/>
      <c r="N74" s="928"/>
      <c r="O74" s="928"/>
      <c r="P74" s="684"/>
    </row>
    <row r="75" spans="1:16" ht="19.5">
      <c r="A75" s="684"/>
      <c r="C75" s="897" t="s">
        <v>200</v>
      </c>
      <c r="D75" s="921"/>
      <c r="E75" s="921" t="s">
        <v>289</v>
      </c>
      <c r="F75" s="689" t="s">
        <v>333</v>
      </c>
      <c r="G75" s="690" t="s">
        <v>246</v>
      </c>
      <c r="H75" s="929">
        <v>0.05</v>
      </c>
      <c r="I75" s="1069" t="s">
        <v>19</v>
      </c>
      <c r="J75" s="684"/>
      <c r="K75" s="684"/>
      <c r="L75" s="928"/>
      <c r="M75" s="928"/>
      <c r="N75" s="928"/>
      <c r="O75" s="928"/>
      <c r="P75" s="684"/>
    </row>
    <row r="76" spans="1:16" ht="19.5">
      <c r="A76" s="684"/>
      <c r="C76" s="897" t="s">
        <v>200</v>
      </c>
      <c r="D76" s="921"/>
      <c r="E76" s="921" t="s">
        <v>289</v>
      </c>
      <c r="F76" s="689" t="s">
        <v>334</v>
      </c>
      <c r="G76" s="690" t="s">
        <v>246</v>
      </c>
      <c r="H76" s="929">
        <v>0.02</v>
      </c>
      <c r="I76" s="1069" t="s">
        <v>19</v>
      </c>
      <c r="J76" s="684"/>
      <c r="K76" s="684"/>
      <c r="L76" s="928"/>
      <c r="M76" s="928"/>
      <c r="N76" s="928"/>
      <c r="O76" s="928"/>
      <c r="P76" s="684"/>
    </row>
    <row r="77" spans="1:16" ht="5.25" customHeight="1">
      <c r="A77" s="684"/>
      <c r="B77" s="684"/>
      <c r="C77" s="684"/>
      <c r="D77" s="684"/>
      <c r="E77" s="684"/>
      <c r="F77" s="684"/>
      <c r="G77" s="684"/>
      <c r="H77" s="684"/>
      <c r="I77" s="684"/>
      <c r="J77" s="684"/>
      <c r="K77" s="684"/>
      <c r="L77" s="928"/>
      <c r="M77" s="928"/>
      <c r="N77" s="928"/>
      <c r="O77" s="928"/>
      <c r="P77" s="684"/>
    </row>
    <row r="78" spans="1:16" ht="19.5">
      <c r="A78" s="907"/>
      <c r="B78" s="936"/>
      <c r="C78" s="936"/>
      <c r="D78" s="936"/>
      <c r="E78" s="936" t="s">
        <v>289</v>
      </c>
      <c r="F78" s="688" t="s">
        <v>335</v>
      </c>
      <c r="G78" s="937" t="s">
        <v>246</v>
      </c>
      <c r="H78" s="938">
        <v>0.2</v>
      </c>
      <c r="I78" s="1069" t="s">
        <v>19</v>
      </c>
      <c r="J78" s="907"/>
      <c r="K78" s="907"/>
      <c r="L78" s="928"/>
      <c r="M78" s="928"/>
      <c r="N78" s="928"/>
      <c r="O78" s="928"/>
      <c r="P78" s="907"/>
    </row>
    <row r="79" spans="1:16" ht="19.5">
      <c r="A79" s="907"/>
      <c r="B79" s="936"/>
      <c r="C79" s="936"/>
      <c r="D79" s="936"/>
      <c r="E79" s="936" t="s">
        <v>289</v>
      </c>
      <c r="F79" s="688" t="s">
        <v>336</v>
      </c>
      <c r="G79" s="937" t="s">
        <v>246</v>
      </c>
      <c r="H79" s="938">
        <v>0.2</v>
      </c>
      <c r="I79" s="1069" t="s">
        <v>19</v>
      </c>
      <c r="J79" s="907"/>
      <c r="K79" s="907"/>
      <c r="L79" s="928"/>
      <c r="M79" s="928"/>
      <c r="N79" s="928"/>
      <c r="O79" s="928"/>
      <c r="P79" s="907"/>
    </row>
    <row r="80" spans="1:16" ht="19.5">
      <c r="A80" s="907"/>
      <c r="B80" s="936"/>
      <c r="C80" s="936"/>
      <c r="D80" s="936"/>
      <c r="E80" s="936" t="s">
        <v>289</v>
      </c>
      <c r="F80" s="688" t="s">
        <v>337</v>
      </c>
      <c r="G80" s="937" t="s">
        <v>246</v>
      </c>
      <c r="H80" s="938">
        <v>0.05</v>
      </c>
      <c r="I80" s="1069" t="s">
        <v>19</v>
      </c>
      <c r="J80" s="907"/>
      <c r="K80" s="907"/>
      <c r="L80" s="928"/>
      <c r="M80" s="928"/>
      <c r="N80" s="928"/>
      <c r="O80" s="928"/>
      <c r="P80" s="907"/>
    </row>
    <row r="81" spans="1:16" ht="5.25" customHeight="1">
      <c r="A81" s="684"/>
      <c r="B81" s="684"/>
      <c r="C81" s="684"/>
      <c r="D81" s="684"/>
      <c r="E81" s="684"/>
      <c r="F81" s="689"/>
      <c r="G81" s="684"/>
      <c r="H81" s="684"/>
      <c r="I81" s="684"/>
      <c r="J81" s="684"/>
      <c r="K81" s="684"/>
      <c r="L81" s="928"/>
      <c r="M81" s="928"/>
      <c r="N81" s="928"/>
      <c r="O81" s="928"/>
      <c r="P81" s="684"/>
    </row>
    <row r="82" spans="1:16" ht="14.25">
      <c r="A82" s="684"/>
      <c r="B82" s="921"/>
      <c r="C82" s="921"/>
      <c r="D82" s="921"/>
      <c r="E82" s="921" t="s">
        <v>325</v>
      </c>
      <c r="F82" s="689"/>
      <c r="G82" s="684"/>
      <c r="H82" s="932">
        <f>SUM(H72:H80)</f>
        <v>1</v>
      </c>
      <c r="I82" s="684"/>
      <c r="J82" s="684"/>
      <c r="K82" s="684"/>
      <c r="L82" s="928"/>
      <c r="M82" s="928"/>
      <c r="N82" s="928"/>
      <c r="O82" s="928"/>
      <c r="P82" s="684"/>
    </row>
    <row r="83" spans="1:16" ht="5.25" customHeight="1">
      <c r="A83" s="684"/>
      <c r="B83" s="921"/>
      <c r="C83" s="921"/>
      <c r="D83" s="921"/>
      <c r="E83" s="921"/>
      <c r="F83" s="689"/>
      <c r="H83" s="684"/>
      <c r="I83" s="684"/>
      <c r="J83" s="684"/>
      <c r="K83" s="684"/>
      <c r="L83" s="928"/>
      <c r="M83" s="928"/>
      <c r="N83" s="928"/>
      <c r="O83" s="928"/>
      <c r="P83" s="684"/>
    </row>
    <row r="84" spans="1:16" thickBot="1">
      <c r="A84" s="684"/>
      <c r="B84" s="921"/>
      <c r="C84" s="691"/>
      <c r="D84" s="691"/>
      <c r="E84" s="914" t="str">
        <f>LEFT($E67,LEN($E67)-1)+1&amp;")"</f>
        <v>5)</v>
      </c>
      <c r="F84" s="915" t="s">
        <v>338</v>
      </c>
      <c r="G84" s="914"/>
      <c r="H84" s="914"/>
      <c r="I84" s="691"/>
      <c r="J84" s="684"/>
      <c r="K84" s="684"/>
      <c r="L84" s="928"/>
      <c r="M84" s="928"/>
      <c r="N84" s="928"/>
      <c r="O84" s="928"/>
      <c r="P84" s="684"/>
    </row>
    <row r="85" spans="1:16" ht="5.25" customHeight="1" thickTop="1">
      <c r="A85" s="684"/>
      <c r="B85" s="684"/>
      <c r="C85" s="684"/>
      <c r="D85" s="684"/>
      <c r="E85" s="684"/>
      <c r="F85" s="689"/>
      <c r="G85" s="684"/>
      <c r="H85" s="939"/>
      <c r="I85" s="684"/>
      <c r="J85" s="684"/>
      <c r="K85" s="684"/>
      <c r="L85" s="940"/>
      <c r="M85" s="940"/>
      <c r="N85" s="940"/>
      <c r="O85" s="940"/>
      <c r="P85" s="684"/>
    </row>
    <row r="86" spans="1:16" ht="19.5">
      <c r="A86" s="684"/>
      <c r="B86" s="913"/>
      <c r="C86" s="913"/>
      <c r="D86" s="913"/>
      <c r="E86" s="913" t="s">
        <v>289</v>
      </c>
      <c r="F86" s="689" t="s">
        <v>339</v>
      </c>
      <c r="G86" s="690" t="s">
        <v>246</v>
      </c>
      <c r="H86" s="929">
        <v>0.1</v>
      </c>
      <c r="I86" s="1069" t="s">
        <v>19</v>
      </c>
      <c r="J86" s="684"/>
      <c r="K86" s="684"/>
      <c r="M86" s="684"/>
      <c r="N86" s="684"/>
      <c r="O86" s="684"/>
      <c r="P86" s="684"/>
    </row>
    <row r="87" spans="1:16" ht="19.5">
      <c r="A87" s="684"/>
      <c r="B87" s="913"/>
      <c r="C87" s="913"/>
      <c r="D87" s="913"/>
      <c r="E87" s="913" t="s">
        <v>289</v>
      </c>
      <c r="F87" s="689" t="s">
        <v>331</v>
      </c>
      <c r="G87" s="690" t="s">
        <v>246</v>
      </c>
      <c r="H87" s="929">
        <v>0.25</v>
      </c>
      <c r="I87" s="1069" t="s">
        <v>19</v>
      </c>
      <c r="J87" s="684"/>
      <c r="K87" s="684"/>
      <c r="L87" s="684"/>
      <c r="M87" s="684"/>
      <c r="N87" s="684"/>
      <c r="O87" s="684"/>
      <c r="P87" s="684"/>
    </row>
    <row r="88" spans="1:16" ht="19.5">
      <c r="A88" s="684"/>
      <c r="B88" s="913"/>
      <c r="C88" s="897" t="s">
        <v>200</v>
      </c>
      <c r="D88" s="913"/>
      <c r="E88" s="913" t="s">
        <v>289</v>
      </c>
      <c r="F88" s="689" t="s">
        <v>332</v>
      </c>
      <c r="G88" s="690" t="s">
        <v>246</v>
      </c>
      <c r="H88" s="929">
        <v>0.3</v>
      </c>
      <c r="I88" s="1069" t="s">
        <v>19</v>
      </c>
      <c r="J88" s="684"/>
      <c r="K88" s="684"/>
      <c r="L88" s="684"/>
      <c r="M88" s="684"/>
      <c r="N88" s="684"/>
      <c r="O88" s="684"/>
      <c r="P88" s="684"/>
    </row>
    <row r="89" spans="1:16" ht="19.5">
      <c r="A89" s="684"/>
      <c r="B89" s="913"/>
      <c r="C89" s="897" t="s">
        <v>200</v>
      </c>
      <c r="D89" s="913"/>
      <c r="E89" s="913" t="s">
        <v>289</v>
      </c>
      <c r="F89" s="689" t="s">
        <v>340</v>
      </c>
      <c r="G89" s="690" t="s">
        <v>246</v>
      </c>
      <c r="H89" s="929">
        <v>0.2</v>
      </c>
      <c r="I89" s="1069" t="s">
        <v>19</v>
      </c>
      <c r="J89" s="684"/>
      <c r="K89" s="684"/>
      <c r="L89" s="684"/>
      <c r="M89" s="684"/>
      <c r="N89" s="684"/>
      <c r="O89" s="684"/>
      <c r="P89" s="684"/>
    </row>
    <row r="90" spans="1:16" ht="19.5">
      <c r="A90" s="684"/>
      <c r="B90" s="913"/>
      <c r="C90" s="897" t="s">
        <v>200</v>
      </c>
      <c r="D90" s="913"/>
      <c r="E90" s="913" t="s">
        <v>289</v>
      </c>
      <c r="F90" s="689" t="s">
        <v>341</v>
      </c>
      <c r="G90" s="690" t="s">
        <v>246</v>
      </c>
      <c r="H90" s="929">
        <v>0.15</v>
      </c>
      <c r="I90" s="1069" t="s">
        <v>19</v>
      </c>
      <c r="J90" s="684"/>
      <c r="K90" s="684"/>
      <c r="L90" s="684"/>
      <c r="M90" s="684"/>
      <c r="N90" s="684"/>
      <c r="O90" s="684"/>
      <c r="P90" s="684"/>
    </row>
    <row r="91" spans="1:16" ht="5.25" customHeight="1">
      <c r="A91" s="684"/>
      <c r="B91" s="913"/>
      <c r="C91" s="913"/>
      <c r="D91" s="913"/>
      <c r="E91" s="913"/>
      <c r="F91" s="689"/>
      <c r="G91" s="684"/>
      <c r="H91" s="684"/>
      <c r="I91" s="684"/>
      <c r="J91" s="684"/>
      <c r="K91" s="684"/>
      <c r="L91" s="684"/>
      <c r="M91" s="684"/>
      <c r="N91" s="684"/>
      <c r="O91" s="684"/>
      <c r="P91" s="684"/>
    </row>
    <row r="92" spans="1:16" ht="15.75" customHeight="1">
      <c r="A92" s="684"/>
      <c r="B92" s="684"/>
      <c r="C92" s="684"/>
      <c r="D92" s="684"/>
      <c r="E92" s="684"/>
      <c r="F92" s="689"/>
      <c r="G92" s="684"/>
      <c r="H92" s="932">
        <f>SUM(H85:H90)</f>
        <v>0.99999999999999989</v>
      </c>
      <c r="I92" s="684"/>
      <c r="J92" s="684"/>
      <c r="K92" s="684"/>
      <c r="L92" s="928"/>
      <c r="M92" s="928"/>
      <c r="N92" s="928"/>
      <c r="O92" s="928"/>
      <c r="P92" s="684"/>
    </row>
    <row r="93" spans="1:16" ht="6" customHeight="1">
      <c r="A93" s="684"/>
      <c r="B93" s="913"/>
      <c r="C93" s="913"/>
      <c r="D93" s="913"/>
      <c r="E93" s="913"/>
      <c r="F93" s="689"/>
      <c r="G93" s="690"/>
      <c r="H93" s="690"/>
      <c r="I93" s="684"/>
      <c r="J93" s="684"/>
      <c r="K93" s="684"/>
      <c r="L93" s="684"/>
      <c r="M93" s="684"/>
      <c r="N93" s="684"/>
      <c r="O93" s="684"/>
      <c r="P93" s="684"/>
    </row>
    <row r="94" spans="1:16" ht="19.5">
      <c r="A94" s="684"/>
      <c r="B94" s="913"/>
      <c r="C94" s="913"/>
      <c r="D94" s="913"/>
      <c r="E94" s="913" t="s">
        <v>289</v>
      </c>
      <c r="F94" s="689" t="s">
        <v>335</v>
      </c>
      <c r="G94" s="690" t="s">
        <v>246</v>
      </c>
      <c r="H94" s="929">
        <v>0.25</v>
      </c>
      <c r="I94" s="1069" t="s">
        <v>19</v>
      </c>
      <c r="J94" s="684"/>
      <c r="K94" s="684"/>
      <c r="L94" s="684"/>
      <c r="M94" s="684"/>
      <c r="N94" s="684"/>
      <c r="O94" s="684"/>
      <c r="P94" s="684"/>
    </row>
    <row r="95" spans="1:16" ht="19.5">
      <c r="A95" s="684"/>
      <c r="B95" s="913"/>
      <c r="C95" s="913"/>
      <c r="D95" s="913"/>
      <c r="E95" s="913" t="s">
        <v>289</v>
      </c>
      <c r="F95" s="688" t="s">
        <v>336</v>
      </c>
      <c r="G95" s="690" t="s">
        <v>246</v>
      </c>
      <c r="H95" s="929">
        <v>0.5</v>
      </c>
      <c r="I95" s="1069" t="s">
        <v>19</v>
      </c>
      <c r="J95" s="684"/>
      <c r="K95" s="684"/>
      <c r="L95" s="684"/>
      <c r="M95" s="684"/>
      <c r="N95" s="684"/>
      <c r="O95" s="684"/>
      <c r="P95" s="684"/>
    </row>
    <row r="96" spans="1:16" ht="19.5">
      <c r="A96" s="684"/>
      <c r="B96" s="913"/>
      <c r="C96" s="913"/>
      <c r="D96" s="913"/>
      <c r="E96" s="913" t="s">
        <v>289</v>
      </c>
      <c r="F96" s="688" t="s">
        <v>337</v>
      </c>
      <c r="G96" s="690" t="s">
        <v>246</v>
      </c>
      <c r="H96" s="929">
        <v>0.25</v>
      </c>
      <c r="I96" s="1069" t="s">
        <v>19</v>
      </c>
      <c r="J96" s="684"/>
      <c r="K96" s="684"/>
      <c r="L96" s="684"/>
      <c r="M96" s="684"/>
      <c r="N96" s="684"/>
      <c r="O96" s="684"/>
      <c r="P96" s="684"/>
    </row>
    <row r="97" spans="1:16" ht="5.25" customHeight="1">
      <c r="A97" s="684"/>
      <c r="B97" s="913"/>
      <c r="C97" s="913"/>
      <c r="D97" s="913"/>
      <c r="E97" s="913"/>
      <c r="F97" s="689"/>
      <c r="G97" s="684"/>
      <c r="H97" s="684"/>
      <c r="I97" s="684"/>
      <c r="J97" s="684"/>
      <c r="K97" s="684"/>
      <c r="L97" s="684"/>
      <c r="M97" s="684"/>
      <c r="N97" s="684"/>
      <c r="O97" s="684"/>
      <c r="P97" s="684"/>
    </row>
    <row r="98" spans="1:16" ht="14.25">
      <c r="A98" s="684"/>
      <c r="B98" s="921"/>
      <c r="C98" s="921"/>
      <c r="D98" s="921"/>
      <c r="E98" s="921" t="s">
        <v>325</v>
      </c>
      <c r="F98" s="689"/>
      <c r="G98" s="684"/>
      <c r="H98" s="932">
        <f>SUM(H94:H96)</f>
        <v>1</v>
      </c>
      <c r="I98" s="684"/>
      <c r="J98" s="684"/>
      <c r="K98" s="684"/>
      <c r="L98" s="928"/>
      <c r="M98" s="928"/>
      <c r="N98" s="928"/>
      <c r="O98" s="928"/>
      <c r="P98" s="684"/>
    </row>
    <row r="99" spans="1:16" ht="14.25">
      <c r="A99" s="684"/>
      <c r="B99" s="941"/>
      <c r="C99" s="941"/>
      <c r="D99" s="941"/>
      <c r="E99" s="941"/>
      <c r="F99" s="689"/>
      <c r="G99" s="690"/>
      <c r="H99" s="690"/>
      <c r="J99" s="684"/>
      <c r="K99" s="684"/>
      <c r="L99" s="684"/>
      <c r="M99" s="684"/>
      <c r="N99" s="684"/>
      <c r="O99" s="684"/>
      <c r="P99" s="684"/>
    </row>
    <row r="100" spans="1:16" ht="24.75" thickBot="1">
      <c r="B100" s="706" t="s">
        <v>40</v>
      </c>
      <c r="C100" s="897" t="s">
        <v>200</v>
      </c>
      <c r="D100" s="941"/>
      <c r="E100" s="941" t="s">
        <v>289</v>
      </c>
      <c r="F100" s="689" t="s">
        <v>342</v>
      </c>
      <c r="G100" s="690" t="s">
        <v>246</v>
      </c>
      <c r="H100" s="929">
        <f>IF(H90=100%,100%,25%)</f>
        <v>0.25</v>
      </c>
      <c r="I100" s="1069" t="s">
        <v>19</v>
      </c>
      <c r="J100" s="684"/>
      <c r="K100" s="684"/>
      <c r="L100" s="684"/>
      <c r="M100" s="684"/>
      <c r="N100" s="684"/>
      <c r="O100" s="684"/>
      <c r="P100" s="684"/>
    </row>
    <row r="101" spans="1:16" ht="14.25">
      <c r="A101" s="684"/>
      <c r="B101" s="941"/>
      <c r="C101" s="941"/>
      <c r="D101" s="941"/>
      <c r="E101" s="941"/>
      <c r="F101" s="689"/>
      <c r="G101" s="690"/>
      <c r="H101" s="690"/>
      <c r="J101" s="684"/>
      <c r="K101" s="684"/>
      <c r="L101" s="684"/>
      <c r="M101" s="684"/>
      <c r="N101" s="684"/>
      <c r="O101" s="684"/>
      <c r="P101" s="684"/>
    </row>
    <row r="102" spans="1:16" ht="27" customHeight="1">
      <c r="A102" s="684"/>
      <c r="B102" s="941"/>
      <c r="C102" s="941"/>
      <c r="D102" s="941"/>
      <c r="E102" s="941" t="s">
        <v>289</v>
      </c>
      <c r="F102" s="689" t="s">
        <v>343</v>
      </c>
      <c r="G102" s="690" t="s">
        <v>246</v>
      </c>
      <c r="H102" s="857">
        <v>0.1</v>
      </c>
      <c r="I102" s="1069" t="s">
        <v>19</v>
      </c>
      <c r="J102" s="684"/>
      <c r="K102" s="684"/>
      <c r="L102" s="684"/>
      <c r="M102" s="684"/>
      <c r="N102" s="684"/>
      <c r="O102" s="684"/>
      <c r="P102" s="684"/>
    </row>
    <row r="104" spans="1:16" thickBot="1">
      <c r="A104" s="684"/>
      <c r="B104" s="706" t="s">
        <v>40</v>
      </c>
      <c r="C104" s="897" t="s">
        <v>200</v>
      </c>
      <c r="D104" s="691"/>
      <c r="E104" s="914" t="str">
        <f>LEFT(E84,LEN(E84)-1)+1&amp;")"</f>
        <v>6)</v>
      </c>
      <c r="F104" s="914" t="s">
        <v>344</v>
      </c>
      <c r="G104" s="914"/>
      <c r="H104" s="914"/>
      <c r="I104" s="916"/>
      <c r="J104" s="684"/>
      <c r="K104" s="684"/>
      <c r="L104" s="684"/>
      <c r="M104" s="684"/>
      <c r="N104" s="684"/>
      <c r="O104" s="684"/>
      <c r="P104" s="684"/>
    </row>
    <row r="105" spans="1:16" ht="5.25" customHeight="1">
      <c r="A105" s="684"/>
      <c r="B105" s="684"/>
      <c r="C105" s="684"/>
      <c r="D105" s="684"/>
      <c r="E105" s="684"/>
      <c r="F105" s="689"/>
      <c r="G105" s="684"/>
      <c r="H105" s="684"/>
      <c r="I105" s="684"/>
      <c r="J105" s="684"/>
      <c r="K105" s="684"/>
      <c r="L105" s="684"/>
      <c r="M105" s="684"/>
      <c r="N105" s="684"/>
      <c r="O105" s="684"/>
      <c r="P105" s="684"/>
    </row>
    <row r="106" spans="1:16" ht="14.25">
      <c r="A106" s="684"/>
      <c r="B106" s="684"/>
      <c r="C106" s="684"/>
      <c r="D106" s="684"/>
      <c r="E106" s="684"/>
      <c r="F106" s="689"/>
      <c r="G106" s="684"/>
      <c r="H106" s="942" t="s">
        <v>345</v>
      </c>
      <c r="I106" s="943" t="str">
        <f>"Breaking down of the time indicated in "&amp;ADDRESS(I107,I108,4)&amp;" equal to "&amp;I62*100&amp;"%"</f>
        <v>Breaking down of the time indicated in I62 equal to 25%</v>
      </c>
      <c r="K106" s="684"/>
      <c r="L106" s="684"/>
      <c r="M106" s="684"/>
      <c r="N106" s="684"/>
      <c r="O106" s="684"/>
      <c r="P106" s="684"/>
    </row>
    <row r="107" spans="1:16" ht="14.25" hidden="1">
      <c r="A107" s="684"/>
      <c r="B107" s="684"/>
      <c r="C107" s="684"/>
      <c r="D107" s="684"/>
      <c r="E107" s="684"/>
      <c r="F107" s="689"/>
      <c r="G107" s="684"/>
      <c r="H107" s="690" t="s">
        <v>203</v>
      </c>
      <c r="I107" s="935">
        <f>ROW(I62)</f>
        <v>62</v>
      </c>
      <c r="K107" s="684"/>
      <c r="L107" s="684"/>
      <c r="M107" s="684"/>
      <c r="N107" s="684"/>
      <c r="O107" s="684"/>
      <c r="P107" s="684"/>
    </row>
    <row r="108" spans="1:16" ht="14.25" hidden="1">
      <c r="A108" s="684"/>
      <c r="B108" s="684"/>
      <c r="C108" s="684"/>
      <c r="D108" s="684"/>
      <c r="E108" s="684"/>
      <c r="F108" s="689"/>
      <c r="G108" s="684"/>
      <c r="H108" s="690" t="s">
        <v>206</v>
      </c>
      <c r="I108" s="935">
        <f>COLUMN(I62)</f>
        <v>9</v>
      </c>
      <c r="K108" s="684"/>
      <c r="L108" s="684"/>
      <c r="M108" s="684"/>
      <c r="N108" s="684"/>
      <c r="O108" s="684"/>
      <c r="P108" s="684"/>
    </row>
    <row r="109" spans="1:16" ht="24">
      <c r="A109" s="684"/>
      <c r="B109" s="913"/>
      <c r="C109" s="913"/>
      <c r="D109" s="913"/>
      <c r="E109" s="913" t="s">
        <v>289</v>
      </c>
      <c r="F109" s="689" t="s">
        <v>346</v>
      </c>
      <c r="G109" s="690" t="s">
        <v>246</v>
      </c>
      <c r="H109" s="929">
        <v>0.35</v>
      </c>
      <c r="I109" s="929">
        <v>0.4</v>
      </c>
      <c r="J109" s="1069" t="s">
        <v>19</v>
      </c>
      <c r="K109" s="684"/>
      <c r="L109" s="684"/>
      <c r="M109" s="684"/>
      <c r="N109" s="684"/>
      <c r="O109" s="684"/>
      <c r="P109" s="684"/>
    </row>
    <row r="110" spans="1:16" ht="19.5">
      <c r="A110" s="684"/>
      <c r="B110" s="913"/>
      <c r="C110" s="913"/>
      <c r="D110" s="913"/>
      <c r="E110" s="913" t="s">
        <v>289</v>
      </c>
      <c r="F110" s="689" t="s">
        <v>347</v>
      </c>
      <c r="G110" s="690" t="s">
        <v>246</v>
      </c>
      <c r="H110" s="929">
        <v>0.25</v>
      </c>
      <c r="I110" s="929">
        <v>0.35</v>
      </c>
      <c r="J110" s="1069" t="s">
        <v>19</v>
      </c>
      <c r="K110" s="684"/>
      <c r="L110" s="684"/>
      <c r="M110" s="684"/>
      <c r="N110" s="684"/>
      <c r="O110" s="684"/>
      <c r="P110" s="684"/>
    </row>
    <row r="111" spans="1:16" ht="19.5">
      <c r="A111" s="684"/>
      <c r="B111" s="913"/>
      <c r="C111" s="913"/>
      <c r="D111" s="913"/>
      <c r="E111" s="913" t="s">
        <v>289</v>
      </c>
      <c r="F111" s="689" t="s">
        <v>348</v>
      </c>
      <c r="G111" s="690" t="s">
        <v>246</v>
      </c>
      <c r="H111" s="929">
        <v>0.2</v>
      </c>
      <c r="I111" s="929">
        <v>0.11</v>
      </c>
      <c r="J111" s="1069" t="s">
        <v>19</v>
      </c>
      <c r="K111" s="684"/>
      <c r="L111" s="684"/>
      <c r="M111" s="684"/>
      <c r="N111" s="684"/>
      <c r="O111" s="684"/>
      <c r="P111" s="684"/>
    </row>
    <row r="112" spans="1:16" ht="19.5">
      <c r="A112" s="684"/>
      <c r="B112" s="913"/>
      <c r="C112" s="913"/>
      <c r="D112" s="913"/>
      <c r="E112" s="913" t="s">
        <v>289</v>
      </c>
      <c r="F112" s="689" t="s">
        <v>349</v>
      </c>
      <c r="G112" s="690" t="s">
        <v>246</v>
      </c>
      <c r="H112" s="929">
        <v>0.1</v>
      </c>
      <c r="I112" s="929">
        <v>0.05</v>
      </c>
      <c r="J112" s="1069" t="s">
        <v>19</v>
      </c>
      <c r="K112" s="684"/>
      <c r="L112" s="684"/>
      <c r="M112" s="684"/>
      <c r="N112" s="684"/>
      <c r="O112" s="684"/>
      <c r="P112" s="684"/>
    </row>
    <row r="113" spans="1:16" ht="19.5">
      <c r="A113" s="684"/>
      <c r="B113" s="913"/>
      <c r="C113" s="913"/>
      <c r="D113" s="913"/>
      <c r="E113" s="913" t="s">
        <v>289</v>
      </c>
      <c r="F113" s="689" t="s">
        <v>350</v>
      </c>
      <c r="G113" s="690" t="s">
        <v>246</v>
      </c>
      <c r="H113" s="929">
        <v>0.05</v>
      </c>
      <c r="I113" s="929">
        <v>0.03</v>
      </c>
      <c r="J113" s="1069" t="s">
        <v>19</v>
      </c>
      <c r="K113" s="684"/>
      <c r="L113" s="684"/>
      <c r="M113" s="684"/>
      <c r="N113" s="684"/>
      <c r="O113" s="684"/>
      <c r="P113" s="684"/>
    </row>
    <row r="114" spans="1:16" ht="19.5">
      <c r="A114" s="684"/>
      <c r="B114" s="913"/>
      <c r="C114" s="913"/>
      <c r="D114" s="913"/>
      <c r="E114" s="913" t="s">
        <v>289</v>
      </c>
      <c r="F114" s="689" t="s">
        <v>193</v>
      </c>
      <c r="G114" s="690" t="s">
        <v>246</v>
      </c>
      <c r="H114" s="929">
        <v>0.05</v>
      </c>
      <c r="I114" s="929">
        <v>0.06</v>
      </c>
      <c r="J114" s="1069" t="s">
        <v>19</v>
      </c>
      <c r="K114" s="684"/>
      <c r="L114" s="684"/>
      <c r="M114" s="684"/>
      <c r="N114" s="684"/>
      <c r="O114" s="684"/>
      <c r="P114" s="684"/>
    </row>
    <row r="115" spans="1:16" ht="5.25" customHeight="1">
      <c r="A115" s="684"/>
      <c r="B115" s="684"/>
      <c r="C115" s="684"/>
      <c r="D115" s="684"/>
      <c r="E115" s="684"/>
      <c r="F115" s="689"/>
      <c r="G115" s="684"/>
      <c r="H115" s="931"/>
      <c r="I115" s="684"/>
      <c r="K115" s="684"/>
      <c r="L115" s="684"/>
      <c r="M115" s="684"/>
      <c r="N115" s="684"/>
      <c r="O115" s="684"/>
      <c r="P115" s="684"/>
    </row>
    <row r="116" spans="1:16" ht="14.25">
      <c r="A116" s="684"/>
      <c r="B116" s="921"/>
      <c r="C116" s="921"/>
      <c r="D116" s="921"/>
      <c r="E116" s="921" t="s">
        <v>325</v>
      </c>
      <c r="F116" s="689"/>
      <c r="G116" s="684"/>
      <c r="H116" s="932">
        <f t="shared" ref="H116:I116" si="10">SUM(H109:H114)</f>
        <v>1</v>
      </c>
      <c r="I116" s="932">
        <f t="shared" si="10"/>
        <v>1</v>
      </c>
      <c r="K116" s="684"/>
      <c r="L116" s="684"/>
      <c r="M116" s="684"/>
      <c r="N116" s="684"/>
      <c r="O116" s="684"/>
      <c r="P116" s="684"/>
    </row>
    <row r="117" spans="1:16" ht="5.25" customHeight="1">
      <c r="A117" s="684"/>
      <c r="B117" s="691"/>
      <c r="C117" s="691"/>
      <c r="D117" s="691"/>
      <c r="E117" s="691"/>
      <c r="F117" s="926"/>
      <c r="G117" s="691"/>
      <c r="H117" s="691"/>
      <c r="I117" s="684"/>
      <c r="J117" s="684"/>
      <c r="K117" s="684"/>
      <c r="L117" s="684"/>
      <c r="M117" s="684"/>
      <c r="N117" s="684"/>
      <c r="O117" s="684"/>
      <c r="P117" s="684"/>
    </row>
    <row r="118" spans="1:16" ht="14.25">
      <c r="A118" s="684"/>
      <c r="B118" s="691"/>
      <c r="E118" s="691"/>
      <c r="F118" s="926"/>
      <c r="G118" s="691"/>
      <c r="H118" s="691"/>
      <c r="I118" s="691"/>
      <c r="J118" s="691"/>
      <c r="K118" s="691"/>
      <c r="L118" s="691"/>
      <c r="M118" s="684"/>
      <c r="N118" s="684"/>
      <c r="O118" s="684"/>
      <c r="P118" s="684"/>
    </row>
    <row r="119" spans="1:16" thickBot="1">
      <c r="A119" s="684"/>
      <c r="B119" s="706" t="s">
        <v>40</v>
      </c>
      <c r="C119" s="897" t="s">
        <v>200</v>
      </c>
      <c r="E119" s="914" t="str">
        <f>LEFT(E104,LEN(E104)-1)+1&amp;")"</f>
        <v>7)</v>
      </c>
      <c r="F119" s="914" t="s">
        <v>351</v>
      </c>
      <c r="G119" s="914"/>
      <c r="H119" s="914"/>
      <c r="I119" s="914"/>
      <c r="J119" s="914"/>
      <c r="K119" s="914"/>
      <c r="L119" s="914"/>
      <c r="M119" s="684"/>
      <c r="N119" s="684"/>
      <c r="O119" s="684"/>
      <c r="P119" s="684"/>
    </row>
    <row r="120" spans="1:16" ht="5.25" customHeight="1">
      <c r="A120" s="684"/>
      <c r="B120" s="684"/>
      <c r="C120" s="684"/>
      <c r="D120" s="684"/>
      <c r="E120" s="684"/>
      <c r="F120" s="689"/>
      <c r="G120" s="684"/>
      <c r="H120" s="684"/>
      <c r="I120" s="684"/>
      <c r="J120" s="684"/>
      <c r="K120" s="684"/>
      <c r="L120" s="684"/>
      <c r="M120" s="684"/>
      <c r="N120" s="684"/>
      <c r="O120" s="684"/>
      <c r="P120" s="684"/>
    </row>
    <row r="121" spans="1:16" ht="14.25">
      <c r="A121" s="684"/>
      <c r="B121" s="913"/>
      <c r="C121" s="913"/>
      <c r="D121" s="913"/>
      <c r="E121" s="913"/>
      <c r="F121" s="689"/>
      <c r="G121" s="689"/>
      <c r="H121" s="942" t="s">
        <v>345</v>
      </c>
      <c r="I121" s="943" t="str">
        <f>"Breaking down of the time indicated in "&amp;ADDRESS(I122,I123,4)&amp;" equal to "&amp;I61*100&amp;"%"</f>
        <v>Breaking down of the time indicated in I61 equal to 10%</v>
      </c>
      <c r="J121" s="684"/>
      <c r="K121" s="684"/>
      <c r="L121" s="684"/>
      <c r="M121" s="684"/>
      <c r="N121" s="684"/>
      <c r="O121" s="684"/>
      <c r="P121" s="684"/>
    </row>
    <row r="122" spans="1:16" ht="14.25" hidden="1">
      <c r="A122" s="684"/>
      <c r="B122" s="913"/>
      <c r="C122" s="913"/>
      <c r="D122" s="913"/>
      <c r="E122" s="913"/>
      <c r="F122" s="689"/>
      <c r="G122" s="937" t="s">
        <v>203</v>
      </c>
      <c r="H122" s="690" t="s">
        <v>203</v>
      </c>
      <c r="I122" s="945">
        <f>ROW(I61)</f>
        <v>61</v>
      </c>
      <c r="J122" s="684"/>
      <c r="K122" s="684"/>
      <c r="L122" s="684"/>
      <c r="M122" s="684"/>
      <c r="N122" s="684"/>
      <c r="O122" s="684"/>
      <c r="P122" s="684"/>
    </row>
    <row r="123" spans="1:16" ht="14.25" hidden="1">
      <c r="A123" s="684"/>
      <c r="B123" s="913"/>
      <c r="C123" s="913"/>
      <c r="D123" s="913"/>
      <c r="E123" s="913"/>
      <c r="F123" s="689"/>
      <c r="G123" s="937" t="s">
        <v>206</v>
      </c>
      <c r="H123" s="690" t="s">
        <v>206</v>
      </c>
      <c r="I123" s="945">
        <f>COLUMN(I61)</f>
        <v>9</v>
      </c>
      <c r="J123" s="684"/>
      <c r="K123" s="684"/>
      <c r="L123" s="684"/>
      <c r="M123" s="684"/>
      <c r="N123" s="684"/>
      <c r="O123" s="684"/>
      <c r="P123" s="684"/>
    </row>
    <row r="124" spans="1:16" ht="19.5">
      <c r="A124" s="684"/>
      <c r="B124" s="913"/>
      <c r="C124" s="913"/>
      <c r="D124" s="913"/>
      <c r="E124" s="913" t="s">
        <v>289</v>
      </c>
      <c r="F124" s="689" t="s">
        <v>352</v>
      </c>
      <c r="G124" s="690" t="s">
        <v>246</v>
      </c>
      <c r="H124" s="929">
        <v>0.7</v>
      </c>
      <c r="I124" s="929">
        <v>0.2</v>
      </c>
      <c r="J124" s="1069" t="s">
        <v>19</v>
      </c>
      <c r="K124" s="684"/>
      <c r="L124" s="684"/>
      <c r="M124" s="684"/>
      <c r="N124" s="684"/>
      <c r="O124" s="684"/>
      <c r="P124" s="684"/>
    </row>
    <row r="125" spans="1:16" ht="19.5">
      <c r="A125" s="684"/>
      <c r="B125" s="913"/>
      <c r="C125" s="913"/>
      <c r="D125" s="913"/>
      <c r="E125" s="913" t="s">
        <v>289</v>
      </c>
      <c r="F125" s="689" t="s">
        <v>353</v>
      </c>
      <c r="G125" s="690" t="s">
        <v>246</v>
      </c>
      <c r="H125" s="929">
        <v>0.2</v>
      </c>
      <c r="I125" s="929">
        <v>0.15</v>
      </c>
      <c r="J125" s="1069" t="s">
        <v>19</v>
      </c>
      <c r="K125" s="684"/>
      <c r="L125" s="684"/>
      <c r="M125" s="684"/>
      <c r="N125" s="684"/>
      <c r="O125" s="684"/>
      <c r="P125" s="684"/>
    </row>
    <row r="126" spans="1:16" ht="19.5">
      <c r="A126" s="684"/>
      <c r="B126" s="913"/>
      <c r="D126" s="913"/>
      <c r="E126" s="913" t="s">
        <v>289</v>
      </c>
      <c r="F126" s="689" t="s">
        <v>354</v>
      </c>
      <c r="G126" s="690" t="s">
        <v>246</v>
      </c>
      <c r="H126" s="929">
        <v>0.1</v>
      </c>
      <c r="I126" s="929">
        <v>0.02</v>
      </c>
      <c r="J126" s="1069" t="s">
        <v>19</v>
      </c>
      <c r="K126" s="684"/>
      <c r="L126" s="684"/>
      <c r="M126" s="684"/>
      <c r="N126" s="684"/>
      <c r="O126" s="684"/>
      <c r="P126" s="684"/>
    </row>
    <row r="127" spans="1:16" ht="14.25">
      <c r="A127" s="684"/>
      <c r="E127" s="691"/>
      <c r="I127" s="684"/>
      <c r="J127" s="684"/>
      <c r="K127" s="684"/>
      <c r="L127" s="684"/>
      <c r="M127" s="684"/>
      <c r="N127" s="684"/>
      <c r="O127" s="684"/>
      <c r="P127" s="684"/>
    </row>
    <row r="128" spans="1:16" ht="14.25">
      <c r="A128" s="684"/>
      <c r="E128" s="691"/>
      <c r="H128" s="932">
        <f>SUM(H124:H126)</f>
        <v>0.99999999999999989</v>
      </c>
      <c r="I128" s="684"/>
      <c r="J128" s="684"/>
      <c r="K128" s="684"/>
      <c r="L128" s="684"/>
      <c r="M128" s="684"/>
      <c r="N128" s="684"/>
      <c r="O128" s="684"/>
      <c r="P128" s="684"/>
    </row>
    <row r="129" spans="1:16" ht="14.25">
      <c r="A129" s="684"/>
      <c r="E129" s="914" t="str">
        <f>LEFT($E119,LEN($E119)-1)+1&amp;")"</f>
        <v>8)</v>
      </c>
      <c r="F129" s="915" t="s">
        <v>355</v>
      </c>
      <c r="G129" s="914"/>
      <c r="H129" s="914"/>
      <c r="I129" s="914"/>
      <c r="J129" s="914"/>
      <c r="K129" s="914"/>
      <c r="L129" s="914"/>
      <c r="M129" s="684"/>
      <c r="N129" s="684"/>
      <c r="O129" s="684"/>
      <c r="P129" s="684"/>
    </row>
    <row r="130" spans="1:16" ht="5.25" customHeight="1">
      <c r="B130" s="913"/>
      <c r="C130" s="913"/>
      <c r="D130" s="913"/>
      <c r="E130" s="913"/>
      <c r="F130" s="689"/>
      <c r="G130" s="690"/>
      <c r="H130" s="919"/>
      <c r="I130" s="664"/>
      <c r="J130" s="664"/>
      <c r="K130" s="664"/>
      <c r="L130" s="664"/>
      <c r="M130" s="664"/>
      <c r="N130" s="664"/>
      <c r="O130" s="664"/>
    </row>
    <row r="131" spans="1:16" ht="24">
      <c r="B131" s="913"/>
      <c r="C131" s="913"/>
      <c r="D131" s="913"/>
      <c r="E131" s="913" t="s">
        <v>289</v>
      </c>
      <c r="F131" s="689" t="s">
        <v>356</v>
      </c>
      <c r="G131" s="690" t="s">
        <v>291</v>
      </c>
      <c r="H131" s="920">
        <v>45000</v>
      </c>
      <c r="I131" s="1069" t="s">
        <v>19</v>
      </c>
      <c r="J131" s="664"/>
      <c r="K131" s="664"/>
      <c r="L131" s="664"/>
      <c r="M131" s="664"/>
      <c r="N131" s="664"/>
      <c r="O131" s="664"/>
    </row>
    <row r="132" spans="1:16" ht="19.5">
      <c r="A132" s="684"/>
      <c r="B132" s="913"/>
      <c r="C132" s="941"/>
      <c r="D132" s="941"/>
      <c r="E132" s="941" t="s">
        <v>289</v>
      </c>
      <c r="F132" s="689" t="s">
        <v>357</v>
      </c>
      <c r="G132" s="690" t="s">
        <v>246</v>
      </c>
      <c r="H132" s="929">
        <v>0.2</v>
      </c>
      <c r="I132" s="1069" t="s">
        <v>19</v>
      </c>
      <c r="J132" s="684"/>
      <c r="K132" s="684"/>
      <c r="L132" s="684"/>
      <c r="M132" s="684"/>
      <c r="N132" s="684"/>
      <c r="O132" s="684"/>
      <c r="P132" s="684"/>
    </row>
    <row r="133" spans="1:16" ht="14.25">
      <c r="A133" s="684"/>
      <c r="B133" s="684"/>
      <c r="C133" s="684"/>
      <c r="D133" s="684"/>
      <c r="E133" s="684"/>
      <c r="F133" s="689"/>
      <c r="G133" s="684"/>
      <c r="H133" s="684"/>
      <c r="I133" s="684"/>
      <c r="J133" s="684"/>
      <c r="K133" s="684"/>
      <c r="L133" s="684"/>
      <c r="M133" s="684"/>
      <c r="N133" s="684"/>
      <c r="O133" s="684"/>
      <c r="P133" s="684"/>
    </row>
    <row r="134" spans="1:16" ht="14.25">
      <c r="A134" s="684"/>
      <c r="B134" s="691"/>
      <c r="E134" s="914" t="str">
        <f>LEFT($E129,LEN($E129)-1)+1&amp;")"</f>
        <v>9)</v>
      </c>
      <c r="F134" s="915" t="s">
        <v>358</v>
      </c>
      <c r="G134" s="914"/>
      <c r="H134" s="914"/>
      <c r="I134" s="914"/>
      <c r="J134" s="914"/>
      <c r="K134" s="914"/>
      <c r="L134" s="914"/>
      <c r="M134" s="684"/>
      <c r="N134" s="684"/>
      <c r="O134" s="684"/>
      <c r="P134" s="684"/>
    </row>
    <row r="135" spans="1:16" ht="5.25" customHeight="1">
      <c r="A135" s="684"/>
      <c r="B135" s="941"/>
      <c r="C135" s="941"/>
      <c r="D135" s="941"/>
      <c r="E135" s="941"/>
      <c r="F135" s="689"/>
      <c r="G135" s="690"/>
      <c r="H135" s="946"/>
      <c r="I135" s="684"/>
      <c r="J135" s="684"/>
      <c r="K135" s="684"/>
      <c r="L135" s="684"/>
      <c r="M135" s="684"/>
      <c r="N135" s="684"/>
      <c r="O135" s="684"/>
      <c r="P135" s="684"/>
    </row>
    <row r="136" spans="1:16" ht="19.5">
      <c r="A136" s="684"/>
      <c r="B136" s="706" t="s">
        <v>40</v>
      </c>
      <c r="C136" s="941"/>
      <c r="D136" s="941"/>
      <c r="E136" s="941" t="s">
        <v>289</v>
      </c>
      <c r="F136" s="689" t="s">
        <v>359</v>
      </c>
      <c r="G136" s="690" t="s">
        <v>201</v>
      </c>
      <c r="H136" s="853">
        <v>5</v>
      </c>
      <c r="I136" s="1069" t="s">
        <v>19</v>
      </c>
      <c r="J136" s="684"/>
      <c r="K136" s="684"/>
      <c r="L136" s="684"/>
      <c r="M136" s="684"/>
      <c r="N136" s="684"/>
      <c r="O136" s="684"/>
      <c r="P136" s="684"/>
    </row>
    <row r="137" spans="1:16" ht="5.25" customHeight="1">
      <c r="A137" s="684"/>
      <c r="B137" s="664"/>
      <c r="C137" s="664"/>
      <c r="D137" s="664"/>
      <c r="E137" s="664"/>
      <c r="F137" s="689"/>
      <c r="G137" s="690"/>
      <c r="H137" s="947"/>
      <c r="I137" s="947"/>
      <c r="J137" s="947"/>
      <c r="K137" s="947"/>
      <c r="L137" s="947"/>
      <c r="M137" s="664"/>
      <c r="N137" s="1081"/>
      <c r="O137" s="664"/>
      <c r="P137" s="684"/>
    </row>
    <row r="138" spans="1:16" ht="14.25">
      <c r="A138" s="684"/>
      <c r="F138" s="689"/>
      <c r="G138" s="690" t="s">
        <v>181</v>
      </c>
      <c r="H138" s="942">
        <v>2017</v>
      </c>
      <c r="I138" s="942">
        <v>2018</v>
      </c>
      <c r="J138" s="942">
        <v>2019</v>
      </c>
      <c r="K138" s="942">
        <v>2020</v>
      </c>
      <c r="L138" s="942">
        <v>2021</v>
      </c>
      <c r="M138" s="935"/>
      <c r="N138" s="1081"/>
      <c r="O138" s="935"/>
      <c r="P138" s="684"/>
    </row>
    <row r="139" spans="1:16" ht="26.25" customHeight="1">
      <c r="A139" s="684"/>
      <c r="B139" s="706" t="s">
        <v>40</v>
      </c>
      <c r="C139" s="1079"/>
      <c r="D139" s="941"/>
      <c r="E139" s="941" t="s">
        <v>289</v>
      </c>
      <c r="F139" s="689" t="s">
        <v>1121</v>
      </c>
      <c r="G139" s="690" t="s">
        <v>361</v>
      </c>
      <c r="H139" s="810">
        <v>8</v>
      </c>
      <c r="I139" s="810">
        <v>10</v>
      </c>
      <c r="J139" s="810">
        <v>12</v>
      </c>
      <c r="K139" s="810">
        <v>15</v>
      </c>
      <c r="L139" s="810">
        <v>20</v>
      </c>
      <c r="M139" s="1069" t="s">
        <v>19</v>
      </c>
      <c r="N139" s="1081"/>
      <c r="O139" s="664"/>
      <c r="P139" s="684"/>
    </row>
    <row r="140" spans="1:16" ht="33" customHeight="1">
      <c r="B140" s="948"/>
      <c r="C140" s="948"/>
      <c r="D140" s="948"/>
      <c r="E140" s="948" t="s">
        <v>289</v>
      </c>
      <c r="F140" s="689" t="s">
        <v>1106</v>
      </c>
      <c r="G140" s="690" t="s">
        <v>291</v>
      </c>
      <c r="H140" s="920">
        <v>140</v>
      </c>
      <c r="I140" s="920">
        <v>135</v>
      </c>
      <c r="J140" s="920">
        <v>130</v>
      </c>
      <c r="K140" s="920">
        <v>125</v>
      </c>
      <c r="L140" s="920">
        <v>120</v>
      </c>
      <c r="M140" s="1069" t="s">
        <v>19</v>
      </c>
      <c r="N140" s="1081"/>
    </row>
    <row r="142" spans="1:16" ht="36">
      <c r="A142" s="684"/>
      <c r="B142" s="706" t="s">
        <v>40</v>
      </c>
      <c r="C142" s="941"/>
      <c r="D142" s="941"/>
      <c r="E142" s="941" t="s">
        <v>289</v>
      </c>
      <c r="F142" s="689" t="s">
        <v>363</v>
      </c>
      <c r="G142" s="690" t="s">
        <v>246</v>
      </c>
      <c r="H142" s="929">
        <v>0.2</v>
      </c>
      <c r="I142" s="1069" t="s">
        <v>19</v>
      </c>
      <c r="J142" s="684"/>
      <c r="K142" s="684"/>
      <c r="L142" s="684"/>
      <c r="M142" s="684"/>
      <c r="N142" s="684"/>
      <c r="O142" s="684"/>
      <c r="P142" s="684"/>
    </row>
    <row r="143" spans="1:16" ht="5.25" customHeight="1">
      <c r="A143" s="684"/>
      <c r="B143" s="684"/>
      <c r="C143" s="684"/>
      <c r="D143" s="684"/>
      <c r="E143" s="684"/>
      <c r="F143" s="689"/>
      <c r="G143" s="684"/>
      <c r="H143" s="684"/>
      <c r="I143" s="684"/>
      <c r="J143" s="684"/>
      <c r="K143" s="684"/>
      <c r="L143" s="684"/>
      <c r="M143" s="684"/>
      <c r="N143" s="684"/>
      <c r="O143" s="684"/>
      <c r="P143" s="684"/>
    </row>
    <row r="144" spans="1:16" ht="19.5">
      <c r="A144" s="684"/>
      <c r="B144" s="921"/>
      <c r="C144" s="921"/>
      <c r="D144" s="921"/>
      <c r="E144" s="921" t="s">
        <v>289</v>
      </c>
      <c r="F144" s="689" t="s">
        <v>364</v>
      </c>
      <c r="G144" s="690" t="s">
        <v>201</v>
      </c>
      <c r="H144" s="810">
        <v>6</v>
      </c>
      <c r="I144" s="1069" t="s">
        <v>19</v>
      </c>
      <c r="J144" s="832"/>
      <c r="K144" s="832"/>
      <c r="L144" s="684"/>
      <c r="M144" s="684"/>
      <c r="N144" s="684"/>
      <c r="O144" s="684"/>
      <c r="P144" s="684"/>
    </row>
    <row r="145" spans="1:16" ht="22.5">
      <c r="A145" s="684"/>
      <c r="B145" s="691"/>
      <c r="C145" s="691"/>
      <c r="D145" s="691"/>
      <c r="E145" s="691"/>
      <c r="F145" s="950" t="s">
        <v>365</v>
      </c>
      <c r="G145" s="690"/>
      <c r="H145" s="813"/>
      <c r="I145" s="949"/>
      <c r="J145" s="832"/>
      <c r="K145" s="832"/>
      <c r="L145" s="684"/>
      <c r="M145" s="684"/>
      <c r="N145" s="684"/>
      <c r="O145" s="684"/>
      <c r="P145" s="684"/>
    </row>
    <row r="146" spans="1:16" ht="24">
      <c r="A146" s="684"/>
      <c r="B146" s="921"/>
      <c r="C146" s="921"/>
      <c r="D146" s="921"/>
      <c r="E146" s="921" t="s">
        <v>289</v>
      </c>
      <c r="F146" s="689" t="s">
        <v>367</v>
      </c>
      <c r="G146" s="690" t="s">
        <v>201</v>
      </c>
      <c r="H146" s="810">
        <v>2</v>
      </c>
      <c r="I146" s="1069" t="s">
        <v>19</v>
      </c>
      <c r="J146" s="832"/>
      <c r="K146" s="832"/>
      <c r="L146" s="684"/>
      <c r="M146" s="684"/>
      <c r="N146" s="684"/>
      <c r="O146" s="684"/>
      <c r="P146" s="684"/>
    </row>
    <row r="147" spans="1:16" ht="14.25">
      <c r="A147" s="684"/>
      <c r="B147" s="664"/>
      <c r="C147" s="664"/>
      <c r="D147" s="664"/>
      <c r="E147" s="664"/>
      <c r="F147" s="950" t="s">
        <v>368</v>
      </c>
      <c r="G147" s="690"/>
      <c r="H147" s="813"/>
      <c r="I147" s="949"/>
      <c r="J147" s="832"/>
      <c r="K147" s="832"/>
      <c r="L147" s="684"/>
      <c r="M147" s="684"/>
      <c r="N147" s="684"/>
      <c r="O147" s="684"/>
      <c r="P147" s="684"/>
    </row>
    <row r="148" spans="1:16" ht="19.5">
      <c r="A148" s="684"/>
      <c r="B148" s="921"/>
      <c r="C148" s="921"/>
      <c r="D148" s="921"/>
      <c r="E148" s="921" t="s">
        <v>289</v>
      </c>
      <c r="F148" s="689" t="s">
        <v>1122</v>
      </c>
      <c r="G148" s="690" t="s">
        <v>208</v>
      </c>
      <c r="H148" s="810">
        <v>5</v>
      </c>
      <c r="I148" s="1069" t="s">
        <v>19</v>
      </c>
      <c r="J148" s="832"/>
      <c r="K148" s="832"/>
      <c r="L148" s="684"/>
      <c r="M148" s="684"/>
      <c r="N148" s="684"/>
      <c r="O148" s="684"/>
      <c r="P148" s="684"/>
    </row>
    <row r="149" spans="1:16" ht="24">
      <c r="A149" s="684"/>
      <c r="B149" s="684"/>
      <c r="C149" s="684"/>
      <c r="D149" s="684"/>
      <c r="E149" s="921" t="s">
        <v>289</v>
      </c>
      <c r="F149" s="689" t="s">
        <v>369</v>
      </c>
      <c r="G149" s="690" t="s">
        <v>208</v>
      </c>
      <c r="H149" s="810">
        <v>20</v>
      </c>
      <c r="I149" s="684"/>
      <c r="J149" s="684"/>
      <c r="K149" s="684"/>
      <c r="L149" s="684"/>
      <c r="M149" s="684"/>
      <c r="N149" s="684"/>
      <c r="O149" s="684"/>
      <c r="P149" s="684"/>
    </row>
    <row r="150" spans="1:16" ht="14.25">
      <c r="A150" s="684"/>
      <c r="B150" s="684"/>
      <c r="C150" s="684"/>
      <c r="D150" s="684"/>
      <c r="E150" s="684"/>
      <c r="F150" s="689"/>
      <c r="G150" s="684"/>
      <c r="H150" s="684"/>
      <c r="I150" s="684"/>
      <c r="J150" s="684"/>
      <c r="K150" s="684"/>
      <c r="L150" s="684"/>
      <c r="M150" s="684"/>
      <c r="N150" s="684"/>
      <c r="O150" s="684"/>
      <c r="P150" s="684"/>
    </row>
    <row r="151" spans="1:16" ht="14.25">
      <c r="A151" s="908" t="s">
        <v>195</v>
      </c>
      <c r="C151" s="698"/>
      <c r="D151" s="698"/>
      <c r="E151" s="922" t="str">
        <f>F30</f>
        <v>Pre-processing and data cleansing</v>
      </c>
      <c r="F151" s="923"/>
      <c r="G151" s="924"/>
      <c r="H151" s="924"/>
      <c r="I151" s="924"/>
      <c r="J151" s="924"/>
      <c r="K151" s="924"/>
      <c r="L151" s="912"/>
      <c r="M151" s="912"/>
      <c r="N151" s="912"/>
      <c r="O151" s="912"/>
      <c r="P151" s="684"/>
    </row>
    <row r="152" spans="1:16" ht="5.25" customHeight="1">
      <c r="A152" s="684"/>
      <c r="B152" s="684"/>
      <c r="C152" s="684"/>
      <c r="D152" s="684"/>
      <c r="E152" s="684"/>
      <c r="F152" s="689"/>
      <c r="G152" s="684"/>
      <c r="H152" s="690"/>
      <c r="I152" s="690"/>
      <c r="J152" s="690"/>
      <c r="K152" s="690"/>
      <c r="L152" s="684"/>
      <c r="M152" s="684"/>
      <c r="N152" s="684"/>
      <c r="O152" s="684"/>
      <c r="P152" s="684"/>
    </row>
    <row r="153" spans="1:16" thickBot="1">
      <c r="A153" s="684"/>
      <c r="B153" s="691"/>
      <c r="C153" s="691"/>
      <c r="D153" s="691"/>
      <c r="E153" s="914" t="str">
        <f>LEFT($E134,LEN($E134)-1)+1&amp;")"</f>
        <v>10)</v>
      </c>
      <c r="F153" s="914" t="s">
        <v>371</v>
      </c>
      <c r="G153" s="914"/>
      <c r="H153" s="914"/>
      <c r="I153" s="951"/>
      <c r="J153" s="690"/>
      <c r="K153" s="690"/>
      <c r="L153" s="684"/>
      <c r="M153" s="684"/>
      <c r="N153" s="684"/>
      <c r="O153" s="684"/>
      <c r="P153" s="684"/>
    </row>
    <row r="154" spans="1:16" ht="5.25" customHeight="1" thickTop="1">
      <c r="A154" s="684"/>
      <c r="B154" s="684"/>
      <c r="C154" s="684"/>
      <c r="D154" s="684"/>
      <c r="E154" s="684"/>
      <c r="F154" s="689"/>
      <c r="G154" s="684"/>
      <c r="H154" s="690"/>
      <c r="I154" s="690"/>
      <c r="J154" s="690"/>
      <c r="K154" s="690"/>
      <c r="L154" s="684"/>
      <c r="M154" s="684"/>
      <c r="N154" s="684"/>
      <c r="O154" s="684"/>
      <c r="P154" s="684"/>
    </row>
    <row r="155" spans="1:16" ht="19.5">
      <c r="A155" s="684"/>
      <c r="B155" s="921"/>
      <c r="C155" s="921"/>
      <c r="D155" s="921"/>
      <c r="E155" s="921" t="s">
        <v>373</v>
      </c>
      <c r="F155" s="689" t="s">
        <v>374</v>
      </c>
      <c r="G155" s="690" t="s">
        <v>246</v>
      </c>
      <c r="H155" s="929">
        <v>0.4</v>
      </c>
      <c r="I155" s="1069" t="s">
        <v>19</v>
      </c>
      <c r="J155" s="690"/>
      <c r="K155" s="690"/>
      <c r="L155" s="684"/>
      <c r="M155" s="684"/>
      <c r="N155" s="684"/>
      <c r="O155" s="684"/>
      <c r="P155" s="684"/>
    </row>
    <row r="156" spans="1:16" ht="19.5">
      <c r="A156" s="684"/>
      <c r="B156" s="706" t="s">
        <v>40</v>
      </c>
      <c r="C156" s="921"/>
      <c r="D156" s="921"/>
      <c r="E156" s="921" t="s">
        <v>375</v>
      </c>
      <c r="F156" s="689" t="s">
        <v>376</v>
      </c>
      <c r="G156" s="690" t="s">
        <v>246</v>
      </c>
      <c r="H156" s="929">
        <v>0.2</v>
      </c>
      <c r="I156" s="1069" t="s">
        <v>19</v>
      </c>
      <c r="J156" s="690"/>
      <c r="K156" s="690"/>
      <c r="L156" s="684"/>
      <c r="M156" s="684"/>
      <c r="N156" s="684"/>
      <c r="O156" s="684"/>
      <c r="P156" s="684"/>
    </row>
    <row r="157" spans="1:16" ht="19.5">
      <c r="A157" s="684"/>
      <c r="C157" s="897" t="s">
        <v>200</v>
      </c>
      <c r="D157" s="921"/>
      <c r="E157" s="921" t="s">
        <v>377</v>
      </c>
      <c r="F157" s="689" t="s">
        <v>378</v>
      </c>
      <c r="G157" s="690" t="s">
        <v>246</v>
      </c>
      <c r="H157" s="929">
        <v>0.2</v>
      </c>
      <c r="I157" s="1069" t="s">
        <v>19</v>
      </c>
      <c r="J157" s="690"/>
      <c r="K157" s="690"/>
      <c r="L157" s="684"/>
      <c r="M157" s="684"/>
      <c r="N157" s="684"/>
      <c r="O157" s="684"/>
      <c r="P157" s="684"/>
    </row>
    <row r="158" spans="1:16" ht="19.5">
      <c r="A158" s="684"/>
      <c r="B158" s="921"/>
      <c r="C158" s="921"/>
      <c r="D158" s="921"/>
      <c r="E158" s="921" t="s">
        <v>379</v>
      </c>
      <c r="F158" s="689" t="s">
        <v>380</v>
      </c>
      <c r="G158" s="690" t="s">
        <v>246</v>
      </c>
      <c r="H158" s="929">
        <v>0.2</v>
      </c>
      <c r="I158" s="1069" t="s">
        <v>19</v>
      </c>
      <c r="J158" s="690"/>
      <c r="K158" s="690"/>
      <c r="L158" s="684"/>
      <c r="M158" s="684"/>
      <c r="N158" s="684"/>
      <c r="O158" s="684"/>
      <c r="P158" s="684"/>
    </row>
    <row r="159" spans="1:16" ht="5.25" customHeight="1">
      <c r="A159" s="684"/>
      <c r="B159" s="684"/>
      <c r="C159" s="684"/>
      <c r="D159" s="684"/>
      <c r="E159" s="684"/>
      <c r="F159" s="689"/>
      <c r="G159" s="684"/>
      <c r="H159" s="931"/>
      <c r="I159" s="690"/>
      <c r="J159" s="690"/>
      <c r="K159" s="690"/>
      <c r="L159" s="684"/>
      <c r="M159" s="684"/>
      <c r="N159" s="684"/>
      <c r="O159" s="684"/>
      <c r="P159" s="684"/>
    </row>
    <row r="160" spans="1:16" ht="14.25">
      <c r="A160" s="684"/>
      <c r="B160" s="921"/>
      <c r="C160" s="921"/>
      <c r="D160" s="921"/>
      <c r="E160" s="921" t="s">
        <v>325</v>
      </c>
      <c r="F160" s="689"/>
      <c r="G160" s="684"/>
      <c r="H160" s="932">
        <f>SUM(H155:H158)</f>
        <v>1</v>
      </c>
      <c r="I160" s="690"/>
      <c r="J160" s="690"/>
      <c r="K160" s="690"/>
      <c r="L160" s="684"/>
      <c r="M160" s="684"/>
      <c r="N160" s="684"/>
      <c r="O160" s="684"/>
      <c r="P160" s="684"/>
    </row>
    <row r="161" spans="1:16" ht="14.25">
      <c r="A161" s="684"/>
      <c r="B161" s="691"/>
      <c r="C161" s="691"/>
      <c r="D161" s="691"/>
      <c r="E161" s="691"/>
      <c r="F161" s="926"/>
      <c r="G161" s="691"/>
      <c r="H161" s="691"/>
      <c r="I161" s="690"/>
      <c r="J161" s="690"/>
      <c r="K161" s="690"/>
      <c r="L161" s="684"/>
      <c r="M161" s="684"/>
      <c r="N161" s="684"/>
      <c r="O161" s="684"/>
      <c r="P161" s="684"/>
    </row>
    <row r="162" spans="1:16" ht="14.25">
      <c r="A162" s="684"/>
      <c r="B162" s="691"/>
      <c r="C162" s="691"/>
      <c r="D162" s="691"/>
      <c r="E162" s="952" t="s">
        <v>381</v>
      </c>
      <c r="F162" s="953"/>
      <c r="G162" s="952"/>
      <c r="H162" s="952"/>
      <c r="I162" s="690"/>
      <c r="J162" s="690"/>
      <c r="K162" s="690"/>
      <c r="L162" s="684"/>
      <c r="M162" s="684"/>
      <c r="N162" s="684"/>
      <c r="O162" s="684"/>
      <c r="P162" s="684"/>
    </row>
    <row r="163" spans="1:16" ht="5.25" customHeight="1">
      <c r="A163" s="684"/>
      <c r="B163" s="954"/>
      <c r="C163" s="954"/>
      <c r="D163" s="954"/>
      <c r="E163" s="954"/>
      <c r="F163" s="689"/>
      <c r="G163" s="684"/>
      <c r="H163" s="690"/>
      <c r="I163" s="690"/>
      <c r="J163" s="690"/>
      <c r="K163" s="690"/>
      <c r="L163" s="684"/>
      <c r="M163" s="684"/>
      <c r="N163" s="684"/>
      <c r="O163" s="684"/>
      <c r="P163" s="684"/>
    </row>
    <row r="164" spans="1:16" ht="24">
      <c r="A164" s="684"/>
      <c r="B164" s="684"/>
      <c r="C164" s="684"/>
      <c r="D164" s="684"/>
      <c r="E164" s="684"/>
      <c r="F164" s="689" t="s">
        <v>383</v>
      </c>
      <c r="G164" s="690" t="s">
        <v>246</v>
      </c>
      <c r="H164" s="810" t="s">
        <v>384</v>
      </c>
      <c r="I164" s="1069" t="s">
        <v>19</v>
      </c>
      <c r="J164" s="664"/>
      <c r="K164" s="690"/>
      <c r="L164" s="684"/>
      <c r="M164" s="684"/>
      <c r="N164" s="684"/>
      <c r="O164" s="684"/>
      <c r="P164" s="684"/>
    </row>
    <row r="165" spans="1:16" ht="14.25" hidden="1">
      <c r="A165" s="684"/>
      <c r="B165" s="684"/>
      <c r="C165" s="684"/>
      <c r="D165" s="684"/>
      <c r="E165" s="684"/>
      <c r="F165" s="689" t="s">
        <v>385</v>
      </c>
      <c r="G165" s="690"/>
      <c r="H165" s="690"/>
      <c r="I165" s="690"/>
      <c r="J165" s="664"/>
      <c r="K165" s="690"/>
      <c r="L165" s="684"/>
      <c r="M165" s="684"/>
      <c r="N165" s="684"/>
      <c r="O165" s="684"/>
      <c r="P165" s="684"/>
    </row>
    <row r="166" spans="1:16" ht="14.25" hidden="1">
      <c r="A166" s="684"/>
      <c r="B166" s="684"/>
      <c r="C166" s="684"/>
      <c r="D166" s="684"/>
      <c r="E166" s="684"/>
      <c r="F166" s="689" t="s">
        <v>384</v>
      </c>
      <c r="G166" s="690"/>
      <c r="H166" s="690"/>
      <c r="I166" s="690"/>
      <c r="J166" s="664"/>
      <c r="K166" s="690"/>
      <c r="L166" s="684"/>
      <c r="M166" s="684"/>
      <c r="N166" s="684"/>
      <c r="O166" s="684"/>
      <c r="P166" s="684"/>
    </row>
    <row r="167" spans="1:16" ht="5.25" customHeight="1">
      <c r="A167" s="684"/>
      <c r="B167" s="684"/>
      <c r="C167" s="684"/>
      <c r="D167" s="684"/>
      <c r="E167" s="684"/>
      <c r="F167" s="689"/>
      <c r="G167" s="684"/>
      <c r="H167" s="690"/>
      <c r="I167" s="690"/>
      <c r="J167" s="664"/>
      <c r="K167" s="690"/>
      <c r="L167" s="684"/>
      <c r="M167" s="684"/>
      <c r="N167" s="684"/>
      <c r="O167" s="684"/>
      <c r="P167" s="684"/>
    </row>
    <row r="168" spans="1:16" ht="24">
      <c r="A168" s="684"/>
      <c r="B168" s="684"/>
      <c r="C168" s="684"/>
      <c r="D168" s="684"/>
      <c r="E168" s="684"/>
      <c r="F168" s="689" t="s">
        <v>386</v>
      </c>
      <c r="G168" s="690" t="s">
        <v>291</v>
      </c>
      <c r="H168" s="955">
        <v>5000</v>
      </c>
      <c r="I168" s="1069" t="s">
        <v>19</v>
      </c>
      <c r="J168" s="664"/>
      <c r="K168" s="690"/>
      <c r="L168" s="684"/>
      <c r="M168" s="684"/>
      <c r="N168" s="684"/>
      <c r="O168" s="684"/>
      <c r="P168" s="684"/>
    </row>
    <row r="169" spans="1:16" ht="14.25">
      <c r="A169" s="684"/>
      <c r="B169" s="684"/>
      <c r="C169" s="684"/>
      <c r="D169" s="684"/>
      <c r="E169" s="684"/>
      <c r="F169" s="689"/>
      <c r="G169" s="684"/>
      <c r="H169" s="690"/>
      <c r="I169" s="690"/>
      <c r="J169" s="664"/>
      <c r="K169" s="690"/>
      <c r="L169" s="684"/>
      <c r="M169" s="684"/>
      <c r="N169" s="684"/>
      <c r="O169" s="684"/>
      <c r="P169" s="684"/>
    </row>
    <row r="170" spans="1:16" thickBot="1">
      <c r="A170" s="684"/>
      <c r="B170" s="706" t="s">
        <v>40</v>
      </c>
      <c r="C170" s="691"/>
      <c r="D170" s="691"/>
      <c r="E170" s="952" t="s">
        <v>387</v>
      </c>
      <c r="F170" s="953"/>
      <c r="G170" s="952"/>
      <c r="H170" s="952"/>
      <c r="I170" s="952"/>
      <c r="J170" s="691"/>
      <c r="K170" s="691"/>
      <c r="L170" s="684"/>
      <c r="M170" s="684"/>
      <c r="N170" s="684"/>
      <c r="O170" s="684"/>
      <c r="P170" s="684"/>
    </row>
    <row r="171" spans="1:16" ht="5.25" customHeight="1">
      <c r="A171" s="684"/>
      <c r="B171" s="684"/>
      <c r="C171" s="684"/>
      <c r="D171" s="684"/>
      <c r="E171" s="684"/>
      <c r="F171" s="689"/>
      <c r="G171" s="684"/>
      <c r="H171" s="935"/>
      <c r="I171" s="935"/>
      <c r="J171" s="684"/>
      <c r="K171" s="684"/>
      <c r="L171" s="684"/>
      <c r="M171" s="684"/>
      <c r="N171" s="684"/>
      <c r="O171" s="684"/>
      <c r="P171" s="684"/>
    </row>
    <row r="172" spans="1:16" ht="14.25">
      <c r="A172" s="684"/>
      <c r="B172" s="720"/>
      <c r="C172" s="720"/>
      <c r="D172" s="720"/>
      <c r="E172" s="720" t="s">
        <v>388</v>
      </c>
      <c r="F172" s="689"/>
      <c r="G172" s="684"/>
      <c r="H172" s="942" t="s">
        <v>389</v>
      </c>
      <c r="I172" s="684"/>
      <c r="J172" s="684"/>
      <c r="K172" s="684"/>
      <c r="L172" s="684"/>
      <c r="M172" s="684"/>
      <c r="N172" s="684"/>
      <c r="O172" s="684"/>
      <c r="P172" s="684"/>
    </row>
    <row r="173" spans="1:16" ht="14.45" customHeight="1">
      <c r="A173" s="684"/>
      <c r="B173" s="913"/>
      <c r="C173" s="913"/>
      <c r="D173" s="913"/>
      <c r="E173" s="913" t="s">
        <v>289</v>
      </c>
      <c r="F173" s="689" t="s">
        <v>339</v>
      </c>
      <c r="G173" s="690" t="s">
        <v>246</v>
      </c>
      <c r="H173" s="929">
        <v>0.05</v>
      </c>
      <c r="I173" s="1076" t="s">
        <v>19</v>
      </c>
      <c r="J173" s="1154"/>
      <c r="K173" s="684"/>
      <c r="L173" s="684"/>
      <c r="M173" s="684"/>
      <c r="N173" s="684"/>
      <c r="O173" s="684"/>
      <c r="P173" s="684"/>
    </row>
    <row r="174" spans="1:16" ht="14.45" customHeight="1">
      <c r="A174" s="684"/>
      <c r="B174" s="913"/>
      <c r="C174" s="913"/>
      <c r="D174" s="913"/>
      <c r="E174" s="913" t="s">
        <v>289</v>
      </c>
      <c r="F174" s="689" t="s">
        <v>331</v>
      </c>
      <c r="G174" s="690" t="s">
        <v>246</v>
      </c>
      <c r="H174" s="929">
        <v>0.4</v>
      </c>
      <c r="I174" s="1076" t="s">
        <v>19</v>
      </c>
      <c r="J174" s="1132"/>
      <c r="K174" s="684"/>
      <c r="L174" s="684"/>
      <c r="M174" s="684"/>
      <c r="N174" s="684"/>
      <c r="O174" s="684"/>
      <c r="P174" s="684"/>
    </row>
    <row r="175" spans="1:16" ht="14.45" customHeight="1">
      <c r="A175" s="684"/>
      <c r="B175" s="913"/>
      <c r="C175" s="913"/>
      <c r="D175" s="913"/>
      <c r="E175" s="913" t="s">
        <v>289</v>
      </c>
      <c r="F175" s="689" t="s">
        <v>332</v>
      </c>
      <c r="G175" s="690" t="s">
        <v>246</v>
      </c>
      <c r="H175" s="929">
        <v>0.4</v>
      </c>
      <c r="I175" s="1076" t="s">
        <v>19</v>
      </c>
      <c r="J175" s="1132"/>
      <c r="K175" s="684"/>
      <c r="L175" s="684"/>
      <c r="M175" s="684"/>
      <c r="N175" s="684"/>
      <c r="O175" s="684"/>
      <c r="P175" s="684"/>
    </row>
    <row r="176" spans="1:16" ht="14.45" customHeight="1">
      <c r="A176" s="684"/>
      <c r="B176" s="913"/>
      <c r="C176" s="913"/>
      <c r="D176" s="913"/>
      <c r="E176" s="913" t="s">
        <v>289</v>
      </c>
      <c r="F176" s="689" t="s">
        <v>340</v>
      </c>
      <c r="G176" s="690" t="s">
        <v>246</v>
      </c>
      <c r="H176" s="929">
        <v>0.15</v>
      </c>
      <c r="I176" s="1076" t="s">
        <v>19</v>
      </c>
      <c r="J176" s="1132"/>
      <c r="K176" s="684"/>
      <c r="L176" s="684"/>
      <c r="M176" s="684"/>
      <c r="N176" s="684"/>
      <c r="O176" s="684"/>
      <c r="P176" s="684"/>
    </row>
    <row r="177" spans="1:16" ht="5.25" customHeight="1">
      <c r="A177" s="684"/>
      <c r="B177" s="684"/>
      <c r="C177" s="684"/>
      <c r="D177" s="684"/>
      <c r="E177" s="684"/>
      <c r="F177" s="689"/>
      <c r="G177" s="684"/>
      <c r="H177" s="931"/>
      <c r="I177" s="931"/>
      <c r="J177" s="684"/>
      <c r="K177" s="684"/>
      <c r="L177" s="684"/>
      <c r="M177" s="684"/>
      <c r="N177" s="684"/>
      <c r="O177" s="684"/>
      <c r="P177" s="684"/>
    </row>
    <row r="178" spans="1:16" ht="14.25">
      <c r="A178" s="684"/>
      <c r="B178" s="921"/>
      <c r="C178" s="921"/>
      <c r="D178" s="921"/>
      <c r="E178" s="921" t="s">
        <v>325</v>
      </c>
      <c r="F178" s="689"/>
      <c r="G178" s="684"/>
      <c r="H178" s="932">
        <f>SUM(H172:H176)</f>
        <v>1</v>
      </c>
      <c r="I178" s="690"/>
      <c r="J178" s="684"/>
      <c r="K178" s="684"/>
      <c r="L178" s="684"/>
      <c r="M178" s="684"/>
      <c r="N178" s="684"/>
      <c r="O178" s="684"/>
      <c r="P178" s="684"/>
    </row>
    <row r="179" spans="1:16" ht="5.25" customHeight="1">
      <c r="A179" s="684"/>
      <c r="B179" s="921"/>
      <c r="C179" s="921"/>
      <c r="D179" s="921"/>
      <c r="E179" s="921"/>
      <c r="F179" s="689"/>
      <c r="G179" s="684"/>
      <c r="H179" s="931"/>
      <c r="I179" s="690"/>
      <c r="J179" s="684"/>
      <c r="K179" s="684"/>
      <c r="L179" s="684"/>
      <c r="M179" s="684"/>
      <c r="N179" s="684"/>
      <c r="O179" s="684"/>
      <c r="P179" s="684"/>
    </row>
    <row r="180" spans="1:16" ht="50.45" customHeight="1">
      <c r="A180" s="684"/>
      <c r="F180" s="670"/>
      <c r="G180" s="670"/>
      <c r="H180" s="1078" t="str">
        <f>"Breaking down of the time indicated in "&amp;ADDRESS($H$181,$H$182,4)&amp;" equal to "&amp;H156*100&amp;"%"</f>
        <v>Breaking down of the time indicated in H156 equal to 20%</v>
      </c>
      <c r="I180" s="690"/>
      <c r="J180" s="684"/>
      <c r="K180" s="684"/>
      <c r="L180" s="684"/>
      <c r="M180" s="684"/>
      <c r="N180" s="684"/>
      <c r="O180" s="684"/>
      <c r="P180" s="684"/>
    </row>
    <row r="181" spans="1:16" ht="16.5" hidden="1" customHeight="1">
      <c r="A181" s="684"/>
      <c r="F181" s="670"/>
      <c r="G181" s="937" t="s">
        <v>203</v>
      </c>
      <c r="H181" s="945">
        <f>ROW($H$156)</f>
        <v>156</v>
      </c>
      <c r="I181" s="690"/>
      <c r="J181" s="684"/>
      <c r="K181" s="684"/>
      <c r="L181" s="684"/>
      <c r="M181" s="684"/>
      <c r="N181" s="684"/>
      <c r="O181" s="684"/>
      <c r="P181" s="684"/>
    </row>
    <row r="182" spans="1:16" ht="16.5" hidden="1" customHeight="1">
      <c r="A182" s="684"/>
      <c r="F182" s="670"/>
      <c r="G182" s="937" t="s">
        <v>206</v>
      </c>
      <c r="H182" s="945">
        <f>COLUMN($H$156)</f>
        <v>8</v>
      </c>
      <c r="I182" s="690"/>
      <c r="J182" s="684"/>
      <c r="K182" s="684"/>
      <c r="L182" s="684"/>
      <c r="M182" s="684"/>
      <c r="N182" s="684"/>
      <c r="O182" s="684"/>
      <c r="P182" s="684"/>
    </row>
    <row r="183" spans="1:16" ht="17.25" customHeight="1" thickBot="1">
      <c r="A183" s="684"/>
      <c r="B183" s="706" t="s">
        <v>40</v>
      </c>
      <c r="C183" s="720"/>
      <c r="D183" s="720"/>
      <c r="E183" s="720" t="s">
        <v>390</v>
      </c>
      <c r="F183" s="689"/>
      <c r="G183" s="690" t="s">
        <v>246</v>
      </c>
      <c r="H183" s="929">
        <v>0.65</v>
      </c>
      <c r="I183" s="1069" t="s">
        <v>19</v>
      </c>
      <c r="J183" s="684"/>
      <c r="K183" s="684"/>
      <c r="L183" s="684"/>
      <c r="M183" s="684"/>
      <c r="N183" s="684"/>
      <c r="O183" s="684"/>
      <c r="P183" s="684"/>
    </row>
    <row r="184" spans="1:16" ht="5.25" customHeight="1">
      <c r="A184" s="684"/>
      <c r="B184" s="684"/>
      <c r="C184" s="684"/>
      <c r="D184" s="684"/>
      <c r="E184" s="684"/>
      <c r="F184" s="689"/>
      <c r="G184" s="684"/>
      <c r="H184" s="956"/>
      <c r="I184" s="690"/>
      <c r="J184" s="684"/>
      <c r="L184" s="684"/>
      <c r="M184" s="684"/>
      <c r="N184" s="684"/>
      <c r="O184" s="684"/>
      <c r="P184" s="684"/>
    </row>
    <row r="185" spans="1:16" ht="48.75" thickBot="1">
      <c r="A185" s="684"/>
      <c r="B185" s="706" t="s">
        <v>40</v>
      </c>
      <c r="C185" s="720"/>
      <c r="D185" s="720"/>
      <c r="E185" s="720" t="s">
        <v>391</v>
      </c>
      <c r="F185" s="670"/>
      <c r="G185" s="690"/>
      <c r="H185" s="942" t="s">
        <v>389</v>
      </c>
      <c r="I185" s="1011" t="str">
        <f>"Breaking down of the time indicated in "&amp;ADDRESS($I$186,$I$187,4)&amp;" equal to "&amp;H156*100&amp;"%"</f>
        <v>Breaking down of the time indicated in H156 equal to 20%</v>
      </c>
      <c r="J185" s="684"/>
      <c r="K185" s="684"/>
      <c r="L185" s="684"/>
      <c r="M185" s="684"/>
      <c r="N185" s="684"/>
      <c r="O185" s="684"/>
      <c r="P185" s="684"/>
    </row>
    <row r="186" spans="1:16" ht="14.25" hidden="1">
      <c r="A186" s="684"/>
      <c r="B186" s="720"/>
      <c r="C186" s="720"/>
      <c r="D186" s="720"/>
      <c r="E186" s="720"/>
      <c r="F186" s="670"/>
      <c r="G186" s="690"/>
      <c r="H186" s="937" t="s">
        <v>203</v>
      </c>
      <c r="I186" s="945">
        <f>ROW($H$156)</f>
        <v>156</v>
      </c>
      <c r="J186" s="684"/>
      <c r="K186" s="684"/>
      <c r="L186" s="684"/>
      <c r="M186" s="684"/>
      <c r="N186" s="684"/>
      <c r="O186" s="684"/>
      <c r="P186" s="684"/>
    </row>
    <row r="187" spans="1:16" ht="14.25" hidden="1">
      <c r="A187" s="684"/>
      <c r="B187" s="720"/>
      <c r="C187" s="720"/>
      <c r="D187" s="720"/>
      <c r="E187" s="720"/>
      <c r="F187" s="670"/>
      <c r="G187" s="690"/>
      <c r="H187" s="937" t="s">
        <v>206</v>
      </c>
      <c r="I187" s="945">
        <f>COLUMN($H$156)</f>
        <v>8</v>
      </c>
      <c r="J187" s="684"/>
      <c r="K187" s="684"/>
      <c r="L187" s="684"/>
      <c r="M187" s="684"/>
      <c r="N187" s="684"/>
      <c r="O187" s="684"/>
      <c r="P187" s="684"/>
    </row>
    <row r="188" spans="1:16" ht="19.5">
      <c r="A188" s="684"/>
      <c r="B188" s="913"/>
      <c r="C188" s="913"/>
      <c r="D188" s="913"/>
      <c r="E188" s="913" t="s">
        <v>289</v>
      </c>
      <c r="F188" s="689" t="s">
        <v>335</v>
      </c>
      <c r="G188" s="690" t="s">
        <v>246</v>
      </c>
      <c r="H188" s="929">
        <v>0.25</v>
      </c>
      <c r="I188" s="929">
        <v>0</v>
      </c>
      <c r="J188" s="1069" t="s">
        <v>19</v>
      </c>
      <c r="K188" s="684"/>
      <c r="L188" s="684"/>
      <c r="M188" s="684"/>
      <c r="N188" s="684"/>
      <c r="O188" s="684"/>
      <c r="P188" s="684"/>
    </row>
    <row r="189" spans="1:16" ht="19.5">
      <c r="A189" s="684"/>
      <c r="B189" s="913"/>
      <c r="C189" s="913"/>
      <c r="D189" s="913"/>
      <c r="E189" s="913" t="s">
        <v>289</v>
      </c>
      <c r="F189" s="689" t="s">
        <v>392</v>
      </c>
      <c r="G189" s="690" t="s">
        <v>246</v>
      </c>
      <c r="H189" s="929">
        <v>0.6</v>
      </c>
      <c r="I189" s="929">
        <v>0.15</v>
      </c>
      <c r="J189" s="1069" t="s">
        <v>19</v>
      </c>
      <c r="K189" s="684"/>
      <c r="L189" s="684"/>
      <c r="M189" s="684"/>
      <c r="N189" s="684"/>
      <c r="O189" s="684"/>
      <c r="P189" s="684"/>
    </row>
    <row r="190" spans="1:16" ht="19.5">
      <c r="A190" s="684"/>
      <c r="B190" s="913"/>
      <c r="C190" s="913"/>
      <c r="D190" s="913"/>
      <c r="E190" s="913" t="s">
        <v>289</v>
      </c>
      <c r="F190" s="689" t="s">
        <v>337</v>
      </c>
      <c r="G190" s="690" t="s">
        <v>246</v>
      </c>
      <c r="H190" s="929">
        <v>0.15</v>
      </c>
      <c r="I190" s="929">
        <v>0.2</v>
      </c>
      <c r="J190" s="1069" t="s">
        <v>19</v>
      </c>
      <c r="K190" s="684"/>
      <c r="L190" s="684"/>
      <c r="M190" s="684"/>
      <c r="N190" s="684"/>
      <c r="O190" s="684"/>
      <c r="P190" s="684"/>
    </row>
    <row r="191" spans="1:16" ht="5.25" customHeight="1">
      <c r="A191" s="684"/>
      <c r="B191" s="913"/>
      <c r="C191" s="913"/>
      <c r="D191" s="913"/>
      <c r="E191" s="913"/>
      <c r="F191" s="689"/>
      <c r="G191" s="690"/>
      <c r="H191" s="896"/>
      <c r="I191" s="896"/>
      <c r="J191" s="684"/>
      <c r="K191" s="684"/>
      <c r="L191" s="684"/>
      <c r="M191" s="684"/>
      <c r="N191" s="684"/>
      <c r="O191" s="684"/>
      <c r="P191" s="684"/>
    </row>
    <row r="192" spans="1:16" ht="14.25">
      <c r="A192" s="684"/>
      <c r="B192" s="921"/>
      <c r="C192" s="921"/>
      <c r="D192" s="921"/>
      <c r="E192" s="921" t="s">
        <v>325</v>
      </c>
      <c r="F192" s="670"/>
      <c r="G192" s="684"/>
      <c r="H192" s="932">
        <f>SUM(H188:H190)</f>
        <v>1</v>
      </c>
      <c r="I192" s="932">
        <f>SUM(I188:I190)+H183</f>
        <v>1</v>
      </c>
      <c r="J192" s="684"/>
      <c r="K192" s="684"/>
      <c r="L192" s="684"/>
      <c r="M192" s="684"/>
      <c r="N192" s="684"/>
      <c r="O192" s="684"/>
      <c r="P192" s="684"/>
    </row>
    <row r="193" spans="1:16" ht="5.25" customHeight="1">
      <c r="A193" s="684"/>
      <c r="B193" s="913"/>
      <c r="C193" s="913"/>
      <c r="D193" s="913"/>
      <c r="E193" s="913"/>
      <c r="F193" s="689"/>
      <c r="G193" s="690"/>
      <c r="H193" s="690"/>
      <c r="I193" s="690"/>
      <c r="J193" s="684"/>
      <c r="K193" s="684"/>
      <c r="L193" s="684"/>
      <c r="M193" s="684"/>
      <c r="N193" s="684"/>
      <c r="O193" s="684"/>
      <c r="P193" s="684"/>
    </row>
    <row r="194" spans="1:16" ht="48" customHeight="1">
      <c r="A194" s="684"/>
      <c r="B194" s="913"/>
      <c r="C194" s="913"/>
      <c r="D194" s="913"/>
      <c r="E194" s="913"/>
      <c r="F194" s="689"/>
      <c r="G194" s="1075"/>
      <c r="H194" s="1078" t="str">
        <f>"Breaking down of the time indicated in "&amp;ADDRESS($H$181,$H$182,4)&amp;" equal to "&amp;H156*100&amp;"%"</f>
        <v>Breaking down of the time indicated in H156 equal to 20%</v>
      </c>
      <c r="I194" s="690"/>
      <c r="J194" s="684"/>
      <c r="K194" s="684"/>
      <c r="L194" s="684"/>
      <c r="M194" s="684"/>
      <c r="N194" s="684"/>
      <c r="O194" s="684"/>
      <c r="P194" s="684"/>
    </row>
    <row r="195" spans="1:16" ht="14.25" hidden="1">
      <c r="A195" s="684"/>
      <c r="B195" s="913"/>
      <c r="C195" s="913"/>
      <c r="D195" s="913"/>
      <c r="E195" s="913"/>
      <c r="F195" s="689"/>
      <c r="G195" s="937" t="s">
        <v>203</v>
      </c>
      <c r="H195" s="945">
        <f>ROW($H$156)</f>
        <v>156</v>
      </c>
      <c r="I195" s="690"/>
      <c r="J195" s="684"/>
      <c r="K195" s="684"/>
      <c r="L195" s="684"/>
      <c r="M195" s="684"/>
      <c r="N195" s="684"/>
      <c r="O195" s="684"/>
      <c r="P195" s="684"/>
    </row>
    <row r="196" spans="1:16" ht="14.25" hidden="1">
      <c r="A196" s="684"/>
      <c r="B196" s="913"/>
      <c r="C196" s="913"/>
      <c r="D196" s="913"/>
      <c r="E196" s="913"/>
      <c r="F196" s="689"/>
      <c r="G196" s="937" t="s">
        <v>206</v>
      </c>
      <c r="H196" s="945">
        <f>COLUMN($H$156)</f>
        <v>8</v>
      </c>
      <c r="I196" s="690"/>
      <c r="J196" s="684"/>
      <c r="K196" s="684"/>
      <c r="L196" s="684"/>
      <c r="M196" s="684"/>
      <c r="N196" s="684"/>
      <c r="O196" s="684"/>
      <c r="P196" s="684"/>
    </row>
    <row r="197" spans="1:16" ht="36">
      <c r="A197" s="684"/>
      <c r="B197" s="913"/>
      <c r="C197" s="913"/>
      <c r="D197" s="913"/>
      <c r="E197" s="913" t="s">
        <v>289</v>
      </c>
      <c r="F197" s="689" t="s">
        <v>393</v>
      </c>
      <c r="G197" s="690" t="s">
        <v>246</v>
      </c>
      <c r="H197" s="929">
        <v>0.01</v>
      </c>
      <c r="I197" s="1069" t="s">
        <v>19</v>
      </c>
      <c r="J197" s="684"/>
      <c r="K197" s="684"/>
      <c r="L197" s="684"/>
      <c r="M197" s="684"/>
      <c r="N197" s="684"/>
      <c r="O197" s="684"/>
      <c r="P197" s="684"/>
    </row>
    <row r="198" spans="1:16" ht="5.25" customHeight="1">
      <c r="A198" s="684"/>
      <c r="B198" s="913"/>
      <c r="C198" s="913"/>
      <c r="D198" s="913"/>
      <c r="E198" s="913"/>
      <c r="F198" s="689"/>
      <c r="G198" s="690"/>
      <c r="H198" s="957"/>
      <c r="I198" s="684"/>
      <c r="J198" s="684"/>
      <c r="K198" s="684"/>
      <c r="L198" s="684"/>
      <c r="M198" s="684"/>
      <c r="N198" s="684"/>
      <c r="O198" s="684"/>
      <c r="P198" s="684"/>
    </row>
    <row r="199" spans="1:16" ht="24">
      <c r="A199" s="684"/>
      <c r="B199" s="706" t="s">
        <v>40</v>
      </c>
      <c r="C199" s="913"/>
      <c r="D199" s="913"/>
      <c r="E199" s="913" t="s">
        <v>289</v>
      </c>
      <c r="F199" s="689" t="s">
        <v>394</v>
      </c>
      <c r="G199" s="690" t="s">
        <v>291</v>
      </c>
      <c r="H199" s="955">
        <v>500</v>
      </c>
      <c r="I199" s="1069"/>
      <c r="J199" s="684"/>
      <c r="K199" s="684"/>
      <c r="L199" s="684"/>
      <c r="M199" s="684"/>
      <c r="N199" s="684"/>
      <c r="O199" s="684"/>
      <c r="P199" s="684"/>
    </row>
    <row r="200" spans="1:16" ht="14.25">
      <c r="A200" s="684"/>
      <c r="B200" s="913"/>
      <c r="C200" s="913"/>
      <c r="D200" s="913"/>
      <c r="E200" s="913"/>
      <c r="F200" s="670"/>
      <c r="G200" s="684"/>
      <c r="H200" s="684"/>
      <c r="I200" s="684"/>
      <c r="J200" s="684"/>
      <c r="K200" s="684"/>
      <c r="L200" s="684"/>
      <c r="M200" s="684"/>
      <c r="N200" s="684"/>
      <c r="O200" s="684"/>
      <c r="P200" s="684"/>
    </row>
    <row r="201" spans="1:16" thickBot="1">
      <c r="A201" s="664"/>
      <c r="C201" s="897" t="s">
        <v>200</v>
      </c>
      <c r="D201" s="691"/>
      <c r="E201" s="952" t="str">
        <f>CONCATENATE(E157," ",F157)</f>
        <v>c) Describing datasets to enable methods and results reproducibility</v>
      </c>
      <c r="F201" s="953"/>
      <c r="G201" s="952"/>
      <c r="H201" s="952"/>
      <c r="I201" s="691"/>
      <c r="J201" s="664"/>
      <c r="K201" s="664"/>
      <c r="L201" s="664"/>
      <c r="M201" s="664"/>
      <c r="N201" s="664"/>
      <c r="O201" s="664"/>
      <c r="P201" s="664"/>
    </row>
    <row r="202" spans="1:16" ht="14.25" hidden="1">
      <c r="A202" s="684"/>
      <c r="B202" s="684"/>
      <c r="C202" s="684"/>
      <c r="D202" s="684"/>
      <c r="E202" s="684" t="s">
        <v>395</v>
      </c>
      <c r="F202" s="689"/>
      <c r="G202" s="684"/>
      <c r="H202" s="690" t="s">
        <v>389</v>
      </c>
      <c r="I202" s="690"/>
      <c r="J202" s="684"/>
      <c r="K202" s="684"/>
      <c r="L202" s="684"/>
      <c r="M202" s="684"/>
      <c r="N202" s="684"/>
      <c r="O202" s="684"/>
      <c r="P202" s="684"/>
    </row>
    <row r="203" spans="1:16" ht="14.25" hidden="1">
      <c r="A203" s="684"/>
      <c r="B203" s="684"/>
      <c r="C203" s="684"/>
      <c r="D203" s="684"/>
      <c r="E203" s="684"/>
      <c r="F203" s="689" t="s">
        <v>396</v>
      </c>
      <c r="G203" s="684"/>
      <c r="H203" s="857">
        <v>0.05</v>
      </c>
      <c r="I203" s="857"/>
      <c r="J203" s="684"/>
      <c r="K203" s="684"/>
      <c r="L203" s="684"/>
      <c r="M203" s="684"/>
      <c r="N203" s="684"/>
      <c r="O203" s="684"/>
      <c r="P203" s="684"/>
    </row>
    <row r="204" spans="1:16" ht="14.25" hidden="1">
      <c r="A204" s="684"/>
      <c r="B204" s="684"/>
      <c r="C204" s="684"/>
      <c r="D204" s="684"/>
      <c r="E204" s="684"/>
      <c r="F204" s="689" t="s">
        <v>397</v>
      </c>
      <c r="G204" s="684"/>
      <c r="H204" s="857">
        <v>0.3</v>
      </c>
      <c r="I204" s="857"/>
      <c r="J204" s="684"/>
      <c r="K204" s="684"/>
      <c r="L204" s="684"/>
      <c r="M204" s="684"/>
      <c r="N204" s="684"/>
      <c r="O204" s="684"/>
      <c r="P204" s="684"/>
    </row>
    <row r="205" spans="1:16" ht="14.25" hidden="1">
      <c r="A205" s="684"/>
      <c r="B205" s="684"/>
      <c r="C205" s="684"/>
      <c r="D205" s="684"/>
      <c r="E205" s="684"/>
      <c r="F205" s="689" t="s">
        <v>398</v>
      </c>
      <c r="G205" s="684"/>
      <c r="H205" s="857">
        <v>0.15</v>
      </c>
      <c r="I205" s="857"/>
      <c r="J205" s="684"/>
      <c r="K205" s="684"/>
      <c r="L205" s="684"/>
      <c r="M205" s="684"/>
      <c r="N205" s="684"/>
      <c r="O205" s="684"/>
      <c r="P205" s="684"/>
    </row>
    <row r="206" spans="1:16" ht="14.25" hidden="1">
      <c r="A206" s="684"/>
      <c r="B206" s="684"/>
      <c r="C206" s="684"/>
      <c r="D206" s="684"/>
      <c r="E206" s="684"/>
      <c r="F206" s="689" t="s">
        <v>399</v>
      </c>
      <c r="G206" s="684"/>
      <c r="H206" s="857">
        <v>0.5</v>
      </c>
      <c r="I206" s="857"/>
      <c r="J206" s="684"/>
      <c r="K206" s="684"/>
      <c r="L206" s="684"/>
      <c r="M206" s="684"/>
      <c r="N206" s="684"/>
      <c r="O206" s="684"/>
      <c r="P206" s="684"/>
    </row>
    <row r="207" spans="1:16" ht="14.25" hidden="1">
      <c r="A207" s="684"/>
      <c r="B207" s="684"/>
      <c r="C207" s="684"/>
      <c r="D207" s="684"/>
      <c r="E207" s="684"/>
      <c r="F207" s="689" t="s">
        <v>400</v>
      </c>
      <c r="G207" s="684"/>
      <c r="H207" s="857">
        <v>0</v>
      </c>
      <c r="I207" s="857"/>
      <c r="J207" s="684"/>
      <c r="K207" s="684"/>
      <c r="L207" s="684"/>
      <c r="M207" s="684"/>
      <c r="N207" s="684"/>
      <c r="O207" s="684"/>
      <c r="P207" s="684"/>
    </row>
    <row r="208" spans="1:16" ht="14.25" hidden="1">
      <c r="A208" s="684"/>
      <c r="B208" s="684"/>
      <c r="C208" s="684"/>
      <c r="D208" s="684"/>
      <c r="E208" s="684"/>
      <c r="F208" s="689"/>
      <c r="G208" s="684"/>
      <c r="H208" s="958">
        <f>SUM(H203:H207)</f>
        <v>1</v>
      </c>
      <c r="I208" s="958"/>
      <c r="J208" s="684"/>
      <c r="K208" s="684"/>
      <c r="L208" s="684"/>
      <c r="M208" s="684"/>
      <c r="N208" s="684"/>
      <c r="O208" s="684"/>
      <c r="P208" s="684"/>
    </row>
    <row r="209" spans="1:16" ht="5.25" customHeight="1">
      <c r="A209" s="664"/>
      <c r="B209" s="684"/>
      <c r="C209" s="684"/>
      <c r="D209" s="684"/>
      <c r="E209" s="684"/>
      <c r="F209" s="763"/>
      <c r="G209" s="664"/>
      <c r="H209" s="959"/>
      <c r="I209" s="664"/>
      <c r="J209" s="664"/>
      <c r="K209" s="664"/>
      <c r="L209" s="664"/>
      <c r="M209" s="664"/>
      <c r="N209" s="664"/>
      <c r="O209" s="664"/>
      <c r="P209" s="664"/>
    </row>
    <row r="210" spans="1:16" ht="48.75" thickBot="1">
      <c r="A210" s="664"/>
      <c r="B210" s="706" t="s">
        <v>40</v>
      </c>
      <c r="C210" s="913"/>
      <c r="D210" s="913"/>
      <c r="E210" s="913" t="s">
        <v>289</v>
      </c>
      <c r="F210" s="689" t="str">
        <f>"Compared to the time you have filled in cell "&amp;ADDRESS($H$211,$H$212,4)&amp;" ("&amp;H157*100&amp;"%)"&amp;", what additional percentage of time would the employees need to spend on average for making your data and metadata at a sufficient quality to enable methods and results reproducibility? (see definitions in Glossary)"</f>
        <v>Compared to the time you have filled in cell H156 (20%), what additional percentage of time would the employees need to spend on average for making your data and metadata at a sufficient quality to enable methods and results reproducibility? (see definitions in Glossary)</v>
      </c>
      <c r="G210" s="944" t="s">
        <v>246</v>
      </c>
      <c r="H210" s="960">
        <v>5.0000000000000001E-3</v>
      </c>
      <c r="I210" s="1069" t="s">
        <v>19</v>
      </c>
      <c r="J210" s="664"/>
      <c r="K210" s="664"/>
      <c r="L210" s="664"/>
      <c r="M210" s="664"/>
      <c r="N210" s="664"/>
      <c r="O210" s="664"/>
      <c r="P210" s="664"/>
    </row>
    <row r="211" spans="1:16" ht="14.25" hidden="1">
      <c r="A211" s="664"/>
      <c r="B211" s="913"/>
      <c r="C211" s="913"/>
      <c r="D211" s="913"/>
      <c r="E211" s="913"/>
      <c r="F211" s="689"/>
      <c r="G211" s="937" t="s">
        <v>203</v>
      </c>
      <c r="H211" s="945">
        <f>ROW($H$156)</f>
        <v>156</v>
      </c>
      <c r="I211" s="664"/>
      <c r="J211" s="664"/>
      <c r="K211" s="664"/>
      <c r="L211" s="664"/>
      <c r="M211" s="664"/>
      <c r="N211" s="664"/>
      <c r="O211" s="664"/>
      <c r="P211" s="664"/>
    </row>
    <row r="212" spans="1:16" ht="14.25" hidden="1">
      <c r="A212" s="664"/>
      <c r="B212" s="913"/>
      <c r="C212" s="913"/>
      <c r="D212" s="913"/>
      <c r="E212" s="913"/>
      <c r="F212" s="689"/>
      <c r="G212" s="937" t="s">
        <v>206</v>
      </c>
      <c r="H212" s="945">
        <f>COLUMN($H$156)</f>
        <v>8</v>
      </c>
      <c r="I212" s="664"/>
      <c r="J212" s="664"/>
      <c r="K212" s="664"/>
      <c r="L212" s="664"/>
      <c r="M212" s="664"/>
      <c r="N212" s="664"/>
      <c r="O212" s="664"/>
      <c r="P212" s="664"/>
    </row>
    <row r="213" spans="1:16" ht="14.25">
      <c r="A213" s="684"/>
      <c r="B213" s="954"/>
      <c r="C213" s="954"/>
      <c r="D213" s="954"/>
      <c r="E213" s="954"/>
      <c r="F213" s="689"/>
      <c r="G213" s="684"/>
      <c r="H213" s="689"/>
      <c r="I213" s="689"/>
      <c r="J213" s="684"/>
      <c r="K213" s="664"/>
      <c r="L213" s="664"/>
      <c r="M213" s="684"/>
      <c r="N213" s="684"/>
      <c r="O213" s="684"/>
      <c r="P213" s="684"/>
    </row>
    <row r="214" spans="1:16" ht="14.25">
      <c r="A214" s="684"/>
      <c r="B214" s="691"/>
      <c r="C214" s="691"/>
      <c r="D214" s="691"/>
      <c r="E214" s="952" t="s">
        <v>401</v>
      </c>
      <c r="F214" s="953"/>
      <c r="G214" s="952"/>
      <c r="H214" s="952"/>
      <c r="I214" s="952"/>
      <c r="J214" s="684"/>
      <c r="K214" s="664"/>
      <c r="L214" s="664"/>
      <c r="M214" s="684"/>
      <c r="N214" s="684"/>
      <c r="O214" s="684"/>
      <c r="P214" s="684"/>
    </row>
    <row r="215" spans="1:16" ht="5.25" customHeight="1">
      <c r="A215" s="684"/>
      <c r="B215" s="684"/>
      <c r="C215" s="684"/>
      <c r="D215" s="684"/>
      <c r="E215" s="684"/>
      <c r="F215" s="689"/>
      <c r="G215" s="684"/>
      <c r="H215" s="689"/>
      <c r="I215" s="689"/>
      <c r="J215" s="684"/>
      <c r="K215" s="664"/>
      <c r="L215" s="664"/>
      <c r="M215" s="684"/>
      <c r="N215" s="684"/>
      <c r="O215" s="684"/>
      <c r="P215" s="684"/>
    </row>
    <row r="216" spans="1:16" ht="14.25">
      <c r="A216" s="684"/>
      <c r="B216" s="684"/>
      <c r="C216" s="684"/>
      <c r="D216" s="684"/>
      <c r="E216" s="684" t="s">
        <v>402</v>
      </c>
      <c r="F216" s="689"/>
      <c r="G216" s="684"/>
      <c r="H216" s="961" t="s">
        <v>403</v>
      </c>
      <c r="I216" s="961" t="s">
        <v>404</v>
      </c>
      <c r="J216" s="684"/>
      <c r="K216" s="664"/>
      <c r="L216" s="664"/>
      <c r="M216" s="684"/>
      <c r="N216" s="684"/>
      <c r="O216" s="684"/>
      <c r="P216" s="684"/>
    </row>
    <row r="217" spans="1:16" ht="36">
      <c r="A217" s="684"/>
      <c r="B217" s="684"/>
      <c r="C217" s="684"/>
      <c r="D217" s="684"/>
      <c r="E217" s="684"/>
      <c r="F217" s="772" t="s">
        <v>405</v>
      </c>
      <c r="G217" s="684" t="s">
        <v>1123</v>
      </c>
      <c r="H217" s="853" t="s">
        <v>406</v>
      </c>
      <c r="I217" s="962" t="s">
        <v>407</v>
      </c>
      <c r="J217" s="1069" t="s">
        <v>19</v>
      </c>
      <c r="K217" s="664"/>
      <c r="L217" s="664"/>
      <c r="M217" s="684"/>
      <c r="N217" s="684"/>
      <c r="O217" s="684"/>
      <c r="P217" s="684"/>
    </row>
    <row r="218" spans="1:16" ht="24">
      <c r="A218" s="684"/>
      <c r="B218" s="684"/>
      <c r="C218" s="684"/>
      <c r="D218" s="684"/>
      <c r="E218" s="684"/>
      <c r="F218" s="772" t="s">
        <v>408</v>
      </c>
      <c r="G218" s="1077" t="s">
        <v>1123</v>
      </c>
      <c r="H218" s="853" t="s">
        <v>406</v>
      </c>
      <c r="I218" s="962" t="s">
        <v>409</v>
      </c>
      <c r="J218" s="1069" t="s">
        <v>19</v>
      </c>
      <c r="K218" s="664"/>
      <c r="L218" s="664"/>
      <c r="M218" s="684"/>
      <c r="N218" s="684"/>
      <c r="O218" s="684"/>
      <c r="P218" s="684"/>
    </row>
    <row r="219" spans="1:16" ht="19.5">
      <c r="A219" s="684"/>
      <c r="B219" s="684"/>
      <c r="C219" s="684"/>
      <c r="D219" s="684"/>
      <c r="E219" s="684"/>
      <c r="F219" s="772" t="s">
        <v>410</v>
      </c>
      <c r="G219" s="1077" t="s">
        <v>1123</v>
      </c>
      <c r="H219" s="853" t="s">
        <v>411</v>
      </c>
      <c r="I219" s="962" t="s">
        <v>412</v>
      </c>
      <c r="J219" s="1069" t="s">
        <v>19</v>
      </c>
      <c r="K219" s="664"/>
      <c r="L219" s="664"/>
      <c r="M219" s="684"/>
      <c r="N219" s="684"/>
      <c r="O219" s="684"/>
      <c r="P219" s="684"/>
    </row>
    <row r="220" spans="1:16" ht="14.25">
      <c r="A220" s="684"/>
      <c r="B220" s="684"/>
      <c r="C220" s="684"/>
      <c r="D220" s="684"/>
      <c r="E220" s="684"/>
      <c r="G220" s="684"/>
      <c r="H220" s="684"/>
      <c r="I220" s="684"/>
      <c r="J220" s="684"/>
      <c r="K220" s="664"/>
      <c r="L220" s="664"/>
      <c r="M220" s="684"/>
      <c r="N220" s="684"/>
      <c r="O220" s="684"/>
      <c r="P220" s="684"/>
    </row>
    <row r="221" spans="1:16" ht="14.25" hidden="1">
      <c r="A221" s="684"/>
      <c r="B221" s="684"/>
      <c r="C221" s="684"/>
      <c r="D221" s="684"/>
      <c r="E221" s="684" t="s">
        <v>412</v>
      </c>
      <c r="G221" s="684">
        <v>0</v>
      </c>
      <c r="H221" s="684"/>
      <c r="I221" s="684"/>
      <c r="J221" s="684"/>
      <c r="K221" s="664"/>
      <c r="L221" s="664"/>
      <c r="M221" s="684"/>
      <c r="N221" s="684"/>
      <c r="O221" s="684"/>
      <c r="P221" s="684"/>
    </row>
    <row r="222" spans="1:16" ht="14.25" hidden="1">
      <c r="A222" s="684"/>
      <c r="B222" s="684"/>
      <c r="C222" s="684"/>
      <c r="D222" s="684"/>
      <c r="E222" s="684" t="s">
        <v>407</v>
      </c>
      <c r="G222" s="684">
        <v>1</v>
      </c>
      <c r="H222" s="684"/>
      <c r="I222" s="684"/>
      <c r="J222" s="684"/>
      <c r="K222" s="664"/>
      <c r="L222" s="664"/>
      <c r="M222" s="684"/>
      <c r="N222" s="684"/>
      <c r="O222" s="684"/>
      <c r="P222" s="684"/>
    </row>
    <row r="223" spans="1:16" ht="14.25" hidden="1">
      <c r="A223" s="684"/>
      <c r="B223" s="684"/>
      <c r="C223" s="684"/>
      <c r="D223" s="684"/>
      <c r="E223" s="684" t="s">
        <v>413</v>
      </c>
      <c r="G223" s="684">
        <v>2</v>
      </c>
      <c r="H223" s="684"/>
      <c r="I223" s="684"/>
      <c r="J223" s="684"/>
      <c r="K223" s="664"/>
      <c r="L223" s="664"/>
      <c r="M223" s="684"/>
      <c r="N223" s="684"/>
      <c r="O223" s="684"/>
      <c r="P223" s="684"/>
    </row>
    <row r="224" spans="1:16" ht="14.25" hidden="1">
      <c r="A224" s="684"/>
      <c r="B224" s="684"/>
      <c r="C224" s="684"/>
      <c r="D224" s="684"/>
      <c r="E224" s="684" t="s">
        <v>409</v>
      </c>
      <c r="G224" s="684">
        <v>3</v>
      </c>
      <c r="H224" s="684"/>
      <c r="I224" s="684"/>
      <c r="J224" s="684"/>
      <c r="K224" s="664"/>
      <c r="L224" s="664"/>
      <c r="M224" s="684"/>
      <c r="N224" s="684"/>
      <c r="O224" s="684"/>
      <c r="P224" s="684"/>
    </row>
    <row r="225" spans="1:16" ht="14.25" hidden="1">
      <c r="A225" s="684"/>
      <c r="B225" s="684"/>
      <c r="C225" s="684"/>
      <c r="D225" s="684"/>
      <c r="E225" s="684"/>
      <c r="F225" s="689"/>
      <c r="G225" s="690"/>
      <c r="H225" s="684"/>
      <c r="I225" s="684"/>
      <c r="J225" s="684"/>
      <c r="K225" s="664"/>
      <c r="L225" s="664"/>
      <c r="M225" s="684"/>
      <c r="N225" s="684"/>
      <c r="O225" s="684"/>
      <c r="P225" s="684"/>
    </row>
    <row r="226" spans="1:16" ht="19.5">
      <c r="A226" s="684"/>
      <c r="B226" s="684"/>
      <c r="C226" s="684"/>
      <c r="D226" s="684"/>
      <c r="E226" s="684" t="s">
        <v>414</v>
      </c>
      <c r="F226" s="689"/>
      <c r="G226" s="690" t="s">
        <v>208</v>
      </c>
      <c r="H226" s="810">
        <v>3</v>
      </c>
      <c r="I226" s="1069" t="s">
        <v>19</v>
      </c>
      <c r="J226" s="684"/>
      <c r="K226" s="664"/>
      <c r="L226" s="664"/>
      <c r="M226" s="684"/>
      <c r="N226" s="684"/>
      <c r="O226" s="684"/>
      <c r="P226" s="684"/>
    </row>
    <row r="227" spans="1:16" ht="24">
      <c r="A227" s="684"/>
      <c r="B227" s="684"/>
      <c r="C227" s="684"/>
      <c r="D227" s="684"/>
      <c r="E227" s="684" t="s">
        <v>415</v>
      </c>
      <c r="F227" s="689"/>
      <c r="G227" s="690" t="s">
        <v>293</v>
      </c>
      <c r="H227" s="962" t="s">
        <v>416</v>
      </c>
      <c r="I227" s="1069" t="s">
        <v>19</v>
      </c>
      <c r="J227" s="684"/>
      <c r="K227" s="664"/>
      <c r="L227" s="664"/>
      <c r="M227" s="684"/>
      <c r="N227" s="684"/>
      <c r="O227" s="684"/>
      <c r="P227" s="684"/>
    </row>
    <row r="228" spans="1:16" ht="19.5" hidden="1">
      <c r="A228" s="684"/>
      <c r="B228" s="684"/>
      <c r="C228" s="684"/>
      <c r="D228" s="684"/>
      <c r="E228" s="684" t="s">
        <v>416</v>
      </c>
      <c r="F228" s="689"/>
      <c r="G228" s="690"/>
      <c r="H228" s="684"/>
      <c r="I228" s="1069" t="s">
        <v>19</v>
      </c>
      <c r="J228" s="684"/>
      <c r="K228" s="664"/>
      <c r="L228" s="664"/>
      <c r="M228" s="684"/>
      <c r="N228" s="684"/>
      <c r="O228" s="684"/>
      <c r="P228" s="684"/>
    </row>
    <row r="229" spans="1:16" ht="19.5" hidden="1">
      <c r="A229" s="684"/>
      <c r="B229" s="684"/>
      <c r="C229" s="684"/>
      <c r="D229" s="684"/>
      <c r="E229" s="684" t="s">
        <v>417</v>
      </c>
      <c r="F229" s="689"/>
      <c r="G229" s="690"/>
      <c r="H229" s="684"/>
      <c r="I229" s="1069" t="s">
        <v>19</v>
      </c>
      <c r="J229" s="684"/>
      <c r="K229" s="664"/>
      <c r="L229" s="664"/>
      <c r="M229" s="684"/>
      <c r="N229" s="684"/>
      <c r="O229" s="684"/>
      <c r="P229" s="684"/>
    </row>
    <row r="230" spans="1:16" ht="19.5">
      <c r="A230" s="684"/>
      <c r="B230" s="684"/>
      <c r="C230" s="684"/>
      <c r="D230" s="684"/>
      <c r="E230" s="684" t="s">
        <v>418</v>
      </c>
      <c r="F230" s="689"/>
      <c r="G230" s="690" t="s">
        <v>293</v>
      </c>
      <c r="H230" s="853" t="s">
        <v>294</v>
      </c>
      <c r="I230" s="1069" t="s">
        <v>19</v>
      </c>
      <c r="J230" s="684"/>
      <c r="K230" s="664"/>
      <c r="L230" s="664"/>
      <c r="M230" s="684"/>
      <c r="N230" s="684"/>
      <c r="O230" s="684"/>
      <c r="P230" s="684"/>
    </row>
    <row r="231" spans="1:16" ht="14.25">
      <c r="A231" s="684"/>
      <c r="B231" s="684"/>
      <c r="C231" s="684"/>
      <c r="D231" s="684"/>
      <c r="E231" s="684"/>
      <c r="F231" s="689"/>
      <c r="G231" s="684"/>
      <c r="H231" s="684"/>
      <c r="I231" s="684"/>
      <c r="J231" s="684"/>
      <c r="K231" s="664"/>
      <c r="L231" s="664"/>
      <c r="M231" s="684"/>
      <c r="N231" s="684"/>
      <c r="O231" s="684"/>
      <c r="P231" s="684"/>
    </row>
    <row r="232" spans="1:16" ht="14.25" hidden="1">
      <c r="A232" s="684"/>
      <c r="B232" s="684"/>
      <c r="C232" s="684"/>
      <c r="D232" s="684"/>
      <c r="E232" s="684"/>
      <c r="F232" s="689" t="s">
        <v>406</v>
      </c>
      <c r="G232" s="684"/>
      <c r="H232" s="684"/>
      <c r="I232" s="684"/>
      <c r="J232" s="684"/>
      <c r="K232" s="684"/>
      <c r="L232" s="684"/>
      <c r="M232" s="684"/>
      <c r="N232" s="684"/>
      <c r="O232" s="684"/>
      <c r="P232" s="684"/>
    </row>
    <row r="233" spans="1:16" ht="14.25" hidden="1">
      <c r="A233" s="684"/>
      <c r="B233" s="684"/>
      <c r="C233" s="684"/>
      <c r="D233" s="684"/>
      <c r="E233" s="684"/>
      <c r="F233" s="689" t="s">
        <v>411</v>
      </c>
      <c r="G233" s="684"/>
      <c r="H233" s="684"/>
      <c r="I233" s="684"/>
      <c r="J233" s="684"/>
      <c r="K233" s="684"/>
      <c r="L233" s="684"/>
      <c r="M233" s="684"/>
      <c r="N233" s="684"/>
      <c r="O233" s="684"/>
      <c r="P233" s="684"/>
    </row>
    <row r="234" spans="1:16" ht="14.25">
      <c r="A234" s="684"/>
      <c r="B234" s="954"/>
      <c r="C234" s="954"/>
      <c r="D234" s="954"/>
      <c r="E234" s="954"/>
      <c r="F234" s="689"/>
      <c r="G234" s="684"/>
      <c r="H234" s="689"/>
      <c r="I234" s="689"/>
      <c r="J234" s="684"/>
      <c r="K234" s="684"/>
      <c r="L234" s="684"/>
      <c r="M234" s="684"/>
      <c r="N234" s="684"/>
      <c r="O234" s="684"/>
      <c r="P234" s="684"/>
    </row>
    <row r="235" spans="1:16" ht="14.25">
      <c r="A235" s="908" t="s">
        <v>195</v>
      </c>
      <c r="C235" s="698"/>
      <c r="D235" s="698"/>
      <c r="E235" s="922" t="str">
        <f>F31</f>
        <v>Integration of the data</v>
      </c>
      <c r="F235" s="923"/>
      <c r="G235" s="924"/>
      <c r="H235" s="963"/>
      <c r="I235" s="924"/>
      <c r="J235" s="924"/>
      <c r="K235" s="924"/>
      <c r="L235" s="912"/>
      <c r="M235" s="912"/>
      <c r="N235" s="912"/>
      <c r="O235" s="912"/>
      <c r="P235" s="684"/>
    </row>
    <row r="236" spans="1:16" ht="14.25">
      <c r="A236" s="684"/>
      <c r="B236" s="684"/>
      <c r="C236" s="684"/>
      <c r="D236" s="684"/>
      <c r="E236" s="684"/>
      <c r="F236" s="689"/>
      <c r="G236" s="684"/>
      <c r="H236" s="964"/>
      <c r="I236" s="684"/>
      <c r="J236" s="684"/>
      <c r="K236" s="684"/>
      <c r="L236" s="684"/>
      <c r="M236" s="684"/>
      <c r="N236" s="684"/>
      <c r="O236" s="684"/>
      <c r="P236" s="684"/>
    </row>
    <row r="237" spans="1:16" thickBot="1">
      <c r="A237" s="684"/>
      <c r="B237" s="1088" t="s">
        <v>40</v>
      </c>
      <c r="C237" s="965"/>
      <c r="D237" s="965"/>
      <c r="E237" s="966" t="str">
        <f>LEFT($E153,LEN($E153)-1)+1&amp;")"</f>
        <v>11)</v>
      </c>
      <c r="F237" s="914" t="s">
        <v>419</v>
      </c>
      <c r="G237" s="914"/>
      <c r="H237" s="914"/>
      <c r="I237" s="914"/>
      <c r="J237" s="914"/>
      <c r="K237" s="914"/>
      <c r="L237" s="691"/>
      <c r="M237" s="691"/>
      <c r="N237" s="691"/>
      <c r="O237" s="684"/>
      <c r="P237" s="684"/>
    </row>
    <row r="238" spans="1:16" ht="5.25" customHeight="1">
      <c r="A238" s="684"/>
      <c r="B238" s="684"/>
      <c r="C238" s="684"/>
      <c r="D238" s="684"/>
      <c r="E238" s="684"/>
      <c r="F238" s="689"/>
      <c r="G238" s="684"/>
      <c r="H238" s="967"/>
      <c r="I238" s="698"/>
      <c r="J238" s="684"/>
      <c r="K238" s="684"/>
      <c r="L238" s="684"/>
      <c r="M238" s="684"/>
      <c r="N238" s="684"/>
      <c r="O238" s="684"/>
      <c r="P238" s="684"/>
    </row>
    <row r="239" spans="1:16" ht="14.25">
      <c r="A239" s="684"/>
      <c r="B239" s="720"/>
      <c r="C239" s="720"/>
      <c r="D239" s="720"/>
      <c r="E239" s="720"/>
      <c r="F239" s="689"/>
      <c r="G239" s="684"/>
      <c r="H239" s="942" t="s">
        <v>389</v>
      </c>
      <c r="I239" s="942" t="s">
        <v>420</v>
      </c>
      <c r="K239" s="684"/>
      <c r="L239" s="684"/>
      <c r="M239" s="684"/>
      <c r="N239" s="684"/>
      <c r="O239" s="684"/>
      <c r="P239" s="684"/>
    </row>
    <row r="240" spans="1:16" ht="19.5">
      <c r="A240" s="684"/>
      <c r="B240" s="913"/>
      <c r="C240" s="897" t="s">
        <v>200</v>
      </c>
      <c r="D240" s="913"/>
      <c r="E240" s="913" t="s">
        <v>289</v>
      </c>
      <c r="F240" s="689" t="s">
        <v>1108</v>
      </c>
      <c r="G240" s="690" t="s">
        <v>246</v>
      </c>
      <c r="H240" s="929">
        <v>0.27</v>
      </c>
      <c r="I240" s="929">
        <v>0.2</v>
      </c>
      <c r="J240" s="1069" t="s">
        <v>19</v>
      </c>
      <c r="K240" s="684"/>
      <c r="L240" s="684"/>
      <c r="M240" s="684"/>
      <c r="N240" s="684"/>
      <c r="O240" s="684"/>
      <c r="P240" s="684"/>
    </row>
    <row r="241" spans="1:16" ht="19.5">
      <c r="A241" s="684"/>
      <c r="B241" s="913"/>
      <c r="C241" s="897" t="s">
        <v>200</v>
      </c>
      <c r="D241" s="913"/>
      <c r="E241" s="913" t="s">
        <v>289</v>
      </c>
      <c r="F241" s="689" t="s">
        <v>1109</v>
      </c>
      <c r="G241" s="690" t="s">
        <v>246</v>
      </c>
      <c r="H241" s="929">
        <v>0.315</v>
      </c>
      <c r="I241" s="929">
        <v>0.3</v>
      </c>
      <c r="J241" s="1069" t="s">
        <v>19</v>
      </c>
      <c r="K241" s="684"/>
      <c r="L241" s="684"/>
      <c r="M241" s="684"/>
      <c r="N241" s="684"/>
      <c r="O241" s="684"/>
      <c r="P241" s="684"/>
    </row>
    <row r="242" spans="1:16" ht="19.5">
      <c r="A242" s="684"/>
      <c r="B242" s="913"/>
      <c r="C242" s="913"/>
      <c r="D242" s="913"/>
      <c r="E242" s="913" t="s">
        <v>289</v>
      </c>
      <c r="F242" s="689" t="s">
        <v>421</v>
      </c>
      <c r="G242" s="690" t="s">
        <v>246</v>
      </c>
      <c r="H242" s="929">
        <v>0.27</v>
      </c>
      <c r="I242" s="929">
        <v>0.3</v>
      </c>
      <c r="J242" s="1069" t="s">
        <v>19</v>
      </c>
      <c r="K242" s="684"/>
      <c r="L242" s="684"/>
      <c r="M242" s="684"/>
      <c r="N242" s="684"/>
      <c r="O242" s="684"/>
      <c r="P242" s="684"/>
    </row>
    <row r="243" spans="1:16" ht="19.5">
      <c r="A243" s="684"/>
      <c r="B243" s="913"/>
      <c r="C243" s="913"/>
      <c r="D243" s="913"/>
      <c r="E243" s="913" t="s">
        <v>289</v>
      </c>
      <c r="F243" s="689" t="s">
        <v>422</v>
      </c>
      <c r="G243" s="690" t="s">
        <v>246</v>
      </c>
      <c r="H243" s="929">
        <v>4.4999999999999998E-2</v>
      </c>
      <c r="I243" s="929">
        <v>0.1</v>
      </c>
      <c r="J243" s="1069" t="s">
        <v>19</v>
      </c>
      <c r="K243" s="684"/>
      <c r="L243" s="684"/>
      <c r="M243" s="684"/>
      <c r="N243" s="684"/>
      <c r="O243" s="684"/>
      <c r="P243" s="684"/>
    </row>
    <row r="244" spans="1:16" ht="5.25" customHeight="1">
      <c r="A244" s="684"/>
      <c r="B244" s="684"/>
      <c r="C244" s="684"/>
      <c r="D244" s="684"/>
      <c r="E244" s="684"/>
      <c r="F244" s="689"/>
      <c r="G244" s="690"/>
      <c r="H244" s="931"/>
      <c r="I244" s="684"/>
      <c r="K244" s="684"/>
      <c r="L244" s="684"/>
      <c r="M244" s="684"/>
      <c r="N244" s="684"/>
      <c r="O244" s="684"/>
      <c r="P244" s="684"/>
    </row>
    <row r="245" spans="1:16" ht="14.25">
      <c r="A245" s="684"/>
      <c r="B245" s="913"/>
      <c r="C245" s="913"/>
      <c r="D245" s="913"/>
      <c r="E245" s="913"/>
      <c r="F245" s="689"/>
      <c r="G245" s="690"/>
      <c r="H245" s="942" t="s">
        <v>389</v>
      </c>
      <c r="I245" s="942" t="s">
        <v>423</v>
      </c>
      <c r="J245" s="684"/>
      <c r="K245" s="684"/>
      <c r="L245" s="684"/>
      <c r="M245" s="684"/>
      <c r="N245" s="684"/>
      <c r="O245" s="684"/>
      <c r="P245" s="684"/>
    </row>
    <row r="246" spans="1:16" ht="24.6" customHeight="1">
      <c r="A246" s="684"/>
      <c r="B246" s="913"/>
      <c r="C246" s="913"/>
      <c r="D246" s="913"/>
      <c r="E246" s="913" t="s">
        <v>289</v>
      </c>
      <c r="F246" s="689" t="s">
        <v>424</v>
      </c>
      <c r="G246" s="690" t="s">
        <v>246</v>
      </c>
      <c r="H246" s="929">
        <v>0.2</v>
      </c>
      <c r="I246" s="929">
        <v>0.1</v>
      </c>
      <c r="J246" s="1069" t="s">
        <v>19</v>
      </c>
      <c r="K246" s="684"/>
      <c r="L246" s="684"/>
      <c r="M246" s="684"/>
      <c r="N246" s="684"/>
      <c r="O246" s="684"/>
      <c r="P246" s="684"/>
    </row>
    <row r="247" spans="1:16" s="1085" customFormat="1" ht="7.5" customHeight="1">
      <c r="A247" s="1087"/>
      <c r="B247" s="913"/>
      <c r="C247" s="913"/>
      <c r="D247" s="913"/>
      <c r="E247" s="913"/>
      <c r="F247" s="1086"/>
      <c r="G247" s="690"/>
      <c r="H247" s="1069"/>
      <c r="I247" s="1069"/>
      <c r="J247" s="1069"/>
      <c r="K247" s="1087"/>
      <c r="L247" s="1087"/>
      <c r="M247" s="1087"/>
      <c r="N247" s="1087"/>
      <c r="O247" s="1087"/>
      <c r="P247" s="1087"/>
    </row>
    <row r="248" spans="1:16" s="1085" customFormat="1" ht="15.6" customHeight="1">
      <c r="A248" s="1087"/>
      <c r="B248" s="913"/>
      <c r="C248" s="913"/>
      <c r="D248" s="913"/>
      <c r="E248" s="921" t="s">
        <v>325</v>
      </c>
      <c r="F248" s="1086"/>
      <c r="G248" s="690"/>
      <c r="H248" s="1069"/>
      <c r="I248" s="932">
        <f>SUM(H240:H243)+I246</f>
        <v>1</v>
      </c>
      <c r="J248" s="1069"/>
      <c r="K248" s="1087"/>
      <c r="L248" s="1087"/>
      <c r="M248" s="1087"/>
      <c r="N248" s="1087"/>
      <c r="O248" s="1087"/>
      <c r="P248" s="1087"/>
    </row>
    <row r="249" spans="1:16" ht="36">
      <c r="A249" s="684"/>
      <c r="B249" s="913"/>
      <c r="C249" s="913"/>
      <c r="D249" s="913"/>
      <c r="E249" s="913" t="s">
        <v>289</v>
      </c>
      <c r="F249" s="689" t="s">
        <v>425</v>
      </c>
      <c r="G249" s="690" t="s">
        <v>246</v>
      </c>
      <c r="H249" s="929">
        <v>0.39</v>
      </c>
      <c r="I249" s="1069"/>
      <c r="J249" s="684"/>
      <c r="K249" s="684"/>
      <c r="L249" s="684"/>
      <c r="M249" s="684"/>
      <c r="N249" s="684"/>
      <c r="O249" s="684"/>
      <c r="P249" s="684"/>
    </row>
    <row r="250" spans="1:16" ht="4.5" customHeight="1">
      <c r="A250" s="684"/>
      <c r="B250" s="684"/>
      <c r="C250" s="684"/>
      <c r="D250" s="684"/>
      <c r="E250" s="684"/>
      <c r="F250" s="689"/>
      <c r="G250" s="684"/>
      <c r="H250" s="684"/>
      <c r="I250" s="684"/>
      <c r="J250" s="684"/>
      <c r="K250" s="684"/>
      <c r="L250" s="684"/>
      <c r="M250" s="684"/>
      <c r="N250" s="684"/>
      <c r="O250" s="684"/>
      <c r="P250" s="684"/>
    </row>
    <row r="251" spans="1:16" ht="14.25">
      <c r="A251" s="684"/>
      <c r="B251" s="684"/>
      <c r="C251" s="684"/>
      <c r="D251" s="684"/>
      <c r="E251" s="684"/>
      <c r="F251" s="689"/>
      <c r="G251" s="684"/>
      <c r="H251" s="684"/>
      <c r="I251" s="684"/>
      <c r="J251" s="684"/>
      <c r="K251" s="684"/>
      <c r="L251" s="684"/>
      <c r="M251" s="684"/>
      <c r="N251" s="684"/>
      <c r="O251" s="684"/>
      <c r="P251" s="684"/>
    </row>
    <row r="252" spans="1:16" thickBot="1">
      <c r="A252" s="684"/>
      <c r="B252" s="691"/>
      <c r="C252" s="691"/>
      <c r="D252" s="691"/>
      <c r="E252" s="914" t="str">
        <f>LEFT($E237,LEN($E237)-1)+1&amp;")"</f>
        <v>12)</v>
      </c>
      <c r="F252" s="914" t="s">
        <v>426</v>
      </c>
      <c r="G252" s="914"/>
      <c r="H252" s="914"/>
      <c r="I252" s="684"/>
      <c r="J252" s="684"/>
      <c r="K252" s="684"/>
      <c r="L252" s="684"/>
      <c r="M252" s="684"/>
      <c r="N252" s="684"/>
      <c r="O252" s="684"/>
      <c r="P252" s="684"/>
    </row>
    <row r="253" spans="1:16" thickTop="1">
      <c r="A253" s="684"/>
      <c r="F253" s="926"/>
      <c r="I253" s="684"/>
      <c r="J253" s="684"/>
      <c r="K253" s="684"/>
      <c r="L253" s="684"/>
      <c r="M253" s="684"/>
      <c r="N253" s="684"/>
      <c r="O253" s="684"/>
      <c r="P253" s="684"/>
    </row>
    <row r="254" spans="1:16" ht="36">
      <c r="A254" s="684"/>
      <c r="B254" s="691"/>
      <c r="C254" s="691"/>
      <c r="D254" s="691"/>
      <c r="E254" s="691"/>
      <c r="F254" s="926"/>
      <c r="H254" s="1011" t="s">
        <v>427</v>
      </c>
      <c r="I254" s="968" t="s">
        <v>428</v>
      </c>
      <c r="J254" s="684"/>
      <c r="K254" s="684"/>
      <c r="L254" s="684"/>
      <c r="M254" s="684"/>
      <c r="N254" s="684"/>
      <c r="O254" s="684"/>
      <c r="P254" s="684"/>
    </row>
    <row r="255" spans="1:16" ht="19.5">
      <c r="A255" s="684"/>
      <c r="B255" s="691"/>
      <c r="C255" s="691"/>
      <c r="D255" s="691"/>
      <c r="E255" s="913" t="s">
        <v>289</v>
      </c>
      <c r="F255" s="689" t="s">
        <v>429</v>
      </c>
      <c r="G255" s="969" t="s">
        <v>201</v>
      </c>
      <c r="H255" s="970">
        <v>10</v>
      </c>
      <c r="I255" s="970">
        <v>200</v>
      </c>
      <c r="J255" s="1069" t="s">
        <v>19</v>
      </c>
      <c r="K255" s="684"/>
      <c r="L255" s="684"/>
      <c r="M255" s="684"/>
      <c r="N255" s="684"/>
      <c r="O255" s="684"/>
      <c r="P255" s="684"/>
    </row>
    <row r="256" spans="1:16" ht="14.25">
      <c r="A256" s="684"/>
      <c r="B256" s="684"/>
      <c r="C256" s="684"/>
      <c r="D256" s="684"/>
      <c r="E256" s="684"/>
      <c r="F256" s="689"/>
      <c r="G256" s="684"/>
      <c r="H256" s="684"/>
      <c r="I256" s="684"/>
      <c r="J256" s="684"/>
      <c r="K256" s="684"/>
      <c r="L256" s="684"/>
      <c r="M256" s="684"/>
      <c r="N256" s="684"/>
      <c r="O256" s="684"/>
      <c r="P256" s="684"/>
    </row>
    <row r="257" spans="1:16" ht="14.25">
      <c r="A257" s="908" t="s">
        <v>195</v>
      </c>
      <c r="C257" s="698"/>
      <c r="D257" s="698"/>
      <c r="E257" s="922" t="str">
        <f>F32</f>
        <v>Analysis of the data</v>
      </c>
      <c r="F257" s="923"/>
      <c r="G257" s="924"/>
      <c r="H257" s="924"/>
      <c r="I257" s="924"/>
      <c r="J257" s="924"/>
      <c r="K257" s="924"/>
      <c r="L257" s="912"/>
      <c r="M257" s="912"/>
      <c r="N257" s="912"/>
      <c r="O257" s="912"/>
      <c r="P257" s="684"/>
    </row>
    <row r="258" spans="1:16" ht="14.25">
      <c r="A258" s="684"/>
      <c r="C258" s="684"/>
      <c r="D258" s="684"/>
      <c r="E258" s="684"/>
      <c r="F258" s="689"/>
      <c r="G258" s="684"/>
      <c r="H258" s="684"/>
      <c r="I258" s="684"/>
      <c r="J258" s="684"/>
      <c r="K258" s="684"/>
      <c r="L258" s="684"/>
      <c r="M258" s="684"/>
      <c r="N258" s="684"/>
      <c r="O258" s="684"/>
      <c r="P258" s="684"/>
    </row>
    <row r="259" spans="1:16" thickBot="1">
      <c r="A259" s="691"/>
      <c r="C259" s="691"/>
      <c r="D259" s="691"/>
      <c r="E259" s="914" t="str">
        <f>LEFT($E252,LEN($E252)-1)+1&amp;")"</f>
        <v>13)</v>
      </c>
      <c r="F259" s="914" t="s">
        <v>430</v>
      </c>
      <c r="G259" s="914"/>
      <c r="H259" s="914"/>
      <c r="I259" s="914"/>
      <c r="J259" s="914"/>
      <c r="K259" s="914"/>
      <c r="L259" s="684"/>
      <c r="M259" s="684"/>
      <c r="N259" s="684"/>
      <c r="O259" s="684"/>
      <c r="P259" s="684"/>
    </row>
    <row r="260" spans="1:16" ht="5.25" customHeight="1" thickTop="1">
      <c r="A260" s="691"/>
      <c r="C260" s="691"/>
      <c r="D260" s="691"/>
      <c r="E260" s="691"/>
      <c r="F260" s="926"/>
      <c r="G260" s="691"/>
      <c r="H260" s="691"/>
      <c r="I260" s="691"/>
      <c r="J260" s="691"/>
      <c r="K260" s="691"/>
      <c r="L260" s="691"/>
      <c r="M260" s="691"/>
      <c r="N260" s="691"/>
      <c r="O260" s="684"/>
      <c r="P260" s="684"/>
    </row>
    <row r="261" spans="1:16" ht="19.5">
      <c r="A261" s="913"/>
      <c r="C261" s="913"/>
      <c r="D261" s="913"/>
      <c r="E261" s="913" t="s">
        <v>289</v>
      </c>
      <c r="F261" s="689" t="s">
        <v>431</v>
      </c>
      <c r="G261" s="690" t="s">
        <v>432</v>
      </c>
      <c r="H261" s="1155" t="s">
        <v>433</v>
      </c>
      <c r="I261" s="1132"/>
      <c r="J261" s="1132"/>
      <c r="K261" s="1069" t="s">
        <v>19</v>
      </c>
      <c r="L261" s="684"/>
      <c r="M261" s="684"/>
      <c r="N261" s="684"/>
      <c r="O261" s="684"/>
      <c r="P261" s="684"/>
    </row>
    <row r="262" spans="1:16" ht="5.25" customHeight="1">
      <c r="A262" s="913"/>
      <c r="C262" s="913"/>
      <c r="D262" s="913"/>
      <c r="E262" s="913"/>
      <c r="F262" s="689"/>
      <c r="G262" s="690"/>
      <c r="H262" s="956"/>
      <c r="I262" s="949"/>
      <c r="J262" s="949"/>
      <c r="K262" s="684"/>
      <c r="L262" s="684"/>
      <c r="M262" s="684"/>
      <c r="N262" s="684"/>
      <c r="O262" s="684"/>
      <c r="P262" s="684"/>
    </row>
    <row r="263" spans="1:16" ht="29.45" customHeight="1">
      <c r="A263" s="913"/>
      <c r="C263" s="913"/>
      <c r="D263" s="913"/>
      <c r="E263" s="913" t="s">
        <v>289</v>
      </c>
      <c r="F263" s="689" t="s">
        <v>434</v>
      </c>
      <c r="G263" s="690" t="s">
        <v>246</v>
      </c>
      <c r="H263" s="929">
        <v>0.15</v>
      </c>
      <c r="I263" s="1069" t="s">
        <v>19</v>
      </c>
      <c r="J263" s="949"/>
      <c r="K263" s="684"/>
      <c r="L263" s="684"/>
      <c r="M263" s="684"/>
      <c r="N263" s="684"/>
      <c r="O263" s="684"/>
      <c r="P263" s="684"/>
    </row>
    <row r="264" spans="1:16" ht="14.25" hidden="1">
      <c r="A264" s="684"/>
      <c r="C264" s="684"/>
      <c r="D264" s="684"/>
      <c r="E264" s="684"/>
      <c r="F264" s="689" t="s">
        <v>435</v>
      </c>
      <c r="G264" s="684"/>
      <c r="H264" s="857"/>
      <c r="I264" s="684"/>
      <c r="J264" s="684"/>
      <c r="K264" s="684"/>
      <c r="L264" s="684"/>
      <c r="M264" s="684"/>
      <c r="N264" s="684"/>
      <c r="O264" s="684"/>
      <c r="P264" s="684"/>
    </row>
    <row r="265" spans="1:16" ht="14.25" hidden="1">
      <c r="A265" s="684"/>
      <c r="C265" s="684"/>
      <c r="D265" s="684"/>
      <c r="E265" s="684"/>
      <c r="F265" s="689" t="s">
        <v>433</v>
      </c>
      <c r="G265" s="684"/>
      <c r="H265" s="853"/>
      <c r="I265" s="684"/>
      <c r="J265" s="684"/>
      <c r="K265" s="684"/>
      <c r="L265" s="684"/>
      <c r="M265" s="684"/>
      <c r="N265" s="684"/>
      <c r="O265" s="684"/>
      <c r="P265" s="684"/>
    </row>
    <row r="266" spans="1:16" ht="14.25" hidden="1">
      <c r="A266" s="684"/>
      <c r="C266" s="684"/>
      <c r="D266" s="684"/>
      <c r="E266" s="684"/>
      <c r="F266" s="689" t="s">
        <v>436</v>
      </c>
      <c r="G266" s="684"/>
      <c r="H266" s="853"/>
      <c r="I266" s="684"/>
      <c r="J266" s="684"/>
      <c r="K266" s="684"/>
      <c r="L266" s="684"/>
      <c r="M266" s="684"/>
      <c r="N266" s="684"/>
      <c r="O266" s="684"/>
      <c r="P266" s="684"/>
    </row>
    <row r="267" spans="1:16" ht="14.25" hidden="1">
      <c r="A267" s="684"/>
      <c r="C267" s="684"/>
      <c r="D267" s="684"/>
      <c r="E267" s="684"/>
      <c r="F267" s="689" t="s">
        <v>437</v>
      </c>
      <c r="G267" s="684"/>
      <c r="H267" s="853"/>
      <c r="I267" s="684"/>
      <c r="J267" s="684"/>
      <c r="K267" s="684"/>
      <c r="L267" s="684"/>
      <c r="M267" s="684"/>
      <c r="N267" s="684"/>
      <c r="O267" s="684"/>
      <c r="P267" s="684"/>
    </row>
    <row r="268" spans="1:16" ht="14.25" hidden="1">
      <c r="A268" s="684"/>
      <c r="C268" s="684"/>
      <c r="D268" s="684"/>
      <c r="E268" s="684"/>
      <c r="F268" s="689" t="s">
        <v>438</v>
      </c>
      <c r="G268" s="684"/>
      <c r="H268" s="853"/>
      <c r="I268" s="684"/>
      <c r="J268" s="684"/>
      <c r="K268" s="684"/>
      <c r="L268" s="684"/>
      <c r="M268" s="684"/>
      <c r="N268" s="684"/>
      <c r="O268" s="684"/>
      <c r="P268" s="684"/>
    </row>
    <row r="269" spans="1:16" ht="14.25">
      <c r="A269" s="684"/>
      <c r="C269" s="684"/>
      <c r="D269" s="684"/>
      <c r="E269" s="684"/>
      <c r="F269" s="689"/>
      <c r="G269" s="684"/>
      <c r="H269" s="684"/>
      <c r="I269" s="684"/>
      <c r="J269" s="684"/>
      <c r="K269" s="684"/>
      <c r="L269" s="684"/>
      <c r="M269" s="684"/>
      <c r="N269" s="684"/>
      <c r="O269" s="684"/>
      <c r="P269" s="684"/>
    </row>
    <row r="270" spans="1:16" ht="14.25">
      <c r="A270" s="908" t="s">
        <v>195</v>
      </c>
      <c r="C270" s="698"/>
      <c r="D270" s="698"/>
      <c r="E270" s="922" t="str">
        <f>F34</f>
        <v>Publication</v>
      </c>
      <c r="F270" s="923"/>
      <c r="G270" s="924"/>
      <c r="H270" s="924"/>
      <c r="I270" s="924"/>
      <c r="J270" s="924"/>
      <c r="K270" s="924"/>
      <c r="L270" s="912"/>
      <c r="M270" s="912"/>
      <c r="N270" s="912"/>
      <c r="O270" s="912"/>
      <c r="P270" s="684"/>
    </row>
    <row r="271" spans="1:16" ht="5.25" customHeight="1">
      <c r="A271" s="684"/>
      <c r="B271" s="684"/>
      <c r="C271" s="684"/>
      <c r="D271" s="684"/>
      <c r="E271" s="684"/>
      <c r="F271" s="689"/>
      <c r="G271" s="684"/>
      <c r="H271" s="947"/>
      <c r="I271" s="947"/>
      <c r="J271" s="947"/>
      <c r="K271" s="947"/>
      <c r="L271" s="684"/>
      <c r="M271" s="684"/>
      <c r="N271" s="684"/>
      <c r="O271" s="684"/>
      <c r="P271" s="684"/>
    </row>
    <row r="272" spans="1:16" thickBot="1">
      <c r="A272" s="684"/>
      <c r="B272" s="691"/>
      <c r="C272" s="691"/>
      <c r="D272" s="691"/>
      <c r="E272" s="914" t="str">
        <f>LEFT($E259,LEN($E259)-1)+1&amp;")"</f>
        <v>14)</v>
      </c>
      <c r="F272" s="914" t="s">
        <v>439</v>
      </c>
      <c r="G272" s="914"/>
      <c r="H272" s="914"/>
      <c r="I272" s="914"/>
      <c r="J272" s="684"/>
      <c r="K272" s="684"/>
      <c r="L272" s="684"/>
      <c r="M272" s="684"/>
      <c r="N272" s="684"/>
      <c r="O272" s="684"/>
    </row>
    <row r="273" spans="1:16" ht="5.25" customHeight="1" thickTop="1">
      <c r="A273" s="684"/>
      <c r="B273" s="684"/>
      <c r="C273" s="684"/>
      <c r="D273" s="684"/>
      <c r="E273" s="684"/>
      <c r="F273" s="763"/>
      <c r="J273" s="684"/>
      <c r="K273" s="684"/>
      <c r="L273" s="684"/>
      <c r="M273" s="684"/>
      <c r="N273" s="684"/>
      <c r="O273" s="684"/>
    </row>
    <row r="274" spans="1:16" ht="14.25">
      <c r="A274" s="684"/>
      <c r="B274" s="684"/>
      <c r="C274" s="684"/>
      <c r="D274" s="684"/>
      <c r="E274" s="684"/>
      <c r="F274" s="763"/>
      <c r="G274" s="684"/>
      <c r="H274" s="971" t="s">
        <v>440</v>
      </c>
      <c r="I274" s="971" t="s">
        <v>441</v>
      </c>
      <c r="J274" s="684"/>
      <c r="K274" s="684"/>
      <c r="L274" s="684"/>
      <c r="M274" s="684"/>
      <c r="N274" s="684"/>
      <c r="O274" s="684"/>
    </row>
    <row r="275" spans="1:16" ht="14.25">
      <c r="A275" s="684"/>
      <c r="B275" s="684"/>
      <c r="C275" s="684"/>
      <c r="D275" s="684"/>
      <c r="E275" s="684"/>
      <c r="F275" s="763"/>
      <c r="G275" s="684"/>
      <c r="H275" s="942" t="s">
        <v>442</v>
      </c>
      <c r="I275" s="942" t="s">
        <v>442</v>
      </c>
      <c r="J275" s="684"/>
      <c r="K275" s="684"/>
      <c r="L275" s="684"/>
      <c r="M275" s="684"/>
      <c r="N275" s="684"/>
      <c r="O275" s="684"/>
    </row>
    <row r="276" spans="1:16" ht="19.5">
      <c r="A276" s="684"/>
      <c r="B276" s="921"/>
      <c r="C276" s="921"/>
      <c r="D276" s="921"/>
      <c r="E276" s="921" t="s">
        <v>289</v>
      </c>
      <c r="F276" s="772" t="s">
        <v>443</v>
      </c>
      <c r="G276" s="690" t="s">
        <v>201</v>
      </c>
      <c r="H276" s="810">
        <v>10</v>
      </c>
      <c r="I276" s="810">
        <v>4</v>
      </c>
      <c r="J276" s="1069" t="s">
        <v>19</v>
      </c>
      <c r="K276" s="684"/>
      <c r="L276" s="684"/>
      <c r="M276" s="684"/>
      <c r="N276" s="684"/>
      <c r="O276" s="684"/>
    </row>
    <row r="277" spans="1:16" ht="5.25" customHeight="1">
      <c r="A277" s="684"/>
      <c r="B277" s="684"/>
      <c r="C277" s="684"/>
      <c r="D277" s="684"/>
      <c r="E277" s="684"/>
      <c r="F277" s="689"/>
      <c r="G277" s="684"/>
      <c r="H277" s="949"/>
      <c r="I277" s="949"/>
      <c r="J277" s="832"/>
      <c r="K277" s="832"/>
      <c r="L277" s="684"/>
      <c r="M277" s="684"/>
      <c r="N277" s="684"/>
      <c r="O277" s="684"/>
      <c r="P277" s="684"/>
    </row>
    <row r="278" spans="1:16" ht="14.25">
      <c r="A278" s="684"/>
      <c r="B278" s="691"/>
      <c r="C278" s="691"/>
      <c r="D278" s="691"/>
      <c r="E278" s="914" t="str">
        <f>LEFT($E272,LEN($E272)-1)+1&amp;")"</f>
        <v>15)</v>
      </c>
      <c r="F278" s="915" t="s">
        <v>444</v>
      </c>
      <c r="G278" s="914"/>
      <c r="H278" s="914"/>
      <c r="I278" s="914"/>
      <c r="J278" s="832"/>
      <c r="K278" s="832"/>
      <c r="L278" s="684"/>
      <c r="M278" s="684"/>
      <c r="N278" s="684"/>
      <c r="O278" s="684"/>
      <c r="P278" s="684"/>
    </row>
    <row r="279" spans="1:16" ht="5.25" customHeight="1">
      <c r="A279" s="684"/>
      <c r="B279" s="684"/>
      <c r="C279" s="684"/>
      <c r="D279" s="684"/>
      <c r="E279" s="684"/>
      <c r="F279" s="689"/>
      <c r="G279" s="684"/>
      <c r="H279" s="947"/>
      <c r="I279" s="947"/>
      <c r="J279" s="684"/>
      <c r="K279" s="684"/>
      <c r="L279" s="684"/>
      <c r="M279" s="684"/>
      <c r="N279" s="684"/>
      <c r="O279" s="684"/>
    </row>
    <row r="280" spans="1:16" ht="14.25">
      <c r="A280" s="684"/>
      <c r="B280" s="684"/>
      <c r="C280" s="684"/>
      <c r="D280" s="684"/>
      <c r="E280" s="684"/>
      <c r="F280" s="689"/>
      <c r="G280" s="684"/>
      <c r="H280" s="971" t="s">
        <v>440</v>
      </c>
      <c r="I280" s="971" t="s">
        <v>441</v>
      </c>
      <c r="J280" s="684"/>
      <c r="K280" s="684"/>
      <c r="L280" s="684"/>
      <c r="M280" s="684"/>
      <c r="N280" s="684"/>
      <c r="O280" s="684"/>
    </row>
    <row r="281" spans="1:16" ht="14.25">
      <c r="A281" s="684"/>
      <c r="B281" s="684"/>
      <c r="C281" s="684"/>
      <c r="D281" s="684"/>
      <c r="E281" s="684"/>
      <c r="F281" s="689"/>
      <c r="G281" s="684"/>
      <c r="H281" s="942" t="s">
        <v>442</v>
      </c>
      <c r="I281" s="942" t="s">
        <v>442</v>
      </c>
      <c r="J281" s="684"/>
      <c r="K281" s="684"/>
      <c r="L281" s="684"/>
      <c r="M281" s="684"/>
      <c r="N281" s="684"/>
      <c r="O281" s="684"/>
    </row>
    <row r="282" spans="1:16" ht="19.5">
      <c r="A282" s="684"/>
      <c r="B282" s="684"/>
      <c r="C282" s="684"/>
      <c r="D282" s="684"/>
      <c r="E282" s="684"/>
      <c r="F282" s="689"/>
      <c r="G282" s="690" t="s">
        <v>432</v>
      </c>
      <c r="H282" s="972" t="s">
        <v>445</v>
      </c>
      <c r="I282" s="972" t="s">
        <v>445</v>
      </c>
      <c r="J282" s="1069" t="s">
        <v>19</v>
      </c>
      <c r="K282" s="684"/>
      <c r="L282" s="684"/>
      <c r="M282" s="684"/>
      <c r="N282" s="684"/>
      <c r="O282" s="684"/>
    </row>
    <row r="283" spans="1:16" ht="14.25" hidden="1">
      <c r="A283" s="684"/>
      <c r="B283" s="684"/>
      <c r="C283" s="684"/>
      <c r="D283" s="684"/>
      <c r="E283" s="684"/>
      <c r="F283" s="689" t="s">
        <v>445</v>
      </c>
      <c r="G283" s="684"/>
      <c r="H283" s="684"/>
      <c r="I283" s="684"/>
      <c r="J283" s="684"/>
      <c r="K283" s="684"/>
      <c r="L283" s="684"/>
      <c r="M283" s="684"/>
      <c r="N283" s="684"/>
      <c r="O283" s="684"/>
    </row>
    <row r="284" spans="1:16" ht="14.25" hidden="1">
      <c r="A284" s="684"/>
      <c r="B284" s="684"/>
      <c r="C284" s="684"/>
      <c r="D284" s="684"/>
      <c r="E284" s="684"/>
      <c r="F284" s="689" t="s">
        <v>446</v>
      </c>
      <c r="G284" s="684"/>
      <c r="H284" s="684"/>
      <c r="I284" s="684"/>
      <c r="J284" s="684"/>
      <c r="K284" s="684"/>
      <c r="L284" s="684"/>
      <c r="M284" s="684"/>
      <c r="N284" s="684"/>
      <c r="O284" s="684"/>
    </row>
    <row r="285" spans="1:16" ht="14.25">
      <c r="A285" s="684"/>
      <c r="B285" s="921"/>
      <c r="C285" s="921"/>
      <c r="D285" s="921"/>
      <c r="E285" s="921" t="s">
        <v>289</v>
      </c>
      <c r="F285" s="772" t="s">
        <v>447</v>
      </c>
      <c r="G285" s="690" t="s">
        <v>291</v>
      </c>
      <c r="H285" s="863">
        <v>2000</v>
      </c>
      <c r="I285" s="863">
        <v>750</v>
      </c>
      <c r="J285" s="684"/>
      <c r="K285" s="684"/>
      <c r="L285" s="684"/>
      <c r="M285" s="684"/>
      <c r="N285" s="684"/>
      <c r="O285" s="684"/>
    </row>
    <row r="286" spans="1:16" ht="14.25">
      <c r="A286" s="684"/>
      <c r="B286" s="684"/>
      <c r="C286" s="684"/>
      <c r="D286" s="684"/>
      <c r="E286" s="684"/>
      <c r="F286" s="689"/>
      <c r="G286" s="684"/>
      <c r="H286" s="684"/>
      <c r="I286" s="684"/>
      <c r="J286" s="684"/>
      <c r="K286" s="684"/>
      <c r="L286" s="684"/>
      <c r="M286" s="684"/>
      <c r="N286" s="684"/>
      <c r="O286" s="684"/>
      <c r="P286" s="684"/>
    </row>
    <row r="287" spans="1:16" thickBot="1">
      <c r="A287" s="684"/>
      <c r="B287" s="1088" t="s">
        <v>40</v>
      </c>
      <c r="C287" s="691"/>
      <c r="D287" s="691"/>
      <c r="E287" s="914" t="str">
        <f>LEFT($E278,LEN($E278)-1)+1&amp;")"</f>
        <v>16)</v>
      </c>
      <c r="F287" s="914" t="s">
        <v>448</v>
      </c>
      <c r="G287" s="914"/>
      <c r="H287" s="914"/>
      <c r="I287" s="914"/>
      <c r="J287" s="691"/>
      <c r="K287" s="684"/>
      <c r="L287" s="684"/>
      <c r="M287" s="684"/>
      <c r="N287" s="684"/>
      <c r="O287" s="684"/>
      <c r="P287" s="684"/>
    </row>
    <row r="288" spans="1:16" ht="5.25" customHeight="1">
      <c r="A288" s="684"/>
      <c r="B288" s="684"/>
      <c r="C288" s="684"/>
      <c r="D288" s="684"/>
      <c r="E288" s="684"/>
      <c r="F288" s="689"/>
      <c r="G288" s="684"/>
      <c r="H288" s="935"/>
      <c r="I288" s="935"/>
      <c r="J288" s="684"/>
      <c r="K288" s="684"/>
      <c r="L288" s="684"/>
      <c r="M288" s="684"/>
      <c r="N288" s="684"/>
      <c r="O288" s="684"/>
      <c r="P288" s="684"/>
    </row>
    <row r="289" spans="1:16" ht="14.25">
      <c r="A289" s="684"/>
      <c r="B289" s="684"/>
      <c r="C289" s="684"/>
      <c r="D289" s="684"/>
      <c r="E289" s="684"/>
      <c r="F289" s="684"/>
      <c r="G289" s="684"/>
      <c r="H289" s="942" t="s">
        <v>389</v>
      </c>
      <c r="I289" s="942" t="s">
        <v>449</v>
      </c>
      <c r="J289" s="684"/>
      <c r="K289" s="684"/>
      <c r="L289" s="684"/>
      <c r="M289" s="684"/>
      <c r="N289" s="684"/>
      <c r="O289" s="684"/>
      <c r="P289" s="684"/>
    </row>
    <row r="290" spans="1:16" ht="19.5">
      <c r="A290" s="684"/>
      <c r="B290" s="913"/>
      <c r="C290" s="913"/>
      <c r="D290" s="913"/>
      <c r="E290" s="913" t="s">
        <v>289</v>
      </c>
      <c r="F290" s="689" t="s">
        <v>450</v>
      </c>
      <c r="G290" s="690" t="s">
        <v>246</v>
      </c>
      <c r="H290" s="929">
        <v>0.05</v>
      </c>
      <c r="I290" s="929">
        <v>0.2</v>
      </c>
      <c r="J290" s="1069" t="s">
        <v>19</v>
      </c>
      <c r="K290" s="684"/>
      <c r="L290" s="684"/>
      <c r="M290" s="684"/>
      <c r="N290" s="684"/>
      <c r="O290" s="684"/>
      <c r="P290" s="684"/>
    </row>
    <row r="291" spans="1:16" ht="19.5">
      <c r="A291" s="684"/>
      <c r="B291" s="913"/>
      <c r="C291" s="913"/>
      <c r="D291" s="913"/>
      <c r="E291" s="913" t="s">
        <v>289</v>
      </c>
      <c r="F291" s="689" t="s">
        <v>451</v>
      </c>
      <c r="G291" s="690" t="s">
        <v>246</v>
      </c>
      <c r="H291" s="929">
        <v>0.15</v>
      </c>
      <c r="I291" s="929">
        <v>0.1</v>
      </c>
      <c r="J291" s="1069" t="s">
        <v>19</v>
      </c>
      <c r="K291" s="684"/>
      <c r="L291" s="684"/>
      <c r="M291" s="684"/>
      <c r="N291" s="684"/>
      <c r="O291" s="684"/>
      <c r="P291" s="684"/>
    </row>
    <row r="292" spans="1:16" ht="19.5">
      <c r="A292" s="684"/>
      <c r="B292" s="913"/>
      <c r="C292" s="913"/>
      <c r="D292" s="913"/>
      <c r="E292" s="913" t="s">
        <v>289</v>
      </c>
      <c r="F292" s="689" t="s">
        <v>452</v>
      </c>
      <c r="G292" s="690" t="s">
        <v>246</v>
      </c>
      <c r="H292" s="929">
        <v>0.8</v>
      </c>
      <c r="I292" s="929">
        <v>0.2</v>
      </c>
      <c r="J292" s="1069" t="s">
        <v>19</v>
      </c>
      <c r="K292" s="684"/>
      <c r="L292" s="684"/>
      <c r="M292" s="684"/>
      <c r="N292" s="684"/>
      <c r="O292" s="684"/>
      <c r="P292" s="684"/>
    </row>
    <row r="293" spans="1:16" ht="5.25" customHeight="1">
      <c r="A293" s="684"/>
      <c r="B293" s="684"/>
      <c r="C293" s="684"/>
      <c r="D293" s="684"/>
      <c r="E293" s="684"/>
      <c r="F293" s="684"/>
      <c r="G293" s="684"/>
      <c r="H293" s="931"/>
      <c r="I293" s="684"/>
      <c r="J293" s="684"/>
      <c r="K293" s="684"/>
      <c r="L293" s="684"/>
      <c r="M293" s="684"/>
      <c r="N293" s="684"/>
      <c r="O293" s="684"/>
      <c r="P293" s="684"/>
    </row>
    <row r="294" spans="1:16" ht="14.25">
      <c r="A294" s="684"/>
      <c r="B294" s="921"/>
      <c r="C294" s="921"/>
      <c r="D294" s="921"/>
      <c r="E294" s="921" t="s">
        <v>325</v>
      </c>
      <c r="F294" s="684"/>
      <c r="G294" s="684"/>
      <c r="H294" s="932">
        <f>SUM(H290:H292)</f>
        <v>1</v>
      </c>
      <c r="I294" s="684"/>
      <c r="J294" s="684"/>
      <c r="K294" s="684"/>
      <c r="L294" s="684"/>
      <c r="M294" s="684"/>
      <c r="N294" s="684"/>
      <c r="O294" s="684"/>
      <c r="P294" s="684"/>
    </row>
    <row r="295" spans="1:16" ht="5.25" customHeight="1">
      <c r="A295" s="684"/>
      <c r="B295" s="684"/>
      <c r="C295" s="684"/>
      <c r="D295" s="684"/>
      <c r="E295" s="684"/>
      <c r="F295" s="689"/>
      <c r="G295" s="684"/>
      <c r="H295" s="896"/>
      <c r="I295" s="684"/>
      <c r="J295" s="684"/>
      <c r="K295" s="684"/>
      <c r="L295" s="684"/>
      <c r="M295" s="684"/>
      <c r="N295" s="684"/>
      <c r="O295" s="684"/>
      <c r="P295" s="684"/>
    </row>
    <row r="296" spans="1:16" ht="24">
      <c r="B296" s="913"/>
      <c r="C296" s="913"/>
      <c r="D296" s="913"/>
      <c r="E296" s="913" t="s">
        <v>289</v>
      </c>
      <c r="F296" s="689" t="s">
        <v>453</v>
      </c>
      <c r="G296" s="690" t="s">
        <v>291</v>
      </c>
      <c r="H296" s="863">
        <v>4000</v>
      </c>
      <c r="I296" s="1069" t="s">
        <v>19</v>
      </c>
      <c r="J296" s="664"/>
      <c r="K296" s="664"/>
      <c r="L296" s="664"/>
      <c r="M296" s="664"/>
      <c r="N296" s="664"/>
      <c r="O296" s="664"/>
    </row>
    <row r="297" spans="1:16" ht="14.25">
      <c r="A297" s="684"/>
      <c r="B297" s="684"/>
      <c r="C297" s="684"/>
      <c r="D297" s="684"/>
      <c r="E297" s="684"/>
      <c r="F297" s="689"/>
      <c r="G297" s="684"/>
      <c r="H297" s="684"/>
      <c r="I297" s="684"/>
      <c r="J297" s="684"/>
      <c r="K297" s="684"/>
      <c r="L297" s="684"/>
      <c r="M297" s="684"/>
      <c r="N297" s="684"/>
      <c r="O297" s="684"/>
      <c r="P297" s="684"/>
    </row>
    <row r="298" spans="1:16" ht="14.25">
      <c r="B298" s="691"/>
      <c r="C298" s="691"/>
      <c r="D298" s="691"/>
      <c r="E298" s="914" t="str">
        <f>LEFT(E287,LEN(E287)-1)+1&amp;")"</f>
        <v>17)</v>
      </c>
      <c r="F298" s="915" t="s">
        <v>454</v>
      </c>
      <c r="G298" s="914"/>
      <c r="H298" s="914"/>
      <c r="I298" s="664"/>
      <c r="J298" s="664"/>
      <c r="K298" s="664"/>
      <c r="L298" s="664"/>
      <c r="M298" s="664"/>
      <c r="N298" s="664"/>
      <c r="O298" s="664"/>
    </row>
    <row r="299" spans="1:16" ht="14.25">
      <c r="B299" s="664"/>
      <c r="C299" s="664"/>
      <c r="D299" s="664"/>
      <c r="E299" s="664"/>
      <c r="F299" s="763"/>
      <c r="G299" s="664"/>
      <c r="H299" s="944"/>
      <c r="I299" s="664"/>
      <c r="J299" s="664"/>
      <c r="K299" s="664"/>
      <c r="L299" s="664"/>
      <c r="M299" s="664"/>
      <c r="N299" s="664"/>
      <c r="O299" s="664"/>
    </row>
    <row r="300" spans="1:16" ht="36">
      <c r="B300" s="913"/>
      <c r="C300" s="913"/>
      <c r="D300" s="913"/>
      <c r="E300" s="913" t="s">
        <v>289</v>
      </c>
      <c r="F300" s="689" t="s">
        <v>455</v>
      </c>
      <c r="G300" s="690" t="s">
        <v>246</v>
      </c>
      <c r="H300" s="929">
        <v>0.01</v>
      </c>
      <c r="I300" s="1069" t="s">
        <v>19</v>
      </c>
      <c r="J300" s="664"/>
      <c r="K300" s="664"/>
      <c r="L300" s="664"/>
      <c r="M300" s="664"/>
      <c r="N300" s="664"/>
      <c r="O300" s="664"/>
    </row>
    <row r="301" spans="1:16" ht="24">
      <c r="B301" s="913"/>
      <c r="C301" s="913"/>
      <c r="D301" s="913"/>
      <c r="E301" s="913" t="s">
        <v>289</v>
      </c>
      <c r="F301" s="689" t="s">
        <v>456</v>
      </c>
      <c r="G301" s="690" t="s">
        <v>246</v>
      </c>
      <c r="H301" s="929">
        <v>0.25</v>
      </c>
      <c r="I301" s="1069" t="s">
        <v>19</v>
      </c>
      <c r="J301" s="664"/>
      <c r="K301" s="664"/>
      <c r="L301" s="664"/>
      <c r="M301" s="664"/>
      <c r="N301" s="664"/>
      <c r="O301" s="664"/>
    </row>
    <row r="302" spans="1:16" ht="14.25">
      <c r="A302" s="684"/>
      <c r="B302" s="684"/>
      <c r="C302" s="684"/>
      <c r="D302" s="684"/>
      <c r="E302" s="684"/>
      <c r="F302" s="689"/>
      <c r="G302" s="684"/>
      <c r="H302" s="684"/>
      <c r="I302" s="684"/>
      <c r="J302" s="684"/>
      <c r="K302" s="684"/>
      <c r="L302" s="684"/>
      <c r="M302" s="684"/>
      <c r="N302" s="684"/>
      <c r="O302" s="684"/>
      <c r="P302" s="684"/>
    </row>
    <row r="303" spans="1:16" ht="14.25">
      <c r="A303" s="908" t="s">
        <v>195</v>
      </c>
      <c r="C303" s="684"/>
      <c r="D303" s="698"/>
      <c r="E303" s="922" t="str">
        <f>F35</f>
        <v xml:space="preserve">Peer review </v>
      </c>
      <c r="F303" s="923"/>
      <c r="G303" s="924"/>
      <c r="H303" s="924"/>
      <c r="I303" s="924"/>
      <c r="J303" s="924"/>
      <c r="K303" s="924"/>
      <c r="L303" s="912"/>
      <c r="M303" s="912"/>
      <c r="N303" s="912"/>
      <c r="O303" s="912"/>
      <c r="P303" s="684"/>
    </row>
    <row r="304" spans="1:16" ht="5.25" customHeight="1">
      <c r="A304" s="684"/>
      <c r="B304" s="684"/>
      <c r="C304" s="684"/>
      <c r="D304" s="684"/>
      <c r="E304" s="684"/>
      <c r="F304" s="689"/>
      <c r="G304" s="684"/>
      <c r="H304" s="946"/>
      <c r="I304" s="684"/>
      <c r="J304" s="684"/>
      <c r="K304" s="684"/>
      <c r="L304" s="684"/>
      <c r="M304" s="684"/>
      <c r="N304" s="684"/>
      <c r="O304" s="684"/>
      <c r="P304" s="684"/>
    </row>
    <row r="305" spans="1:16" ht="14.25">
      <c r="A305" s="684"/>
      <c r="B305" s="691"/>
      <c r="C305" s="684"/>
      <c r="D305" s="691"/>
      <c r="E305" s="914" t="str">
        <f>LEFT($E298,LEN($E298)-1)+1&amp;")"</f>
        <v>18)</v>
      </c>
      <c r="F305" s="915" t="s">
        <v>457</v>
      </c>
      <c r="G305" s="914"/>
      <c r="H305" s="914"/>
      <c r="I305" s="684"/>
      <c r="J305" s="684"/>
      <c r="K305" s="684"/>
      <c r="L305" s="684"/>
      <c r="M305" s="684"/>
      <c r="N305" s="684"/>
      <c r="O305" s="684"/>
      <c r="P305" s="684"/>
    </row>
    <row r="306" spans="1:16" ht="5.25" customHeight="1">
      <c r="A306" s="684"/>
      <c r="B306" s="684"/>
      <c r="C306" s="684"/>
      <c r="D306" s="684"/>
      <c r="E306" s="684"/>
      <c r="F306" s="689"/>
      <c r="G306" s="684"/>
      <c r="H306" s="946"/>
      <c r="I306" s="684"/>
      <c r="J306" s="684"/>
      <c r="K306" s="684"/>
      <c r="L306" s="684"/>
      <c r="M306" s="684"/>
      <c r="N306" s="684"/>
      <c r="O306" s="684"/>
      <c r="P306" s="684"/>
    </row>
    <row r="307" spans="1:16" ht="24">
      <c r="A307" s="684"/>
      <c r="B307" s="690"/>
      <c r="C307" s="684"/>
      <c r="D307" s="690"/>
      <c r="E307" s="690" t="s">
        <v>289</v>
      </c>
      <c r="F307" s="689" t="s">
        <v>458</v>
      </c>
      <c r="G307" s="690" t="s">
        <v>201</v>
      </c>
      <c r="H307" s="810">
        <v>9</v>
      </c>
      <c r="I307" s="1069" t="s">
        <v>19</v>
      </c>
      <c r="K307" s="684"/>
      <c r="L307" s="684"/>
      <c r="M307" s="684"/>
      <c r="N307" s="684"/>
      <c r="O307" s="684"/>
      <c r="P307" s="684"/>
    </row>
    <row r="308" spans="1:16" ht="24">
      <c r="A308" s="684"/>
      <c r="B308" s="690"/>
      <c r="C308" s="684"/>
      <c r="D308" s="690"/>
      <c r="E308" s="690" t="s">
        <v>289</v>
      </c>
      <c r="F308" s="689" t="s">
        <v>459</v>
      </c>
      <c r="G308" s="690" t="s">
        <v>201</v>
      </c>
      <c r="H308" s="810">
        <v>8</v>
      </c>
      <c r="I308" s="684"/>
      <c r="J308" s="684"/>
      <c r="K308" s="684"/>
      <c r="L308" s="684"/>
      <c r="M308" s="684"/>
      <c r="N308" s="684"/>
      <c r="O308" s="684"/>
      <c r="P308" s="684"/>
    </row>
    <row r="309" spans="1:16" ht="5.25" customHeight="1">
      <c r="A309" s="684"/>
      <c r="B309" s="690"/>
      <c r="C309" s="690"/>
      <c r="D309" s="690"/>
      <c r="E309" s="690"/>
      <c r="F309" s="689"/>
      <c r="G309" s="690"/>
      <c r="H309" s="813"/>
      <c r="I309" s="684"/>
      <c r="J309" s="684"/>
      <c r="K309" s="684"/>
      <c r="L309" s="684"/>
      <c r="M309" s="684"/>
      <c r="N309" s="684"/>
      <c r="O309" s="684"/>
      <c r="P309" s="684"/>
    </row>
    <row r="310" spans="1:16" ht="24">
      <c r="B310" s="690"/>
      <c r="C310" s="690"/>
      <c r="D310" s="690"/>
      <c r="E310" s="690" t="s">
        <v>289</v>
      </c>
      <c r="F310" s="689" t="s">
        <v>460</v>
      </c>
      <c r="G310" s="690" t="s">
        <v>201</v>
      </c>
      <c r="H310" s="810">
        <v>0.5</v>
      </c>
      <c r="I310" s="1069" t="s">
        <v>19</v>
      </c>
      <c r="J310" s="684"/>
      <c r="K310" s="684"/>
      <c r="L310" s="684"/>
      <c r="M310" s="684"/>
      <c r="N310" s="684"/>
      <c r="O310" s="684"/>
      <c r="P310" s="684"/>
    </row>
    <row r="311" spans="1:16" ht="24">
      <c r="A311" s="684"/>
      <c r="B311" s="690"/>
      <c r="C311" s="690"/>
      <c r="D311" s="690"/>
      <c r="E311" s="690" t="s">
        <v>289</v>
      </c>
      <c r="F311" s="689" t="s">
        <v>461</v>
      </c>
      <c r="G311" s="690" t="s">
        <v>462</v>
      </c>
      <c r="H311" s="810" t="s">
        <v>411</v>
      </c>
      <c r="I311" s="1069" t="s">
        <v>19</v>
      </c>
      <c r="J311" s="684"/>
      <c r="K311" s="684"/>
      <c r="L311" s="684"/>
      <c r="M311" s="684"/>
      <c r="N311" s="684"/>
      <c r="O311" s="684"/>
      <c r="P311" s="684"/>
    </row>
    <row r="312" spans="1:16" ht="5.25" customHeight="1">
      <c r="A312" s="684"/>
      <c r="B312" s="690"/>
      <c r="C312" s="690"/>
      <c r="D312" s="690"/>
      <c r="E312" s="690"/>
      <c r="F312" s="689"/>
      <c r="G312" s="690"/>
      <c r="H312" s="813"/>
      <c r="I312" s="684"/>
      <c r="J312" s="684"/>
      <c r="K312" s="684"/>
      <c r="L312" s="684"/>
      <c r="M312" s="684"/>
      <c r="N312" s="684"/>
      <c r="O312" s="684"/>
      <c r="P312" s="684"/>
    </row>
    <row r="313" spans="1:16" ht="24">
      <c r="A313" s="684"/>
      <c r="B313" s="690"/>
      <c r="C313" s="690"/>
      <c r="D313" s="690"/>
      <c r="E313" s="690" t="s">
        <v>289</v>
      </c>
      <c r="F313" s="689" t="s">
        <v>463</v>
      </c>
      <c r="G313" s="690" t="s">
        <v>201</v>
      </c>
      <c r="H313" s="810">
        <v>3</v>
      </c>
      <c r="I313" s="1069" t="s">
        <v>19</v>
      </c>
      <c r="J313" s="684"/>
      <c r="K313" s="684"/>
      <c r="L313" s="684"/>
      <c r="M313" s="684"/>
      <c r="N313" s="684"/>
      <c r="O313" s="684"/>
      <c r="P313" s="684"/>
    </row>
    <row r="314" spans="1:16" ht="14.25">
      <c r="A314" s="684"/>
      <c r="B314" s="664"/>
      <c r="C314" s="664"/>
      <c r="D314" s="664"/>
      <c r="E314" s="664"/>
      <c r="F314" s="689"/>
      <c r="G314" s="690"/>
      <c r="H314" s="690"/>
      <c r="I314" s="684"/>
      <c r="J314" s="684"/>
      <c r="K314" s="684"/>
      <c r="L314" s="684"/>
      <c r="M314" s="684"/>
      <c r="N314" s="684"/>
      <c r="O314" s="684"/>
      <c r="P314" s="684"/>
    </row>
    <row r="315" spans="1:16" ht="24">
      <c r="A315" s="684"/>
      <c r="B315" s="664"/>
      <c r="C315" s="664"/>
      <c r="D315" s="664"/>
      <c r="E315" s="664" t="s">
        <v>289</v>
      </c>
      <c r="F315" s="689" t="s">
        <v>464</v>
      </c>
      <c r="G315" s="690" t="s">
        <v>246</v>
      </c>
      <c r="H315" s="929">
        <v>0.3</v>
      </c>
      <c r="I315" s="1069" t="s">
        <v>19</v>
      </c>
      <c r="J315" s="684"/>
      <c r="K315" s="684"/>
      <c r="L315" s="684"/>
      <c r="M315" s="684"/>
      <c r="N315" s="684"/>
      <c r="O315" s="684"/>
      <c r="P315" s="684"/>
    </row>
    <row r="316" spans="1:16" ht="14.25">
      <c r="A316" s="684"/>
      <c r="B316" s="664"/>
      <c r="C316" s="664"/>
      <c r="D316" s="664"/>
      <c r="E316" s="664"/>
      <c r="F316" s="689"/>
      <c r="G316" s="690"/>
      <c r="H316" s="690"/>
      <c r="I316" s="684"/>
      <c r="J316" s="684"/>
      <c r="K316" s="684"/>
      <c r="L316" s="684"/>
      <c r="M316" s="684"/>
      <c r="N316" s="684"/>
      <c r="O316" s="684"/>
      <c r="P316" s="684"/>
    </row>
    <row r="317" spans="1:16" ht="14.25">
      <c r="A317" s="907"/>
      <c r="B317" s="884"/>
      <c r="C317" s="884"/>
      <c r="D317" s="884"/>
      <c r="E317" s="890" t="s">
        <v>465</v>
      </c>
      <c r="F317" s="891"/>
      <c r="G317" s="892"/>
      <c r="H317" s="973"/>
      <c r="I317" s="892"/>
      <c r="J317" s="892"/>
      <c r="K317" s="892"/>
      <c r="L317" s="892"/>
      <c r="M317" s="892"/>
      <c r="N317" s="892"/>
      <c r="O317" s="892"/>
      <c r="P317" s="907"/>
    </row>
    <row r="318" spans="1:16" ht="8.25" customHeight="1">
      <c r="A318" s="684"/>
      <c r="B318" s="698"/>
      <c r="C318" s="698"/>
      <c r="D318" s="698"/>
      <c r="E318" s="698"/>
      <c r="F318" s="689"/>
      <c r="G318" s="684"/>
      <c r="H318" s="690"/>
      <c r="I318" s="684"/>
      <c r="J318" s="684"/>
      <c r="K318" s="684"/>
      <c r="L318" s="684"/>
      <c r="M318" s="684"/>
      <c r="N318" s="684"/>
      <c r="O318" s="684"/>
      <c r="P318" s="684"/>
    </row>
    <row r="319" spans="1:16" ht="14.25">
      <c r="A319" s="908" t="s">
        <v>195</v>
      </c>
      <c r="C319" s="691"/>
      <c r="D319" s="691"/>
      <c r="E319" s="922" t="s">
        <v>466</v>
      </c>
      <c r="F319" s="922"/>
      <c r="G319" s="922"/>
      <c r="H319" s="922"/>
      <c r="I319" s="922"/>
      <c r="J319" s="922"/>
      <c r="K319" s="922"/>
      <c r="L319" s="922"/>
      <c r="M319" s="922"/>
      <c r="N319" s="922"/>
      <c r="O319" s="922"/>
      <c r="P319" s="684"/>
    </row>
    <row r="320" spans="1:16" ht="5.25" customHeight="1">
      <c r="A320" s="684"/>
      <c r="B320" s="684"/>
      <c r="C320" s="684"/>
      <c r="D320" s="684"/>
      <c r="E320" s="684"/>
      <c r="F320" s="689"/>
      <c r="G320" s="690"/>
      <c r="H320" s="946"/>
      <c r="I320" s="684"/>
      <c r="J320" s="684"/>
      <c r="K320" s="684"/>
      <c r="L320" s="684"/>
      <c r="M320" s="684"/>
      <c r="N320" s="684"/>
      <c r="O320" s="684"/>
      <c r="P320" s="684"/>
    </row>
    <row r="321" spans="1:16" ht="14.25">
      <c r="A321" s="684"/>
      <c r="B321" s="684"/>
      <c r="C321" s="684"/>
      <c r="D321" s="684"/>
      <c r="E321" s="914" t="str">
        <f>LEFT($E305,LEN($E305)-1)+1&amp;")"</f>
        <v>19)</v>
      </c>
      <c r="F321" s="914" t="s">
        <v>467</v>
      </c>
      <c r="G321" s="914"/>
      <c r="H321" s="966"/>
      <c r="I321" s="684"/>
      <c r="J321" s="684"/>
      <c r="K321" s="684"/>
      <c r="L321" s="684"/>
      <c r="M321" s="684"/>
      <c r="N321" s="684"/>
      <c r="O321" s="684"/>
      <c r="P321" s="684"/>
    </row>
    <row r="322" spans="1:16" ht="14.25">
      <c r="A322" s="684"/>
      <c r="B322" s="684"/>
      <c r="C322" s="684"/>
      <c r="D322" s="684"/>
      <c r="E322" s="684"/>
      <c r="F322" s="689"/>
      <c r="G322" s="690"/>
      <c r="H322" s="946"/>
      <c r="I322" s="684"/>
      <c r="J322" s="684"/>
      <c r="K322" s="684"/>
      <c r="L322" s="684"/>
      <c r="M322" s="684"/>
      <c r="N322" s="684"/>
      <c r="O322" s="684"/>
      <c r="P322" s="684"/>
    </row>
    <row r="323" spans="1:16" ht="24.75" customHeight="1">
      <c r="A323" s="684"/>
      <c r="B323" s="913"/>
      <c r="C323" s="913"/>
      <c r="D323" s="913"/>
      <c r="E323" s="913" t="s">
        <v>289</v>
      </c>
      <c r="F323" s="689" t="s">
        <v>1124</v>
      </c>
      <c r="G323" s="690" t="s">
        <v>468</v>
      </c>
      <c r="H323" s="810">
        <v>2</v>
      </c>
      <c r="I323" s="1069" t="s">
        <v>19</v>
      </c>
      <c r="J323" s="684"/>
      <c r="K323" s="684"/>
      <c r="L323" s="684"/>
      <c r="M323" s="684"/>
      <c r="N323" s="684"/>
      <c r="O323" s="684"/>
      <c r="P323" s="684"/>
    </row>
    <row r="324" spans="1:16" ht="33.75">
      <c r="A324" s="684"/>
      <c r="B324" s="913"/>
      <c r="C324" s="913"/>
      <c r="D324" s="913"/>
      <c r="E324" s="913"/>
      <c r="F324" s="770" t="s">
        <v>469</v>
      </c>
      <c r="G324" s="690"/>
      <c r="H324" s="813"/>
      <c r="I324" s="684"/>
      <c r="J324" s="684"/>
      <c r="K324" s="684"/>
      <c r="L324" s="684"/>
      <c r="M324" s="684"/>
      <c r="N324" s="684"/>
      <c r="O324" s="684"/>
      <c r="P324" s="684"/>
    </row>
    <row r="325" spans="1:16" ht="48">
      <c r="A325" s="684"/>
      <c r="B325" s="913"/>
      <c r="C325" s="913"/>
      <c r="D325" s="913"/>
      <c r="E325" s="913" t="s">
        <v>289</v>
      </c>
      <c r="F325" s="689" t="s">
        <v>470</v>
      </c>
      <c r="G325" s="690" t="s">
        <v>293</v>
      </c>
      <c r="H325" s="974" t="s">
        <v>296</v>
      </c>
      <c r="I325" s="684"/>
      <c r="J325" s="684"/>
      <c r="K325" s="684"/>
      <c r="L325" s="684"/>
      <c r="M325" s="684"/>
      <c r="N325" s="684"/>
      <c r="O325" s="684"/>
      <c r="P325" s="684"/>
    </row>
    <row r="326" spans="1:16" ht="14.25" hidden="1">
      <c r="A326" s="684"/>
      <c r="B326" s="913"/>
      <c r="C326" s="913"/>
      <c r="D326" s="913"/>
      <c r="E326" s="913"/>
      <c r="F326" s="670"/>
      <c r="G326" s="684"/>
      <c r="H326" s="813" t="str">
        <f t="shared" ref="H326:H334" si="11">E374</f>
        <v>PhD researcher</v>
      </c>
      <c r="I326" s="684"/>
      <c r="J326" s="684"/>
      <c r="K326" s="684"/>
      <c r="L326" s="684"/>
      <c r="M326" s="684"/>
      <c r="N326" s="684"/>
      <c r="O326" s="684"/>
      <c r="P326" s="684"/>
    </row>
    <row r="327" spans="1:16" ht="14.25" hidden="1">
      <c r="A327" s="684"/>
      <c r="B327" s="913"/>
      <c r="C327" s="913"/>
      <c r="D327" s="913"/>
      <c r="E327" s="913"/>
      <c r="F327" s="689"/>
      <c r="G327" s="684"/>
      <c r="H327" s="813" t="str">
        <f t="shared" si="11"/>
        <v>Lecturer assistant/Research assistant (Academic)</v>
      </c>
      <c r="I327" s="684"/>
      <c r="J327" s="684"/>
      <c r="K327" s="684"/>
      <c r="L327" s="684"/>
      <c r="M327" s="684"/>
      <c r="N327" s="684"/>
      <c r="O327" s="684"/>
      <c r="P327" s="684"/>
    </row>
    <row r="328" spans="1:16" ht="14.25" hidden="1">
      <c r="A328" s="684"/>
      <c r="B328" s="913"/>
      <c r="C328" s="913"/>
      <c r="D328" s="913"/>
      <c r="E328" s="913"/>
      <c r="F328" s="689"/>
      <c r="G328" s="684"/>
      <c r="H328" s="813" t="str">
        <f t="shared" si="11"/>
        <v>Lecturer/Researcher (Academic)</v>
      </c>
      <c r="I328" s="684"/>
      <c r="J328" s="684"/>
      <c r="K328" s="684"/>
      <c r="L328" s="684"/>
      <c r="M328" s="684"/>
      <c r="N328" s="684"/>
      <c r="O328" s="684"/>
      <c r="P328" s="684"/>
    </row>
    <row r="329" spans="1:16" ht="14.25" hidden="1">
      <c r="A329" s="684"/>
      <c r="B329" s="913"/>
      <c r="C329" s="913"/>
      <c r="D329" s="913"/>
      <c r="E329" s="913"/>
      <c r="F329" s="689"/>
      <c r="G329" s="684"/>
      <c r="H329" s="813" t="str">
        <f t="shared" si="11"/>
        <v>Other</v>
      </c>
      <c r="I329" s="684"/>
      <c r="J329" s="684"/>
      <c r="K329" s="684"/>
      <c r="L329" s="684"/>
      <c r="M329" s="684"/>
      <c r="N329" s="684"/>
      <c r="O329" s="684"/>
      <c r="P329" s="684"/>
    </row>
    <row r="330" spans="1:16" ht="14.25" hidden="1">
      <c r="A330" s="684"/>
      <c r="B330" s="913"/>
      <c r="C330" s="913"/>
      <c r="D330" s="913"/>
      <c r="E330" s="913"/>
      <c r="F330" s="689"/>
      <c r="G330" s="684"/>
      <c r="H330" s="813" t="str">
        <f t="shared" si="11"/>
        <v>Profile 5</v>
      </c>
      <c r="I330" s="684"/>
      <c r="J330" s="684"/>
      <c r="K330" s="684"/>
      <c r="L330" s="684"/>
      <c r="M330" s="684"/>
      <c r="N330" s="684"/>
      <c r="O330" s="684"/>
      <c r="P330" s="684"/>
    </row>
    <row r="331" spans="1:16" ht="14.25" hidden="1">
      <c r="A331" s="684"/>
      <c r="B331" s="913"/>
      <c r="C331" s="913"/>
      <c r="D331" s="913"/>
      <c r="E331" s="913"/>
      <c r="F331" s="689"/>
      <c r="G331" s="684"/>
      <c r="H331" s="813" t="str">
        <f t="shared" si="11"/>
        <v>Profile 6</v>
      </c>
      <c r="I331" s="684"/>
      <c r="J331" s="684"/>
      <c r="K331" s="684"/>
      <c r="L331" s="684"/>
      <c r="M331" s="684"/>
      <c r="N331" s="684"/>
      <c r="O331" s="684"/>
      <c r="P331" s="684"/>
    </row>
    <row r="332" spans="1:16" ht="14.25" hidden="1">
      <c r="A332" s="684"/>
      <c r="B332" s="913"/>
      <c r="C332" s="913"/>
      <c r="D332" s="913"/>
      <c r="E332" s="913"/>
      <c r="F332" s="689"/>
      <c r="G332" s="684"/>
      <c r="H332" s="813" t="str">
        <f t="shared" si="11"/>
        <v>Profile 7</v>
      </c>
      <c r="I332" s="684"/>
      <c r="J332" s="684"/>
      <c r="K332" s="684"/>
      <c r="L332" s="684"/>
      <c r="M332" s="684"/>
      <c r="N332" s="684"/>
      <c r="O332" s="684"/>
      <c r="P332" s="684"/>
    </row>
    <row r="333" spans="1:16" ht="14.25" hidden="1">
      <c r="A333" s="684"/>
      <c r="B333" s="913"/>
      <c r="C333" s="913"/>
      <c r="D333" s="913"/>
      <c r="E333" s="913"/>
      <c r="F333" s="689"/>
      <c r="G333" s="684"/>
      <c r="H333" s="813" t="str">
        <f t="shared" si="11"/>
        <v>Profile 8</v>
      </c>
      <c r="I333" s="684"/>
      <c r="J333" s="684"/>
      <c r="K333" s="684"/>
      <c r="L333" s="684"/>
      <c r="M333" s="684"/>
      <c r="N333" s="684"/>
      <c r="O333" s="684"/>
      <c r="P333" s="684"/>
    </row>
    <row r="334" spans="1:16" ht="14.25" hidden="1">
      <c r="A334" s="684"/>
      <c r="B334" s="913"/>
      <c r="C334" s="913"/>
      <c r="D334" s="913"/>
      <c r="E334" s="913"/>
      <c r="F334" s="689"/>
      <c r="G334" s="684"/>
      <c r="H334" s="813" t="str">
        <f t="shared" si="11"/>
        <v>No specific profile</v>
      </c>
      <c r="I334" s="684"/>
      <c r="J334" s="684"/>
      <c r="K334" s="684"/>
      <c r="L334" s="684"/>
      <c r="M334" s="684"/>
      <c r="N334" s="684"/>
      <c r="O334" s="684"/>
      <c r="P334" s="684"/>
    </row>
    <row r="335" spans="1:16" ht="5.25" customHeight="1">
      <c r="A335" s="684"/>
      <c r="B335" s="913"/>
      <c r="C335" s="913"/>
      <c r="D335" s="913"/>
      <c r="E335" s="913"/>
      <c r="F335" s="689"/>
      <c r="G335" s="690"/>
      <c r="H335" s="919"/>
      <c r="I335" s="684"/>
      <c r="J335" s="684"/>
      <c r="K335" s="684"/>
      <c r="L335" s="684"/>
      <c r="M335" s="684"/>
      <c r="N335" s="684"/>
      <c r="O335" s="684"/>
      <c r="P335" s="684"/>
    </row>
    <row r="336" spans="1:16" ht="23.45" customHeight="1">
      <c r="A336" s="684"/>
      <c r="B336" s="913"/>
      <c r="C336" s="913"/>
      <c r="D336" s="913"/>
      <c r="E336" s="913" t="s">
        <v>289</v>
      </c>
      <c r="F336" s="689" t="s">
        <v>471</v>
      </c>
      <c r="G336" s="690" t="s">
        <v>291</v>
      </c>
      <c r="H336" s="920">
        <v>40000</v>
      </c>
      <c r="I336" s="1069" t="s">
        <v>19</v>
      </c>
      <c r="J336" s="684"/>
      <c r="K336" s="684"/>
      <c r="L336" s="684"/>
      <c r="M336" s="684"/>
      <c r="N336" s="684"/>
      <c r="O336" s="684"/>
      <c r="P336" s="684"/>
    </row>
    <row r="337" spans="1:16" ht="14.25">
      <c r="A337" s="684"/>
      <c r="B337" s="684"/>
      <c r="C337" s="684"/>
      <c r="D337" s="684"/>
      <c r="E337" s="684"/>
      <c r="F337" s="689"/>
      <c r="G337" s="684"/>
      <c r="H337" s="684"/>
      <c r="I337" s="684"/>
      <c r="J337" s="684"/>
      <c r="K337" s="684"/>
      <c r="L337" s="684"/>
      <c r="M337" s="684"/>
      <c r="N337" s="684"/>
      <c r="O337" s="684"/>
      <c r="P337" s="684"/>
    </row>
    <row r="338" spans="1:16" ht="14.25">
      <c r="A338" s="908" t="s">
        <v>195</v>
      </c>
      <c r="C338" s="691"/>
      <c r="D338" s="691"/>
      <c r="E338" s="922" t="s">
        <v>472</v>
      </c>
      <c r="F338" s="922"/>
      <c r="G338" s="922"/>
      <c r="H338" s="922"/>
      <c r="I338" s="922"/>
      <c r="J338" s="922"/>
      <c r="K338" s="922"/>
      <c r="L338" s="922"/>
      <c r="M338" s="922"/>
      <c r="N338" s="922"/>
      <c r="O338" s="922"/>
      <c r="P338" s="684"/>
    </row>
    <row r="339" spans="1:16" ht="5.25" customHeight="1">
      <c r="A339" s="684"/>
      <c r="B339" s="720"/>
      <c r="C339" s="720"/>
      <c r="D339" s="720"/>
      <c r="E339" s="720"/>
      <c r="F339" s="689"/>
      <c r="G339" s="684"/>
      <c r="H339" s="690"/>
      <c r="I339" s="690"/>
      <c r="J339" s="690"/>
      <c r="K339" s="690"/>
      <c r="L339" s="690"/>
      <c r="M339" s="690"/>
      <c r="N339" s="690"/>
      <c r="O339" s="690"/>
      <c r="P339" s="684"/>
    </row>
    <row r="340" spans="1:16" ht="14.25" customHeight="1">
      <c r="A340" s="684"/>
      <c r="B340" s="720"/>
      <c r="C340" s="720"/>
      <c r="D340" s="720"/>
      <c r="E340" s="914" t="str">
        <f>LEFT($E321,LEN($E321)-1)+1&amp;")"</f>
        <v>20)</v>
      </c>
      <c r="F340" s="915" t="s">
        <v>472</v>
      </c>
      <c r="G340" s="914"/>
      <c r="H340" s="914"/>
      <c r="I340" s="914"/>
      <c r="J340" s="914"/>
      <c r="K340" s="914"/>
      <c r="L340" s="914"/>
      <c r="M340" s="951"/>
      <c r="N340" s="951"/>
      <c r="O340" s="951"/>
      <c r="P340" s="684"/>
    </row>
    <row r="341" spans="1:16" ht="5.25" customHeight="1">
      <c r="A341" s="684"/>
      <c r="B341" s="720"/>
      <c r="C341" s="720"/>
      <c r="D341" s="720"/>
      <c r="E341" s="720"/>
      <c r="F341" s="689"/>
      <c r="G341" s="684"/>
      <c r="H341" s="690"/>
      <c r="I341" s="690"/>
      <c r="J341" s="690"/>
      <c r="K341" s="690"/>
      <c r="L341" s="690"/>
      <c r="M341" s="690"/>
      <c r="N341" s="690"/>
      <c r="O341" s="690"/>
      <c r="P341" s="684"/>
    </row>
    <row r="342" spans="1:16" ht="14.25">
      <c r="A342" s="684"/>
      <c r="B342" s="720"/>
      <c r="C342" s="720"/>
      <c r="D342" s="720"/>
      <c r="E342" s="720"/>
      <c r="F342" s="689"/>
      <c r="G342" s="684"/>
      <c r="H342" s="942" t="str">
        <f t="shared" ref="H342:O342" si="12">H24</f>
        <v>PhD researcher</v>
      </c>
      <c r="I342" s="942" t="str">
        <f t="shared" si="12"/>
        <v>Lecturer assistant/Research assistant (Academic)</v>
      </c>
      <c r="J342" s="942" t="str">
        <f t="shared" si="12"/>
        <v>Lecturer/Researcher (Academic)</v>
      </c>
      <c r="K342" s="942" t="str">
        <f t="shared" si="12"/>
        <v>Other</v>
      </c>
      <c r="L342" s="942" t="str">
        <f t="shared" si="12"/>
        <v>Profile 5</v>
      </c>
      <c r="M342" s="942" t="str">
        <f t="shared" si="12"/>
        <v>Profile 6</v>
      </c>
      <c r="N342" s="942" t="str">
        <f t="shared" si="12"/>
        <v>Profile 7</v>
      </c>
      <c r="O342" s="942" t="str">
        <f t="shared" si="12"/>
        <v>Profile 8</v>
      </c>
      <c r="P342" s="684"/>
    </row>
    <row r="343" spans="1:16" ht="24">
      <c r="A343" s="684"/>
      <c r="B343" s="921"/>
      <c r="C343" s="921"/>
      <c r="D343" s="921"/>
      <c r="E343" s="921" t="s">
        <v>289</v>
      </c>
      <c r="F343" s="689" t="s">
        <v>1126</v>
      </c>
      <c r="G343" s="690" t="s">
        <v>201</v>
      </c>
      <c r="H343" s="810">
        <v>3</v>
      </c>
      <c r="I343" s="810">
        <v>3</v>
      </c>
      <c r="J343" s="810">
        <v>5</v>
      </c>
      <c r="K343" s="810">
        <v>25</v>
      </c>
      <c r="L343" s="810">
        <v>5</v>
      </c>
      <c r="M343" s="810">
        <v>1</v>
      </c>
      <c r="N343" s="810">
        <v>1</v>
      </c>
      <c r="O343" s="810">
        <v>1</v>
      </c>
      <c r="P343" s="1069" t="s">
        <v>19</v>
      </c>
    </row>
    <row r="344" spans="1:16" ht="27.6" customHeight="1">
      <c r="A344" s="684"/>
      <c r="B344" s="913"/>
      <c r="C344" s="913"/>
      <c r="D344" s="913"/>
      <c r="E344" s="913" t="s">
        <v>289</v>
      </c>
      <c r="F344" s="689" t="s">
        <v>1125</v>
      </c>
      <c r="G344" s="690" t="s">
        <v>201</v>
      </c>
      <c r="H344" s="810">
        <v>1</v>
      </c>
      <c r="I344" s="810">
        <v>1</v>
      </c>
      <c r="J344" s="810">
        <v>2</v>
      </c>
      <c r="K344" s="810">
        <v>5</v>
      </c>
      <c r="L344" s="810">
        <v>1</v>
      </c>
      <c r="M344" s="810">
        <v>0</v>
      </c>
      <c r="N344" s="810">
        <v>0</v>
      </c>
      <c r="O344" s="810">
        <v>0</v>
      </c>
      <c r="P344" s="1069" t="s">
        <v>19</v>
      </c>
    </row>
    <row r="345" spans="1:16" ht="5.25" customHeight="1">
      <c r="A345" s="684"/>
      <c r="B345" s="913"/>
      <c r="C345" s="913"/>
      <c r="D345" s="913"/>
      <c r="E345" s="913"/>
      <c r="F345" s="689"/>
      <c r="G345" s="690"/>
      <c r="H345" s="684"/>
      <c r="I345" s="684"/>
      <c r="J345" s="684"/>
      <c r="K345" s="684"/>
      <c r="L345" s="684"/>
      <c r="M345" s="684"/>
      <c r="N345" s="684"/>
      <c r="O345" s="684"/>
      <c r="P345" s="684"/>
    </row>
    <row r="346" spans="1:16" ht="24">
      <c r="A346" s="684"/>
      <c r="B346" s="913"/>
      <c r="C346" s="913"/>
      <c r="D346" s="913"/>
      <c r="E346" s="913" t="s">
        <v>289</v>
      </c>
      <c r="F346" s="689" t="s">
        <v>473</v>
      </c>
      <c r="G346" s="690" t="s">
        <v>291</v>
      </c>
      <c r="H346" s="955">
        <v>5000</v>
      </c>
      <c r="I346" s="1069" t="s">
        <v>19</v>
      </c>
      <c r="J346" s="684"/>
      <c r="K346" s="684"/>
      <c r="L346" s="684"/>
      <c r="M346" s="684"/>
      <c r="N346" s="684"/>
      <c r="O346" s="684"/>
      <c r="P346" s="684"/>
    </row>
    <row r="347" spans="1:16" ht="14.25">
      <c r="A347" s="684"/>
      <c r="B347" s="684"/>
      <c r="D347" s="684"/>
      <c r="E347" s="684"/>
      <c r="F347" s="689"/>
      <c r="G347" s="684"/>
      <c r="H347" s="684"/>
      <c r="I347" s="684"/>
      <c r="J347" s="684"/>
      <c r="K347" s="684"/>
      <c r="L347" s="684"/>
      <c r="M347" s="684"/>
      <c r="N347" s="684"/>
      <c r="O347" s="684"/>
      <c r="P347" s="684"/>
    </row>
    <row r="348" spans="1:16" ht="14.25">
      <c r="A348" s="908" t="s">
        <v>195</v>
      </c>
      <c r="B348" s="706" t="s">
        <v>40</v>
      </c>
      <c r="C348" s="897" t="s">
        <v>200</v>
      </c>
      <c r="E348" s="922" t="s">
        <v>474</v>
      </c>
      <c r="F348" s="922"/>
      <c r="G348" s="922"/>
      <c r="H348" s="922"/>
      <c r="I348" s="922"/>
      <c r="J348" s="922"/>
      <c r="K348" s="922"/>
      <c r="L348" s="922"/>
      <c r="M348" s="922"/>
      <c r="N348" s="922"/>
      <c r="O348" s="922"/>
      <c r="P348" s="684"/>
    </row>
    <row r="349" spans="1:16" ht="5.25" customHeight="1">
      <c r="A349" s="684"/>
      <c r="B349" s="698"/>
      <c r="C349" s="698"/>
      <c r="D349" s="698"/>
      <c r="F349" s="689"/>
      <c r="G349" s="684"/>
      <c r="H349" s="684"/>
      <c r="I349" s="684"/>
      <c r="J349" s="684"/>
      <c r="K349" s="684"/>
      <c r="L349" s="684"/>
      <c r="M349" s="684"/>
      <c r="N349" s="684"/>
      <c r="O349" s="684"/>
      <c r="P349" s="684"/>
    </row>
    <row r="350" spans="1:16" ht="14.25">
      <c r="A350" s="684"/>
      <c r="B350" s="698"/>
      <c r="C350" s="698"/>
      <c r="D350" s="698"/>
      <c r="E350" s="914" t="str">
        <f>LEFT($E340,LEN($E340)-1)+1&amp;")"</f>
        <v>21)</v>
      </c>
      <c r="F350" s="915" t="s">
        <v>474</v>
      </c>
      <c r="G350" s="916"/>
      <c r="H350" s="916"/>
      <c r="I350" s="684"/>
      <c r="J350" s="684"/>
      <c r="K350" s="684"/>
      <c r="L350" s="684"/>
      <c r="M350" s="684"/>
      <c r="N350" s="684"/>
      <c r="O350" s="684"/>
      <c r="P350" s="684"/>
    </row>
    <row r="351" spans="1:16" ht="14.25">
      <c r="A351" s="684"/>
      <c r="B351" s="698"/>
      <c r="C351" s="698"/>
      <c r="D351" s="698"/>
      <c r="E351" s="698"/>
      <c r="F351" s="689"/>
      <c r="G351" s="684"/>
      <c r="H351" s="684"/>
      <c r="I351" s="684"/>
      <c r="J351" s="684"/>
      <c r="K351" s="684"/>
      <c r="L351" s="684"/>
      <c r="M351" s="684"/>
      <c r="N351" s="684"/>
      <c r="O351" s="684"/>
      <c r="P351" s="684"/>
    </row>
    <row r="352" spans="1:16" ht="19.5">
      <c r="A352" s="684"/>
      <c r="B352" s="921"/>
      <c r="C352" s="921"/>
      <c r="D352" s="921"/>
      <c r="E352" s="921" t="s">
        <v>289</v>
      </c>
      <c r="F352" s="689" t="s">
        <v>475</v>
      </c>
      <c r="G352" s="690" t="s">
        <v>201</v>
      </c>
      <c r="H352" s="810">
        <v>2</v>
      </c>
      <c r="I352" s="1069" t="s">
        <v>19</v>
      </c>
      <c r="J352" s="684"/>
      <c r="K352" s="684"/>
      <c r="L352" s="684"/>
      <c r="M352" s="684"/>
      <c r="N352" s="684"/>
      <c r="O352" s="684"/>
      <c r="P352" s="684"/>
    </row>
    <row r="353" spans="1:16" ht="5.25" customHeight="1">
      <c r="A353" s="684"/>
      <c r="B353" s="921"/>
      <c r="C353" s="921"/>
      <c r="D353" s="921"/>
      <c r="E353" s="921"/>
      <c r="F353" s="689"/>
      <c r="G353" s="690"/>
      <c r="H353" s="813"/>
      <c r="J353" s="684"/>
      <c r="K353" s="684"/>
      <c r="L353" s="684"/>
      <c r="M353" s="684"/>
      <c r="N353" s="684"/>
      <c r="O353" s="684"/>
      <c r="P353" s="684"/>
    </row>
    <row r="354" spans="1:16" ht="24">
      <c r="A354" s="684"/>
      <c r="B354" s="706" t="s">
        <v>40</v>
      </c>
      <c r="C354" s="921"/>
      <c r="D354" s="921"/>
      <c r="E354" s="921" t="s">
        <v>289</v>
      </c>
      <c r="F354" s="34" t="s">
        <v>1128</v>
      </c>
      <c r="G354" s="690" t="s">
        <v>201</v>
      </c>
      <c r="H354" s="810">
        <v>5</v>
      </c>
      <c r="I354" s="1069" t="s">
        <v>19</v>
      </c>
      <c r="J354" s="684"/>
      <c r="K354" s="684"/>
      <c r="L354" s="684"/>
      <c r="M354" s="684"/>
      <c r="N354" s="684"/>
      <c r="O354" s="684"/>
      <c r="P354" s="684"/>
    </row>
    <row r="355" spans="1:16" ht="5.25" customHeight="1">
      <c r="A355" s="684"/>
      <c r="B355" s="921"/>
      <c r="C355" s="921"/>
      <c r="D355" s="921"/>
      <c r="E355" s="921"/>
      <c r="F355" s="689"/>
      <c r="G355" s="690"/>
      <c r="H355" s="813"/>
      <c r="J355" s="684"/>
      <c r="K355" s="684"/>
      <c r="L355" s="684"/>
      <c r="M355" s="684"/>
      <c r="N355" s="684"/>
      <c r="O355" s="684"/>
      <c r="P355" s="684"/>
    </row>
    <row r="356" spans="1:16" ht="14.25" hidden="1">
      <c r="A356" s="684"/>
      <c r="B356" s="696"/>
      <c r="C356" s="696"/>
      <c r="D356" s="696"/>
      <c r="E356" s="696" t="s">
        <v>476</v>
      </c>
      <c r="F356" s="689"/>
      <c r="G356" s="690"/>
      <c r="H356" s="810"/>
      <c r="J356" s="684"/>
      <c r="K356" s="684"/>
      <c r="L356" s="684"/>
      <c r="M356" s="684"/>
      <c r="N356" s="684"/>
      <c r="O356" s="684"/>
      <c r="P356" s="684"/>
    </row>
    <row r="357" spans="1:16" ht="14.25" hidden="1">
      <c r="A357" s="684"/>
      <c r="B357" s="921"/>
      <c r="C357" s="921"/>
      <c r="D357" s="921"/>
      <c r="E357" s="921" t="s">
        <v>289</v>
      </c>
      <c r="F357" s="689" t="s">
        <v>477</v>
      </c>
      <c r="G357" s="690" t="s">
        <v>201</v>
      </c>
      <c r="H357" s="810">
        <v>1</v>
      </c>
      <c r="J357" s="684"/>
      <c r="K357" s="684"/>
      <c r="L357" s="684"/>
      <c r="M357" s="684"/>
      <c r="N357" s="684"/>
      <c r="O357" s="684"/>
      <c r="P357" s="684"/>
    </row>
    <row r="358" spans="1:16" ht="24" hidden="1">
      <c r="A358" s="684"/>
      <c r="B358" s="921"/>
      <c r="C358" s="921"/>
      <c r="D358" s="921"/>
      <c r="E358" s="921" t="s">
        <v>289</v>
      </c>
      <c r="F358" s="689" t="s">
        <v>478</v>
      </c>
      <c r="G358" s="690" t="s">
        <v>246</v>
      </c>
      <c r="H358" s="929">
        <v>0.5</v>
      </c>
      <c r="I358" s="949"/>
      <c r="J358" s="684"/>
      <c r="K358" s="684"/>
      <c r="L358" s="684"/>
      <c r="M358" s="684"/>
      <c r="N358" s="684"/>
      <c r="O358" s="684"/>
      <c r="P358" s="684"/>
    </row>
    <row r="359" spans="1:16" ht="14.25" hidden="1">
      <c r="A359" s="684"/>
      <c r="B359" s="921"/>
      <c r="C359" s="921"/>
      <c r="D359" s="921"/>
      <c r="E359" s="921"/>
      <c r="F359" s="689"/>
      <c r="G359" s="813"/>
      <c r="H359" s="813"/>
      <c r="I359" s="949"/>
      <c r="J359" s="684"/>
      <c r="K359" s="684"/>
      <c r="L359" s="684"/>
      <c r="M359" s="684"/>
      <c r="N359" s="684"/>
      <c r="O359" s="684"/>
      <c r="P359" s="684"/>
    </row>
    <row r="360" spans="1:16" ht="24" hidden="1">
      <c r="A360" s="684"/>
      <c r="B360" s="921"/>
      <c r="C360" s="921"/>
      <c r="D360" s="921"/>
      <c r="E360" s="921" t="s">
        <v>289</v>
      </c>
      <c r="F360" s="689" t="s">
        <v>479</v>
      </c>
      <c r="G360" s="813" t="s">
        <v>480</v>
      </c>
      <c r="H360" s="810">
        <v>20</v>
      </c>
      <c r="I360" s="949" t="s">
        <v>481</v>
      </c>
      <c r="J360" s="684"/>
      <c r="K360" s="684"/>
      <c r="L360" s="684"/>
      <c r="M360" s="684"/>
      <c r="N360" s="684"/>
      <c r="O360" s="684"/>
      <c r="P360" s="684"/>
    </row>
    <row r="361" spans="1:16" ht="24" hidden="1">
      <c r="A361" s="684"/>
      <c r="B361" s="921"/>
      <c r="C361" s="921"/>
      <c r="D361" s="921"/>
      <c r="E361" s="921" t="s">
        <v>289</v>
      </c>
      <c r="F361" s="689" t="s">
        <v>482</v>
      </c>
      <c r="G361" s="690" t="s">
        <v>246</v>
      </c>
      <c r="H361" s="929">
        <v>1</v>
      </c>
      <c r="I361" s="684"/>
      <c r="J361" s="684"/>
      <c r="K361" s="684"/>
      <c r="L361" s="684"/>
      <c r="M361" s="684"/>
      <c r="N361" s="684"/>
      <c r="O361" s="684"/>
      <c r="P361" s="684"/>
    </row>
    <row r="362" spans="1:16" ht="14.25" hidden="1">
      <c r="A362" s="684"/>
      <c r="B362" s="696"/>
      <c r="C362" s="696"/>
      <c r="D362" s="696"/>
      <c r="E362" s="696" t="s">
        <v>29</v>
      </c>
      <c r="F362" s="689"/>
      <c r="G362" s="690"/>
      <c r="H362" s="690"/>
      <c r="I362" s="684"/>
      <c r="J362" s="684"/>
      <c r="K362" s="684"/>
      <c r="L362" s="684"/>
      <c r="M362" s="684"/>
      <c r="N362" s="684"/>
      <c r="O362" s="684"/>
      <c r="P362" s="684"/>
    </row>
    <row r="363" spans="1:16" ht="27" customHeight="1">
      <c r="A363" s="684"/>
      <c r="B363" s="921"/>
      <c r="C363" s="921"/>
      <c r="D363" s="921"/>
      <c r="E363" s="921" t="s">
        <v>289</v>
      </c>
      <c r="F363" s="689" t="s">
        <v>483</v>
      </c>
      <c r="G363" s="690" t="s">
        <v>432</v>
      </c>
      <c r="H363" s="810" t="s">
        <v>484</v>
      </c>
      <c r="I363" s="1069" t="s">
        <v>19</v>
      </c>
      <c r="J363" s="684"/>
      <c r="K363" s="684"/>
      <c r="L363" s="684"/>
      <c r="M363" s="684"/>
      <c r="N363" s="684"/>
      <c r="O363" s="684"/>
      <c r="P363" s="684"/>
    </row>
    <row r="364" spans="1:16" ht="5.25" customHeight="1">
      <c r="A364" s="684"/>
      <c r="B364" s="921"/>
      <c r="C364" s="921"/>
      <c r="D364" s="921"/>
      <c r="E364" s="921"/>
      <c r="F364" s="689"/>
      <c r="G364" s="690"/>
      <c r="H364" s="813"/>
      <c r="I364" s="684"/>
      <c r="J364" s="684"/>
      <c r="K364" s="684"/>
      <c r="L364" s="684"/>
      <c r="M364" s="684"/>
      <c r="N364" s="684"/>
      <c r="O364" s="684"/>
      <c r="P364" s="684"/>
    </row>
    <row r="365" spans="1:16" ht="36">
      <c r="A365" s="684"/>
      <c r="B365" s="921"/>
      <c r="C365" s="921"/>
      <c r="D365" s="921"/>
      <c r="E365" s="921" t="str">
        <f>IF($H$363= "Mix", "-", "")</f>
        <v>-</v>
      </c>
      <c r="F365" s="689" t="str">
        <f>IF($H$363= "Mix", "Which proportion of internal employees (in FTE) do you estimate will be trained compared to the total number of new FTEs required for data stewardship activities?", "")</f>
        <v>Which proportion of internal employees (in FTE) do you estimate will be trained compared to the total number of new FTEs required for data stewardship activities?</v>
      </c>
      <c r="G365" s="690" t="str">
        <f>IF($H$363="Mix", "%","")</f>
        <v>%</v>
      </c>
      <c r="H365" s="929">
        <f>IF(H363="Mix",70%, IF(H363="Train", 100%,0%))</f>
        <v>0.7</v>
      </c>
      <c r="I365" s="1069" t="s">
        <v>19</v>
      </c>
      <c r="J365" s="684"/>
      <c r="K365" s="684"/>
      <c r="L365" s="684"/>
      <c r="M365" s="684"/>
      <c r="N365" s="684"/>
      <c r="O365" s="684"/>
      <c r="P365" s="684"/>
    </row>
    <row r="366" spans="1:16" ht="5.25" customHeight="1">
      <c r="A366" s="684"/>
      <c r="B366" s="921"/>
      <c r="C366" s="921"/>
      <c r="D366" s="921"/>
      <c r="E366" s="921"/>
      <c r="F366" s="689"/>
      <c r="G366" s="690"/>
      <c r="H366" s="957"/>
      <c r="I366" s="684"/>
      <c r="J366" s="684"/>
      <c r="K366" s="684"/>
      <c r="L366" s="684"/>
      <c r="M366" s="684"/>
      <c r="N366" s="684"/>
      <c r="O366" s="684"/>
      <c r="P366" s="684"/>
    </row>
    <row r="367" spans="1:16" ht="24">
      <c r="A367" s="684"/>
      <c r="B367" s="921"/>
      <c r="C367" s="921"/>
      <c r="D367" s="921"/>
      <c r="E367" s="921" t="s">
        <v>289</v>
      </c>
      <c r="F367" s="689" t="s">
        <v>487</v>
      </c>
      <c r="G367" s="690" t="s">
        <v>291</v>
      </c>
      <c r="H367" s="955">
        <v>1500</v>
      </c>
      <c r="I367" s="1069" t="s">
        <v>19</v>
      </c>
      <c r="J367" s="684"/>
      <c r="K367" s="684"/>
      <c r="L367" s="684"/>
      <c r="M367" s="684"/>
      <c r="N367" s="684"/>
      <c r="O367" s="684"/>
      <c r="P367" s="684"/>
    </row>
    <row r="368" spans="1:16" ht="14.25" hidden="1">
      <c r="A368" s="684"/>
      <c r="B368" s="696"/>
      <c r="C368" s="696"/>
      <c r="D368" s="696"/>
      <c r="E368" s="696" t="s">
        <v>5</v>
      </c>
      <c r="F368" s="689"/>
      <c r="G368" s="690"/>
      <c r="H368" s="684"/>
      <c r="I368" s="684"/>
      <c r="J368" s="684"/>
      <c r="K368" s="684"/>
      <c r="L368" s="684"/>
      <c r="M368" s="684"/>
      <c r="N368" s="684"/>
      <c r="O368" s="684"/>
      <c r="P368" s="684"/>
    </row>
    <row r="369" spans="1:16" ht="14.25" hidden="1">
      <c r="A369" s="684"/>
      <c r="B369" s="921"/>
      <c r="C369" s="921"/>
      <c r="D369" s="921"/>
      <c r="E369" s="921"/>
      <c r="F369" s="689" t="s">
        <v>488</v>
      </c>
      <c r="G369" s="690"/>
      <c r="H369" s="684"/>
      <c r="I369" s="684"/>
      <c r="J369" s="684"/>
      <c r="K369" s="684"/>
      <c r="L369" s="684"/>
      <c r="M369" s="684"/>
      <c r="N369" s="684"/>
      <c r="O369" s="684"/>
      <c r="P369" s="684"/>
    </row>
    <row r="370" spans="1:16" ht="14.25" hidden="1">
      <c r="A370" s="684"/>
      <c r="B370" s="921"/>
      <c r="C370" s="921"/>
      <c r="D370" s="921"/>
      <c r="E370" s="921"/>
      <c r="F370" s="689" t="s">
        <v>489</v>
      </c>
      <c r="G370" s="690"/>
      <c r="H370" s="684"/>
      <c r="I370" s="684"/>
      <c r="J370" s="684"/>
      <c r="K370" s="684"/>
      <c r="L370" s="684"/>
      <c r="M370" s="684"/>
      <c r="N370" s="684"/>
      <c r="O370" s="684"/>
      <c r="P370" s="684"/>
    </row>
    <row r="371" spans="1:16" ht="14.25" hidden="1">
      <c r="A371" s="684"/>
      <c r="B371" s="921"/>
      <c r="C371" s="921"/>
      <c r="D371" s="921"/>
      <c r="E371" s="921"/>
      <c r="F371" s="689" t="s">
        <v>484</v>
      </c>
      <c r="G371" s="690"/>
      <c r="H371" s="684"/>
      <c r="I371" s="684"/>
      <c r="J371" s="684"/>
      <c r="K371" s="684"/>
      <c r="L371" s="684"/>
      <c r="M371" s="684"/>
      <c r="N371" s="684"/>
      <c r="O371" s="684"/>
      <c r="P371" s="684"/>
    </row>
    <row r="372" spans="1:16" ht="14.25" hidden="1">
      <c r="A372" s="684"/>
      <c r="B372" s="696"/>
      <c r="C372" s="696"/>
      <c r="D372" s="696"/>
      <c r="E372" s="696" t="s">
        <v>29</v>
      </c>
      <c r="F372" s="689"/>
      <c r="G372" s="690"/>
      <c r="H372" s="684"/>
      <c r="I372" s="684"/>
      <c r="J372" s="684"/>
      <c r="K372" s="684"/>
      <c r="L372" s="684"/>
      <c r="M372" s="684"/>
      <c r="N372" s="684"/>
      <c r="O372" s="684"/>
      <c r="P372" s="684"/>
    </row>
    <row r="373" spans="1:16" ht="14.25" hidden="1">
      <c r="A373" s="684"/>
      <c r="B373" s="696"/>
      <c r="C373" s="696"/>
      <c r="D373" s="696"/>
      <c r="E373" s="696" t="s">
        <v>5</v>
      </c>
      <c r="F373" s="689"/>
      <c r="G373" s="690"/>
      <c r="H373" s="684"/>
      <c r="I373" s="684"/>
      <c r="J373" s="684"/>
      <c r="K373" s="684"/>
      <c r="L373" s="684"/>
      <c r="M373" s="684"/>
      <c r="N373" s="684"/>
      <c r="O373" s="684"/>
      <c r="P373" s="684"/>
    </row>
    <row r="374" spans="1:16" ht="14.25" hidden="1">
      <c r="A374" s="684"/>
      <c r="B374" s="720"/>
      <c r="C374" s="720"/>
      <c r="D374" s="720"/>
      <c r="E374" s="720" t="str">
        <f>H24</f>
        <v>PhD researcher</v>
      </c>
      <c r="F374" s="689"/>
      <c r="G374" s="690"/>
      <c r="H374" s="684"/>
      <c r="I374" s="684"/>
      <c r="J374" s="684"/>
      <c r="K374" s="684"/>
      <c r="L374" s="684"/>
      <c r="M374" s="684"/>
      <c r="N374" s="684"/>
      <c r="O374" s="684"/>
      <c r="P374" s="684"/>
    </row>
    <row r="375" spans="1:16" ht="14.25" hidden="1">
      <c r="A375" s="684"/>
      <c r="B375" s="720"/>
      <c r="C375" s="720"/>
      <c r="D375" s="720"/>
      <c r="E375" s="720" t="str">
        <f>I24</f>
        <v>Lecturer assistant/Research assistant (Academic)</v>
      </c>
      <c r="F375" s="689"/>
      <c r="G375" s="690"/>
      <c r="H375" s="684"/>
      <c r="I375" s="684"/>
      <c r="J375" s="684"/>
      <c r="K375" s="684"/>
      <c r="L375" s="684"/>
      <c r="M375" s="684"/>
      <c r="N375" s="684"/>
      <c r="O375" s="684"/>
      <c r="P375" s="684"/>
    </row>
    <row r="376" spans="1:16" ht="14.25" hidden="1">
      <c r="A376" s="684"/>
      <c r="B376" s="720"/>
      <c r="C376" s="720"/>
      <c r="D376" s="720"/>
      <c r="E376" s="720" t="str">
        <f>J24</f>
        <v>Lecturer/Researcher (Academic)</v>
      </c>
      <c r="F376" s="689"/>
      <c r="G376" s="690"/>
      <c r="H376" s="684"/>
      <c r="I376" s="684"/>
      <c r="J376" s="684"/>
      <c r="K376" s="684"/>
      <c r="L376" s="684"/>
      <c r="M376" s="684"/>
      <c r="N376" s="684"/>
      <c r="O376" s="684"/>
      <c r="P376" s="684"/>
    </row>
    <row r="377" spans="1:16" ht="14.25" hidden="1">
      <c r="A377" s="684"/>
      <c r="B377" s="720"/>
      <c r="C377" s="720"/>
      <c r="D377" s="720"/>
      <c r="E377" s="720" t="str">
        <f>K24</f>
        <v>Other</v>
      </c>
      <c r="F377" s="689"/>
      <c r="G377" s="690"/>
      <c r="H377" s="684"/>
      <c r="I377" s="684"/>
      <c r="J377" s="684"/>
      <c r="K377" s="684"/>
      <c r="L377" s="684"/>
      <c r="M377" s="684"/>
      <c r="N377" s="684"/>
      <c r="O377" s="684"/>
      <c r="P377" s="684"/>
    </row>
    <row r="378" spans="1:16" ht="14.25" hidden="1">
      <c r="A378" s="684"/>
      <c r="B378" s="720"/>
      <c r="C378" s="720"/>
      <c r="D378" s="720"/>
      <c r="E378" s="720" t="str">
        <f>L24</f>
        <v>Profile 5</v>
      </c>
      <c r="F378" s="689"/>
      <c r="G378" s="690"/>
      <c r="H378" s="684"/>
      <c r="I378" s="684"/>
      <c r="J378" s="684"/>
      <c r="K378" s="684"/>
      <c r="L378" s="684"/>
      <c r="M378" s="684"/>
      <c r="N378" s="684"/>
      <c r="O378" s="684"/>
      <c r="P378" s="684"/>
    </row>
    <row r="379" spans="1:16" ht="14.25" hidden="1">
      <c r="A379" s="684"/>
      <c r="B379" s="720"/>
      <c r="C379" s="720"/>
      <c r="D379" s="720"/>
      <c r="E379" s="720" t="str">
        <f>M24</f>
        <v>Profile 6</v>
      </c>
      <c r="F379" s="689"/>
      <c r="G379" s="690"/>
      <c r="H379" s="684"/>
      <c r="I379" s="684"/>
      <c r="J379" s="684"/>
      <c r="K379" s="684"/>
      <c r="L379" s="684"/>
      <c r="M379" s="684"/>
      <c r="N379" s="684"/>
      <c r="O379" s="684"/>
      <c r="P379" s="684"/>
    </row>
    <row r="380" spans="1:16" ht="14.25" hidden="1">
      <c r="A380" s="684"/>
      <c r="B380" s="720"/>
      <c r="C380" s="720"/>
      <c r="D380" s="720"/>
      <c r="E380" s="720" t="str">
        <f>N24</f>
        <v>Profile 7</v>
      </c>
      <c r="F380" s="689"/>
      <c r="G380" s="690"/>
      <c r="H380" s="684"/>
      <c r="I380" s="684"/>
      <c r="J380" s="684"/>
      <c r="K380" s="684"/>
      <c r="L380" s="684"/>
      <c r="M380" s="684"/>
      <c r="N380" s="684"/>
      <c r="O380" s="684"/>
      <c r="P380" s="684"/>
    </row>
    <row r="381" spans="1:16" ht="14.25" hidden="1">
      <c r="A381" s="684"/>
      <c r="B381" s="720"/>
      <c r="C381" s="720"/>
      <c r="D381" s="720"/>
      <c r="E381" s="720" t="str">
        <f>O24</f>
        <v>Profile 8</v>
      </c>
      <c r="F381" s="689"/>
      <c r="G381" s="690"/>
      <c r="H381" s="684"/>
      <c r="I381" s="684"/>
      <c r="J381" s="684"/>
      <c r="K381" s="684"/>
      <c r="L381" s="684"/>
      <c r="M381" s="684"/>
      <c r="N381" s="684"/>
      <c r="O381" s="684"/>
      <c r="P381" s="684"/>
    </row>
    <row r="382" spans="1:16" ht="14.25" hidden="1">
      <c r="A382" s="684"/>
      <c r="B382" s="720"/>
      <c r="C382" s="720"/>
      <c r="D382" s="720"/>
      <c r="E382" s="720" t="s">
        <v>492</v>
      </c>
      <c r="F382" s="689"/>
      <c r="G382" s="690"/>
      <c r="H382" s="684"/>
      <c r="I382" s="684"/>
      <c r="J382" s="684"/>
      <c r="K382" s="684"/>
      <c r="L382" s="684"/>
      <c r="M382" s="684"/>
      <c r="N382" s="684"/>
      <c r="O382" s="684"/>
      <c r="P382" s="684"/>
    </row>
    <row r="383" spans="1:16" ht="14.25" hidden="1">
      <c r="A383" s="684"/>
      <c r="B383" s="696"/>
      <c r="C383" s="696"/>
      <c r="D383" s="696"/>
      <c r="E383" s="696" t="s">
        <v>29</v>
      </c>
      <c r="F383" s="689"/>
      <c r="G383" s="690"/>
      <c r="H383" s="684"/>
      <c r="I383" s="684"/>
      <c r="J383" s="684"/>
      <c r="K383" s="684"/>
      <c r="L383" s="684"/>
      <c r="M383" s="684"/>
      <c r="N383" s="684"/>
      <c r="O383" s="684"/>
      <c r="P383" s="684"/>
    </row>
    <row r="384" spans="1:16" ht="24">
      <c r="A384" s="684"/>
      <c r="B384" s="921"/>
      <c r="C384" s="921"/>
      <c r="D384" s="921"/>
      <c r="E384" s="921" t="s">
        <v>289</v>
      </c>
      <c r="F384" s="689" t="s">
        <v>493</v>
      </c>
      <c r="G384" s="690" t="s">
        <v>291</v>
      </c>
      <c r="H384" s="955">
        <v>35000</v>
      </c>
      <c r="I384" s="1069" t="s">
        <v>19</v>
      </c>
      <c r="J384" s="684"/>
      <c r="K384" s="684"/>
      <c r="L384" s="684"/>
      <c r="M384" s="684"/>
      <c r="N384" s="684"/>
      <c r="O384" s="684"/>
      <c r="P384" s="684"/>
    </row>
    <row r="385" spans="1:16" ht="14.25">
      <c r="A385" s="684"/>
      <c r="B385" s="691"/>
      <c r="C385" s="691"/>
      <c r="D385" s="691"/>
      <c r="E385" s="691"/>
      <c r="F385" s="926"/>
      <c r="G385" s="691"/>
      <c r="H385" s="691"/>
      <c r="I385" s="691"/>
      <c r="J385" s="691"/>
      <c r="K385" s="691"/>
      <c r="L385" s="691"/>
      <c r="M385" s="684"/>
      <c r="N385" s="684"/>
      <c r="O385" s="684"/>
      <c r="P385" s="684"/>
    </row>
    <row r="386" spans="1:16" ht="14.25">
      <c r="A386" s="908" t="s">
        <v>195</v>
      </c>
      <c r="C386" s="691"/>
      <c r="D386" s="691"/>
      <c r="E386" s="922" t="s">
        <v>495</v>
      </c>
      <c r="F386" s="923"/>
      <c r="G386" s="922"/>
      <c r="H386" s="923"/>
      <c r="I386" s="922"/>
      <c r="J386" s="923"/>
      <c r="K386" s="922"/>
      <c r="L386" s="923"/>
      <c r="M386" s="923"/>
      <c r="N386" s="923"/>
      <c r="O386" s="923"/>
      <c r="P386" s="684"/>
    </row>
    <row r="387" spans="1:16" ht="5.25" customHeight="1">
      <c r="A387" s="684"/>
      <c r="B387" s="691"/>
      <c r="C387" s="691"/>
      <c r="D387" s="691"/>
      <c r="E387" s="691"/>
      <c r="F387" s="926"/>
      <c r="G387" s="691"/>
      <c r="H387" s="691"/>
      <c r="I387" s="691"/>
      <c r="J387" s="691"/>
      <c r="K387" s="691"/>
      <c r="L387" s="691"/>
      <c r="M387" s="691"/>
      <c r="N387" s="684"/>
      <c r="O387" s="684"/>
      <c r="P387" s="684"/>
    </row>
    <row r="388" spans="1:16" ht="14.25">
      <c r="A388" s="907"/>
      <c r="B388" s="948"/>
      <c r="C388" s="948"/>
      <c r="D388" s="948"/>
      <c r="E388" s="914" t="str">
        <f>LEFT($E350,LEN($E350)-1)+1&amp;")"</f>
        <v>22)</v>
      </c>
      <c r="F388" s="914" t="s">
        <v>498</v>
      </c>
      <c r="G388" s="914"/>
      <c r="H388" s="914"/>
      <c r="I388" s="907"/>
      <c r="J388" s="907"/>
      <c r="K388" s="937"/>
      <c r="L388" s="907"/>
      <c r="M388" s="907"/>
      <c r="N388" s="907"/>
      <c r="O388" s="907"/>
      <c r="P388" s="907"/>
    </row>
    <row r="389" spans="1:16" ht="5.25" customHeight="1" thickTop="1">
      <c r="A389" s="684"/>
      <c r="B389" s="921"/>
      <c r="C389" s="921"/>
      <c r="D389" s="921"/>
      <c r="E389" s="921"/>
      <c r="F389" s="689"/>
      <c r="P389" s="684"/>
    </row>
    <row r="390" spans="1:16" ht="19.5">
      <c r="E390" s="948" t="s">
        <v>289</v>
      </c>
      <c r="F390" s="689" t="s">
        <v>499</v>
      </c>
      <c r="G390" s="690" t="s">
        <v>291</v>
      </c>
      <c r="H390" s="975">
        <v>5000</v>
      </c>
      <c r="I390" s="1069" t="s">
        <v>19</v>
      </c>
      <c r="J390" s="664"/>
      <c r="K390" s="664"/>
      <c r="L390" s="664"/>
      <c r="M390" s="664"/>
      <c r="N390" s="664"/>
      <c r="O390" s="664"/>
    </row>
    <row r="391" spans="1:16" ht="14.25">
      <c r="J391" s="664"/>
      <c r="K391" s="664"/>
      <c r="L391" s="664"/>
      <c r="M391" s="664"/>
      <c r="N391" s="664"/>
      <c r="O391" s="664"/>
    </row>
    <row r="392" spans="1:16" ht="14.25">
      <c r="E392" s="914" t="str">
        <f>LEFT($E388,LEN($E388)-1)+1&amp;")"</f>
        <v>23)</v>
      </c>
      <c r="F392" s="915" t="s">
        <v>495</v>
      </c>
      <c r="G392" s="914"/>
      <c r="H392" s="914"/>
      <c r="J392" s="664"/>
      <c r="K392" s="664"/>
      <c r="L392" s="664"/>
      <c r="M392" s="664"/>
      <c r="N392" s="664"/>
      <c r="O392" s="664"/>
    </row>
    <row r="393" spans="1:16" ht="14.25">
      <c r="J393" s="664"/>
      <c r="K393" s="664"/>
      <c r="L393" s="664"/>
      <c r="M393" s="664"/>
      <c r="N393" s="664"/>
      <c r="O393" s="664"/>
    </row>
    <row r="394" spans="1:16" ht="24">
      <c r="C394" s="897" t="s">
        <v>200</v>
      </c>
      <c r="D394" s="948"/>
      <c r="E394" s="948" t="s">
        <v>289</v>
      </c>
      <c r="F394" s="689" t="s">
        <v>500</v>
      </c>
      <c r="G394" s="690" t="s">
        <v>208</v>
      </c>
      <c r="H394" s="810">
        <v>6</v>
      </c>
      <c r="I394" s="1069"/>
      <c r="J394" s="664"/>
      <c r="K394" s="664"/>
      <c r="L394" s="664"/>
      <c r="M394" s="664"/>
      <c r="N394" s="664"/>
      <c r="O394" s="664"/>
    </row>
    <row r="395" spans="1:16" ht="5.25" customHeight="1">
      <c r="A395" s="969"/>
      <c r="B395" s="976"/>
      <c r="C395" s="976"/>
      <c r="D395" s="976"/>
      <c r="E395" s="976"/>
      <c r="F395" s="930"/>
      <c r="G395" s="690"/>
      <c r="H395" s="813"/>
      <c r="I395" s="944"/>
      <c r="J395" s="944"/>
      <c r="K395" s="944"/>
      <c r="L395" s="944"/>
      <c r="M395" s="944"/>
      <c r="N395" s="944"/>
      <c r="O395" s="944"/>
      <c r="P395" s="969"/>
    </row>
    <row r="396" spans="1:16" ht="36">
      <c r="B396" s="948"/>
      <c r="C396" s="948"/>
      <c r="D396" s="948"/>
      <c r="E396" s="948" t="s">
        <v>289</v>
      </c>
      <c r="F396" s="1075" t="s">
        <v>1119</v>
      </c>
      <c r="G396" s="690" t="s">
        <v>432</v>
      </c>
      <c r="H396" s="810" t="s">
        <v>502</v>
      </c>
      <c r="I396" s="664"/>
      <c r="J396" s="664"/>
      <c r="K396" s="664"/>
      <c r="L396" s="664"/>
      <c r="M396" s="664"/>
      <c r="N396" s="664"/>
      <c r="O396" s="664"/>
    </row>
    <row r="397" spans="1:16" ht="14.25" hidden="1">
      <c r="B397" s="664"/>
      <c r="C397" s="664"/>
      <c r="D397" s="664"/>
      <c r="E397" s="664"/>
      <c r="F397" s="689" t="s">
        <v>503</v>
      </c>
      <c r="H397" s="810"/>
      <c r="I397" s="664"/>
      <c r="J397" s="664"/>
      <c r="K397" s="664"/>
      <c r="L397" s="664"/>
      <c r="M397" s="664"/>
      <c r="N397" s="664"/>
      <c r="O397" s="664"/>
    </row>
    <row r="398" spans="1:16" ht="14.25" hidden="1">
      <c r="B398" s="664"/>
      <c r="C398" s="664"/>
      <c r="D398" s="664"/>
      <c r="E398" s="664"/>
      <c r="F398" s="689" t="s">
        <v>502</v>
      </c>
      <c r="G398" s="664"/>
      <c r="H398" s="810"/>
      <c r="I398" s="664"/>
      <c r="J398" s="664"/>
      <c r="K398" s="664"/>
      <c r="L398" s="664"/>
      <c r="M398" s="664"/>
      <c r="N398" s="664"/>
      <c r="O398" s="664"/>
    </row>
    <row r="399" spans="1:16" ht="19.5">
      <c r="B399" s="664"/>
      <c r="C399" s="664"/>
      <c r="D399" s="664"/>
      <c r="E399" s="948" t="s">
        <v>289</v>
      </c>
      <c r="F399" s="689" t="s">
        <v>1120</v>
      </c>
      <c r="G399" s="690" t="s">
        <v>181</v>
      </c>
      <c r="H399" s="810">
        <v>0.5</v>
      </c>
      <c r="I399" s="1069" t="s">
        <v>19</v>
      </c>
      <c r="J399" s="664"/>
      <c r="K399" s="664"/>
      <c r="L399" s="664"/>
      <c r="M399" s="664"/>
      <c r="N399" s="664"/>
      <c r="O399" s="664"/>
    </row>
    <row r="400" spans="1:16" ht="5.25" customHeight="1">
      <c r="B400" s="948"/>
      <c r="C400" s="948"/>
      <c r="D400" s="948"/>
      <c r="E400" s="948"/>
      <c r="F400" s="689"/>
      <c r="G400" s="690"/>
      <c r="H400" s="919"/>
      <c r="I400" s="664"/>
      <c r="J400" s="664"/>
      <c r="K400" s="664"/>
      <c r="L400" s="664"/>
      <c r="M400" s="664"/>
      <c r="N400" s="664"/>
      <c r="O400" s="664"/>
    </row>
    <row r="401" spans="1:16" ht="24">
      <c r="B401" s="948"/>
      <c r="C401" s="948"/>
      <c r="D401" s="948"/>
      <c r="E401" s="948" t="s">
        <v>289</v>
      </c>
      <c r="F401" s="689" t="s">
        <v>504</v>
      </c>
      <c r="G401" s="690" t="s">
        <v>291</v>
      </c>
      <c r="H401" s="920">
        <v>80000</v>
      </c>
      <c r="I401" s="1069"/>
      <c r="J401" s="664"/>
      <c r="K401" s="664"/>
      <c r="L401" s="664"/>
      <c r="M401" s="664"/>
      <c r="N401" s="664"/>
      <c r="O401" s="664"/>
    </row>
    <row r="402" spans="1:16" ht="14.25">
      <c r="B402" s="977"/>
      <c r="C402" s="977"/>
      <c r="D402" s="977"/>
      <c r="E402" s="977"/>
      <c r="F402" s="670"/>
      <c r="G402" s="664"/>
      <c r="H402" s="944"/>
      <c r="I402" s="664"/>
      <c r="J402" s="664"/>
      <c r="K402" s="664"/>
      <c r="L402" s="664"/>
      <c r="M402" s="664"/>
      <c r="N402" s="664"/>
      <c r="O402" s="664"/>
    </row>
    <row r="403" spans="1:16" ht="14.25">
      <c r="A403" s="908" t="s">
        <v>195</v>
      </c>
      <c r="C403" s="691"/>
      <c r="D403" s="691"/>
      <c r="E403" s="922" t="s">
        <v>505</v>
      </c>
      <c r="F403" s="922"/>
      <c r="G403" s="922"/>
      <c r="H403" s="922"/>
      <c r="I403" s="922"/>
      <c r="J403" s="922"/>
      <c r="K403" s="922"/>
      <c r="L403" s="922"/>
      <c r="M403" s="922"/>
      <c r="N403" s="922"/>
      <c r="O403" s="922"/>
    </row>
    <row r="404" spans="1:16" ht="5.25" customHeight="1">
      <c r="C404" s="691"/>
      <c r="D404" s="691"/>
      <c r="E404" s="691"/>
      <c r="F404" s="926"/>
      <c r="G404" s="691"/>
      <c r="H404" s="691"/>
      <c r="I404" s="664"/>
      <c r="J404" s="664"/>
      <c r="K404" s="664"/>
      <c r="L404" s="664"/>
      <c r="M404" s="664"/>
      <c r="N404" s="664"/>
      <c r="O404" s="664"/>
    </row>
    <row r="405" spans="1:16" ht="14.25">
      <c r="C405" s="691"/>
      <c r="D405" s="691"/>
      <c r="E405" s="914" t="str">
        <f>LEFT(E392,LEN(E392)-1)+1&amp;")"</f>
        <v>24)</v>
      </c>
      <c r="F405" s="915" t="s">
        <v>505</v>
      </c>
      <c r="G405" s="914"/>
      <c r="H405" s="914"/>
      <c r="I405" s="664"/>
      <c r="J405" s="664"/>
      <c r="K405" s="664"/>
      <c r="L405" s="664"/>
      <c r="M405" s="664"/>
      <c r="N405" s="664"/>
      <c r="O405" s="664"/>
    </row>
    <row r="406" spans="1:16" ht="5.25" customHeight="1">
      <c r="B406" s="977"/>
      <c r="C406" s="977"/>
      <c r="D406" s="977"/>
      <c r="E406" s="977"/>
      <c r="F406" s="670"/>
      <c r="G406" s="664"/>
      <c r="H406" s="944"/>
      <c r="I406" s="664"/>
      <c r="J406" s="664"/>
      <c r="K406" s="664"/>
      <c r="L406" s="664"/>
      <c r="M406" s="664"/>
      <c r="N406" s="664"/>
      <c r="O406" s="664"/>
    </row>
    <row r="407" spans="1:16" ht="36">
      <c r="A407" s="684"/>
      <c r="B407" s="948"/>
      <c r="C407" s="948"/>
      <c r="D407" s="948"/>
      <c r="E407" s="948" t="s">
        <v>289</v>
      </c>
      <c r="F407" s="689" t="s">
        <v>506</v>
      </c>
      <c r="G407" s="690" t="s">
        <v>291</v>
      </c>
      <c r="H407" s="920">
        <v>0</v>
      </c>
      <c r="I407" s="664"/>
      <c r="J407" s="664"/>
      <c r="K407" s="664"/>
      <c r="L407" s="664"/>
      <c r="M407" s="664"/>
      <c r="N407" s="664"/>
      <c r="O407" s="664"/>
    </row>
    <row r="408" spans="1:16" ht="24">
      <c r="A408" s="684"/>
      <c r="B408" s="948"/>
      <c r="C408" s="948"/>
      <c r="D408" s="948"/>
      <c r="E408" s="948" t="s">
        <v>289</v>
      </c>
      <c r="F408" s="689" t="s">
        <v>507</v>
      </c>
      <c r="G408" s="690" t="s">
        <v>291</v>
      </c>
      <c r="H408" s="920">
        <v>0</v>
      </c>
      <c r="I408" s="664"/>
      <c r="J408" s="664"/>
      <c r="K408" s="664"/>
      <c r="L408" s="664"/>
      <c r="M408" s="664"/>
      <c r="N408" s="664"/>
      <c r="O408" s="664"/>
    </row>
    <row r="409" spans="1:16" ht="14.25">
      <c r="B409" s="977"/>
      <c r="C409" s="977"/>
      <c r="D409" s="977"/>
      <c r="E409" s="977"/>
      <c r="F409" s="670"/>
      <c r="G409" s="664"/>
      <c r="H409" s="944"/>
      <c r="I409" s="664"/>
      <c r="J409" s="664"/>
      <c r="K409" s="664"/>
      <c r="L409" s="664"/>
      <c r="M409" s="664"/>
      <c r="N409" s="664"/>
      <c r="O409" s="664"/>
    </row>
    <row r="410" spans="1:16" ht="14.25">
      <c r="B410" s="977"/>
      <c r="C410" s="977"/>
      <c r="D410" s="977"/>
      <c r="E410" s="977"/>
      <c r="F410" s="670"/>
      <c r="G410" s="664"/>
      <c r="H410" s="944"/>
      <c r="I410" s="664"/>
      <c r="J410" s="664"/>
      <c r="K410" s="664"/>
      <c r="L410" s="664"/>
      <c r="M410" s="664"/>
      <c r="N410" s="664"/>
      <c r="O410" s="664"/>
    </row>
    <row r="411" spans="1:16" ht="14.25">
      <c r="B411" s="977"/>
      <c r="C411" s="977"/>
      <c r="D411" s="977"/>
      <c r="E411" s="978"/>
      <c r="F411" s="979"/>
      <c r="G411" s="980"/>
      <c r="H411" s="981"/>
      <c r="I411" s="980"/>
      <c r="J411" s="980"/>
      <c r="K411" s="980"/>
      <c r="L411" s="980"/>
      <c r="M411" s="980"/>
      <c r="N411" s="980"/>
      <c r="O411" s="980"/>
    </row>
    <row r="412" spans="1:16" ht="14.25">
      <c r="A412" s="684"/>
      <c r="F412" s="670"/>
    </row>
    <row r="413" spans="1:16" ht="14.25">
      <c r="A413" s="684"/>
      <c r="F413" s="670"/>
    </row>
    <row r="414" spans="1:16" ht="14.25">
      <c r="A414" s="684"/>
      <c r="F414" s="670"/>
      <c r="G414" s="1150" t="s">
        <v>509</v>
      </c>
      <c r="H414" s="1151"/>
      <c r="I414" s="1151"/>
      <c r="J414" s="1151"/>
      <c r="K414" s="664"/>
      <c r="L414" s="664"/>
      <c r="M414" s="664"/>
      <c r="N414" s="664"/>
      <c r="O414" s="664"/>
      <c r="P414" s="684"/>
    </row>
    <row r="415" spans="1:16" ht="14.25">
      <c r="A415" s="684"/>
      <c r="B415" s="691"/>
      <c r="C415" s="691"/>
      <c r="D415" s="691"/>
      <c r="E415" s="691"/>
      <c r="F415" s="689"/>
      <c r="G415" s="690"/>
      <c r="H415" s="956"/>
      <c r="I415" s="664"/>
      <c r="J415" s="664"/>
      <c r="K415" s="664"/>
      <c r="L415" s="664"/>
      <c r="M415" s="664"/>
      <c r="N415" s="664"/>
      <c r="O415" s="664"/>
      <c r="P415" s="684"/>
    </row>
    <row r="416" spans="1:16" ht="14.25">
      <c r="A416" s="684"/>
      <c r="F416" s="670"/>
      <c r="G416" s="1152" t="s">
        <v>510</v>
      </c>
      <c r="H416" s="1153"/>
      <c r="I416" s="1153"/>
      <c r="J416" s="1153"/>
      <c r="O416" s="664"/>
      <c r="P416" s="684"/>
    </row>
    <row r="417" spans="1:16" ht="14.25">
      <c r="A417" s="684"/>
      <c r="F417" s="670"/>
      <c r="G417" s="1153"/>
      <c r="H417" s="1153"/>
      <c r="I417" s="1153"/>
      <c r="J417" s="1153"/>
      <c r="O417" s="664"/>
      <c r="P417" s="684"/>
    </row>
    <row r="418" spans="1:16" ht="14.25">
      <c r="A418" s="684"/>
      <c r="F418" s="670"/>
      <c r="I418" s="664"/>
      <c r="J418" s="664"/>
      <c r="K418" s="664"/>
      <c r="L418" s="664"/>
      <c r="M418" s="664"/>
      <c r="N418" s="664"/>
      <c r="O418" s="664"/>
      <c r="P418" s="684"/>
    </row>
    <row r="419" spans="1:16" ht="14.25">
      <c r="A419" s="684"/>
      <c r="F419" s="670"/>
      <c r="I419" s="664"/>
      <c r="J419" s="664"/>
      <c r="K419" s="664"/>
      <c r="L419" s="664"/>
      <c r="M419" s="664"/>
      <c r="N419" s="664"/>
      <c r="O419" s="664"/>
      <c r="P419" s="684"/>
    </row>
  </sheetData>
  <mergeCells count="12">
    <mergeCell ref="F60:F62"/>
    <mergeCell ref="F6:H6"/>
    <mergeCell ref="F7:H7"/>
    <mergeCell ref="F8:H8"/>
    <mergeCell ref="F9:H9"/>
    <mergeCell ref="F10:H10"/>
    <mergeCell ref="G414:J414"/>
    <mergeCell ref="G416:J417"/>
    <mergeCell ref="J173:J176"/>
    <mergeCell ref="H261:J261"/>
    <mergeCell ref="H59:I59"/>
    <mergeCell ref="H63:I63"/>
  </mergeCells>
  <conditionalFormatting sqref="I60:I62">
    <cfRule type="expression" dxfId="33" priority="1">
      <formula>M253=#REF!</formula>
    </cfRule>
  </conditionalFormatting>
  <conditionalFormatting sqref="H59">
    <cfRule type="expression" dxfId="32" priority="2">
      <formula>M252=#REF!</formula>
    </cfRule>
  </conditionalFormatting>
  <conditionalFormatting sqref="H63">
    <cfRule type="expression" dxfId="31" priority="3">
      <formula>M255=#REF!</formula>
    </cfRule>
  </conditionalFormatting>
  <conditionalFormatting sqref="H361">
    <cfRule type="expression" dxfId="30" priority="4">
      <formula>M40=#REF!</formula>
    </cfRule>
  </conditionalFormatting>
  <conditionalFormatting sqref="A46:P46">
    <cfRule type="notContainsBlanks" dxfId="29" priority="5">
      <formula>LEN(TRIM(A46))&gt;0</formula>
    </cfRule>
  </conditionalFormatting>
  <conditionalFormatting sqref="H65:I65 H82 H98 H116:I116 H128 H160 H178 H192:I192 I248 H294">
    <cfRule type="cellIs" dxfId="28" priority="6" operator="notEqual">
      <formula>1</formula>
    </cfRule>
  </conditionalFormatting>
  <dataValidations count="19">
    <dataValidation type="list" allowBlank="1" sqref="H325">
      <formula1>$H$326:$H$334</formula1>
    </dataValidation>
    <dataValidation type="list" allowBlank="1" sqref="H363">
      <formula1>$F$369:$F$371</formula1>
    </dataValidation>
    <dataValidation type="list" allowBlank="1" sqref="H282:I282">
      <formula1>$F$283:$F$284</formula1>
    </dataValidation>
    <dataValidation type="list" allowBlank="1" sqref="H227">
      <formula1>$E$228:$E$229</formula1>
    </dataValidation>
    <dataValidation type="custom" allowBlank="1" showDropDown="1" showInputMessage="1" prompt="Please note that the sum of time for describing your data with metadata and assigning a PID should be equal to 100%." sqref="I192">
      <formula1>100%</formula1>
    </dataValidation>
    <dataValidation type="list" allowBlank="1" sqref="H261">
      <formula1>$F$264:$F$268</formula1>
    </dataValidation>
    <dataValidation type="decimal" operator="equal" allowBlank="1" showDropDown="1" showErrorMessage="1" sqref="H116:I116 H128">
      <formula1>1</formula1>
    </dataValidation>
    <dataValidation type="list" allowBlank="1" sqref="H164">
      <formula1>$F$165:$F$166</formula1>
    </dataValidation>
    <dataValidation type="decimal" allowBlank="1" showDropDown="1" showInputMessage="1" showErrorMessage="1" prompt="Enter a number between 1 and 100" sqref="H148 H226">
      <formula1>1</formula1>
      <formula2>100</formula2>
    </dataValidation>
    <dataValidation type="list" allowBlank="1" sqref="H396">
      <formula1>$F$397:$F$398</formula1>
    </dataValidation>
    <dataValidation type="decimal" allowBlank="1" showDropDown="1" showInputMessage="1" showErrorMessage="1" prompt="Enter a number between 15 and 100" sqref="H149">
      <formula1>15</formula1>
      <formula2>100</formula2>
    </dataValidation>
    <dataValidation type="list" allowBlank="1" sqref="H217:H219 H311">
      <formula1>$F$232:$F$233</formula1>
    </dataValidation>
    <dataValidation type="list" allowBlank="1" sqref="I217:I219">
      <formula1>$E$221:$E$224</formula1>
    </dataValidation>
    <dataValidation type="list" allowBlank="1" sqref="H230">
      <formula1>$H$85:$O$85</formula1>
    </dataValidation>
    <dataValidation type="decimal" allowBlank="1" showInputMessage="1" showErrorMessage="1" prompt="Please insert a percentage between 0 and 99." sqref="H142">
      <formula1>0</formula1>
      <formula2>0.99</formula2>
    </dataValidation>
    <dataValidation type="decimal" allowBlank="1" showInputMessage="1" showErrorMessage="1" sqref="H126 H90 H96 H176 H190 H240 H292 H132">
      <formula1>0.01</formula1>
      <formula2>1</formula2>
    </dataValidation>
    <dataValidation type="decimal" operator="notEqual" allowBlank="1" showInputMessage="1" showErrorMessage="1" sqref="H100">
      <formula1>H90</formula1>
    </dataValidation>
    <dataValidation type="whole" errorStyle="warning" operator="greaterThanOrEqual" allowBlank="1" showInputMessage="1" showErrorMessage="1" error="Ideally, this number should be higher than the current FTEs." sqref="H354">
      <formula1>H352</formula1>
    </dataValidation>
    <dataValidation type="decimal" operator="greaterThan" allowBlank="1" showInputMessage="1" showErrorMessage="1" sqref="H59:I59">
      <formula1>0.01</formula1>
    </dataValidation>
  </dataValidations>
  <hyperlinks>
    <hyperlink ref="I6" location="Google_Sheet_Link_2030058433" display="Go to &gt;"/>
    <hyperlink ref="I7" location="Google_Sheet_Link_2030058433" display="Go to &gt;"/>
    <hyperlink ref="G27" location="Glossary!A1" display="More info ..."/>
    <hyperlink ref="G416" location="3. Results!A1" display="SEE THE RESULTS"/>
    <hyperlink ref="G28:G35" location="Glossary!A1" display="More info ..."/>
    <hyperlink ref="G416:J417" location="'3. Results'!A1" display="SEE THE RESULTS"/>
  </hyperlinks>
  <pageMargins left="0.7" right="0.7" top="0.75" bottom="0.75" header="0" footer="0"/>
  <pageSetup paperSize="9" orientation="portrait" r:id="rId1"/>
  <legacyDrawing r:id="rId2"/>
  <extLst>
    <ext xmlns:x14="http://schemas.microsoft.com/office/spreadsheetml/2009/9/main" uri="{CCE6A557-97BC-4b89-ADB6-D9C93CAAB3DF}">
      <x14:dataValidations xmlns:xm="http://schemas.microsoft.com/office/excel/2006/main" count="1">
        <x14:dataValidation type="whole" allowBlank="1" showInputMessage="1" showErrorMessage="1">
          <x14:formula1>
            <xm:f>0</xm:f>
          </x14:formula1>
          <x14:formula2>
            <xm:f>'2.2 Input_General_Information'!H36</xm:f>
          </x14:formula2>
          <xm:sqref>H352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B600"/>
    <outlinePr summaryBelow="0" summaryRight="0"/>
  </sheetPr>
  <dimension ref="A1:BC137"/>
  <sheetViews>
    <sheetView showGridLines="0" workbookViewId="0">
      <selection activeCell="C21" sqref="C21"/>
    </sheetView>
  </sheetViews>
  <sheetFormatPr defaultColWidth="14.42578125" defaultRowHeight="15" customHeight="1"/>
  <cols>
    <col min="1" max="1" width="3.5703125" style="662" customWidth="1"/>
    <col min="2" max="2" width="3.7109375" style="662" customWidth="1"/>
    <col min="3" max="3" width="52.140625" style="662" customWidth="1"/>
    <col min="4" max="4" width="11.85546875" style="662" customWidth="1"/>
    <col min="5" max="25" width="13" style="662" customWidth="1"/>
    <col min="26" max="35" width="13" style="1090" customWidth="1"/>
    <col min="46" max="53" width="13" style="662" customWidth="1"/>
    <col min="54" max="54" width="12.85546875" style="662" customWidth="1"/>
    <col min="55" max="55" width="13" style="662" customWidth="1"/>
    <col min="56" max="16384" width="14.42578125" style="662"/>
  </cols>
  <sheetData>
    <row r="1" spans="1:55">
      <c r="A1" s="1016"/>
      <c r="B1" s="1016"/>
      <c r="C1" s="1016"/>
      <c r="D1" s="1016"/>
      <c r="E1" s="937"/>
      <c r="F1" s="937"/>
      <c r="G1" s="937"/>
      <c r="H1" s="937"/>
      <c r="I1" s="937"/>
      <c r="J1" s="1016"/>
      <c r="K1" s="1016"/>
      <c r="L1" s="937"/>
      <c r="M1" s="1016"/>
      <c r="N1" s="1016"/>
      <c r="O1" s="1016"/>
      <c r="P1" s="1016"/>
      <c r="Q1" s="1016"/>
      <c r="R1" s="1016"/>
      <c r="S1" s="1016"/>
      <c r="T1" s="1016"/>
      <c r="U1" s="1016"/>
      <c r="V1" s="1016"/>
      <c r="W1" s="1016"/>
      <c r="X1" s="1016"/>
      <c r="Y1" s="1016"/>
      <c r="Z1" s="1016"/>
      <c r="AA1" s="1016"/>
      <c r="AB1" s="1016"/>
      <c r="AC1" s="1016"/>
      <c r="AD1" s="1016"/>
      <c r="AE1" s="1016"/>
      <c r="AF1" s="1016"/>
      <c r="AG1" s="1016"/>
      <c r="AH1" s="1016"/>
      <c r="AI1" s="1016"/>
      <c r="AT1" s="1016"/>
      <c r="AU1" s="1016"/>
      <c r="AV1" s="1016"/>
      <c r="AW1" s="1016"/>
      <c r="AX1" s="1016"/>
      <c r="AY1" s="1016"/>
      <c r="AZ1" s="1016"/>
      <c r="BA1" s="1016"/>
      <c r="BB1" s="1016"/>
      <c r="BC1" s="1016"/>
    </row>
    <row r="2" spans="1:55" ht="17.25" customHeight="1">
      <c r="A2" s="684"/>
      <c r="B2" s="1017" t="s">
        <v>1</v>
      </c>
      <c r="C2" s="1018"/>
      <c r="D2" s="1019"/>
      <c r="E2" s="1020"/>
      <c r="F2" s="1020"/>
      <c r="G2" s="1020"/>
      <c r="H2" s="1020"/>
      <c r="I2" s="1020"/>
      <c r="J2" s="1021"/>
      <c r="K2" s="1022"/>
      <c r="L2" s="1023"/>
      <c r="M2" s="1022"/>
      <c r="N2" s="684"/>
      <c r="O2" s="684"/>
      <c r="P2" s="684"/>
      <c r="Q2" s="684"/>
      <c r="R2" s="684"/>
      <c r="S2" s="684"/>
      <c r="T2" s="684"/>
      <c r="U2" s="684"/>
      <c r="V2" s="684"/>
      <c r="W2" s="684"/>
      <c r="X2" s="684"/>
      <c r="Y2" s="684"/>
      <c r="Z2" s="1091"/>
      <c r="AA2" s="1091"/>
      <c r="AB2" s="1091"/>
      <c r="AC2" s="1091"/>
      <c r="AD2" s="1091"/>
      <c r="AE2" s="1091"/>
      <c r="AF2" s="1091"/>
      <c r="AG2" s="1091"/>
      <c r="AH2" s="1091"/>
      <c r="AI2" s="1091"/>
      <c r="AT2" s="684"/>
      <c r="AU2" s="684"/>
      <c r="AV2" s="684"/>
      <c r="AW2" s="684"/>
      <c r="AX2" s="684"/>
      <c r="AY2" s="684"/>
      <c r="AZ2" s="684"/>
      <c r="BA2" s="684"/>
      <c r="BB2" s="684"/>
      <c r="BC2" s="684"/>
    </row>
    <row r="3" spans="1:55" ht="5.25" customHeight="1">
      <c r="A3" s="684"/>
      <c r="B3" s="684"/>
      <c r="C3" s="684"/>
      <c r="D3" s="684"/>
      <c r="E3" s="690"/>
      <c r="F3" s="690"/>
      <c r="G3" s="690"/>
      <c r="H3" s="690"/>
      <c r="I3" s="690"/>
      <c r="J3" s="684"/>
      <c r="K3" s="684"/>
      <c r="L3" s="690"/>
      <c r="M3" s="684"/>
      <c r="N3" s="684"/>
      <c r="O3" s="684"/>
      <c r="P3" s="684"/>
      <c r="Q3" s="684"/>
      <c r="R3" s="965"/>
      <c r="S3" s="965"/>
      <c r="T3" s="965"/>
      <c r="U3" s="684"/>
      <c r="V3" s="684"/>
      <c r="W3" s="684"/>
      <c r="X3" s="684"/>
      <c r="Y3" s="684"/>
      <c r="Z3" s="1091"/>
      <c r="AA3" s="1091"/>
      <c r="AB3" s="1091"/>
      <c r="AC3" s="1091"/>
      <c r="AD3" s="1091"/>
      <c r="AE3" s="1091"/>
      <c r="AF3" s="1091"/>
      <c r="AG3" s="1091"/>
      <c r="AH3" s="1091"/>
      <c r="AI3" s="1091"/>
      <c r="AT3" s="684"/>
      <c r="AU3" s="684"/>
      <c r="AV3" s="684"/>
      <c r="AW3" s="684"/>
      <c r="AX3" s="684"/>
      <c r="AY3" s="684"/>
      <c r="AZ3" s="684"/>
      <c r="BA3" s="684"/>
      <c r="BB3" s="684"/>
      <c r="BC3" s="684"/>
    </row>
    <row r="4" spans="1:55">
      <c r="A4" s="684"/>
      <c r="B4" s="890" t="str">
        <f ca="1">"Net Present Value in "&amp;'2.2 Input_General_Information'!H20</f>
        <v>Net Present Value in 2018</v>
      </c>
      <c r="C4" s="892"/>
      <c r="D4" s="1024" t="s">
        <v>291</v>
      </c>
      <c r="E4" s="1025">
        <f t="array" aca="1" ref="E4" ca="1">NPV(E11,E49:INDIRECT(CONCATENATE(HLOOKUP('2.2 Input_General_Information'!H20+'2.2 Input_General_Information'!H40,E41:Y45,5,FALSE),ROW(E49))))</f>
        <v>-437098.98159651842</v>
      </c>
      <c r="F4" s="965"/>
      <c r="G4" s="1161" t="str">
        <f ca="1">"In other words, the net present value is today's value of the predicted Benefit/Cost of having FAIR research data.
In our case: "&amp;TEXT(E4,"#,#.##")&amp;" €
Whereas the Internal Rate of Return measure the estimated percentage return of implementing the FAIR research data.
In our case: "&amp;IF(E6="Negative IRR","the IRR is negative",TEXT(E6,"#.# %"))</f>
        <v>In other words, the net present value is today's value of the predicted Benefit/Cost of having FAIR research data.
In our case: -437098,982 €
Whereas the Internal Rate of Return measure the estimated percentage return of implementing the FAIR research data.
In our case: 6 %</v>
      </c>
      <c r="H4" s="1162"/>
      <c r="I4" s="1162"/>
      <c r="J4" s="1162"/>
      <c r="K4" s="1162"/>
      <c r="L4" s="1162"/>
      <c r="M4" s="1163"/>
      <c r="N4" s="965"/>
      <c r="O4" s="965"/>
      <c r="P4" s="965"/>
      <c r="Q4" s="965"/>
      <c r="R4" s="965"/>
      <c r="S4" s="965"/>
      <c r="T4" s="965"/>
      <c r="U4" s="965"/>
      <c r="V4" s="965"/>
      <c r="W4" s="965"/>
      <c r="X4" s="965"/>
      <c r="Y4" s="965"/>
      <c r="Z4" s="965"/>
      <c r="AA4" s="965"/>
      <c r="AB4" s="965"/>
      <c r="AC4" s="965"/>
      <c r="AD4" s="965"/>
      <c r="AE4" s="965"/>
      <c r="AF4" s="965"/>
      <c r="AG4" s="965"/>
      <c r="AH4" s="965"/>
      <c r="AI4" s="965"/>
      <c r="AT4" s="965"/>
      <c r="AU4" s="965"/>
      <c r="AV4" s="965"/>
      <c r="AW4" s="965"/>
      <c r="AX4" s="965"/>
      <c r="AY4" s="965"/>
      <c r="AZ4" s="965"/>
      <c r="BA4" s="965"/>
      <c r="BB4" s="965"/>
      <c r="BC4" s="965"/>
    </row>
    <row r="5" spans="1:55" ht="5.25" customHeight="1">
      <c r="A5" s="684"/>
      <c r="B5" s="684"/>
      <c r="C5" s="684"/>
      <c r="D5" s="690"/>
      <c r="E5" s="965"/>
      <c r="F5" s="965"/>
      <c r="G5" s="1164"/>
      <c r="H5" s="1165"/>
      <c r="I5" s="1165"/>
      <c r="J5" s="1165"/>
      <c r="K5" s="1165"/>
      <c r="L5" s="1165"/>
      <c r="M5" s="1166"/>
      <c r="N5" s="965"/>
      <c r="O5" s="965"/>
      <c r="P5" s="965"/>
      <c r="Q5" s="965"/>
      <c r="R5" s="965"/>
      <c r="S5" s="965"/>
      <c r="T5" s="965"/>
      <c r="U5" s="965"/>
      <c r="V5" s="965"/>
      <c r="W5" s="965"/>
      <c r="X5" s="965"/>
      <c r="Y5" s="965"/>
      <c r="Z5" s="965"/>
      <c r="AA5" s="965"/>
      <c r="AB5" s="965"/>
      <c r="AC5" s="965"/>
      <c r="AD5" s="965"/>
      <c r="AE5" s="965"/>
      <c r="AF5" s="965"/>
      <c r="AG5" s="965"/>
      <c r="AH5" s="965"/>
      <c r="AI5" s="965"/>
      <c r="AT5" s="965"/>
      <c r="AU5" s="965"/>
      <c r="AV5" s="965"/>
      <c r="AW5" s="965"/>
      <c r="AX5" s="965"/>
      <c r="AY5" s="965"/>
      <c r="AZ5" s="965"/>
      <c r="BA5" s="965"/>
      <c r="BB5" s="965"/>
      <c r="BC5" s="965"/>
    </row>
    <row r="6" spans="1:55">
      <c r="A6" s="684"/>
      <c r="B6" s="684"/>
      <c r="C6" s="691" t="s">
        <v>485</v>
      </c>
      <c r="D6" s="690" t="s">
        <v>486</v>
      </c>
      <c r="E6" s="1026">
        <f ca="1">IFERROR(IRR(E49:Y49,10%),"Negative IRR")</f>
        <v>5.5699723889252262E-2</v>
      </c>
      <c r="F6" s="965"/>
      <c r="G6" s="1164"/>
      <c r="H6" s="1165"/>
      <c r="I6" s="1165"/>
      <c r="J6" s="1165"/>
      <c r="K6" s="1165"/>
      <c r="L6" s="1165"/>
      <c r="M6" s="1166"/>
      <c r="N6" s="965"/>
      <c r="O6" s="965"/>
      <c r="P6" s="965"/>
      <c r="Q6" s="965"/>
      <c r="R6" s="965"/>
      <c r="S6" s="947"/>
      <c r="T6" s="947"/>
      <c r="U6" s="947"/>
      <c r="V6" s="947"/>
      <c r="W6" s="947"/>
      <c r="X6" s="947"/>
      <c r="Y6" s="947"/>
      <c r="Z6" s="947"/>
      <c r="AA6" s="947"/>
      <c r="AB6" s="947"/>
      <c r="AC6" s="947"/>
      <c r="AD6" s="947"/>
      <c r="AE6" s="947"/>
      <c r="AF6" s="947"/>
      <c r="AG6" s="947"/>
      <c r="AH6" s="947"/>
      <c r="AI6" s="947"/>
      <c r="AT6" s="947"/>
      <c r="AU6" s="947"/>
      <c r="AV6" s="947"/>
      <c r="AW6" s="947"/>
      <c r="AX6" s="947"/>
      <c r="AY6" s="947"/>
      <c r="AZ6" s="947"/>
      <c r="BA6" s="947"/>
      <c r="BB6" s="947"/>
      <c r="BC6" s="947"/>
    </row>
    <row r="7" spans="1:55" ht="5.25" customHeight="1">
      <c r="A7" s="684"/>
      <c r="B7" s="684"/>
      <c r="C7" s="1027"/>
      <c r="F7" s="965"/>
      <c r="G7" s="1164"/>
      <c r="H7" s="1165"/>
      <c r="I7" s="1165"/>
      <c r="J7" s="1165"/>
      <c r="K7" s="1165"/>
      <c r="L7" s="1165"/>
      <c r="M7" s="1166"/>
      <c r="N7" s="965"/>
      <c r="O7" s="965"/>
      <c r="P7" s="965"/>
      <c r="Q7" s="965"/>
      <c r="R7" s="965"/>
      <c r="S7" s="947"/>
      <c r="T7" s="947"/>
      <c r="U7" s="947"/>
      <c r="V7" s="947"/>
      <c r="W7" s="947"/>
      <c r="X7" s="947"/>
      <c r="Y7" s="947"/>
      <c r="Z7" s="947"/>
      <c r="AA7" s="947"/>
      <c r="AB7" s="947"/>
      <c r="AC7" s="947"/>
      <c r="AD7" s="947"/>
      <c r="AE7" s="947"/>
      <c r="AF7" s="947"/>
      <c r="AG7" s="947"/>
      <c r="AH7" s="947"/>
      <c r="AI7" s="947"/>
      <c r="AT7" s="947"/>
      <c r="AU7" s="947"/>
      <c r="AV7" s="947"/>
      <c r="AW7" s="947"/>
      <c r="AX7" s="947"/>
      <c r="AY7" s="947"/>
      <c r="AZ7" s="947"/>
      <c r="BA7" s="947"/>
      <c r="BB7" s="947"/>
      <c r="BC7" s="947"/>
    </row>
    <row r="8" spans="1:55">
      <c r="A8" s="684"/>
      <c r="B8" s="684"/>
      <c r="C8" s="1012" t="s">
        <v>490</v>
      </c>
      <c r="D8" s="690" t="s">
        <v>291</v>
      </c>
      <c r="E8" s="1013">
        <f t="array" aca="1" ref="E8" ca="1">NPV(E11,E78:O78)</f>
        <v>486912.96566532057</v>
      </c>
      <c r="F8" s="965"/>
      <c r="G8" s="1164"/>
      <c r="H8" s="1165"/>
      <c r="I8" s="1165"/>
      <c r="J8" s="1165"/>
      <c r="K8" s="1165"/>
      <c r="L8" s="1165"/>
      <c r="M8" s="1166"/>
      <c r="N8" s="965"/>
      <c r="O8" s="965"/>
      <c r="P8" s="965"/>
      <c r="Q8" s="965"/>
      <c r="R8" s="965"/>
      <c r="S8" s="947"/>
      <c r="T8" s="947"/>
      <c r="U8" s="947"/>
      <c r="V8" s="947"/>
      <c r="W8" s="947"/>
      <c r="X8" s="947"/>
      <c r="Y8" s="947"/>
      <c r="Z8" s="947"/>
      <c r="AA8" s="947"/>
      <c r="AB8" s="947"/>
      <c r="AC8" s="947"/>
      <c r="AD8" s="947"/>
      <c r="AE8" s="947"/>
      <c r="AF8" s="947"/>
      <c r="AG8" s="947"/>
      <c r="AH8" s="947"/>
      <c r="AI8" s="947"/>
      <c r="AT8" s="947"/>
      <c r="AU8" s="947"/>
      <c r="AV8" s="947"/>
      <c r="AW8" s="947"/>
      <c r="AX8" s="947"/>
      <c r="AY8" s="947"/>
      <c r="AZ8" s="947"/>
      <c r="BA8" s="947"/>
      <c r="BB8" s="947"/>
      <c r="BC8" s="947"/>
    </row>
    <row r="9" spans="1:55">
      <c r="A9" s="684"/>
      <c r="B9" s="684"/>
      <c r="C9" s="691" t="s">
        <v>491</v>
      </c>
      <c r="D9" s="690" t="s">
        <v>291</v>
      </c>
      <c r="E9" s="1013">
        <f t="array" aca="1" ref="E9" ca="1">NPV(E11,E97:O97)</f>
        <v>-1153842.2751858574</v>
      </c>
      <c r="F9" s="965"/>
      <c r="G9" s="1164"/>
      <c r="H9" s="1165"/>
      <c r="I9" s="1165"/>
      <c r="J9" s="1165"/>
      <c r="K9" s="1165"/>
      <c r="L9" s="1165"/>
      <c r="M9" s="1166"/>
      <c r="N9" s="965"/>
      <c r="O9" s="965"/>
      <c r="P9" s="965"/>
      <c r="Q9" s="965"/>
      <c r="R9" s="965"/>
      <c r="S9" s="947"/>
      <c r="T9" s="947"/>
      <c r="U9" s="947"/>
      <c r="V9" s="947"/>
      <c r="W9" s="947"/>
      <c r="X9" s="947"/>
      <c r="Y9" s="947"/>
      <c r="Z9" s="947"/>
      <c r="AA9" s="947"/>
      <c r="AB9" s="947"/>
      <c r="AC9" s="947"/>
      <c r="AD9" s="947"/>
      <c r="AE9" s="947"/>
      <c r="AF9" s="947"/>
      <c r="AG9" s="947"/>
      <c r="AH9" s="947"/>
      <c r="AI9" s="947"/>
      <c r="AT9" s="947"/>
      <c r="AU9" s="947"/>
      <c r="AV9" s="947"/>
      <c r="AW9" s="947"/>
      <c r="AX9" s="947"/>
      <c r="AY9" s="947"/>
      <c r="AZ9" s="947"/>
      <c r="BA9" s="947"/>
      <c r="BB9" s="947"/>
      <c r="BC9" s="947"/>
    </row>
    <row r="10" spans="1:55" ht="5.25" customHeight="1">
      <c r="A10" s="684"/>
      <c r="B10" s="684"/>
      <c r="C10" s="684"/>
      <c r="D10" s="690"/>
      <c r="E10" s="690"/>
      <c r="F10" s="965"/>
      <c r="G10" s="1164"/>
      <c r="H10" s="1165"/>
      <c r="I10" s="1165"/>
      <c r="J10" s="1165"/>
      <c r="K10" s="1165"/>
      <c r="L10" s="1165"/>
      <c r="M10" s="1166"/>
      <c r="N10" s="965"/>
      <c r="O10" s="965"/>
      <c r="P10" s="965"/>
      <c r="Q10" s="965"/>
      <c r="R10" s="965"/>
      <c r="S10" s="947"/>
      <c r="T10" s="947"/>
      <c r="U10" s="947"/>
      <c r="V10" s="947"/>
      <c r="W10" s="947"/>
      <c r="X10" s="947"/>
      <c r="Y10" s="947"/>
      <c r="Z10" s="947"/>
      <c r="AA10" s="947"/>
      <c r="AB10" s="947"/>
      <c r="AC10" s="947"/>
      <c r="AD10" s="947"/>
      <c r="AE10" s="947"/>
      <c r="AF10" s="947"/>
      <c r="AG10" s="947"/>
      <c r="AH10" s="947"/>
      <c r="AI10" s="947"/>
      <c r="AT10" s="947"/>
      <c r="AU10" s="947"/>
      <c r="AV10" s="947"/>
      <c r="AW10" s="947"/>
      <c r="AX10" s="947"/>
      <c r="AY10" s="947"/>
      <c r="AZ10" s="947"/>
      <c r="BA10" s="947"/>
      <c r="BB10" s="947"/>
      <c r="BC10" s="947"/>
    </row>
    <row r="11" spans="1:55">
      <c r="A11" s="684"/>
      <c r="B11" s="684"/>
      <c r="C11" s="684" t="s">
        <v>494</v>
      </c>
      <c r="D11" s="690" t="s">
        <v>496</v>
      </c>
      <c r="E11" s="929">
        <v>0.05</v>
      </c>
      <c r="F11" s="965"/>
      <c r="G11" s="1164"/>
      <c r="H11" s="1165"/>
      <c r="I11" s="1165"/>
      <c r="J11" s="1165"/>
      <c r="K11" s="1165"/>
      <c r="L11" s="1165"/>
      <c r="M11" s="1166"/>
      <c r="N11" s="965"/>
      <c r="O11" s="965"/>
      <c r="P11" s="965"/>
      <c r="Q11" s="965"/>
      <c r="R11" s="965"/>
      <c r="S11" s="947"/>
      <c r="T11" s="947"/>
      <c r="U11" s="947"/>
      <c r="V11" s="947"/>
      <c r="W11" s="947"/>
      <c r="X11" s="947"/>
      <c r="Y11" s="947"/>
      <c r="Z11" s="947"/>
      <c r="AA11" s="947"/>
      <c r="AB11" s="947"/>
      <c r="AC11" s="947"/>
      <c r="AD11" s="947"/>
      <c r="AE11" s="947"/>
      <c r="AF11" s="947"/>
      <c r="AG11" s="947"/>
      <c r="AH11" s="947"/>
      <c r="AI11" s="947"/>
      <c r="AT11" s="947"/>
      <c r="AU11" s="947"/>
      <c r="AV11" s="947"/>
      <c r="AW11" s="947"/>
      <c r="AX11" s="947"/>
      <c r="AY11" s="947"/>
      <c r="AZ11" s="947"/>
      <c r="BA11" s="947"/>
      <c r="BB11" s="947"/>
      <c r="BC11" s="947"/>
    </row>
    <row r="12" spans="1:55">
      <c r="A12" s="684"/>
      <c r="B12" s="684"/>
      <c r="C12" s="684" t="s">
        <v>497</v>
      </c>
      <c r="D12" s="690" t="s">
        <v>181</v>
      </c>
      <c r="E12" s="1014">
        <f ca="1">'2.2 Input_General_Information'!H20</f>
        <v>2018</v>
      </c>
      <c r="F12" s="965"/>
      <c r="G12" s="1164"/>
      <c r="H12" s="1165"/>
      <c r="I12" s="1165"/>
      <c r="J12" s="1165"/>
      <c r="K12" s="1165"/>
      <c r="L12" s="1165"/>
      <c r="M12" s="1166"/>
      <c r="N12" s="965"/>
      <c r="O12" s="965"/>
      <c r="P12" s="965"/>
      <c r="Q12" s="965"/>
      <c r="R12" s="965"/>
      <c r="S12" s="947"/>
      <c r="T12" s="947"/>
      <c r="U12" s="947"/>
      <c r="V12" s="947"/>
      <c r="W12" s="947"/>
      <c r="X12" s="947"/>
      <c r="Y12" s="947"/>
      <c r="Z12" s="947"/>
      <c r="AA12" s="947"/>
      <c r="AB12" s="947"/>
      <c r="AC12" s="947"/>
      <c r="AD12" s="947"/>
      <c r="AE12" s="947"/>
      <c r="AF12" s="947"/>
      <c r="AG12" s="947"/>
      <c r="AH12" s="947"/>
      <c r="AI12" s="947"/>
      <c r="AT12" s="947"/>
      <c r="AU12" s="947"/>
      <c r="AV12" s="947"/>
      <c r="AW12" s="947"/>
      <c r="AX12" s="947"/>
      <c r="AY12" s="947"/>
      <c r="AZ12" s="947"/>
      <c r="BA12" s="947"/>
      <c r="BB12" s="947"/>
      <c r="BC12" s="947"/>
    </row>
    <row r="13" spans="1:55">
      <c r="A13" s="684"/>
      <c r="B13" s="684"/>
      <c r="C13" s="1015" t="s">
        <v>501</v>
      </c>
      <c r="D13" s="690" t="s">
        <v>201</v>
      </c>
      <c r="E13" s="1014">
        <f>'2.2 Input_General_Information'!H40 + 1</f>
        <v>4</v>
      </c>
      <c r="F13" s="965"/>
      <c r="G13" s="1167"/>
      <c r="H13" s="1168"/>
      <c r="I13" s="1168"/>
      <c r="J13" s="1168"/>
      <c r="K13" s="1168"/>
      <c r="L13" s="1168"/>
      <c r="M13" s="1169"/>
      <c r="N13" s="965"/>
      <c r="O13" s="965"/>
      <c r="P13" s="965"/>
      <c r="Q13" s="965"/>
      <c r="R13" s="965"/>
      <c r="S13" s="947"/>
      <c r="T13" s="947"/>
      <c r="U13" s="947"/>
      <c r="V13" s="947"/>
      <c r="W13" s="947"/>
      <c r="X13" s="947"/>
      <c r="Y13" s="947"/>
      <c r="Z13" s="947"/>
      <c r="AA13" s="947"/>
      <c r="AB13" s="947"/>
      <c r="AC13" s="947"/>
      <c r="AD13" s="947"/>
      <c r="AE13" s="947"/>
      <c r="AF13" s="947"/>
      <c r="AG13" s="947"/>
      <c r="AH13" s="947"/>
      <c r="AI13" s="947"/>
      <c r="AT13" s="947"/>
      <c r="AU13" s="947"/>
      <c r="AV13" s="947"/>
      <c r="AW13" s="947"/>
      <c r="AX13" s="947"/>
      <c r="AY13" s="947"/>
      <c r="AZ13" s="947"/>
      <c r="BA13" s="947"/>
      <c r="BB13" s="947"/>
      <c r="BC13" s="947"/>
    </row>
    <row r="14" spans="1:55">
      <c r="A14" s="684"/>
      <c r="B14" s="778"/>
      <c r="C14" s="778"/>
      <c r="D14" s="684"/>
      <c r="E14" s="965"/>
      <c r="F14" s="965"/>
      <c r="G14" s="965"/>
      <c r="H14" s="965"/>
      <c r="I14" s="965"/>
      <c r="J14" s="965"/>
      <c r="K14" s="965"/>
      <c r="L14" s="965"/>
      <c r="M14" s="965"/>
      <c r="N14" s="965"/>
      <c r="O14" s="965"/>
      <c r="P14" s="965"/>
      <c r="Q14" s="965"/>
      <c r="R14" s="965"/>
      <c r="S14" s="947"/>
      <c r="T14" s="947"/>
      <c r="U14" s="947"/>
      <c r="V14" s="947"/>
      <c r="W14" s="947"/>
      <c r="X14" s="947"/>
      <c r="Y14" s="947"/>
      <c r="Z14" s="947"/>
      <c r="AA14" s="947"/>
      <c r="AB14" s="947"/>
      <c r="AC14" s="947"/>
      <c r="AD14" s="947"/>
      <c r="AE14" s="947"/>
      <c r="AF14" s="947"/>
      <c r="AG14" s="947"/>
      <c r="AH14" s="947"/>
      <c r="AI14" s="947"/>
      <c r="AT14" s="947" t="s">
        <v>5</v>
      </c>
      <c r="AU14" s="947" t="s">
        <v>181</v>
      </c>
      <c r="AV14" s="947" t="str">
        <f>C55</f>
        <v>Cumulative Present Value</v>
      </c>
      <c r="AX14" s="947" t="str">
        <f>B78</f>
        <v>Direct benefits of using FAIR</v>
      </c>
      <c r="AY14" s="947" t="str">
        <f>B97</f>
        <v>Direct costs of implementing FAIR</v>
      </c>
      <c r="AZ14" s="947" t="str">
        <f>B90</f>
        <v>Indirect benefits of using FAIR</v>
      </c>
      <c r="BA14" s="947" t="s">
        <v>181</v>
      </c>
      <c r="BB14" s="947" t="str">
        <f>C135</f>
        <v>Saving in time for external reusers thanks to the implementation of the FAIR principles in creating, collection and integrating</v>
      </c>
      <c r="BC14" s="947" t="s">
        <v>29</v>
      </c>
    </row>
    <row r="15" spans="1:55">
      <c r="A15" s="684"/>
      <c r="B15" s="890" t="s">
        <v>508</v>
      </c>
      <c r="C15" s="1028"/>
      <c r="D15" s="1028"/>
      <c r="E15" s="1028"/>
      <c r="F15" s="1028"/>
      <c r="G15" s="1028"/>
      <c r="H15" s="1028"/>
      <c r="I15" s="1028"/>
      <c r="J15" s="1028"/>
      <c r="K15" s="1028"/>
      <c r="L15" s="1028"/>
      <c r="M15" s="1028"/>
      <c r="N15" s="1028"/>
      <c r="O15" s="1028"/>
      <c r="P15" s="1028"/>
      <c r="Q15" s="1028"/>
      <c r="R15" s="1028"/>
      <c r="S15" s="947"/>
      <c r="T15" s="947"/>
      <c r="U15" s="947"/>
      <c r="V15" s="947"/>
      <c r="W15" s="947"/>
      <c r="X15" s="947"/>
      <c r="Y15" s="947"/>
      <c r="Z15" s="947"/>
      <c r="AA15" s="947"/>
      <c r="AB15" s="947"/>
      <c r="AC15" s="947"/>
      <c r="AD15" s="947"/>
      <c r="AE15" s="947"/>
      <c r="AF15" s="947"/>
      <c r="AG15" s="947"/>
      <c r="AH15" s="947"/>
      <c r="AI15" s="947"/>
      <c r="AT15" s="947"/>
      <c r="AU15" s="947">
        <f t="array" aca="1" ref="AU15:AU35" ca="1">TRANSPOSE(E41:Y41)</f>
        <v>2018</v>
      </c>
      <c r="AV15" s="947">
        <f t="shared" ref="AV15:AV25" ca="1" si="0">IF(AW15="*","",AW15)</f>
        <v>-199577.61871114414</v>
      </c>
      <c r="AW15" s="947">
        <f t="array" aca="1" ref="AW15:AW35" ca="1">TRANSPOSE(E53:Y53)</f>
        <v>-199577.61871114414</v>
      </c>
      <c r="AX15" s="1029">
        <f t="array" aca="1" ref="AX15:AX35" ca="1">TRANSPOSE(E78:Y78)</f>
        <v>0</v>
      </c>
      <c r="AY15" s="1029">
        <f t="array" aca="1" ref="AY15:AY35" ca="1">TRANSPOSE(E97:Y97)</f>
        <v>-196202.92834363363</v>
      </c>
      <c r="AZ15" s="1029">
        <f t="array" ref="AZ15:AZ35">TRANSPOSE(E90:Y90)</f>
        <v>0</v>
      </c>
      <c r="BA15" s="947">
        <f t="array" aca="1" ref="BA15:BA55" ca="1">TRANSPOSE(Results_data_timeseries!B1:AP1)</f>
        <v>2018</v>
      </c>
      <c r="BB15" s="1029">
        <f t="array" aca="1" ref="BB15:BB43" ca="1">TRANSPOSE(E135:BC135)</f>
        <v>399189.25123626488</v>
      </c>
      <c r="BC15" s="947"/>
    </row>
    <row r="16" spans="1:55">
      <c r="A16" s="684"/>
      <c r="B16" s="778"/>
      <c r="C16" s="778"/>
      <c r="D16" s="684"/>
      <c r="E16" s="965"/>
      <c r="F16" s="965"/>
      <c r="G16" s="965"/>
      <c r="H16" s="965"/>
      <c r="I16" s="965"/>
      <c r="J16" s="965"/>
      <c r="K16" s="965"/>
      <c r="L16" s="965"/>
      <c r="M16" s="965"/>
      <c r="N16" s="965"/>
      <c r="O16" s="965"/>
      <c r="P16" s="965"/>
      <c r="Q16" s="965"/>
      <c r="R16" s="965"/>
      <c r="S16" s="947"/>
      <c r="Y16" s="947"/>
      <c r="Z16" s="947"/>
      <c r="AA16" s="947"/>
      <c r="AB16" s="947"/>
      <c r="AC16" s="947"/>
      <c r="AD16" s="947"/>
      <c r="AE16" s="947"/>
      <c r="AF16" s="947"/>
      <c r="AG16" s="947"/>
      <c r="AH16" s="947"/>
      <c r="AI16" s="947"/>
      <c r="AT16" s="947"/>
      <c r="AU16" s="947">
        <f ca="1"/>
        <v>2019</v>
      </c>
      <c r="AV16" s="947">
        <f t="shared" ca="1" si="0"/>
        <v>-292765.0620141048</v>
      </c>
      <c r="AW16" s="947">
        <f ca="1"/>
        <v>-292765.0620141048</v>
      </c>
      <c r="AX16" s="1029">
        <f ca="1"/>
        <v>35408.920741678689</v>
      </c>
      <c r="AY16" s="1029">
        <f ca="1"/>
        <v>-125171.28274748767</v>
      </c>
      <c r="AZ16" s="1029">
        <f ca="1"/>
        <v>28640.725975355057</v>
      </c>
      <c r="BA16" s="947">
        <f ca="1"/>
        <v>2019</v>
      </c>
      <c r="BB16" s="1029">
        <f ca="1"/>
        <v>422971.35248638358</v>
      </c>
      <c r="BC16" s="947"/>
    </row>
    <row r="17" spans="1:55" ht="15.75" thickBot="1">
      <c r="A17" s="684"/>
      <c r="B17" s="778"/>
      <c r="C17" s="914" t="str">
        <f>C55</f>
        <v>Cumulative Present Value</v>
      </c>
      <c r="D17" s="914"/>
      <c r="E17" s="914"/>
      <c r="F17" s="914"/>
      <c r="G17" s="914"/>
      <c r="H17" s="965"/>
      <c r="I17" s="914" t="s">
        <v>1115</v>
      </c>
      <c r="J17" s="914"/>
      <c r="K17" s="914"/>
      <c r="L17" s="914"/>
      <c r="M17" s="914"/>
      <c r="N17" s="914"/>
      <c r="O17" s="914"/>
      <c r="P17" s="914"/>
      <c r="Q17" s="965"/>
      <c r="R17" s="914" t="str">
        <f>C135</f>
        <v>Saving in time for external reusers thanks to the implementation of the FAIR principles in creating, collection and integrating</v>
      </c>
      <c r="S17" s="914"/>
      <c r="T17" s="914"/>
      <c r="U17" s="914"/>
      <c r="V17" s="914"/>
      <c r="W17" s="914"/>
      <c r="X17" s="914"/>
      <c r="Y17" s="914"/>
      <c r="Z17" s="1097"/>
      <c r="AA17" s="1097"/>
      <c r="AB17" s="1097"/>
      <c r="AC17" s="1097"/>
      <c r="AD17" s="1097"/>
      <c r="AE17" s="1097"/>
      <c r="AF17" s="1097"/>
      <c r="AG17" s="1097"/>
      <c r="AH17" s="1097"/>
      <c r="AI17" s="1097"/>
      <c r="AU17" s="947">
        <f ca="1"/>
        <v>2020</v>
      </c>
      <c r="AV17" s="947">
        <f t="shared" ca="1" si="0"/>
        <v>-393405.69019896572</v>
      </c>
      <c r="AW17" s="947">
        <f ca="1"/>
        <v>-393405.69019896572</v>
      </c>
      <c r="AX17" s="1029">
        <f ca="1"/>
        <v>41464.449620549465</v>
      </c>
      <c r="AY17" s="1029">
        <f ca="1"/>
        <v>-136467.91589759372</v>
      </c>
      <c r="AZ17" s="1029">
        <f ca="1"/>
        <v>45059.868963304405</v>
      </c>
      <c r="BA17" s="947">
        <f ca="1"/>
        <v>2020</v>
      </c>
      <c r="BB17" s="1029">
        <f ca="1"/>
        <v>422973.14530479856</v>
      </c>
      <c r="BC17" s="947"/>
    </row>
    <row r="18" spans="1:55" ht="15.75" thickTop="1">
      <c r="A18" s="684"/>
      <c r="B18" s="778"/>
      <c r="C18" s="778"/>
      <c r="D18" s="684"/>
      <c r="E18" s="965"/>
      <c r="F18" s="965"/>
      <c r="G18" s="965"/>
      <c r="H18" s="965"/>
      <c r="I18" s="965"/>
      <c r="J18" s="965"/>
      <c r="K18" s="965"/>
      <c r="L18" s="965"/>
      <c r="M18" s="965"/>
      <c r="N18" s="965"/>
      <c r="O18" s="965"/>
      <c r="P18" s="965"/>
      <c r="Q18" s="965"/>
      <c r="R18" s="947"/>
      <c r="X18" s="947"/>
      <c r="Y18" s="947"/>
      <c r="Z18" s="947"/>
      <c r="AA18" s="947"/>
      <c r="AB18" s="947"/>
      <c r="AC18" s="947"/>
      <c r="AD18" s="947"/>
      <c r="AE18" s="947"/>
      <c r="AF18" s="947"/>
      <c r="AG18" s="947"/>
      <c r="AH18" s="947"/>
      <c r="AI18" s="947"/>
      <c r="AU18" s="947">
        <f ca="1"/>
        <v>2021</v>
      </c>
      <c r="AV18" s="947">
        <f t="shared" ca="1" si="0"/>
        <v>-485254.37750206259</v>
      </c>
      <c r="AW18" s="947">
        <f ca="1"/>
        <v>-485254.37750206259</v>
      </c>
      <c r="AX18" s="1029">
        <f ca="1"/>
        <v>48920.850694513836</v>
      </c>
      <c r="AY18" s="1029">
        <f ca="1"/>
        <v>-133808.12457789262</v>
      </c>
      <c r="AZ18" s="1029">
        <f ca="1"/>
        <v>24864.471221217234</v>
      </c>
      <c r="BA18" s="947">
        <f ca="1"/>
        <v>2021</v>
      </c>
      <c r="BB18" s="1029">
        <f ca="1"/>
        <v>422421.34915389074</v>
      </c>
      <c r="BC18" s="947"/>
    </row>
    <row r="19" spans="1:55">
      <c r="A19" s="684"/>
      <c r="B19" s="778"/>
      <c r="C19" s="778"/>
      <c r="D19" s="684"/>
      <c r="E19" s="965"/>
      <c r="F19" s="965"/>
      <c r="G19" s="965"/>
      <c r="H19" s="965"/>
      <c r="I19" s="965"/>
      <c r="J19" s="965"/>
      <c r="K19" s="965"/>
      <c r="L19" s="965"/>
      <c r="M19" s="965"/>
      <c r="N19" s="965"/>
      <c r="O19" s="965"/>
      <c r="P19" s="965"/>
      <c r="Q19" s="965"/>
      <c r="R19" s="965"/>
      <c r="S19" s="947"/>
      <c r="Y19" s="947"/>
      <c r="Z19" s="947"/>
      <c r="AA19" s="947"/>
      <c r="AB19" s="947"/>
      <c r="AC19" s="947"/>
      <c r="AD19" s="947"/>
      <c r="AE19" s="947"/>
      <c r="AF19" s="947"/>
      <c r="AG19" s="947"/>
      <c r="AH19" s="947"/>
      <c r="AI19" s="947"/>
      <c r="AT19" s="947"/>
      <c r="AU19" s="947">
        <f ca="1"/>
        <v>2022</v>
      </c>
      <c r="AV19" s="947">
        <f t="shared" ca="1" si="0"/>
        <v>-563660.25253100204</v>
      </c>
      <c r="AW19" s="947">
        <f ca="1"/>
        <v>-563660.25253100204</v>
      </c>
      <c r="AX19" s="1029">
        <f ca="1"/>
        <v>57380.156824477555</v>
      </c>
      <c r="AY19" s="1029">
        <f ca="1"/>
        <v>-128796.45862493681</v>
      </c>
      <c r="AZ19" s="1029">
        <f ca="1"/>
        <v>23582.771039269046</v>
      </c>
      <c r="BA19" s="947">
        <f ca="1"/>
        <v>2022</v>
      </c>
      <c r="BB19" s="1029">
        <f ca="1"/>
        <v>421373.72513845749</v>
      </c>
      <c r="BC19" s="947"/>
    </row>
    <row r="20" spans="1:55">
      <c r="A20" s="684"/>
      <c r="B20" s="778"/>
      <c r="C20" s="778"/>
      <c r="D20" s="684"/>
      <c r="E20" s="965"/>
      <c r="F20" s="965"/>
      <c r="G20" s="965"/>
      <c r="H20" s="965"/>
      <c r="I20" s="965"/>
      <c r="J20" s="965"/>
      <c r="K20" s="965"/>
      <c r="L20" s="965"/>
      <c r="M20" s="965"/>
      <c r="N20" s="965"/>
      <c r="O20" s="965"/>
      <c r="P20" s="965"/>
      <c r="Q20" s="965"/>
      <c r="R20" s="965"/>
      <c r="S20" s="947"/>
      <c r="Y20" s="947"/>
      <c r="Z20" s="947"/>
      <c r="AA20" s="947"/>
      <c r="AB20" s="947"/>
      <c r="AC20" s="947"/>
      <c r="AD20" s="947"/>
      <c r="AE20" s="947"/>
      <c r="AF20" s="947"/>
      <c r="AG20" s="947"/>
      <c r="AH20" s="947"/>
      <c r="AI20" s="947"/>
      <c r="AT20" s="947"/>
      <c r="AU20" s="947">
        <f ca="1"/>
        <v>2023</v>
      </c>
      <c r="AV20" s="947">
        <f t="shared" ca="1" si="0"/>
        <v>-638006.51058126451</v>
      </c>
      <c r="AW20" s="947">
        <f ca="1"/>
        <v>-638006.51058126451</v>
      </c>
      <c r="AX20" s="1029">
        <f ca="1"/>
        <v>63030.959411936186</v>
      </c>
      <c r="AY20" s="1029">
        <f ca="1"/>
        <v>-129496.66446873291</v>
      </c>
      <c r="AZ20" s="1029">
        <f ca="1"/>
        <v>23515.684303977545</v>
      </c>
      <c r="BA20" s="947">
        <f ca="1"/>
        <v>2023</v>
      </c>
      <c r="BB20" s="1029">
        <f ca="1"/>
        <v>419930.53068340826</v>
      </c>
      <c r="BC20" s="947"/>
    </row>
    <row r="21" spans="1:55">
      <c r="A21" s="684"/>
      <c r="B21" s="778"/>
      <c r="C21" s="778"/>
      <c r="D21" s="684"/>
      <c r="E21" s="965"/>
      <c r="F21" s="965"/>
      <c r="G21" s="965"/>
      <c r="H21" s="965"/>
      <c r="I21" s="965"/>
      <c r="J21" s="965"/>
      <c r="K21" s="965"/>
      <c r="L21" s="965"/>
      <c r="M21" s="965"/>
      <c r="N21" s="965"/>
      <c r="O21" s="965"/>
      <c r="P21" s="965"/>
      <c r="Q21" s="965"/>
      <c r="R21" s="965"/>
      <c r="S21" s="947"/>
      <c r="Y21" s="947"/>
      <c r="Z21" s="947"/>
      <c r="AA21" s="947"/>
      <c r="AB21" s="947"/>
      <c r="AC21" s="947"/>
      <c r="AD21" s="947"/>
      <c r="AE21" s="947"/>
      <c r="AF21" s="947"/>
      <c r="AG21" s="947"/>
      <c r="AH21" s="947"/>
      <c r="AI21" s="947"/>
      <c r="AT21" s="947"/>
      <c r="AU21" s="947">
        <f ca="1"/>
        <v>2024</v>
      </c>
      <c r="AV21" s="947">
        <f t="shared" ca="1" si="0"/>
        <v>-707000.10826660099</v>
      </c>
      <c r="AW21" s="947">
        <f ca="1"/>
        <v>-707000.10826660099</v>
      </c>
      <c r="AX21" s="1029">
        <f ca="1"/>
        <v>69775.865274034906</v>
      </c>
      <c r="AY21" s="1029">
        <f ca="1"/>
        <v>-130315.11625817318</v>
      </c>
      <c r="AZ21" s="1029">
        <f ca="1"/>
        <v>23443.703836591798</v>
      </c>
      <c r="BA21" s="947">
        <f ca="1"/>
        <v>2024</v>
      </c>
      <c r="BB21" s="1029">
        <f ca="1"/>
        <v>418206.24199026078</v>
      </c>
      <c r="BC21" s="947"/>
    </row>
    <row r="22" spans="1:55">
      <c r="A22" s="684"/>
      <c r="B22" s="778"/>
      <c r="C22" s="778"/>
      <c r="D22" s="684"/>
      <c r="E22" s="965"/>
      <c r="F22" s="965"/>
      <c r="G22" s="965"/>
      <c r="H22" s="965"/>
      <c r="I22" s="965"/>
      <c r="J22" s="965"/>
      <c r="K22" s="965"/>
      <c r="L22" s="965"/>
      <c r="M22" s="965"/>
      <c r="N22" s="965"/>
      <c r="O22" s="965"/>
      <c r="P22" s="965"/>
      <c r="Q22" s="965"/>
      <c r="R22" s="965"/>
      <c r="S22" s="947"/>
      <c r="Y22" s="947"/>
      <c r="Z22" s="947"/>
      <c r="AA22" s="947"/>
      <c r="AB22" s="947"/>
      <c r="AC22" s="947"/>
      <c r="AD22" s="947"/>
      <c r="AE22" s="947"/>
      <c r="AF22" s="947"/>
      <c r="AG22" s="947"/>
      <c r="AH22" s="947"/>
      <c r="AI22" s="947"/>
      <c r="AT22" s="947"/>
      <c r="AU22" s="947">
        <f ca="1"/>
        <v>2025</v>
      </c>
      <c r="AV22" s="947">
        <f t="shared" ca="1" si="0"/>
        <v>-768697.53526456375</v>
      </c>
      <c r="AW22" s="947">
        <f ca="1"/>
        <v>-768697.53526456375</v>
      </c>
      <c r="AX22" s="1029">
        <f ca="1"/>
        <v>78100.443317129175</v>
      </c>
      <c r="AY22" s="1029">
        <f ca="1"/>
        <v>-131235.97792608189</v>
      </c>
      <c r="AZ22" s="1029">
        <f ca="1"/>
        <v>23373.476906102296</v>
      </c>
      <c r="BA22" s="947">
        <f ca="1"/>
        <v>2025</v>
      </c>
      <c r="BB22" s="1029">
        <f ca="1"/>
        <v>416300.72120958526</v>
      </c>
      <c r="BC22" s="947"/>
    </row>
    <row r="23" spans="1:55">
      <c r="A23" s="684"/>
      <c r="B23" s="778"/>
      <c r="C23" s="778"/>
      <c r="D23" s="684"/>
      <c r="E23" s="965"/>
      <c r="F23" s="965"/>
      <c r="G23" s="965"/>
      <c r="H23" s="965"/>
      <c r="I23" s="965"/>
      <c r="J23" s="965"/>
      <c r="K23" s="965"/>
      <c r="L23" s="965"/>
      <c r="M23" s="965"/>
      <c r="N23" s="965"/>
      <c r="O23" s="965"/>
      <c r="P23" s="965"/>
      <c r="Q23" s="965"/>
      <c r="R23" s="965"/>
      <c r="S23" s="947"/>
      <c r="Y23" s="947"/>
      <c r="Z23" s="947"/>
      <c r="AA23" s="947"/>
      <c r="AB23" s="947"/>
      <c r="AC23" s="947"/>
      <c r="AD23" s="947"/>
      <c r="AE23" s="947"/>
      <c r="AF23" s="947"/>
      <c r="AG23" s="947"/>
      <c r="AH23" s="947"/>
      <c r="AI23" s="947"/>
      <c r="AT23" s="947"/>
      <c r="AU23" s="947">
        <f ca="1"/>
        <v>2026</v>
      </c>
      <c r="AV23" s="947">
        <f t="shared" ca="1" si="0"/>
        <v>-821035.14063681778</v>
      </c>
      <c r="AW23" s="947">
        <f ca="1"/>
        <v>-821035.14063681778</v>
      </c>
      <c r="AX23" s="1029">
        <f ca="1"/>
        <v>88083.670403592085</v>
      </c>
      <c r="AY23" s="1029">
        <f ca="1"/>
        <v>-132324.33069353417</v>
      </c>
      <c r="AZ23" s="1029">
        <f ca="1"/>
        <v>23314.791548652116</v>
      </c>
      <c r="BA23" s="947">
        <f ca="1"/>
        <v>2026</v>
      </c>
      <c r="BB23" s="1029">
        <f ca="1"/>
        <v>414274.84509095497</v>
      </c>
      <c r="BC23" s="947"/>
    </row>
    <row r="24" spans="1:55">
      <c r="A24" s="684"/>
      <c r="B24" s="778"/>
      <c r="C24" s="778"/>
      <c r="D24" s="684"/>
      <c r="E24" s="965"/>
      <c r="F24" s="965"/>
      <c r="G24" s="965"/>
      <c r="H24" s="965"/>
      <c r="I24" s="965"/>
      <c r="J24" s="965"/>
      <c r="K24" s="965"/>
      <c r="L24" s="965"/>
      <c r="M24" s="965"/>
      <c r="N24" s="965"/>
      <c r="O24" s="965"/>
      <c r="P24" s="965"/>
      <c r="Q24" s="965"/>
      <c r="R24" s="965"/>
      <c r="S24" s="947"/>
      <c r="Y24" s="947"/>
      <c r="Z24" s="947"/>
      <c r="AA24" s="947"/>
      <c r="AB24" s="947"/>
      <c r="AC24" s="947"/>
      <c r="AD24" s="947"/>
      <c r="AE24" s="947"/>
      <c r="AF24" s="947"/>
      <c r="AG24" s="947"/>
      <c r="AH24" s="947"/>
      <c r="AI24" s="947"/>
      <c r="AT24" s="947"/>
      <c r="AU24" s="947">
        <f ca="1"/>
        <v>2027</v>
      </c>
      <c r="AV24" s="947">
        <f t="shared" ca="1" si="0"/>
        <v>-862269.21006351814</v>
      </c>
      <c r="AW24" s="947">
        <f ca="1"/>
        <v>-862269.21006351814</v>
      </c>
      <c r="AX24" s="1029">
        <f ca="1"/>
        <v>99501.223360676493</v>
      </c>
      <c r="AY24" s="1029">
        <f ca="1"/>
        <v>-133711.27265164198</v>
      </c>
      <c r="AZ24" s="1029">
        <f ca="1"/>
        <v>23278.057867938605</v>
      </c>
      <c r="BA24" s="947">
        <f ca="1"/>
        <v>2027</v>
      </c>
      <c r="BB24" s="1029">
        <f ca="1"/>
        <v>412130.84160973126</v>
      </c>
      <c r="BC24" s="947"/>
    </row>
    <row r="25" spans="1:55">
      <c r="A25" s="684"/>
      <c r="B25" s="778"/>
      <c r="I25" s="965"/>
      <c r="J25" s="965"/>
      <c r="K25" s="965"/>
      <c r="L25" s="965"/>
      <c r="M25" s="965"/>
      <c r="N25" s="965"/>
      <c r="O25" s="965"/>
      <c r="P25" s="965"/>
      <c r="Q25" s="965"/>
      <c r="R25" s="965"/>
      <c r="S25" s="947"/>
      <c r="Y25" s="947"/>
      <c r="Z25" s="947"/>
      <c r="AA25" s="947"/>
      <c r="AB25" s="947"/>
      <c r="AC25" s="947"/>
      <c r="AD25" s="947"/>
      <c r="AE25" s="947"/>
      <c r="AF25" s="947"/>
      <c r="AG25" s="947"/>
      <c r="AH25" s="947"/>
      <c r="AI25" s="947"/>
      <c r="AT25" s="947"/>
      <c r="AU25" s="947">
        <f ca="1"/>
        <v>2028</v>
      </c>
      <c r="AV25" s="947">
        <f t="shared" ca="1" si="0"/>
        <v>-888912.76750907488</v>
      </c>
      <c r="AW25" s="947">
        <f ca="1"/>
        <v>-888912.76750907488</v>
      </c>
      <c r="AX25" s="1029">
        <f ca="1"/>
        <v>113604.41823965954</v>
      </c>
      <c r="AY25" s="1029">
        <f ca="1"/>
        <v>-135300.40782193851</v>
      </c>
      <c r="AZ25" s="1029">
        <f ca="1"/>
        <v>23275.406337689376</v>
      </c>
      <c r="BA25" s="947">
        <f ca="1"/>
        <v>2028</v>
      </c>
      <c r="BB25" s="1029">
        <f ca="1"/>
        <v>409794.72297212074</v>
      </c>
      <c r="BC25" s="947"/>
    </row>
    <row r="26" spans="1:55">
      <c r="A26" s="684"/>
      <c r="B26" s="778"/>
      <c r="C26" s="778"/>
      <c r="D26" s="684"/>
      <c r="E26" s="965"/>
      <c r="F26" s="965"/>
      <c r="G26" s="965"/>
      <c r="H26" s="965"/>
      <c r="I26" s="965"/>
      <c r="J26" s="965"/>
      <c r="K26" s="965"/>
      <c r="L26" s="965"/>
      <c r="M26" s="965"/>
      <c r="N26" s="965"/>
      <c r="O26" s="965"/>
      <c r="P26" s="965"/>
      <c r="Q26" s="965"/>
      <c r="R26" s="965"/>
      <c r="S26" s="1029"/>
      <c r="Y26" s="947"/>
      <c r="Z26" s="947"/>
      <c r="AA26" s="947"/>
      <c r="AB26" s="947"/>
      <c r="AC26" s="947"/>
      <c r="AD26" s="947"/>
      <c r="AE26" s="947"/>
      <c r="AF26" s="947"/>
      <c r="AG26" s="947"/>
      <c r="AH26" s="947"/>
      <c r="AI26" s="947"/>
      <c r="AT26" s="947"/>
      <c r="AU26" s="947">
        <f ca="1"/>
        <v>2029</v>
      </c>
      <c r="AV26" s="947">
        <f t="shared" ref="AV26:AV35" ca="1" si="1">IF(AW26="*","",AW26)</f>
        <v>-897229.08896288148</v>
      </c>
      <c r="AW26" s="947">
        <f ca="1"/>
        <v>-897229.08896288148</v>
      </c>
      <c r="AX26" s="1029">
        <f ca="1"/>
        <v>130552.82351964631</v>
      </c>
      <c r="AY26" s="1029">
        <f ca="1"/>
        <v>-137199.55708577699</v>
      </c>
      <c r="AZ26" s="1029">
        <f ca="1"/>
        <v>23322.649625500024</v>
      </c>
      <c r="BA26" s="947">
        <f ca="1"/>
        <v>2029</v>
      </c>
      <c r="BB26" s="1029">
        <f ca="1"/>
        <v>407096.9157040554</v>
      </c>
      <c r="BC26" s="947"/>
    </row>
    <row r="27" spans="1:55">
      <c r="A27" s="684"/>
      <c r="B27" s="778"/>
      <c r="C27" s="778"/>
      <c r="D27" s="684"/>
      <c r="E27" s="965"/>
      <c r="F27" s="965"/>
      <c r="G27" s="965"/>
      <c r="H27" s="965"/>
      <c r="I27" s="965"/>
      <c r="J27" s="965"/>
      <c r="K27" s="965"/>
      <c r="L27" s="965"/>
      <c r="M27" s="965"/>
      <c r="N27" s="965"/>
      <c r="O27" s="965"/>
      <c r="P27" s="965"/>
      <c r="Q27" s="965"/>
      <c r="R27" s="965"/>
      <c r="S27" s="1029"/>
      <c r="Y27" s="947"/>
      <c r="Z27" s="947"/>
      <c r="AA27" s="947"/>
      <c r="AB27" s="947"/>
      <c r="AC27" s="947"/>
      <c r="AD27" s="947"/>
      <c r="AE27" s="947"/>
      <c r="AF27" s="947"/>
      <c r="AG27" s="947"/>
      <c r="AH27" s="947"/>
      <c r="AI27" s="947"/>
      <c r="AT27" s="947"/>
      <c r="AU27" s="947">
        <f ca="1"/>
        <v>2030</v>
      </c>
      <c r="AV27" s="947">
        <f t="shared" ca="1" si="1"/>
        <v>-882648.5719886045</v>
      </c>
      <c r="AW27" s="947">
        <f ca="1"/>
        <v>-882648.5719886045</v>
      </c>
      <c r="AX27" s="1029">
        <f ca="1"/>
        <v>150913.41045127535</v>
      </c>
      <c r="AY27" s="1029">
        <f ca="1"/>
        <v>-139475.68479086756</v>
      </c>
      <c r="AZ27" s="1029">
        <f ca="1"/>
        <v>23442.126528978319</v>
      </c>
      <c r="BA27" s="947">
        <f ca="1"/>
        <v>2030</v>
      </c>
      <c r="BB27" s="1029">
        <f ca="1"/>
        <v>403746.84645398404</v>
      </c>
      <c r="BC27" s="947"/>
    </row>
    <row r="28" spans="1:55">
      <c r="A28" s="684"/>
      <c r="B28" s="778"/>
      <c r="C28" s="778"/>
      <c r="D28" s="684"/>
      <c r="E28" s="965"/>
      <c r="F28" s="965"/>
      <c r="G28" s="965"/>
      <c r="H28" s="965"/>
      <c r="I28" s="965"/>
      <c r="J28" s="965"/>
      <c r="K28" s="965"/>
      <c r="L28" s="965"/>
      <c r="M28" s="965"/>
      <c r="N28" s="965"/>
      <c r="O28" s="965"/>
      <c r="P28" s="965"/>
      <c r="Q28" s="965"/>
      <c r="S28" s="1030"/>
      <c r="Y28" s="947"/>
      <c r="Z28" s="947"/>
      <c r="AA28" s="947"/>
      <c r="AB28" s="947"/>
      <c r="AC28" s="947"/>
      <c r="AD28" s="947"/>
      <c r="AE28" s="947"/>
      <c r="AF28" s="947"/>
      <c r="AG28" s="947"/>
      <c r="AH28" s="947"/>
      <c r="AI28" s="947"/>
      <c r="AT28" s="947"/>
      <c r="AU28" s="947">
        <f ca="1"/>
        <v>2031</v>
      </c>
      <c r="AV28" s="947">
        <f t="shared" ca="1" si="1"/>
        <v>-839592.92005921924</v>
      </c>
      <c r="AW28" s="947">
        <f ca="1"/>
        <v>-839592.92005921924</v>
      </c>
      <c r="AX28" s="1029">
        <f ca="1"/>
        <v>175360.94234571161</v>
      </c>
      <c r="AY28" s="1029">
        <f ca="1"/>
        <v>-142210.70268773573</v>
      </c>
      <c r="AZ28" s="1029">
        <f ca="1"/>
        <v>23666.288301324021</v>
      </c>
      <c r="BA28" s="947">
        <f ca="1"/>
        <v>2031</v>
      </c>
      <c r="BB28" s="1029">
        <f ca="1"/>
        <v>399299.27258222201</v>
      </c>
      <c r="BC28" s="947"/>
    </row>
    <row r="29" spans="1:55">
      <c r="A29" s="684"/>
      <c r="B29" s="778"/>
      <c r="C29" s="778"/>
      <c r="D29" s="684"/>
      <c r="E29" s="965"/>
      <c r="F29" s="965"/>
      <c r="G29" s="965"/>
      <c r="H29" s="965"/>
      <c r="I29" s="965"/>
      <c r="J29" s="965"/>
      <c r="K29" s="965"/>
      <c r="L29" s="965"/>
      <c r="M29" s="965"/>
      <c r="N29" s="965"/>
      <c r="O29" s="965"/>
      <c r="P29" s="965"/>
      <c r="Q29" s="965"/>
      <c r="S29" s="1030"/>
      <c r="Y29" s="947"/>
      <c r="Z29" s="947"/>
      <c r="AA29" s="947"/>
      <c r="AB29" s="947"/>
      <c r="AC29" s="947"/>
      <c r="AD29" s="947"/>
      <c r="AE29" s="947"/>
      <c r="AF29" s="947"/>
      <c r="AG29" s="947"/>
      <c r="AH29" s="947"/>
      <c r="AI29" s="947"/>
      <c r="AT29" s="947"/>
      <c r="AU29" s="947">
        <f ca="1"/>
        <v>2032</v>
      </c>
      <c r="AV29" s="947">
        <f t="shared" ca="1" si="1"/>
        <v>-761260.11017409444</v>
      </c>
      <c r="AW29" s="947">
        <f ca="1"/>
        <v>-761260.11017409444</v>
      </c>
      <c r="AX29" s="1029">
        <f ca="1"/>
        <v>204700.43431510753</v>
      </c>
      <c r="AY29" s="1029">
        <f ca="1"/>
        <v>-145504.76183830324</v>
      </c>
      <c r="AZ29" s="1029">
        <f ca="1"/>
        <v>24041.408659966768</v>
      </c>
      <c r="BA29" s="947">
        <f ca="1"/>
        <v>2032</v>
      </c>
      <c r="BB29" s="1029">
        <f ca="1"/>
        <v>393117.27514484222</v>
      </c>
      <c r="BC29" s="947"/>
    </row>
    <row r="30" spans="1:55">
      <c r="A30" s="684"/>
      <c r="B30" s="778"/>
      <c r="C30" s="778"/>
      <c r="D30" s="684"/>
      <c r="E30" s="965"/>
      <c r="F30" s="965"/>
      <c r="G30" s="965"/>
      <c r="H30" s="965"/>
      <c r="I30" s="965"/>
      <c r="J30" s="965"/>
      <c r="K30" s="965"/>
      <c r="L30" s="965"/>
      <c r="M30" s="965"/>
      <c r="N30" s="965"/>
      <c r="O30" s="965"/>
      <c r="P30" s="965"/>
      <c r="Q30" s="965"/>
      <c r="S30" s="1030"/>
      <c r="Y30" s="947"/>
      <c r="Z30" s="947"/>
      <c r="AA30" s="947"/>
      <c r="AB30" s="947"/>
      <c r="AC30" s="947"/>
      <c r="AD30" s="947"/>
      <c r="AE30" s="947"/>
      <c r="AF30" s="947"/>
      <c r="AG30" s="947"/>
      <c r="AH30" s="947"/>
      <c r="AI30" s="947"/>
      <c r="AT30" s="947"/>
      <c r="AU30" s="947">
        <f ca="1"/>
        <v>2033</v>
      </c>
      <c r="AV30" s="947">
        <f t="shared" ca="1" si="1"/>
        <v>-639358.96268318908</v>
      </c>
      <c r="AW30" s="947">
        <f ca="1"/>
        <v>-639358.96268318908</v>
      </c>
      <c r="AX30" s="1029">
        <f ca="1"/>
        <v>239895.42955812864</v>
      </c>
      <c r="AY30" s="1029">
        <f ca="1"/>
        <v>-149479.74034473376</v>
      </c>
      <c r="AZ30" s="1029">
        <f ca="1"/>
        <v>24629.589954119547</v>
      </c>
      <c r="BA30" s="947">
        <f ca="1"/>
        <v>2033</v>
      </c>
      <c r="BB30" s="1029">
        <f ca="1"/>
        <v>384352.07782429288</v>
      </c>
      <c r="BC30" s="947"/>
    </row>
    <row r="31" spans="1:55">
      <c r="A31" s="684"/>
      <c r="B31" s="778"/>
      <c r="C31" s="778"/>
      <c r="D31" s="684"/>
      <c r="E31" s="965"/>
      <c r="F31" s="965"/>
      <c r="G31" s="965"/>
      <c r="H31" s="965"/>
      <c r="I31" s="965"/>
      <c r="J31" s="965"/>
      <c r="K31" s="965"/>
      <c r="L31" s="965"/>
      <c r="M31" s="965"/>
      <c r="N31" s="965"/>
      <c r="O31" s="965"/>
      <c r="P31" s="965"/>
      <c r="Q31" s="965"/>
      <c r="S31" s="1030"/>
      <c r="Y31" s="947"/>
      <c r="Z31" s="947"/>
      <c r="AA31" s="947"/>
      <c r="AB31" s="947"/>
      <c r="AC31" s="947"/>
      <c r="AD31" s="947"/>
      <c r="AE31" s="947"/>
      <c r="AF31" s="947"/>
      <c r="AG31" s="947"/>
      <c r="AH31" s="947"/>
      <c r="AI31" s="947"/>
      <c r="AT31" s="947"/>
      <c r="AU31" s="947">
        <f ca="1"/>
        <v>2034</v>
      </c>
      <c r="AV31" s="947">
        <f t="shared" ca="1" si="1"/>
        <v>-463775.67753204517</v>
      </c>
      <c r="AW31" s="947">
        <f ca="1"/>
        <v>-463775.67753204517</v>
      </c>
      <c r="AX31" s="1029">
        <f ca="1"/>
        <v>282105.18518370023</v>
      </c>
      <c r="AY31" s="1029">
        <f ca="1"/>
        <v>-154282.209386956</v>
      </c>
      <c r="AZ31" s="1029">
        <f ca="1"/>
        <v>25504.874468749771</v>
      </c>
      <c r="BA31" s="947">
        <f ca="1"/>
        <v>2034</v>
      </c>
      <c r="BB31" s="1029">
        <f ca="1"/>
        <v>371983.31348280882</v>
      </c>
      <c r="BC31" s="947"/>
    </row>
    <row r="32" spans="1:55">
      <c r="A32" s="684"/>
      <c r="B32" s="778"/>
      <c r="C32" s="778"/>
      <c r="D32" s="684"/>
      <c r="E32" s="965"/>
      <c r="F32" s="965"/>
      <c r="G32" s="965"/>
      <c r="H32" s="965"/>
      <c r="I32" s="965"/>
      <c r="J32" s="965"/>
      <c r="K32" s="965"/>
      <c r="L32" s="965"/>
      <c r="M32" s="965"/>
      <c r="N32" s="965"/>
      <c r="O32" s="965"/>
      <c r="P32" s="965"/>
      <c r="Q32" s="965"/>
      <c r="S32" s="1030"/>
      <c r="Y32" s="947"/>
      <c r="Z32" s="947"/>
      <c r="AA32" s="947"/>
      <c r="AB32" s="947"/>
      <c r="AC32" s="947"/>
      <c r="AD32" s="947"/>
      <c r="AE32" s="947"/>
      <c r="AF32" s="947"/>
      <c r="AG32" s="947"/>
      <c r="AH32" s="947"/>
      <c r="AI32" s="947"/>
      <c r="AT32" s="947"/>
      <c r="AU32" s="947">
        <f ca="1"/>
        <v>2035</v>
      </c>
      <c r="AV32" s="947">
        <f t="shared" ca="1" si="1"/>
        <v>-222145.16612174051</v>
      </c>
      <c r="AW32" s="947">
        <f ca="1"/>
        <v>-222145.16612174051</v>
      </c>
      <c r="AX32" s="1029">
        <f ca="1"/>
        <v>332734.95816069347</v>
      </c>
      <c r="AY32" s="1029">
        <f ca="1"/>
        <v>-160084.68219079723</v>
      </c>
      <c r="AZ32" s="1029">
        <f ca="1"/>
        <v>26736.207722016283</v>
      </c>
      <c r="BA32" s="947">
        <f ca="1"/>
        <v>2035</v>
      </c>
      <c r="BB32" s="1029">
        <f ca="1"/>
        <v>354979.62452624249</v>
      </c>
      <c r="BC32" s="947"/>
    </row>
    <row r="33" spans="1:55">
      <c r="A33" s="684"/>
      <c r="B33" s="778"/>
      <c r="C33" s="778"/>
      <c r="D33" s="684"/>
      <c r="E33" s="965"/>
      <c r="F33" s="965"/>
      <c r="G33" s="965"/>
      <c r="H33" s="965"/>
      <c r="I33" s="965"/>
      <c r="J33" s="965"/>
      <c r="K33" s="965"/>
      <c r="L33" s="965"/>
      <c r="M33" s="965"/>
      <c r="N33" s="965"/>
      <c r="O33" s="965"/>
      <c r="P33" s="965"/>
      <c r="Q33" s="965"/>
      <c r="S33" s="1030"/>
      <c r="Y33" s="947"/>
      <c r="Z33" s="947"/>
      <c r="AA33" s="947"/>
      <c r="AB33" s="947"/>
      <c r="AC33" s="947"/>
      <c r="AD33" s="947"/>
      <c r="AE33" s="947"/>
      <c r="AF33" s="947"/>
      <c r="AG33" s="947"/>
      <c r="AH33" s="947"/>
      <c r="AI33" s="947"/>
      <c r="AT33" s="947"/>
      <c r="AU33" s="947">
        <f ca="1"/>
        <v>2036</v>
      </c>
      <c r="AV33" s="947">
        <f t="shared" ca="1" si="1"/>
        <v>100707.9302463941</v>
      </c>
      <c r="AW33" s="947">
        <f ca="1"/>
        <v>100707.9302463941</v>
      </c>
      <c r="AX33" s="1029">
        <f ca="1"/>
        <v>393501.82266579295</v>
      </c>
      <c r="AY33" s="1029">
        <f ca="1"/>
        <v>-167084.20842307672</v>
      </c>
      <c r="AZ33" s="1029">
        <f ca="1"/>
        <v>28349.746126571004</v>
      </c>
      <c r="BA33" s="947">
        <f ca="1"/>
        <v>2036</v>
      </c>
      <c r="BB33" s="1029">
        <f ca="1"/>
        <v>332599.27497968415</v>
      </c>
      <c r="BC33" s="947"/>
    </row>
    <row r="34" spans="1:55">
      <c r="A34" s="684"/>
      <c r="B34" s="778"/>
      <c r="C34" s="778"/>
      <c r="D34" s="684"/>
      <c r="E34" s="965"/>
      <c r="F34" s="965"/>
      <c r="G34" s="965"/>
      <c r="H34" s="965"/>
      <c r="I34" s="965"/>
      <c r="J34" s="965"/>
      <c r="K34" s="965"/>
      <c r="L34" s="965"/>
      <c r="M34" s="965"/>
      <c r="N34" s="965"/>
      <c r="O34" s="965"/>
      <c r="P34" s="965"/>
      <c r="Q34" s="965"/>
      <c r="S34" s="1030"/>
      <c r="Y34" s="947"/>
      <c r="Z34" s="947"/>
      <c r="AA34" s="947"/>
      <c r="AB34" s="947"/>
      <c r="AC34" s="947"/>
      <c r="AD34" s="947"/>
      <c r="AE34" s="947"/>
      <c r="AF34" s="947"/>
      <c r="AG34" s="947"/>
      <c r="AH34" s="947"/>
      <c r="AI34" s="947"/>
      <c r="AT34" s="947"/>
      <c r="AU34" s="947">
        <f ca="1"/>
        <v>2037</v>
      </c>
      <c r="AV34" s="947">
        <f t="shared" ca="1" si="1"/>
        <v>523488.4535953789</v>
      </c>
      <c r="AW34" s="947">
        <f ca="1"/>
        <v>523488.4535953789</v>
      </c>
      <c r="AX34" s="1029">
        <f ca="1"/>
        <v>466511.16074120696</v>
      </c>
      <c r="AY34" s="1029">
        <f ca="1"/>
        <v>-175499.77817157737</v>
      </c>
      <c r="AZ34" s="1029">
        <f ca="1"/>
        <v>30273.853652308568</v>
      </c>
      <c r="BA34" s="947">
        <f ca="1"/>
        <v>2037</v>
      </c>
      <c r="BB34" s="1029">
        <f ca="1"/>
        <v>304701.15531623614</v>
      </c>
      <c r="BC34" s="947"/>
    </row>
    <row r="35" spans="1:55">
      <c r="A35" s="684"/>
      <c r="B35" s="778"/>
      <c r="C35" s="778"/>
      <c r="D35" s="684"/>
      <c r="E35" s="965"/>
      <c r="F35" s="965"/>
      <c r="G35" s="965"/>
      <c r="H35" s="965"/>
      <c r="I35" s="965"/>
      <c r="J35" s="965"/>
      <c r="K35" s="965"/>
      <c r="L35" s="965"/>
      <c r="M35" s="965"/>
      <c r="N35" s="965"/>
      <c r="O35" s="965"/>
      <c r="P35" s="965"/>
      <c r="Q35" s="965"/>
      <c r="S35" s="1030"/>
      <c r="Y35" s="947"/>
      <c r="Z35" s="947"/>
      <c r="AA35" s="947"/>
      <c r="AB35" s="947"/>
      <c r="AC35" s="947"/>
      <c r="AD35" s="947"/>
      <c r="AE35" s="947"/>
      <c r="AF35" s="947"/>
      <c r="AG35" s="947"/>
      <c r="AH35" s="947"/>
      <c r="AI35" s="947"/>
      <c r="AT35" s="947"/>
      <c r="AU35" s="947">
        <f ca="1"/>
        <v>2038</v>
      </c>
      <c r="AV35" s="947">
        <f t="shared" ca="1" si="1"/>
        <v>1071091.0369200041</v>
      </c>
      <c r="AW35" s="947">
        <f ca="1"/>
        <v>1071091.0369200041</v>
      </c>
      <c r="AX35" s="1029">
        <f ca="1"/>
        <v>555131.14467821911</v>
      </c>
      <c r="AY35" s="1029">
        <f ca="1"/>
        <v>-185175.00197367911</v>
      </c>
      <c r="AZ35" s="1029">
        <f ca="1"/>
        <v>32298.151350332329</v>
      </c>
      <c r="BA35" s="947">
        <f ca="1"/>
        <v>2038</v>
      </c>
      <c r="BB35" s="1029">
        <f ca="1"/>
        <v>271793.39936433273</v>
      </c>
      <c r="BC35" s="947"/>
    </row>
    <row r="36" spans="1:55">
      <c r="A36" s="684"/>
      <c r="B36" s="778"/>
      <c r="C36" s="778"/>
      <c r="D36" s="684"/>
      <c r="E36" s="965"/>
      <c r="F36" s="965"/>
      <c r="G36" s="965"/>
      <c r="H36" s="965"/>
      <c r="I36" s="965"/>
      <c r="J36" s="965"/>
      <c r="K36" s="965"/>
      <c r="L36" s="965"/>
      <c r="M36" s="965"/>
      <c r="N36" s="965"/>
      <c r="O36" s="965"/>
      <c r="P36" s="965"/>
      <c r="Q36" s="965"/>
      <c r="S36" s="1030"/>
      <c r="Y36" s="947"/>
      <c r="Z36" s="947"/>
      <c r="AA36" s="947"/>
      <c r="AB36" s="947"/>
      <c r="AC36" s="947"/>
      <c r="AD36" s="947"/>
      <c r="AE36" s="947"/>
      <c r="AF36" s="947"/>
      <c r="AG36" s="947"/>
      <c r="AH36" s="947"/>
      <c r="AI36" s="947"/>
      <c r="AT36" s="947"/>
      <c r="AU36" s="947"/>
      <c r="AV36" s="947"/>
      <c r="AW36" s="947"/>
      <c r="AX36" s="947"/>
      <c r="AY36" s="947"/>
      <c r="AZ36" s="947"/>
      <c r="BA36" s="947">
        <f ca="1"/>
        <v>2039</v>
      </c>
      <c r="BB36" s="947">
        <f ca="1"/>
        <v>234785.05638072296</v>
      </c>
      <c r="BC36" s="947"/>
    </row>
    <row r="37" spans="1:55">
      <c r="A37" s="684"/>
      <c r="B37" s="778"/>
      <c r="C37" s="778"/>
      <c r="D37" s="684"/>
      <c r="E37" s="965"/>
      <c r="F37" s="965"/>
      <c r="G37" s="965"/>
      <c r="H37" s="965"/>
      <c r="I37" s="965"/>
      <c r="J37" s="965"/>
      <c r="K37" s="965"/>
      <c r="L37" s="965"/>
      <c r="M37" s="965"/>
      <c r="N37" s="965"/>
      <c r="O37" s="965"/>
      <c r="P37" s="965"/>
      <c r="Q37" s="965"/>
      <c r="S37" s="1030"/>
      <c r="Y37" s="965"/>
      <c r="Z37" s="965"/>
      <c r="AA37" s="965"/>
      <c r="AB37" s="965"/>
      <c r="AC37" s="965"/>
      <c r="AD37" s="965"/>
      <c r="AE37" s="965"/>
      <c r="AF37" s="965"/>
      <c r="AG37" s="965"/>
      <c r="AH37" s="965"/>
      <c r="AI37" s="965"/>
      <c r="AT37" s="947"/>
      <c r="AU37" s="947"/>
      <c r="AV37" s="947"/>
      <c r="AW37" s="947"/>
      <c r="AX37" s="947"/>
      <c r="AY37" s="947"/>
      <c r="AZ37" s="947"/>
      <c r="BA37" s="947">
        <f ca="1"/>
        <v>2040</v>
      </c>
      <c r="BB37" s="947">
        <f ca="1"/>
        <v>194965.36902821073</v>
      </c>
      <c r="BC37" s="947"/>
    </row>
    <row r="38" spans="1:55">
      <c r="A38" s="684"/>
      <c r="B38" s="778"/>
      <c r="C38" s="778"/>
      <c r="D38" s="684"/>
      <c r="E38" s="965"/>
      <c r="F38" s="965"/>
      <c r="G38" s="965"/>
      <c r="H38" s="965"/>
      <c r="I38" s="965"/>
      <c r="J38" s="965"/>
      <c r="K38" s="965"/>
      <c r="L38" s="965"/>
      <c r="M38" s="965"/>
      <c r="N38" s="965"/>
      <c r="O38" s="965"/>
      <c r="P38" s="965"/>
      <c r="Q38" s="965"/>
      <c r="R38" s="965"/>
      <c r="S38" s="965"/>
      <c r="T38" s="965"/>
      <c r="U38" s="965"/>
      <c r="V38" s="965"/>
      <c r="W38" s="965"/>
      <c r="X38" s="965"/>
      <c r="Y38" s="965"/>
      <c r="Z38" s="965"/>
      <c r="AA38" s="965"/>
      <c r="AB38" s="965"/>
      <c r="AC38" s="965"/>
      <c r="AD38" s="965"/>
      <c r="AE38" s="965"/>
      <c r="AF38" s="965"/>
      <c r="AG38" s="965"/>
      <c r="AH38" s="965"/>
      <c r="AI38" s="965"/>
      <c r="AT38" s="947"/>
      <c r="AU38" s="947"/>
      <c r="AV38" s="947"/>
      <c r="AW38" s="947"/>
      <c r="AX38" s="947"/>
      <c r="AY38" s="947"/>
      <c r="AZ38" s="947"/>
      <c r="BA38" s="947">
        <f ca="1"/>
        <v>2041</v>
      </c>
      <c r="BB38" s="947">
        <f ca="1"/>
        <v>154475.72228858725</v>
      </c>
      <c r="BC38" s="947"/>
    </row>
    <row r="39" spans="1:55" ht="17.25" customHeight="1">
      <c r="A39" s="684"/>
      <c r="B39" s="1017" t="s">
        <v>511</v>
      </c>
      <c r="C39" s="1018"/>
      <c r="D39" s="1019"/>
      <c r="E39" s="1020"/>
      <c r="F39" s="1020"/>
      <c r="G39" s="1020"/>
      <c r="H39" s="1020"/>
      <c r="I39" s="1020"/>
      <c r="J39" s="1021"/>
      <c r="K39" s="1022"/>
      <c r="L39" s="1023"/>
      <c r="M39" s="1022"/>
      <c r="N39" s="1022"/>
      <c r="O39" s="1022"/>
      <c r="P39" s="1022"/>
      <c r="Q39" s="1022"/>
      <c r="R39" s="1022"/>
      <c r="S39" s="1022"/>
      <c r="T39" s="1022"/>
      <c r="U39" s="1022"/>
      <c r="V39" s="1022"/>
      <c r="W39" s="1022"/>
      <c r="X39" s="1022"/>
      <c r="Y39" s="1022"/>
      <c r="Z39" s="1022"/>
      <c r="AA39" s="1022"/>
      <c r="AB39" s="1022"/>
      <c r="AC39" s="1022"/>
      <c r="AD39" s="1022"/>
      <c r="AE39" s="1022"/>
      <c r="AF39" s="1022"/>
      <c r="AG39" s="1022"/>
      <c r="AH39" s="1022"/>
      <c r="AI39" s="1022"/>
      <c r="AJ39" s="1022"/>
      <c r="AK39" s="1022"/>
      <c r="AL39" s="1022"/>
      <c r="AM39" s="1022"/>
      <c r="AN39" s="1022"/>
      <c r="AO39" s="1022"/>
      <c r="AP39" s="1022"/>
      <c r="AQ39" s="1022"/>
      <c r="AR39" s="1022"/>
      <c r="AS39" s="1022"/>
      <c r="AT39" s="947"/>
      <c r="AU39" s="947"/>
      <c r="AV39" s="947"/>
      <c r="AW39" s="947"/>
      <c r="AX39" s="947"/>
      <c r="AY39" s="947"/>
      <c r="AZ39" s="947"/>
      <c r="BA39" s="947">
        <f ca="1"/>
        <v>2042</v>
      </c>
      <c r="BB39" s="947">
        <f ca="1"/>
        <v>116373.24095807532</v>
      </c>
      <c r="BC39" s="947"/>
    </row>
    <row r="40" spans="1:55" ht="5.25" customHeight="1">
      <c r="A40" s="684"/>
      <c r="B40" s="778"/>
      <c r="C40" s="778"/>
      <c r="D40" s="684"/>
      <c r="E40" s="965"/>
      <c r="F40" s="965"/>
      <c r="G40" s="965"/>
      <c r="H40" s="965"/>
      <c r="I40" s="965"/>
      <c r="J40" s="965"/>
      <c r="K40" s="965"/>
      <c r="L40" s="965"/>
      <c r="M40" s="965"/>
      <c r="N40" s="965"/>
      <c r="O40" s="965"/>
      <c r="P40" s="965"/>
      <c r="Q40" s="965"/>
      <c r="R40" s="965"/>
      <c r="S40" s="965"/>
      <c r="T40" s="965"/>
      <c r="U40" s="965"/>
      <c r="V40" s="965"/>
      <c r="W40" s="965"/>
      <c r="X40" s="965"/>
      <c r="Y40" s="965"/>
      <c r="Z40" s="965"/>
      <c r="AA40" s="965"/>
      <c r="AB40" s="965"/>
      <c r="AC40" s="965"/>
      <c r="AD40" s="965"/>
      <c r="AE40" s="965"/>
      <c r="AF40" s="965"/>
      <c r="AG40" s="965"/>
      <c r="AH40" s="965"/>
      <c r="AI40" s="965"/>
      <c r="AJ40" s="965"/>
      <c r="AK40" s="965"/>
      <c r="AL40" s="965"/>
      <c r="AM40" s="965"/>
      <c r="AN40" s="965"/>
      <c r="AO40" s="965"/>
      <c r="AP40" s="965"/>
      <c r="AQ40" s="965"/>
      <c r="AR40" s="965"/>
      <c r="AS40" s="965"/>
      <c r="AT40" s="947"/>
      <c r="AU40" s="947"/>
      <c r="AV40" s="947"/>
      <c r="AW40" s="947"/>
      <c r="AX40" s="947"/>
      <c r="AY40" s="947"/>
      <c r="AZ40" s="947"/>
      <c r="BA40" s="947">
        <f ca="1"/>
        <v>2043</v>
      </c>
      <c r="BB40" s="947">
        <f ca="1"/>
        <v>83587.663465933903</v>
      </c>
      <c r="BC40" s="947"/>
    </row>
    <row r="41" spans="1:55" ht="14.25">
      <c r="A41" s="684"/>
      <c r="B41" s="684"/>
      <c r="C41" s="684"/>
      <c r="D41" s="690" t="s">
        <v>181</v>
      </c>
      <c r="E41" s="947">
        <f ca="1">'2.2 Input_General_Information'!H20</f>
        <v>2018</v>
      </c>
      <c r="F41" s="965">
        <f ca="1">E41+1</f>
        <v>2019</v>
      </c>
      <c r="G41" s="965">
        <f t="shared" ref="G41:Y41" ca="1" si="2">F41+1</f>
        <v>2020</v>
      </c>
      <c r="H41" s="965">
        <f t="shared" ca="1" si="2"/>
        <v>2021</v>
      </c>
      <c r="I41" s="965">
        <f t="shared" ca="1" si="2"/>
        <v>2022</v>
      </c>
      <c r="J41" s="965">
        <f t="shared" ca="1" si="2"/>
        <v>2023</v>
      </c>
      <c r="K41" s="965">
        <f t="shared" ca="1" si="2"/>
        <v>2024</v>
      </c>
      <c r="L41" s="965">
        <f t="shared" ca="1" si="2"/>
        <v>2025</v>
      </c>
      <c r="M41" s="965">
        <f t="shared" ca="1" si="2"/>
        <v>2026</v>
      </c>
      <c r="N41" s="965">
        <f t="shared" ca="1" si="2"/>
        <v>2027</v>
      </c>
      <c r="O41" s="965">
        <f t="shared" ca="1" si="2"/>
        <v>2028</v>
      </c>
      <c r="P41" s="965">
        <f t="shared" ca="1" si="2"/>
        <v>2029</v>
      </c>
      <c r="Q41" s="965">
        <f t="shared" ca="1" si="2"/>
        <v>2030</v>
      </c>
      <c r="R41" s="965">
        <f t="shared" ca="1" si="2"/>
        <v>2031</v>
      </c>
      <c r="S41" s="965">
        <f t="shared" ca="1" si="2"/>
        <v>2032</v>
      </c>
      <c r="T41" s="965">
        <f t="shared" ca="1" si="2"/>
        <v>2033</v>
      </c>
      <c r="U41" s="965">
        <f t="shared" ca="1" si="2"/>
        <v>2034</v>
      </c>
      <c r="V41" s="965">
        <f t="shared" ca="1" si="2"/>
        <v>2035</v>
      </c>
      <c r="W41" s="965">
        <f t="shared" ca="1" si="2"/>
        <v>2036</v>
      </c>
      <c r="X41" s="965">
        <f t="shared" ca="1" si="2"/>
        <v>2037</v>
      </c>
      <c r="Y41" s="965">
        <f t="shared" ca="1" si="2"/>
        <v>2038</v>
      </c>
      <c r="Z41" s="965">
        <f t="shared" ref="Z41:AJ41" ca="1" si="3">Y41+1</f>
        <v>2039</v>
      </c>
      <c r="AA41" s="965">
        <f t="shared" ca="1" si="3"/>
        <v>2040</v>
      </c>
      <c r="AB41" s="965">
        <f t="shared" ca="1" si="3"/>
        <v>2041</v>
      </c>
      <c r="AC41" s="965">
        <f t="shared" ca="1" si="3"/>
        <v>2042</v>
      </c>
      <c r="AD41" s="965">
        <f t="shared" ca="1" si="3"/>
        <v>2043</v>
      </c>
      <c r="AE41" s="965">
        <f t="shared" ca="1" si="3"/>
        <v>2044</v>
      </c>
      <c r="AF41" s="965">
        <f t="shared" ca="1" si="3"/>
        <v>2045</v>
      </c>
      <c r="AG41" s="965">
        <f t="shared" ca="1" si="3"/>
        <v>2046</v>
      </c>
      <c r="AH41" s="965">
        <f t="shared" ca="1" si="3"/>
        <v>2047</v>
      </c>
      <c r="AI41" s="965">
        <f t="shared" ca="1" si="3"/>
        <v>2048</v>
      </c>
      <c r="AJ41" s="965">
        <f t="shared" ca="1" si="3"/>
        <v>2049</v>
      </c>
      <c r="AK41" s="965">
        <f t="shared" ref="AK41:AS41" ca="1" si="4">AJ41+1</f>
        <v>2050</v>
      </c>
      <c r="AL41" s="965">
        <f t="shared" ca="1" si="4"/>
        <v>2051</v>
      </c>
      <c r="AM41" s="965">
        <f t="shared" ca="1" si="4"/>
        <v>2052</v>
      </c>
      <c r="AN41" s="965">
        <f t="shared" ca="1" si="4"/>
        <v>2053</v>
      </c>
      <c r="AO41" s="965">
        <f t="shared" ca="1" si="4"/>
        <v>2054</v>
      </c>
      <c r="AP41" s="965">
        <f t="shared" ca="1" si="4"/>
        <v>2055</v>
      </c>
      <c r="AQ41" s="965">
        <f t="shared" ca="1" si="4"/>
        <v>2056</v>
      </c>
      <c r="AR41" s="965">
        <f t="shared" ca="1" si="4"/>
        <v>2057</v>
      </c>
      <c r="AS41" s="965">
        <f t="shared" ca="1" si="4"/>
        <v>2058</v>
      </c>
      <c r="AT41" s="947"/>
      <c r="AU41" s="947"/>
      <c r="AV41" s="947"/>
      <c r="AW41" s="947"/>
      <c r="AX41" s="947"/>
      <c r="AY41" s="947"/>
      <c r="AZ41" s="947"/>
      <c r="BA41" s="947">
        <f ca="1"/>
        <v>2044</v>
      </c>
      <c r="BB41" s="947">
        <f ca="1"/>
        <v>57697.904338920045</v>
      </c>
      <c r="BC41" s="947"/>
    </row>
    <row r="42" spans="1:55" ht="5.25" customHeight="1">
      <c r="A42" s="684"/>
      <c r="B42" s="684"/>
      <c r="C42" s="684"/>
      <c r="D42" s="690"/>
      <c r="E42" s="690"/>
      <c r="F42" s="690"/>
      <c r="G42" s="690"/>
      <c r="H42" s="690"/>
      <c r="I42" s="690"/>
      <c r="J42" s="684"/>
      <c r="K42" s="684"/>
      <c r="L42" s="690"/>
      <c r="M42" s="684"/>
      <c r="N42" s="684"/>
      <c r="O42" s="684"/>
      <c r="P42" s="684"/>
      <c r="Q42" s="684"/>
      <c r="R42" s="684"/>
      <c r="S42" s="684"/>
      <c r="T42" s="684"/>
      <c r="U42" s="684"/>
      <c r="V42" s="684"/>
      <c r="W42" s="684"/>
      <c r="X42" s="684"/>
      <c r="Y42" s="684"/>
      <c r="Z42" s="1091"/>
      <c r="AA42" s="1091"/>
      <c r="AB42" s="1091"/>
      <c r="AC42" s="1091"/>
      <c r="AD42" s="1091"/>
      <c r="AE42" s="1091"/>
      <c r="AF42" s="1091"/>
      <c r="AG42" s="1091"/>
      <c r="AH42" s="1091"/>
      <c r="AI42" s="1091"/>
      <c r="AJ42" s="1091"/>
      <c r="AK42" s="1091"/>
      <c r="AL42" s="1091"/>
      <c r="AM42" s="1091"/>
      <c r="AN42" s="1091"/>
      <c r="AO42" s="1091"/>
      <c r="AP42" s="1091"/>
      <c r="AQ42" s="1091"/>
      <c r="AR42" s="1091"/>
      <c r="AS42" s="1091"/>
      <c r="AT42" s="947"/>
      <c r="AU42" s="947"/>
      <c r="AV42" s="947"/>
      <c r="AW42" s="947"/>
      <c r="AX42" s="947"/>
      <c r="AY42" s="947"/>
      <c r="AZ42" s="947"/>
      <c r="BA42" s="947">
        <f ca="1"/>
        <v>2045</v>
      </c>
      <c r="BB42" s="947">
        <f ca="1"/>
        <v>38662.50869023877</v>
      </c>
      <c r="BC42" s="947"/>
    </row>
    <row r="43" spans="1:55" ht="14.25" hidden="1">
      <c r="A43" s="684"/>
      <c r="B43" s="684"/>
      <c r="C43" s="1031" t="s">
        <v>5</v>
      </c>
      <c r="D43" s="690"/>
      <c r="E43" s="690"/>
      <c r="F43" s="690"/>
      <c r="G43" s="690"/>
      <c r="H43" s="690"/>
      <c r="I43" s="690"/>
      <c r="J43" s="690"/>
      <c r="K43" s="690"/>
      <c r="L43" s="690"/>
      <c r="M43" s="690"/>
      <c r="N43" s="690"/>
      <c r="O43" s="690"/>
      <c r="P43" s="690"/>
      <c r="Q43" s="690"/>
      <c r="R43" s="690"/>
      <c r="S43" s="690"/>
      <c r="T43" s="690"/>
      <c r="U43" s="690"/>
      <c r="V43" s="690"/>
      <c r="W43" s="690"/>
      <c r="X43" s="690"/>
      <c r="Y43" s="690"/>
      <c r="Z43" s="690"/>
      <c r="AA43" s="690"/>
      <c r="AB43" s="690"/>
      <c r="AC43" s="690"/>
      <c r="AD43" s="690"/>
      <c r="AE43" s="690"/>
      <c r="AF43" s="690"/>
      <c r="AG43" s="690"/>
      <c r="AH43" s="690"/>
      <c r="AI43" s="690"/>
      <c r="AJ43" s="690"/>
      <c r="AK43" s="690"/>
      <c r="AL43" s="690"/>
      <c r="AM43" s="690"/>
      <c r="AN43" s="690"/>
      <c r="AO43" s="690"/>
      <c r="AP43" s="690"/>
      <c r="AQ43" s="690"/>
      <c r="AR43" s="690"/>
      <c r="AS43" s="690"/>
      <c r="AT43" s="947"/>
      <c r="AU43" s="947"/>
      <c r="AV43" s="947"/>
      <c r="AW43" s="947"/>
      <c r="AX43" s="947"/>
      <c r="AY43" s="947"/>
      <c r="AZ43" s="947"/>
      <c r="BA43" s="947">
        <f ca="1"/>
        <v>2046</v>
      </c>
      <c r="BB43" s="947">
        <f ca="1"/>
        <v>25399.35264986354</v>
      </c>
      <c r="BC43" s="947"/>
    </row>
    <row r="44" spans="1:55" ht="14.25">
      <c r="A44" s="684"/>
      <c r="B44" s="684"/>
      <c r="C44" s="684" t="s">
        <v>512</v>
      </c>
      <c r="D44" s="690" t="s">
        <v>201</v>
      </c>
      <c r="E44" s="694">
        <v>1</v>
      </c>
      <c r="F44" s="694">
        <f t="shared" ref="F44:Y44" si="5">E44 + 1</f>
        <v>2</v>
      </c>
      <c r="G44" s="694">
        <f t="shared" si="5"/>
        <v>3</v>
      </c>
      <c r="H44" s="694">
        <f t="shared" si="5"/>
        <v>4</v>
      </c>
      <c r="I44" s="694">
        <f t="shared" si="5"/>
        <v>5</v>
      </c>
      <c r="J44" s="694">
        <f t="shared" si="5"/>
        <v>6</v>
      </c>
      <c r="K44" s="694">
        <f t="shared" si="5"/>
        <v>7</v>
      </c>
      <c r="L44" s="694">
        <f t="shared" si="5"/>
        <v>8</v>
      </c>
      <c r="M44" s="694">
        <f t="shared" si="5"/>
        <v>9</v>
      </c>
      <c r="N44" s="694">
        <f t="shared" si="5"/>
        <v>10</v>
      </c>
      <c r="O44" s="694">
        <f t="shared" si="5"/>
        <v>11</v>
      </c>
      <c r="P44" s="694">
        <f t="shared" si="5"/>
        <v>12</v>
      </c>
      <c r="Q44" s="694">
        <f t="shared" si="5"/>
        <v>13</v>
      </c>
      <c r="R44" s="694">
        <f t="shared" si="5"/>
        <v>14</v>
      </c>
      <c r="S44" s="694">
        <f t="shared" si="5"/>
        <v>15</v>
      </c>
      <c r="T44" s="694">
        <f t="shared" si="5"/>
        <v>16</v>
      </c>
      <c r="U44" s="694">
        <f t="shared" si="5"/>
        <v>17</v>
      </c>
      <c r="V44" s="694">
        <f t="shared" si="5"/>
        <v>18</v>
      </c>
      <c r="W44" s="694">
        <f t="shared" si="5"/>
        <v>19</v>
      </c>
      <c r="X44" s="694">
        <f t="shared" si="5"/>
        <v>20</v>
      </c>
      <c r="Y44" s="694">
        <f t="shared" si="5"/>
        <v>21</v>
      </c>
      <c r="Z44" s="694">
        <f t="shared" ref="Z44" si="6">Y44 + 1</f>
        <v>22</v>
      </c>
      <c r="AA44" s="694">
        <f t="shared" ref="AA44" si="7">Z44 + 1</f>
        <v>23</v>
      </c>
      <c r="AB44" s="694">
        <f t="shared" ref="AB44" si="8">AA44 + 1</f>
        <v>24</v>
      </c>
      <c r="AC44" s="694">
        <f t="shared" ref="AC44" si="9">AB44 + 1</f>
        <v>25</v>
      </c>
      <c r="AD44" s="694">
        <f t="shared" ref="AD44" si="10">AC44 + 1</f>
        <v>26</v>
      </c>
      <c r="AE44" s="694">
        <f t="shared" ref="AE44" si="11">AD44 + 1</f>
        <v>27</v>
      </c>
      <c r="AF44" s="694">
        <f t="shared" ref="AF44" si="12">AE44 + 1</f>
        <v>28</v>
      </c>
      <c r="AG44" s="694">
        <f t="shared" ref="AG44" si="13">AF44 + 1</f>
        <v>29</v>
      </c>
      <c r="AH44" s="694">
        <f t="shared" ref="AH44" si="14">AG44 + 1</f>
        <v>30</v>
      </c>
      <c r="AI44" s="694">
        <f t="shared" ref="AI44" si="15">AH44 + 1</f>
        <v>31</v>
      </c>
      <c r="AJ44" s="694">
        <f t="shared" ref="AJ44" si="16">AI44 + 1</f>
        <v>32</v>
      </c>
      <c r="AK44" s="694">
        <f t="shared" ref="AK44" si="17">AJ44 + 1</f>
        <v>33</v>
      </c>
      <c r="AL44" s="694">
        <f t="shared" ref="AL44" si="18">AK44 + 1</f>
        <v>34</v>
      </c>
      <c r="AM44" s="694">
        <f t="shared" ref="AM44" si="19">AL44 + 1</f>
        <v>35</v>
      </c>
      <c r="AN44" s="694">
        <f t="shared" ref="AN44" si="20">AM44 + 1</f>
        <v>36</v>
      </c>
      <c r="AO44" s="694">
        <f t="shared" ref="AO44" si="21">AN44 + 1</f>
        <v>37</v>
      </c>
      <c r="AP44" s="694">
        <f t="shared" ref="AP44" si="22">AO44 + 1</f>
        <v>38</v>
      </c>
      <c r="AQ44" s="694">
        <f t="shared" ref="AQ44" si="23">AP44 + 1</f>
        <v>39</v>
      </c>
      <c r="AR44" s="694">
        <f t="shared" ref="AR44" si="24">AQ44 + 1</f>
        <v>40</v>
      </c>
      <c r="AS44" s="694">
        <f t="shared" ref="AS44" si="25">AR44 + 1</f>
        <v>41</v>
      </c>
      <c r="AT44" s="947"/>
      <c r="AU44" s="947"/>
      <c r="AV44" s="947"/>
      <c r="AW44" s="947"/>
      <c r="AX44" s="947"/>
      <c r="AY44" s="947"/>
      <c r="AZ44" s="947"/>
      <c r="BA44" s="947">
        <f ca="1"/>
        <v>2047</v>
      </c>
      <c r="BB44" s="947"/>
      <c r="BC44" s="947"/>
    </row>
    <row r="45" spans="1:55" ht="14.25">
      <c r="A45" s="684"/>
      <c r="C45" s="684" t="s">
        <v>513</v>
      </c>
      <c r="D45" s="690" t="s">
        <v>514</v>
      </c>
      <c r="E45" s="694" t="str">
        <f t="shared" ref="E45:AS45" si="26">SUBSTITUTE(ADDRESS(1,E46,4),"1","")</f>
        <v>E</v>
      </c>
      <c r="F45" s="694" t="str">
        <f t="shared" si="26"/>
        <v>F</v>
      </c>
      <c r="G45" s="694" t="str">
        <f t="shared" si="26"/>
        <v>G</v>
      </c>
      <c r="H45" s="694" t="str">
        <f t="shared" si="26"/>
        <v>H</v>
      </c>
      <c r="I45" s="694" t="str">
        <f t="shared" si="26"/>
        <v>I</v>
      </c>
      <c r="J45" s="694" t="str">
        <f t="shared" si="26"/>
        <v>J</v>
      </c>
      <c r="K45" s="694" t="str">
        <f t="shared" si="26"/>
        <v>K</v>
      </c>
      <c r="L45" s="694" t="str">
        <f t="shared" si="26"/>
        <v>L</v>
      </c>
      <c r="M45" s="694" t="str">
        <f t="shared" si="26"/>
        <v>M</v>
      </c>
      <c r="N45" s="694" t="str">
        <f t="shared" si="26"/>
        <v>N</v>
      </c>
      <c r="O45" s="694" t="str">
        <f t="shared" si="26"/>
        <v>O</v>
      </c>
      <c r="P45" s="694" t="str">
        <f t="shared" si="26"/>
        <v>P</v>
      </c>
      <c r="Q45" s="694" t="str">
        <f t="shared" si="26"/>
        <v>Q</v>
      </c>
      <c r="R45" s="694" t="str">
        <f t="shared" si="26"/>
        <v>R</v>
      </c>
      <c r="S45" s="694" t="str">
        <f t="shared" si="26"/>
        <v>S</v>
      </c>
      <c r="T45" s="694" t="str">
        <f t="shared" si="26"/>
        <v>T</v>
      </c>
      <c r="U45" s="694" t="str">
        <f t="shared" si="26"/>
        <v>U</v>
      </c>
      <c r="V45" s="694" t="str">
        <f t="shared" si="26"/>
        <v>V</v>
      </c>
      <c r="W45" s="694" t="str">
        <f t="shared" si="26"/>
        <v>W</v>
      </c>
      <c r="X45" s="694" t="str">
        <f t="shared" si="26"/>
        <v>X</v>
      </c>
      <c r="Y45" s="694" t="str">
        <f t="shared" si="26"/>
        <v>Y</v>
      </c>
      <c r="Z45" s="694" t="str">
        <f t="shared" si="26"/>
        <v>Z</v>
      </c>
      <c r="AA45" s="694" t="str">
        <f t="shared" si="26"/>
        <v>AA</v>
      </c>
      <c r="AB45" s="694" t="str">
        <f t="shared" si="26"/>
        <v>AB</v>
      </c>
      <c r="AC45" s="694" t="str">
        <f t="shared" si="26"/>
        <v>AC</v>
      </c>
      <c r="AD45" s="694" t="str">
        <f t="shared" si="26"/>
        <v>AD</v>
      </c>
      <c r="AE45" s="694" t="str">
        <f t="shared" si="26"/>
        <v>AE</v>
      </c>
      <c r="AF45" s="694" t="str">
        <f t="shared" si="26"/>
        <v>AF</v>
      </c>
      <c r="AG45" s="694" t="str">
        <f t="shared" si="26"/>
        <v>AG</v>
      </c>
      <c r="AH45" s="694" t="str">
        <f t="shared" si="26"/>
        <v>AH</v>
      </c>
      <c r="AI45" s="694" t="str">
        <f t="shared" si="26"/>
        <v>AI</v>
      </c>
      <c r="AJ45" s="694" t="str">
        <f t="shared" si="26"/>
        <v>AJ</v>
      </c>
      <c r="AK45" s="694" t="str">
        <f t="shared" si="26"/>
        <v>AK</v>
      </c>
      <c r="AL45" s="694" t="str">
        <f t="shared" si="26"/>
        <v>AL</v>
      </c>
      <c r="AM45" s="694" t="str">
        <f t="shared" si="26"/>
        <v>AM</v>
      </c>
      <c r="AN45" s="694" t="str">
        <f t="shared" si="26"/>
        <v>AN</v>
      </c>
      <c r="AO45" s="694" t="str">
        <f t="shared" si="26"/>
        <v>AO</v>
      </c>
      <c r="AP45" s="694" t="str">
        <f t="shared" si="26"/>
        <v>AP</v>
      </c>
      <c r="AQ45" s="694" t="str">
        <f t="shared" si="26"/>
        <v>AQ</v>
      </c>
      <c r="AR45" s="694" t="str">
        <f t="shared" si="26"/>
        <v>AR</v>
      </c>
      <c r="AS45" s="694" t="str">
        <f t="shared" si="26"/>
        <v>AS</v>
      </c>
      <c r="AT45" s="947"/>
      <c r="AU45" s="947"/>
      <c r="AV45" s="947"/>
      <c r="AW45" s="947"/>
      <c r="AX45" s="947"/>
      <c r="AY45" s="947"/>
      <c r="AZ45" s="947"/>
      <c r="BA45" s="947">
        <f ca="1"/>
        <v>2048</v>
      </c>
      <c r="BB45" s="947"/>
      <c r="BC45" s="947"/>
    </row>
    <row r="46" spans="1:55" ht="14.25">
      <c r="A46" s="684"/>
      <c r="C46" s="684" t="s">
        <v>515</v>
      </c>
      <c r="D46" s="690" t="s">
        <v>201</v>
      </c>
      <c r="E46" s="694">
        <f>COLUMN(E:E)</f>
        <v>5</v>
      </c>
      <c r="F46" s="694">
        <f>COLUMN(F:F)</f>
        <v>6</v>
      </c>
      <c r="G46" s="694">
        <f>COLUMN(G:G)</f>
        <v>7</v>
      </c>
      <c r="H46" s="694">
        <f>COLUMN(H:H)</f>
        <v>8</v>
      </c>
      <c r="I46" s="694">
        <f>COLUMN(I:I)</f>
        <v>9</v>
      </c>
      <c r="J46" s="694">
        <f>COLUMN(J:J)</f>
        <v>10</v>
      </c>
      <c r="K46" s="694">
        <f>COLUMN(K:K)</f>
        <v>11</v>
      </c>
      <c r="L46" s="694">
        <f>COLUMN(L:L)</f>
        <v>12</v>
      </c>
      <c r="M46" s="694">
        <f>COLUMN(M:M)</f>
        <v>13</v>
      </c>
      <c r="N46" s="694">
        <f>COLUMN(N:N)</f>
        <v>14</v>
      </c>
      <c r="O46" s="694">
        <f>COLUMN(O:O)</f>
        <v>15</v>
      </c>
      <c r="P46" s="694">
        <f>COLUMN(P:P)</f>
        <v>16</v>
      </c>
      <c r="Q46" s="694">
        <f>COLUMN(Q:Q)</f>
        <v>17</v>
      </c>
      <c r="R46" s="694">
        <f>COLUMN(R:R)</f>
        <v>18</v>
      </c>
      <c r="S46" s="694">
        <f>COLUMN(S:S)</f>
        <v>19</v>
      </c>
      <c r="T46" s="694">
        <f>COLUMN(T:T)</f>
        <v>20</v>
      </c>
      <c r="U46" s="694">
        <f>COLUMN(U:U)</f>
        <v>21</v>
      </c>
      <c r="V46" s="694">
        <f>COLUMN(V:V)</f>
        <v>22</v>
      </c>
      <c r="W46" s="694">
        <f>COLUMN(W:W)</f>
        <v>23</v>
      </c>
      <c r="X46" s="694">
        <f>COLUMN(X:X)</f>
        <v>24</v>
      </c>
      <c r="Y46" s="694">
        <f>COLUMN(Y:Y)</f>
        <v>25</v>
      </c>
      <c r="Z46" s="694">
        <f>COLUMN(Z:Z)</f>
        <v>26</v>
      </c>
      <c r="AA46" s="694">
        <f>COLUMN(AA:AA)</f>
        <v>27</v>
      </c>
      <c r="AB46" s="694">
        <f>COLUMN(AB:AB)</f>
        <v>28</v>
      </c>
      <c r="AC46" s="694">
        <f>COLUMN(AC:AC)</f>
        <v>29</v>
      </c>
      <c r="AD46" s="694">
        <f>COLUMN(AD:AD)</f>
        <v>30</v>
      </c>
      <c r="AE46" s="694">
        <f>COLUMN(AE:AE)</f>
        <v>31</v>
      </c>
      <c r="AF46" s="694">
        <f>COLUMN(AF:AF)</f>
        <v>32</v>
      </c>
      <c r="AG46" s="694">
        <f>COLUMN(AG:AG)</f>
        <v>33</v>
      </c>
      <c r="AH46" s="694">
        <f>COLUMN(AH:AH)</f>
        <v>34</v>
      </c>
      <c r="AI46" s="694">
        <f>COLUMN(AI:AI)</f>
        <v>35</v>
      </c>
      <c r="AJ46" s="694">
        <f>COLUMN(AJ:AJ)</f>
        <v>36</v>
      </c>
      <c r="AK46" s="694">
        <f>COLUMN(AK:AK)</f>
        <v>37</v>
      </c>
      <c r="AL46" s="694">
        <f>COLUMN(AL:AL)</f>
        <v>38</v>
      </c>
      <c r="AM46" s="694">
        <f>COLUMN(AM:AM)</f>
        <v>39</v>
      </c>
      <c r="AN46" s="694">
        <f>COLUMN(AN:AN)</f>
        <v>40</v>
      </c>
      <c r="AO46" s="694">
        <f>COLUMN(AO:AO)</f>
        <v>41</v>
      </c>
      <c r="AP46" s="694">
        <f>COLUMN(AP:AP)</f>
        <v>42</v>
      </c>
      <c r="AQ46" s="694">
        <f>COLUMN(AQ:AQ)</f>
        <v>43</v>
      </c>
      <c r="AR46" s="694">
        <f>COLUMN(AR:AR)</f>
        <v>44</v>
      </c>
      <c r="AS46" s="694">
        <f>COLUMN(AS:AS)</f>
        <v>45</v>
      </c>
      <c r="AT46" s="947"/>
      <c r="AU46" s="947"/>
      <c r="AV46" s="947"/>
      <c r="AW46" s="947"/>
      <c r="AX46" s="947"/>
      <c r="AY46" s="947"/>
      <c r="AZ46" s="947"/>
      <c r="BA46" s="947">
        <f ca="1"/>
        <v>2049</v>
      </c>
      <c r="BB46" s="947"/>
      <c r="BC46" s="947"/>
    </row>
    <row r="47" spans="1:55" ht="14.25">
      <c r="A47" s="884"/>
      <c r="C47" s="832" t="s">
        <v>516</v>
      </c>
      <c r="D47" s="690" t="s">
        <v>486</v>
      </c>
      <c r="E47" s="1032">
        <f ca="1">VLOOKUP(E$76, Inflation!$B$4:$C$44,2,FALSE)</f>
        <v>1.72E-2</v>
      </c>
      <c r="F47" s="1032">
        <f ca="1">VLOOKUP(F$76, Inflation!$B$4:$C$44,2,FALSE)</f>
        <v>1.89E-2</v>
      </c>
      <c r="G47" s="1032">
        <f ca="1">VLOOKUP(G$76, Inflation!$B$4:$C$44,2,FALSE)</f>
        <v>1.9400000000000001E-2</v>
      </c>
      <c r="H47" s="1032">
        <f ca="1">VLOOKUP(H$76, Inflation!$B$4:$C$44,2,FALSE)</f>
        <v>1.9900000000000001E-2</v>
      </c>
      <c r="I47" s="1032">
        <f ca="1">VLOOKUP(I$76, Inflation!$B$4:$C$44,2,FALSE)</f>
        <v>1.8849999999999999E-2</v>
      </c>
      <c r="J47" s="1032">
        <f ca="1">VLOOKUP(J$76, Inflation!$B$4:$C$44,2,FALSE)</f>
        <v>1.8849999999999999E-2</v>
      </c>
      <c r="K47" s="1032">
        <f ca="1">VLOOKUP(K$76, Inflation!$B$4:$C$44,2,FALSE)</f>
        <v>1.8849999999999999E-2</v>
      </c>
      <c r="L47" s="1032">
        <f ca="1">VLOOKUP(L$76, Inflation!$B$4:$C$44,2,FALSE)</f>
        <v>1.8849999999999999E-2</v>
      </c>
      <c r="M47" s="1032">
        <f ca="1">VLOOKUP(M$76, Inflation!$B$4:$C$44,2,FALSE)</f>
        <v>1.8849999999999999E-2</v>
      </c>
      <c r="N47" s="1032">
        <f ca="1">VLOOKUP(N$76, Inflation!$B$4:$C$44,2,FALSE)</f>
        <v>1.8849999999999999E-2</v>
      </c>
      <c r="O47" s="1032">
        <f ca="1">VLOOKUP(O$76, Inflation!$B$4:$C$44,2,FALSE)</f>
        <v>1.8849999999999999E-2</v>
      </c>
      <c r="P47" s="1032">
        <f ca="1">VLOOKUP(P$76, Inflation!$B$4:$C$44,2,FALSE)</f>
        <v>1.8849999999999999E-2</v>
      </c>
      <c r="Q47" s="1032">
        <f ca="1">VLOOKUP(Q$76, Inflation!$B$4:$C$44,2,FALSE)</f>
        <v>1.8849999999999999E-2</v>
      </c>
      <c r="R47" s="1032">
        <f ca="1">VLOOKUP(R$76, Inflation!$B$4:$C$44,2,FALSE)</f>
        <v>1.8849999999999999E-2</v>
      </c>
      <c r="S47" s="1032">
        <f ca="1">VLOOKUP(S$76, Inflation!$B$4:$C$44,2,FALSE)</f>
        <v>1.8849999999999999E-2</v>
      </c>
      <c r="T47" s="1032">
        <f ca="1">VLOOKUP(T$76, Inflation!$B$4:$C$44,2,FALSE)</f>
        <v>1.8849999999999999E-2</v>
      </c>
      <c r="U47" s="1032">
        <f ca="1">VLOOKUP(U$76, Inflation!$B$4:$C$44,2,FALSE)</f>
        <v>1.8849999999999999E-2</v>
      </c>
      <c r="V47" s="1032">
        <f ca="1">VLOOKUP(V$76, Inflation!$B$4:$C$44,2,FALSE)</f>
        <v>1.8849999999999999E-2</v>
      </c>
      <c r="W47" s="1032">
        <f ca="1">VLOOKUP(W$76, Inflation!$B$4:$C$44,2,FALSE)</f>
        <v>1.8849999999999999E-2</v>
      </c>
      <c r="X47" s="1032">
        <f ca="1">VLOOKUP(X$76, Inflation!$B$4:$C$44,2,FALSE)</f>
        <v>1.8849999999999999E-2</v>
      </c>
      <c r="Y47" s="1032">
        <f ca="1">VLOOKUP(Y$76, Inflation!$B$4:$C$44,2,FALSE)</f>
        <v>1.8849999999999999E-2</v>
      </c>
      <c r="Z47" s="1032">
        <f ca="1">VLOOKUP(Z$76, Inflation!$B$4:$C$44,2,FALSE)</f>
        <v>1.8849999999999999E-2</v>
      </c>
      <c r="AA47" s="1032">
        <f ca="1">VLOOKUP(AA$76, Inflation!$B$4:$C$44,2,FALSE)</f>
        <v>1.8849999999999999E-2</v>
      </c>
      <c r="AB47" s="1032">
        <f ca="1">VLOOKUP(AB$76, Inflation!$B$4:$C$44,2,FALSE)</f>
        <v>1.8849999999999999E-2</v>
      </c>
      <c r="AC47" s="1032">
        <f ca="1">VLOOKUP(AC$76, Inflation!$B$4:$C$44,2,FALSE)</f>
        <v>1.8849999999999999E-2</v>
      </c>
      <c r="AD47" s="1032">
        <f ca="1">VLOOKUP(AD$76, Inflation!$B$4:$C$44,2,FALSE)</f>
        <v>1.8849999999999999E-2</v>
      </c>
      <c r="AE47" s="1032">
        <f ca="1">VLOOKUP(AE$76, Inflation!$B$4:$C$44,2,FALSE)</f>
        <v>1.8849999999999999E-2</v>
      </c>
      <c r="AF47" s="1032">
        <f ca="1">VLOOKUP(AF$76, Inflation!$B$4:$C$44,2,FALSE)</f>
        <v>1.8849999999999999E-2</v>
      </c>
      <c r="AG47" s="1032">
        <f ca="1">VLOOKUP(AG$76, Inflation!$B$4:$C$44,2,FALSE)</f>
        <v>1.8849999999999999E-2</v>
      </c>
      <c r="AH47" s="1032">
        <f ca="1">VLOOKUP(AH$76, Inflation!$B$4:$C$44,2,FALSE)</f>
        <v>1.8849999999999999E-2</v>
      </c>
      <c r="AI47" s="1032">
        <f ca="1">VLOOKUP(AI$76, Inflation!$B$4:$C$44,2,FALSE)</f>
        <v>1.8849999999999999E-2</v>
      </c>
      <c r="AJ47" s="1032">
        <f ca="1">VLOOKUP(AJ$76, Inflation!$B$4:$C$44,2,FALSE)</f>
        <v>1.8849999999999999E-2</v>
      </c>
      <c r="AK47" s="1032">
        <f ca="1">VLOOKUP(AK$76, Inflation!$B$4:$C$44,2,FALSE)</f>
        <v>1.8849999999999999E-2</v>
      </c>
      <c r="AL47" s="1032">
        <f ca="1">VLOOKUP(AL$76, Inflation!$B$4:$C$44,2,FALSE)</f>
        <v>1.8849999999999999E-2</v>
      </c>
      <c r="AM47" s="1032">
        <f ca="1">VLOOKUP(AM$76, Inflation!$B$4:$C$44,2,FALSE)</f>
        <v>1.8849999999999999E-2</v>
      </c>
      <c r="AN47" s="1032">
        <f ca="1">VLOOKUP(AN$76, Inflation!$B$4:$C$44,2,FALSE)</f>
        <v>1.8849999999999999E-2</v>
      </c>
      <c r="AO47" s="1032">
        <f ca="1">VLOOKUP(AO$76, Inflation!$B$4:$C$44,2,FALSE)</f>
        <v>1.8849999999999999E-2</v>
      </c>
      <c r="AP47" s="1032">
        <f ca="1">VLOOKUP(AP$76, Inflation!$B$4:$C$44,2,FALSE)</f>
        <v>1.8849999999999999E-2</v>
      </c>
      <c r="AQ47" s="1032">
        <f ca="1">VLOOKUP(AQ$76, Inflation!$B$4:$C$44,2,FALSE)</f>
        <v>1.8849999999999999E-2</v>
      </c>
      <c r="AR47" s="1032">
        <f ca="1">VLOOKUP(AR$76, Inflation!$B$4:$C$44,2,FALSE)</f>
        <v>1.8849999999999999E-2</v>
      </c>
      <c r="AS47" s="1032">
        <f ca="1">VLOOKUP(AS$76, Inflation!$B$4:$C$44,2,FALSE)</f>
        <v>1.8849999999999999E-2</v>
      </c>
      <c r="AT47" s="947"/>
      <c r="AU47" s="947"/>
      <c r="AV47" s="947"/>
      <c r="AW47" s="947"/>
      <c r="AX47" s="947"/>
      <c r="AY47" s="947"/>
      <c r="AZ47" s="947"/>
      <c r="BA47" s="947">
        <f ca="1"/>
        <v>2050</v>
      </c>
      <c r="BB47" s="947"/>
      <c r="BC47" s="947"/>
    </row>
    <row r="48" spans="1:55" ht="14.25" hidden="1">
      <c r="A48" s="684"/>
      <c r="B48" s="684"/>
      <c r="C48" s="1031" t="s">
        <v>29</v>
      </c>
      <c r="D48" s="684"/>
      <c r="E48" s="690"/>
      <c r="F48" s="690"/>
      <c r="G48" s="690"/>
      <c r="H48" s="690"/>
      <c r="I48" s="690"/>
      <c r="J48" s="690"/>
      <c r="K48" s="690"/>
      <c r="L48" s="690"/>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690"/>
      <c r="AP48" s="690"/>
      <c r="AQ48" s="690"/>
      <c r="AR48" s="690"/>
      <c r="AS48" s="690"/>
      <c r="AT48" s="947"/>
      <c r="AU48" s="947"/>
      <c r="AV48" s="947"/>
      <c r="AW48" s="947"/>
      <c r="AX48" s="947"/>
      <c r="AY48" s="947"/>
      <c r="AZ48" s="947"/>
      <c r="BA48" s="947">
        <f ca="1"/>
        <v>2051</v>
      </c>
      <c r="BB48" s="947"/>
      <c r="BC48" s="947"/>
    </row>
    <row r="49" spans="1:55" ht="14.25">
      <c r="A49" s="684"/>
      <c r="B49" s="661" t="s">
        <v>1110</v>
      </c>
      <c r="C49" s="890"/>
      <c r="D49" s="1024" t="s">
        <v>291</v>
      </c>
      <c r="E49" s="1025">
        <f ca="1">(E78+E97)*((1+VLOOKUP(E$76,Inflation!$B$4:$C$44,2,FALSE))^E$44)</f>
        <v>-199577.61871114414</v>
      </c>
      <c r="F49" s="1025">
        <f ca="1">(F78+F97)*((1+VLOOKUP(F$76,Inflation!$B$4:$C$44,2,FALSE))^F$44)</f>
        <v>-93187.44330296063</v>
      </c>
      <c r="G49" s="1025">
        <f ca="1">(G78+G97)*((1+VLOOKUP(G$76,Inflation!$B$4:$C$44,2,FALSE))^G$44)</f>
        <v>-100640.62818486095</v>
      </c>
      <c r="H49" s="1025">
        <f ca="1">(H78+H97)*((1+VLOOKUP(H$76,Inflation!$B$4:$C$44,2,FALSE))^H$44)</f>
        <v>-91848.687303096871</v>
      </c>
      <c r="I49" s="1025">
        <f ca="1">(I78+I97)*((1+VLOOKUP(I$76,Inflation!$B$4:$C$44,2,FALSE))^I$44)</f>
        <v>-78405.875028939423</v>
      </c>
      <c r="J49" s="1025">
        <f ca="1">(J78+J97)*((1+VLOOKUP(J$76,Inflation!$B$4:$C$44,2,FALSE))^J$44)</f>
        <v>-74346.258050262477</v>
      </c>
      <c r="K49" s="1025">
        <f ca="1">(K78+K97)*((1+VLOOKUP(K$76,Inflation!$B$4:$C$44,2,FALSE))^K$44)</f>
        <v>-68993.597685336455</v>
      </c>
      <c r="L49" s="1025">
        <f ca="1">(L78+L97)*((1+VLOOKUP(L$76,Inflation!$B$4:$C$44,2,FALSE))^L$44)</f>
        <v>-61697.426997962764</v>
      </c>
      <c r="M49" s="1025">
        <f ca="1">(M78+M97)*((1+VLOOKUP(M$76,Inflation!$B$4:$C$44,2,FALSE))^M$44)</f>
        <v>-52337.605372254002</v>
      </c>
      <c r="N49" s="1025">
        <f ca="1">(N78+N97)*((1+VLOOKUP(N$76,Inflation!$B$4:$C$44,2,FALSE))^N$44)</f>
        <v>-41234.069426700378</v>
      </c>
      <c r="O49" s="1025">
        <f ca="1">(O78+O97)*((1+VLOOKUP(O$76,Inflation!$B$4:$C$44,2,FALSE))^O$44)</f>
        <v>-26643.557445556788</v>
      </c>
      <c r="P49" s="1025">
        <f ca="1">(P78+P97)*((1+VLOOKUP(P$76,Inflation!$B$4:$C$44,2,FALSE))^P$44)</f>
        <v>-8316.3214538065513</v>
      </c>
      <c r="Q49" s="1025">
        <f ca="1">(Q78+Q97)*((1+VLOOKUP(Q$76,Inflation!$B$4:$C$44,2,FALSE))^Q$44)</f>
        <v>14580.516974276958</v>
      </c>
      <c r="R49" s="1025">
        <f ca="1">(R78+R97)*((1+VLOOKUP(R$76,Inflation!$B$4:$C$44,2,FALSE))^R$44)</f>
        <v>43055.651929385247</v>
      </c>
      <c r="S49" s="1025">
        <f ca="1">(S78+S97)*((1+VLOOKUP(S$76,Inflation!$B$4:$C$44,2,FALSE))^S$44)</f>
        <v>78332.809885124807</v>
      </c>
      <c r="T49" s="1025">
        <f ca="1">(T78+T97)*((1+VLOOKUP(T$76,Inflation!$B$4:$C$44,2,FALSE))^T$44)</f>
        <v>121901.14749090534</v>
      </c>
      <c r="U49" s="1025">
        <f ca="1">(U78+U97)*((1+VLOOKUP(U$76,Inflation!$B$4:$C$44,2,FALSE))^U$44)</f>
        <v>175583.28515114394</v>
      </c>
      <c r="V49" s="1025">
        <f ca="1">(V78+V97)*((1+VLOOKUP(V$76,Inflation!$B$4:$C$44,2,FALSE))^V$44)</f>
        <v>241630.51141030467</v>
      </c>
      <c r="W49" s="1025">
        <f ca="1">(W78+W97)*((1+VLOOKUP(W$76,Inflation!$B$4:$C$44,2,FALSE))^W$44)</f>
        <v>322853.0963681346</v>
      </c>
      <c r="X49" s="1025">
        <f ca="1">(X78+X97)*((1+VLOOKUP(X$76,Inflation!$B$4:$C$44,2,FALSE))^X$44)</f>
        <v>422780.52334898477</v>
      </c>
      <c r="Y49" s="1025">
        <f ca="1">(Y78+Y97)*((1+VLOOKUP(Y$76,Inflation!$B$4:$C$44,2,FALSE))^Y$44)</f>
        <v>547602.58332462516</v>
      </c>
      <c r="Z49" s="1025">
        <f ca="1">(Z78+Z97)*((1+VLOOKUP(Z$76,Inflation!$B$4:$C$44,2,FALSE))^Z$44)</f>
        <v>701374.41853644419</v>
      </c>
      <c r="AA49" s="1025">
        <f ca="1">(AA78+AA97)*((1+VLOOKUP(AA$76,Inflation!$B$4:$C$44,2,FALSE))^AA$44)</f>
        <v>890787.45391475281</v>
      </c>
      <c r="AB49" s="1025">
        <f ca="1">(AB78+AB97)*((1+VLOOKUP(AB$76,Inflation!$B$4:$C$44,2,FALSE))^AB$44)</f>
        <v>1124282.8032494551</v>
      </c>
      <c r="AC49" s="1025">
        <f ca="1">(AC78+AC97)*((1+VLOOKUP(AC$76,Inflation!$B$4:$C$44,2,FALSE))^AC$44)</f>
        <v>1522905.4922362596</v>
      </c>
      <c r="AD49" s="1025">
        <f ca="1">(AD78+AD97)*((1+VLOOKUP(AD$76,Inflation!$B$4:$C$44,2,FALSE))^AD$44)</f>
        <v>1782849.4233551915</v>
      </c>
      <c r="AE49" s="1025">
        <f ca="1">(AE78+AE97)*((1+VLOOKUP(AE$76,Inflation!$B$4:$C$44,2,FALSE))^AE$44)</f>
        <v>2010634.0634250536</v>
      </c>
      <c r="AF49" s="1025">
        <f ca="1">(AF78+AF97)*((1+VLOOKUP(AF$76,Inflation!$B$4:$C$44,2,FALSE))^AF$44)</f>
        <v>2177258.9002167401</v>
      </c>
      <c r="AG49" s="1025">
        <f ca="1">(AG78+AG97)*((1+VLOOKUP(AG$76,Inflation!$B$4:$C$44,2,FALSE))^AG$44)</f>
        <v>2253429.2455740231</v>
      </c>
      <c r="AH49" s="1025">
        <f ca="1">(AH78+AH97)*((1+VLOOKUP(AH$76,Inflation!$B$4:$C$44,2,FALSE))^AH$44)</f>
        <v>2208142.1198686883</v>
      </c>
      <c r="AI49" s="1025">
        <f ca="1">(AI78+AI97)*((1+VLOOKUP(AI$76,Inflation!$B$4:$C$44,2,FALSE))^AI$44)</f>
        <v>1835509.5076971643</v>
      </c>
      <c r="AJ49" s="1025">
        <f ca="1">(AJ78+AJ97)*((1+VLOOKUP(AJ$76,Inflation!$B$4:$C$44,2,FALSE))^AJ$44)</f>
        <v>1587420.8133476693</v>
      </c>
      <c r="AK49" s="1025">
        <f ca="1">(AK78+AK97)*((1+VLOOKUP(AK$76,Inflation!$B$4:$C$44,2,FALSE))^AK$44)</f>
        <v>1276765.6250157079</v>
      </c>
      <c r="AL49" s="1025">
        <f ca="1">(AL78+AL97)*((1+VLOOKUP(AL$76,Inflation!$B$4:$C$44,2,FALSE))^AL$44)</f>
        <v>923312.63634720561</v>
      </c>
      <c r="AM49" s="1025">
        <f ca="1">(AM78+AM97)*((1+VLOOKUP(AM$76,Inflation!$B$4:$C$44,2,FALSE))^AM$44)</f>
        <v>542764.69518571696</v>
      </c>
      <c r="AN49" s="1025">
        <f ca="1">(AN78+AN97)*((1+VLOOKUP(AN$76,Inflation!$B$4:$C$44,2,FALSE))^AN$44)</f>
        <v>147718.24330868488</v>
      </c>
      <c r="AO49" s="1025">
        <f ca="1">(AO78+AO97)*((1+VLOOKUP(AO$76,Inflation!$B$4:$C$44,2,FALSE))^AO$44)</f>
        <v>-251567.05251802801</v>
      </c>
      <c r="AP49" s="1025">
        <f ca="1">(AP78+AP97)*((1+VLOOKUP(AP$76,Inflation!$B$4:$C$44,2,FALSE))^AP$44)</f>
        <v>-646543.31908190087</v>
      </c>
      <c r="AQ49" s="1025">
        <f ca="1">(AQ78+AQ97)*((1+VLOOKUP(AQ$76,Inflation!$B$4:$C$44,2,FALSE))^AQ$44)</f>
        <v>-1029857.9994428484</v>
      </c>
      <c r="AR49" s="1025">
        <f ca="1">(AR78+AR97)*((1+VLOOKUP(AR$76,Inflation!$B$4:$C$44,2,FALSE))^AR$44)</f>
        <v>-1394916.4828830441</v>
      </c>
      <c r="AS49" s="1025">
        <f ca="1">(AS78+AS97)*((1+VLOOKUP(AS$76,Inflation!$B$4:$C$44,2,FALSE))^AS$44)</f>
        <v>-1735499.4445009124</v>
      </c>
      <c r="AT49" s="947"/>
      <c r="AU49" s="947"/>
      <c r="AV49" s="947"/>
      <c r="AW49" s="947"/>
      <c r="AX49" s="947"/>
      <c r="AY49" s="947"/>
      <c r="AZ49" s="947"/>
      <c r="BA49" s="947">
        <f ca="1"/>
        <v>2052</v>
      </c>
      <c r="BB49" s="947"/>
      <c r="BC49" s="947"/>
    </row>
    <row r="50" spans="1:55" ht="4.5" customHeight="1">
      <c r="AJ50" s="1090"/>
      <c r="AK50" s="1090"/>
      <c r="AL50" s="1090"/>
      <c r="AM50" s="1090"/>
      <c r="AN50" s="1090"/>
      <c r="AO50" s="1090"/>
      <c r="AP50" s="1090"/>
      <c r="AQ50" s="1090"/>
      <c r="AR50" s="1090"/>
      <c r="AS50" s="1090"/>
      <c r="AT50" s="947"/>
      <c r="AU50" s="947"/>
      <c r="AV50" s="947"/>
      <c r="AW50" s="947"/>
      <c r="AX50" s="947"/>
      <c r="AY50" s="947"/>
      <c r="AZ50" s="947"/>
      <c r="BA50" s="947">
        <f ca="1"/>
        <v>2053</v>
      </c>
      <c r="BB50" s="947"/>
      <c r="BC50" s="947"/>
    </row>
    <row r="51" spans="1:55" ht="14.25">
      <c r="A51" s="684"/>
      <c r="B51" s="684"/>
      <c r="C51" s="684" t="s">
        <v>1111</v>
      </c>
      <c r="D51" s="690" t="s">
        <v>291</v>
      </c>
      <c r="E51" s="1033">
        <f t="shared" ref="E51:F51" ca="1" si="27">E78</f>
        <v>0</v>
      </c>
      <c r="F51" s="1033">
        <f t="shared" ca="1" si="27"/>
        <v>35408.920741678689</v>
      </c>
      <c r="G51" s="1033">
        <f t="shared" ref="G51:Y51" ca="1" si="28">G78</f>
        <v>41464.449620549465</v>
      </c>
      <c r="H51" s="1033">
        <f t="shared" ca="1" si="28"/>
        <v>48920.850694513836</v>
      </c>
      <c r="I51" s="1033">
        <f t="shared" ca="1" si="28"/>
        <v>57380.156824477555</v>
      </c>
      <c r="J51" s="1033">
        <f t="shared" ca="1" si="28"/>
        <v>63030.959411936186</v>
      </c>
      <c r="K51" s="1033">
        <f t="shared" ca="1" si="28"/>
        <v>69775.865274034906</v>
      </c>
      <c r="L51" s="1033">
        <f t="shared" ca="1" si="28"/>
        <v>78100.443317129175</v>
      </c>
      <c r="M51" s="1033">
        <f t="shared" ca="1" si="28"/>
        <v>88083.670403592085</v>
      </c>
      <c r="N51" s="1033">
        <f t="shared" ca="1" si="28"/>
        <v>99501.223360676493</v>
      </c>
      <c r="O51" s="1033">
        <f t="shared" ca="1" si="28"/>
        <v>113604.41823965954</v>
      </c>
      <c r="P51" s="1033">
        <f t="shared" ca="1" si="28"/>
        <v>130552.82351964631</v>
      </c>
      <c r="Q51" s="1033">
        <f t="shared" ca="1" si="28"/>
        <v>150913.41045127535</v>
      </c>
      <c r="R51" s="1033">
        <f t="shared" ca="1" si="28"/>
        <v>175360.94234571161</v>
      </c>
      <c r="S51" s="1033">
        <f t="shared" ca="1" si="28"/>
        <v>204700.43431510753</v>
      </c>
      <c r="T51" s="1033">
        <f t="shared" ca="1" si="28"/>
        <v>239895.42955812864</v>
      </c>
      <c r="U51" s="1033">
        <f t="shared" ca="1" si="28"/>
        <v>282105.18518370023</v>
      </c>
      <c r="V51" s="1033">
        <f t="shared" ca="1" si="28"/>
        <v>332734.95816069347</v>
      </c>
      <c r="W51" s="1033">
        <f t="shared" ca="1" si="28"/>
        <v>393501.82266579295</v>
      </c>
      <c r="X51" s="1033">
        <f t="shared" ca="1" si="28"/>
        <v>466511.16074120696</v>
      </c>
      <c r="Y51" s="1033">
        <f t="shared" ca="1" si="28"/>
        <v>555131.14467821911</v>
      </c>
      <c r="Z51" s="1033">
        <f t="shared" ref="Z51:AJ51" ca="1" si="29">Z78</f>
        <v>661802.25579758186</v>
      </c>
      <c r="AA51" s="1033">
        <f t="shared" ca="1" si="29"/>
        <v>790257.02144909988</v>
      </c>
      <c r="AB51" s="1033">
        <f t="shared" ca="1" si="29"/>
        <v>945112.54197029595</v>
      </c>
      <c r="AC51" s="1033">
        <f t="shared" ca="1" si="29"/>
        <v>1201312.9360098783</v>
      </c>
      <c r="AD51" s="1033">
        <f t="shared" ca="1" si="29"/>
        <v>1367062.9759475964</v>
      </c>
      <c r="AE51" s="1033">
        <f t="shared" ca="1" si="29"/>
        <v>1512474.3605489142</v>
      </c>
      <c r="AF51" s="1033">
        <f t="shared" ca="1" si="29"/>
        <v>1622572.3601815721</v>
      </c>
      <c r="AG51" s="1033">
        <f t="shared" ca="1" si="29"/>
        <v>1683633.1436609435</v>
      </c>
      <c r="AH51" s="1033">
        <f t="shared" ca="1" si="29"/>
        <v>1682373.7227627679</v>
      </c>
      <c r="AI51" s="1033">
        <f t="shared" ca="1" si="29"/>
        <v>1522717.7000141446</v>
      </c>
      <c r="AJ51" s="1033">
        <f t="shared" ca="1" si="29"/>
        <v>1426108.4595423816</v>
      </c>
      <c r="AK51" s="1033">
        <f t="shared" ref="AK51:AS51" ca="1" si="30">AK78</f>
        <v>1302263.4541991418</v>
      </c>
      <c r="AL51" s="1033">
        <f t="shared" ca="1" si="30"/>
        <v>1161489.4861827379</v>
      </c>
      <c r="AM51" s="1033">
        <f t="shared" ca="1" si="30"/>
        <v>1011613.0290385904</v>
      </c>
      <c r="AN51" s="1033">
        <f t="shared" ca="1" si="30"/>
        <v>858580.26088158076</v>
      </c>
      <c r="AO51" s="1033">
        <f t="shared" ca="1" si="30"/>
        <v>706922.10692507541</v>
      </c>
      <c r="AP51" s="1033">
        <f t="shared" ca="1" si="30"/>
        <v>560116.29435738898</v>
      </c>
      <c r="AQ51" s="1033">
        <f t="shared" ca="1" si="30"/>
        <v>420871.11401886895</v>
      </c>
      <c r="AR51" s="1033">
        <f t="shared" ca="1" si="30"/>
        <v>291350.05721708218</v>
      </c>
      <c r="AS51" s="1033">
        <f t="shared" ca="1" si="30"/>
        <v>173352.30491461142</v>
      </c>
      <c r="AT51" s="947"/>
      <c r="AU51" s="947"/>
      <c r="AV51" s="947"/>
      <c r="AW51" s="947"/>
      <c r="AX51" s="947"/>
      <c r="AY51" s="947"/>
      <c r="AZ51" s="947"/>
      <c r="BA51" s="947">
        <f ca="1"/>
        <v>2054</v>
      </c>
      <c r="BB51" s="947"/>
      <c r="BC51" s="947"/>
    </row>
    <row r="52" spans="1:55" ht="14.25">
      <c r="A52" s="684"/>
      <c r="B52" s="684"/>
      <c r="C52" s="684" t="s">
        <v>1112</v>
      </c>
      <c r="D52" s="690" t="s">
        <v>291</v>
      </c>
      <c r="E52" s="1033">
        <f t="shared" ref="E52:F52" ca="1" si="31">E97</f>
        <v>-196202.92834363363</v>
      </c>
      <c r="F52" s="1033">
        <f t="shared" ca="1" si="31"/>
        <v>-125171.28274748767</v>
      </c>
      <c r="G52" s="1033">
        <f t="shared" ref="G52:Y52" ca="1" si="32">G97</f>
        <v>-136467.91589759372</v>
      </c>
      <c r="H52" s="1033">
        <f t="shared" ca="1" si="32"/>
        <v>-133808.12457789262</v>
      </c>
      <c r="I52" s="1033">
        <f t="shared" ca="1" si="32"/>
        <v>-128796.45862493681</v>
      </c>
      <c r="J52" s="1033">
        <f t="shared" ca="1" si="32"/>
        <v>-129496.66446873291</v>
      </c>
      <c r="K52" s="1033">
        <f t="shared" ca="1" si="32"/>
        <v>-130315.11625817318</v>
      </c>
      <c r="L52" s="1033">
        <f t="shared" ca="1" si="32"/>
        <v>-131235.97792608189</v>
      </c>
      <c r="M52" s="1033">
        <f t="shared" ca="1" si="32"/>
        <v>-132324.33069353417</v>
      </c>
      <c r="N52" s="1033">
        <f t="shared" ca="1" si="32"/>
        <v>-133711.27265164198</v>
      </c>
      <c r="O52" s="1033">
        <f t="shared" ca="1" si="32"/>
        <v>-135300.40782193851</v>
      </c>
      <c r="P52" s="1033">
        <f t="shared" ca="1" si="32"/>
        <v>-137199.55708577699</v>
      </c>
      <c r="Q52" s="1033">
        <f t="shared" ca="1" si="32"/>
        <v>-139475.68479086756</v>
      </c>
      <c r="R52" s="1033">
        <f t="shared" ca="1" si="32"/>
        <v>-142210.70268773573</v>
      </c>
      <c r="S52" s="1033">
        <f t="shared" ca="1" si="32"/>
        <v>-145504.76183830324</v>
      </c>
      <c r="T52" s="1033">
        <f t="shared" ca="1" si="32"/>
        <v>-149479.74034473376</v>
      </c>
      <c r="U52" s="1033">
        <f t="shared" ca="1" si="32"/>
        <v>-154282.209386956</v>
      </c>
      <c r="V52" s="1033">
        <f t="shared" ca="1" si="32"/>
        <v>-160084.68219079723</v>
      </c>
      <c r="W52" s="1033">
        <f t="shared" ca="1" si="32"/>
        <v>-167084.20842307672</v>
      </c>
      <c r="X52" s="1033">
        <f t="shared" ca="1" si="32"/>
        <v>-175499.77817157737</v>
      </c>
      <c r="Y52" s="1033">
        <f t="shared" ca="1" si="32"/>
        <v>-185175.00197367911</v>
      </c>
      <c r="Z52" s="1033">
        <f t="shared" ref="Z52:AJ52" ca="1" si="33">Z97</f>
        <v>-196725.72276498837</v>
      </c>
      <c r="AA52" s="1033">
        <f t="shared" ca="1" si="33"/>
        <v>-210510.23963668954</v>
      </c>
      <c r="AB52" s="1033">
        <f t="shared" ca="1" si="33"/>
        <v>-226938.71631125221</v>
      </c>
      <c r="AC52" s="1033">
        <f t="shared" ca="1" si="33"/>
        <v>-246503.48707242461</v>
      </c>
      <c r="AD52" s="1033">
        <f t="shared" ca="1" si="33"/>
        <v>-269958.03646159521</v>
      </c>
      <c r="AE52" s="1033">
        <f t="shared" ca="1" si="33"/>
        <v>-298089.64737216494</v>
      </c>
      <c r="AF52" s="1033">
        <f t="shared" ca="1" si="33"/>
        <v>-331878.98644592153</v>
      </c>
      <c r="AG52" s="1033">
        <f t="shared" ca="1" si="33"/>
        <v>-372500.34230540448</v>
      </c>
      <c r="AH52" s="1033">
        <f t="shared" ca="1" si="33"/>
        <v>-421360.8260728115</v>
      </c>
      <c r="AI52" s="1033">
        <f t="shared" ca="1" si="33"/>
        <v>-493898.89221980656</v>
      </c>
      <c r="AJ52" s="1033">
        <f t="shared" ca="1" si="33"/>
        <v>-552807.21921676467</v>
      </c>
      <c r="AK52" s="1033">
        <f t="shared" ref="AK52:AS52" ca="1" si="34">AK97</f>
        <v>-612860.82017024013</v>
      </c>
      <c r="AL52" s="1033">
        <f t="shared" ca="1" si="34"/>
        <v>-672161.23932368751</v>
      </c>
      <c r="AM52" s="1033">
        <f t="shared" ca="1" si="34"/>
        <v>-729285.74644963106</v>
      </c>
      <c r="AN52" s="1033">
        <f t="shared" ca="1" si="34"/>
        <v>-783163.97473370342</v>
      </c>
      <c r="AO52" s="1033">
        <f t="shared" ca="1" si="34"/>
        <v>-832981.29895017028</v>
      </c>
      <c r="AP52" s="1033">
        <f t="shared" ca="1" si="34"/>
        <v>-878102.39445655467</v>
      </c>
      <c r="AQ52" s="1033">
        <f t="shared" ca="1" si="34"/>
        <v>-918009.85138584196</v>
      </c>
      <c r="AR52" s="1033">
        <f t="shared" ca="1" si="34"/>
        <v>-952253.80485683598</v>
      </c>
      <c r="AS52" s="1033">
        <f t="shared" ca="1" si="34"/>
        <v>-980409.35867962847</v>
      </c>
      <c r="AT52" s="947"/>
      <c r="AU52" s="947"/>
      <c r="AV52" s="947"/>
      <c r="AW52" s="947"/>
      <c r="AX52" s="947"/>
      <c r="AY52" s="947"/>
      <c r="AZ52" s="947"/>
      <c r="BA52" s="947">
        <f ca="1"/>
        <v>2055</v>
      </c>
      <c r="BB52" s="947"/>
      <c r="BC52" s="947"/>
    </row>
    <row r="53" spans="1:55" ht="14.25">
      <c r="A53" s="684"/>
      <c r="B53" s="684"/>
      <c r="C53" s="684" t="s">
        <v>1113</v>
      </c>
      <c r="D53" s="690" t="s">
        <v>291</v>
      </c>
      <c r="E53" s="1033">
        <f ca="1">E49</f>
        <v>-199577.61871114414</v>
      </c>
      <c r="F53" s="1033">
        <f ca="1">E$53+F$49</f>
        <v>-292765.0620141048</v>
      </c>
      <c r="G53" s="1033">
        <f t="shared" ref="G53:Y53" ca="1" si="35">F$53+G$49</f>
        <v>-393405.69019896572</v>
      </c>
      <c r="H53" s="1033">
        <f t="shared" ca="1" si="35"/>
        <v>-485254.37750206259</v>
      </c>
      <c r="I53" s="1033">
        <f t="shared" ca="1" si="35"/>
        <v>-563660.25253100204</v>
      </c>
      <c r="J53" s="1033">
        <f t="shared" ca="1" si="35"/>
        <v>-638006.51058126451</v>
      </c>
      <c r="K53" s="1033">
        <f t="shared" ca="1" si="35"/>
        <v>-707000.10826660099</v>
      </c>
      <c r="L53" s="1033">
        <f t="shared" ca="1" si="35"/>
        <v>-768697.53526456375</v>
      </c>
      <c r="M53" s="1033">
        <f t="shared" ca="1" si="35"/>
        <v>-821035.14063681778</v>
      </c>
      <c r="N53" s="1033">
        <f t="shared" ca="1" si="35"/>
        <v>-862269.21006351814</v>
      </c>
      <c r="O53" s="1033">
        <f t="shared" ca="1" si="35"/>
        <v>-888912.76750907488</v>
      </c>
      <c r="P53" s="1033">
        <f t="shared" ca="1" si="35"/>
        <v>-897229.08896288148</v>
      </c>
      <c r="Q53" s="1033">
        <f t="shared" ca="1" si="35"/>
        <v>-882648.5719886045</v>
      </c>
      <c r="R53" s="1033">
        <f t="shared" ca="1" si="35"/>
        <v>-839592.92005921924</v>
      </c>
      <c r="S53" s="1033">
        <f t="shared" ca="1" si="35"/>
        <v>-761260.11017409444</v>
      </c>
      <c r="T53" s="1033">
        <f t="shared" ca="1" si="35"/>
        <v>-639358.96268318908</v>
      </c>
      <c r="U53" s="1033">
        <f t="shared" ca="1" si="35"/>
        <v>-463775.67753204517</v>
      </c>
      <c r="V53" s="1033">
        <f t="shared" ca="1" si="35"/>
        <v>-222145.16612174051</v>
      </c>
      <c r="W53" s="1033">
        <f t="shared" ca="1" si="35"/>
        <v>100707.9302463941</v>
      </c>
      <c r="X53" s="1033">
        <f t="shared" ca="1" si="35"/>
        <v>523488.4535953789</v>
      </c>
      <c r="Y53" s="1033">
        <f t="shared" ca="1" si="35"/>
        <v>1071091.0369200041</v>
      </c>
      <c r="Z53" s="1033">
        <f t="shared" ref="Z53:AJ53" ca="1" si="36">Y$53+Z$49</f>
        <v>1772465.4554564483</v>
      </c>
      <c r="AA53" s="1033">
        <f t="shared" ca="1" si="36"/>
        <v>2663252.9093712009</v>
      </c>
      <c r="AB53" s="1033">
        <f t="shared" ca="1" si="36"/>
        <v>3787535.712620656</v>
      </c>
      <c r="AC53" s="1033">
        <f t="shared" ca="1" si="36"/>
        <v>5310441.2048569154</v>
      </c>
      <c r="AD53" s="1033">
        <f t="shared" ca="1" si="36"/>
        <v>7093290.6282121073</v>
      </c>
      <c r="AE53" s="1033">
        <f t="shared" ca="1" si="36"/>
        <v>9103924.6916371603</v>
      </c>
      <c r="AF53" s="1033">
        <f t="shared" ca="1" si="36"/>
        <v>11281183.5918539</v>
      </c>
      <c r="AG53" s="1033">
        <f t="shared" ca="1" si="36"/>
        <v>13534612.837427923</v>
      </c>
      <c r="AH53" s="1033">
        <f t="shared" ca="1" si="36"/>
        <v>15742754.957296612</v>
      </c>
      <c r="AI53" s="1033">
        <f t="shared" ca="1" si="36"/>
        <v>17578264.464993775</v>
      </c>
      <c r="AJ53" s="1033">
        <f t="shared" ca="1" si="36"/>
        <v>19165685.278341442</v>
      </c>
      <c r="AK53" s="1033">
        <f t="shared" ref="AK53:AS53" ca="1" si="37">AJ$53+AK$49</f>
        <v>20442450.903357152</v>
      </c>
      <c r="AL53" s="1033">
        <f t="shared" ca="1" si="37"/>
        <v>21365763.539704356</v>
      </c>
      <c r="AM53" s="1033">
        <f t="shared" ca="1" si="37"/>
        <v>21908528.234890074</v>
      </c>
      <c r="AN53" s="1033">
        <f t="shared" ca="1" si="37"/>
        <v>22056246.478198759</v>
      </c>
      <c r="AO53" s="1033">
        <f t="shared" ca="1" si="37"/>
        <v>21804679.42568073</v>
      </c>
      <c r="AP53" s="1033">
        <f t="shared" ca="1" si="37"/>
        <v>21158136.106598828</v>
      </c>
      <c r="AQ53" s="1033">
        <f t="shared" ca="1" si="37"/>
        <v>20128278.107155979</v>
      </c>
      <c r="AR53" s="1033">
        <f t="shared" ca="1" si="37"/>
        <v>18733361.624272935</v>
      </c>
      <c r="AS53" s="1033">
        <f t="shared" ca="1" si="37"/>
        <v>16997862.179772023</v>
      </c>
      <c r="AT53" s="947"/>
      <c r="AU53" s="947"/>
      <c r="AV53" s="947"/>
      <c r="AW53" s="947"/>
      <c r="AX53" s="947"/>
      <c r="AY53" s="947"/>
      <c r="AZ53" s="947"/>
      <c r="BA53" s="947">
        <f ca="1"/>
        <v>2056</v>
      </c>
      <c r="BB53" s="947"/>
      <c r="BC53" s="947"/>
    </row>
    <row r="54" spans="1:55" ht="14.25">
      <c r="A54" s="684"/>
      <c r="B54" s="684"/>
      <c r="C54" s="691" t="s">
        <v>539</v>
      </c>
      <c r="D54" s="690" t="s">
        <v>291</v>
      </c>
      <c r="E54" s="1034">
        <f ca="1">E$49/(1+$E$11)^E$44</f>
        <v>-190073.92258204203</v>
      </c>
      <c r="F54" s="1034">
        <f ca="1">F$49/(1+$E$11)^F$44</f>
        <v>-84523.758097923477</v>
      </c>
      <c r="G54" s="1034">
        <f t="shared" ref="G54:AS54" ca="1" si="38">G$49/(1+$E$11)^G$44</f>
        <v>-86937.158565909456</v>
      </c>
      <c r="H54" s="1034">
        <f t="shared" ca="1" si="38"/>
        <v>-75564.142350643509</v>
      </c>
      <c r="I54" s="1034">
        <f t="shared" ca="1" si="38"/>
        <v>-61433.054690029981</v>
      </c>
      <c r="J54" s="1034">
        <f t="shared" ca="1" si="38"/>
        <v>-55478.322439425683</v>
      </c>
      <c r="K54" s="1034">
        <f t="shared" ca="1" si="38"/>
        <v>-49032.461773477378</v>
      </c>
      <c r="L54" s="1034">
        <f t="shared" ca="1" si="38"/>
        <v>-41759.24712811262</v>
      </c>
      <c r="M54" s="1034">
        <f t="shared" ca="1" si="38"/>
        <v>-33737.287076443419</v>
      </c>
      <c r="N54" s="1034">
        <f t="shared" ca="1" si="38"/>
        <v>-25314.141718471183</v>
      </c>
      <c r="O54" s="1034">
        <f t="shared" ca="1" si="38"/>
        <v>-15577.936226001799</v>
      </c>
      <c r="P54" s="1034">
        <f t="shared" ca="1" si="38"/>
        <v>-4630.8389670722881</v>
      </c>
      <c r="Q54" s="1034">
        <f t="shared" ca="1" si="38"/>
        <v>7732.3594549052013</v>
      </c>
      <c r="R54" s="1034">
        <f t="shared" ca="1" si="38"/>
        <v>21746.029984862169</v>
      </c>
      <c r="S54" s="1034">
        <f t="shared" ca="1" si="38"/>
        <v>37679.4208962544</v>
      </c>
      <c r="T54" s="1034">
        <f t="shared" ca="1" si="38"/>
        <v>55844.320209556805</v>
      </c>
      <c r="U54" s="1034">
        <f t="shared" ca="1" si="38"/>
        <v>76606.405711276719</v>
      </c>
      <c r="V54" s="1034">
        <f t="shared" ca="1" si="38"/>
        <v>100402.46833717465</v>
      </c>
      <c r="W54" s="1034">
        <f t="shared" ca="1" si="38"/>
        <v>127763.93336083993</v>
      </c>
      <c r="X54" s="1034">
        <f t="shared" ca="1" si="38"/>
        <v>159341.53281377544</v>
      </c>
      <c r="Y54" s="1034">
        <f t="shared" ca="1" si="38"/>
        <v>196557.76614203543</v>
      </c>
      <c r="Z54" s="1034">
        <f t="shared" ca="1" si="38"/>
        <v>239764.75456013784</v>
      </c>
      <c r="AA54" s="1034">
        <f t="shared" ca="1" si="38"/>
        <v>290014.83455841744</v>
      </c>
      <c r="AB54" s="1034">
        <f t="shared" ca="1" si="38"/>
        <v>348604.01937027852</v>
      </c>
      <c r="AC54" s="1034">
        <f t="shared" ca="1" si="38"/>
        <v>449718.2128911122</v>
      </c>
      <c r="AD54" s="1034">
        <f t="shared" ca="1" si="38"/>
        <v>501409.88213004277</v>
      </c>
      <c r="AE54" s="1034">
        <f t="shared" ca="1" si="38"/>
        <v>538544.95401301794</v>
      </c>
      <c r="AF54" s="1034">
        <f t="shared" ca="1" si="38"/>
        <v>555404.89185843826</v>
      </c>
      <c r="AG54" s="1034">
        <f t="shared" ca="1" si="38"/>
        <v>547462.34504578309</v>
      </c>
      <c r="AH54" s="1034">
        <f t="shared" ca="1" si="38"/>
        <v>510914.28996475518</v>
      </c>
      <c r="AI54" s="1034">
        <f t="shared" ca="1" si="38"/>
        <v>404471.91130908567</v>
      </c>
      <c r="AJ54" s="1034">
        <f t="shared" ca="1" si="38"/>
        <v>333145.92084860842</v>
      </c>
      <c r="AK54" s="1034">
        <f t="shared" ca="1" si="38"/>
        <v>255190.38794742382</v>
      </c>
      <c r="AL54" s="1034">
        <f t="shared" ca="1" si="38"/>
        <v>175756.99187867649</v>
      </c>
      <c r="AM54" s="1034">
        <f t="shared" ca="1" si="38"/>
        <v>98397.966469523191</v>
      </c>
      <c r="AN54" s="1034">
        <f t="shared" ca="1" si="38"/>
        <v>25504.64998210753</v>
      </c>
      <c r="AO54" s="1034">
        <f t="shared" ca="1" si="38"/>
        <v>-41366.587515918422</v>
      </c>
      <c r="AP54" s="1034">
        <f t="shared" ca="1" si="38"/>
        <v>-101252.15230248153</v>
      </c>
      <c r="AQ54" s="1034">
        <f t="shared" ca="1" si="38"/>
        <v>-153601.22631342144</v>
      </c>
      <c r="AR54" s="1034">
        <f t="shared" ca="1" si="38"/>
        <v>-198141.86356302581</v>
      </c>
      <c r="AS54" s="1034">
        <f t="shared" ca="1" si="38"/>
        <v>-234781.14545322405</v>
      </c>
      <c r="AT54" s="947"/>
      <c r="AU54" s="947"/>
      <c r="AV54" s="947"/>
      <c r="AW54" s="947"/>
      <c r="AX54" s="947"/>
      <c r="AY54" s="947"/>
      <c r="AZ54" s="947"/>
      <c r="BA54" s="947">
        <f ca="1"/>
        <v>2057</v>
      </c>
      <c r="BB54" s="947"/>
      <c r="BC54" s="947"/>
    </row>
    <row r="55" spans="1:55" ht="14.25">
      <c r="A55" s="684"/>
      <c r="B55" s="684"/>
      <c r="C55" s="691" t="s">
        <v>540</v>
      </c>
      <c r="D55" s="690" t="s">
        <v>291</v>
      </c>
      <c r="E55" s="1034">
        <f ca="1">E54</f>
        <v>-190073.92258204203</v>
      </c>
      <c r="F55" s="1034">
        <f ca="1">E$55+F$54</f>
        <v>-274597.68067996553</v>
      </c>
      <c r="G55" s="1034">
        <f t="shared" ref="G55:Y55" ca="1" si="39">F$55+G$54</f>
        <v>-361534.83924587502</v>
      </c>
      <c r="H55" s="1034">
        <f ca="1">G$55+H$54</f>
        <v>-437098.98159651854</v>
      </c>
      <c r="I55" s="1034">
        <f t="shared" ca="1" si="39"/>
        <v>-498532.03628654854</v>
      </c>
      <c r="J55" s="1034">
        <f t="shared" ca="1" si="39"/>
        <v>-554010.35872597422</v>
      </c>
      <c r="K55" s="1034">
        <f t="shared" ca="1" si="39"/>
        <v>-603042.8204994516</v>
      </c>
      <c r="L55" s="1034">
        <f t="shared" ca="1" si="39"/>
        <v>-644802.06762756419</v>
      </c>
      <c r="M55" s="1034">
        <f t="shared" ca="1" si="39"/>
        <v>-678539.35470400762</v>
      </c>
      <c r="N55" s="1034">
        <f t="shared" ca="1" si="39"/>
        <v>-703853.49642247881</v>
      </c>
      <c r="O55" s="1034">
        <f t="shared" ca="1" si="39"/>
        <v>-719431.43264848064</v>
      </c>
      <c r="P55" s="1034">
        <f t="shared" ca="1" si="39"/>
        <v>-724062.27161555295</v>
      </c>
      <c r="Q55" s="1034">
        <f t="shared" ca="1" si="39"/>
        <v>-716329.9121606478</v>
      </c>
      <c r="R55" s="1034">
        <f t="shared" ca="1" si="39"/>
        <v>-694583.88217578561</v>
      </c>
      <c r="S55" s="1034">
        <f t="shared" ca="1" si="39"/>
        <v>-656904.46127953124</v>
      </c>
      <c r="T55" s="1034">
        <f t="shared" ca="1" si="39"/>
        <v>-601060.1410699744</v>
      </c>
      <c r="U55" s="1034">
        <f t="shared" ca="1" si="39"/>
        <v>-524453.73535869771</v>
      </c>
      <c r="V55" s="1034">
        <f t="shared" ca="1" si="39"/>
        <v>-424051.26702152309</v>
      </c>
      <c r="W55" s="1034">
        <f t="shared" ca="1" si="39"/>
        <v>-296287.33366068313</v>
      </c>
      <c r="X55" s="1034">
        <f t="shared" ca="1" si="39"/>
        <v>-136945.80084690769</v>
      </c>
      <c r="Y55" s="1034">
        <f t="shared" ca="1" si="39"/>
        <v>59611.965295127739</v>
      </c>
      <c r="Z55" s="1034">
        <f t="shared" ref="Z55:AJ55" ca="1" si="40">Y$55+Z$54</f>
        <v>299376.71985526558</v>
      </c>
      <c r="AA55" s="1034">
        <f t="shared" ca="1" si="40"/>
        <v>589391.55441368301</v>
      </c>
      <c r="AB55" s="1034">
        <f t="shared" ca="1" si="40"/>
        <v>937995.57378396159</v>
      </c>
      <c r="AC55" s="1034">
        <f t="shared" ca="1" si="40"/>
        <v>1387713.7866750737</v>
      </c>
      <c r="AD55" s="1034">
        <f t="shared" ca="1" si="40"/>
        <v>1889123.6688051163</v>
      </c>
      <c r="AE55" s="1034">
        <f t="shared" ca="1" si="40"/>
        <v>2427668.6228181343</v>
      </c>
      <c r="AF55" s="1034">
        <f t="shared" ca="1" si="40"/>
        <v>2983073.5146765728</v>
      </c>
      <c r="AG55" s="1034">
        <f t="shared" ca="1" si="40"/>
        <v>3530535.8597223558</v>
      </c>
      <c r="AH55" s="1034">
        <f t="shared" ca="1" si="40"/>
        <v>4041450.1496871109</v>
      </c>
      <c r="AI55" s="1034">
        <f t="shared" ca="1" si="40"/>
        <v>4445922.0609961962</v>
      </c>
      <c r="AJ55" s="1034">
        <f t="shared" ca="1" si="40"/>
        <v>4779067.9818448042</v>
      </c>
      <c r="AK55" s="1034">
        <f t="shared" ref="AK55:AS55" ca="1" si="41">AJ$55+AK$54</f>
        <v>5034258.3697922276</v>
      </c>
      <c r="AL55" s="1034">
        <f t="shared" ca="1" si="41"/>
        <v>5210015.3616709039</v>
      </c>
      <c r="AM55" s="1034">
        <f t="shared" ca="1" si="41"/>
        <v>5308413.3281404274</v>
      </c>
      <c r="AN55" s="1034">
        <f t="shared" ca="1" si="41"/>
        <v>5333917.9781225352</v>
      </c>
      <c r="AO55" s="1034">
        <f t="shared" ca="1" si="41"/>
        <v>5292551.3906066166</v>
      </c>
      <c r="AP55" s="1034">
        <f t="shared" ca="1" si="41"/>
        <v>5191299.2383041354</v>
      </c>
      <c r="AQ55" s="1034">
        <f t="shared" ca="1" si="41"/>
        <v>5037698.0119907139</v>
      </c>
      <c r="AR55" s="1034">
        <f t="shared" ca="1" si="41"/>
        <v>4839556.1484276885</v>
      </c>
      <c r="AS55" s="1034">
        <f t="shared" ca="1" si="41"/>
        <v>4604775.0029744646</v>
      </c>
      <c r="AT55" s="947"/>
      <c r="AU55" s="947"/>
      <c r="AV55" s="947"/>
      <c r="AW55" s="947"/>
      <c r="AX55" s="947"/>
      <c r="AY55" s="947"/>
      <c r="AZ55" s="947"/>
      <c r="BA55" s="947">
        <f ca="1"/>
        <v>2058</v>
      </c>
      <c r="BB55" s="947"/>
      <c r="BC55" s="947"/>
    </row>
    <row r="56" spans="1:55" ht="14.25">
      <c r="A56" s="684"/>
      <c r="B56" s="684"/>
      <c r="C56" s="691" t="s">
        <v>543</v>
      </c>
      <c r="D56" s="690" t="s">
        <v>0</v>
      </c>
      <c r="E56" s="690" t="str">
        <f ca="1">IF(E55&lt;0, "-", "+")</f>
        <v>-</v>
      </c>
      <c r="F56" s="690" t="str">
        <f ca="1">IF(F55&lt;0, "-", "+")</f>
        <v>-</v>
      </c>
      <c r="G56" s="690" t="str">
        <f t="shared" ref="G56:Y56" ca="1" si="42">IF(G55&lt;0, "-", "+")</f>
        <v>-</v>
      </c>
      <c r="H56" s="690" t="str">
        <f t="shared" ca="1" si="42"/>
        <v>-</v>
      </c>
      <c r="I56" s="690" t="str">
        <f t="shared" ca="1" si="42"/>
        <v>-</v>
      </c>
      <c r="J56" s="690" t="str">
        <f t="shared" ca="1" si="42"/>
        <v>-</v>
      </c>
      <c r="K56" s="690" t="str">
        <f t="shared" ca="1" si="42"/>
        <v>-</v>
      </c>
      <c r="L56" s="690" t="str">
        <f t="shared" ca="1" si="42"/>
        <v>-</v>
      </c>
      <c r="M56" s="690" t="str">
        <f t="shared" ca="1" si="42"/>
        <v>-</v>
      </c>
      <c r="N56" s="690" t="str">
        <f t="shared" ca="1" si="42"/>
        <v>-</v>
      </c>
      <c r="O56" s="690" t="str">
        <f t="shared" ca="1" si="42"/>
        <v>-</v>
      </c>
      <c r="P56" s="690" t="str">
        <f t="shared" ca="1" si="42"/>
        <v>-</v>
      </c>
      <c r="Q56" s="690" t="str">
        <f t="shared" ca="1" si="42"/>
        <v>-</v>
      </c>
      <c r="R56" s="690" t="str">
        <f t="shared" ca="1" si="42"/>
        <v>-</v>
      </c>
      <c r="S56" s="690" t="str">
        <f t="shared" ca="1" si="42"/>
        <v>-</v>
      </c>
      <c r="T56" s="690" t="str">
        <f t="shared" ca="1" si="42"/>
        <v>-</v>
      </c>
      <c r="U56" s="690" t="str">
        <f t="shared" ca="1" si="42"/>
        <v>-</v>
      </c>
      <c r="V56" s="690" t="str">
        <f t="shared" ca="1" si="42"/>
        <v>-</v>
      </c>
      <c r="W56" s="690" t="str">
        <f t="shared" ca="1" si="42"/>
        <v>-</v>
      </c>
      <c r="X56" s="690" t="str">
        <f t="shared" ca="1" si="42"/>
        <v>-</v>
      </c>
      <c r="Y56" s="690" t="str">
        <f t="shared" ca="1" si="42"/>
        <v>+</v>
      </c>
      <c r="Z56" s="690" t="str">
        <f t="shared" ref="Z56" ca="1" si="43">IF(Z55&lt;0, "-", "+")</f>
        <v>+</v>
      </c>
      <c r="AA56" s="690" t="str">
        <f t="shared" ref="AA56" ca="1" si="44">IF(AA55&lt;0, "-", "+")</f>
        <v>+</v>
      </c>
      <c r="AB56" s="690" t="str">
        <f t="shared" ref="AB56" ca="1" si="45">IF(AB55&lt;0, "-", "+")</f>
        <v>+</v>
      </c>
      <c r="AC56" s="690" t="str">
        <f t="shared" ref="AC56" ca="1" si="46">IF(AC55&lt;0, "-", "+")</f>
        <v>+</v>
      </c>
      <c r="AD56" s="690" t="str">
        <f t="shared" ref="AD56" ca="1" si="47">IF(AD55&lt;0, "-", "+")</f>
        <v>+</v>
      </c>
      <c r="AE56" s="690" t="str">
        <f t="shared" ref="AE56" ca="1" si="48">IF(AE55&lt;0, "-", "+")</f>
        <v>+</v>
      </c>
      <c r="AF56" s="690" t="str">
        <f t="shared" ref="AF56" ca="1" si="49">IF(AF55&lt;0, "-", "+")</f>
        <v>+</v>
      </c>
      <c r="AG56" s="690" t="str">
        <f t="shared" ref="AG56" ca="1" si="50">IF(AG55&lt;0, "-", "+")</f>
        <v>+</v>
      </c>
      <c r="AH56" s="690" t="str">
        <f t="shared" ref="AH56" ca="1" si="51">IF(AH55&lt;0, "-", "+")</f>
        <v>+</v>
      </c>
      <c r="AI56" s="690" t="str">
        <f t="shared" ref="AI56" ca="1" si="52">IF(AI55&lt;0, "-", "+")</f>
        <v>+</v>
      </c>
      <c r="AJ56" s="690" t="str">
        <f t="shared" ref="AJ56" ca="1" si="53">IF(AJ55&lt;0, "-", "+")</f>
        <v>+</v>
      </c>
      <c r="AK56" s="690" t="str">
        <f t="shared" ref="AK56" ca="1" si="54">IF(AK55&lt;0, "-", "+")</f>
        <v>+</v>
      </c>
      <c r="AL56" s="690" t="str">
        <f t="shared" ref="AL56" ca="1" si="55">IF(AL55&lt;0, "-", "+")</f>
        <v>+</v>
      </c>
      <c r="AM56" s="690" t="str">
        <f t="shared" ref="AM56" ca="1" si="56">IF(AM55&lt;0, "-", "+")</f>
        <v>+</v>
      </c>
      <c r="AN56" s="690" t="str">
        <f t="shared" ref="AN56" ca="1" si="57">IF(AN55&lt;0, "-", "+")</f>
        <v>+</v>
      </c>
      <c r="AO56" s="690" t="str">
        <f t="shared" ref="AO56" ca="1" si="58">IF(AO55&lt;0, "-", "+")</f>
        <v>+</v>
      </c>
      <c r="AP56" s="690" t="str">
        <f t="shared" ref="AP56" ca="1" si="59">IF(AP55&lt;0, "-", "+")</f>
        <v>+</v>
      </c>
      <c r="AQ56" s="690" t="str">
        <f t="shared" ref="AQ56" ca="1" si="60">IF(AQ55&lt;0, "-", "+")</f>
        <v>+</v>
      </c>
      <c r="AR56" s="690" t="str">
        <f t="shared" ref="AR56" ca="1" si="61">IF(AR55&lt;0, "-", "+")</f>
        <v>+</v>
      </c>
      <c r="AS56" s="690" t="str">
        <f t="shared" ref="AS56" ca="1" si="62">IF(AS55&lt;0, "-", "+")</f>
        <v>+</v>
      </c>
      <c r="AT56" s="947"/>
      <c r="AU56" s="947"/>
      <c r="AV56" s="947"/>
      <c r="AW56" s="947"/>
      <c r="AX56" s="947"/>
      <c r="AY56" s="947"/>
      <c r="AZ56" s="947"/>
      <c r="BA56" s="947"/>
      <c r="BB56" s="947"/>
      <c r="BC56" s="947"/>
    </row>
    <row r="57" spans="1:55" ht="14.25">
      <c r="A57" s="684"/>
      <c r="B57" s="684"/>
      <c r="C57" s="691"/>
      <c r="D57" s="690"/>
      <c r="E57" s="690"/>
      <c r="F57" s="690"/>
      <c r="G57" s="690"/>
      <c r="H57" s="690"/>
      <c r="I57" s="690"/>
      <c r="J57" s="690"/>
      <c r="K57" s="690"/>
      <c r="L57" s="690"/>
      <c r="M57" s="690"/>
      <c r="N57" s="690"/>
      <c r="O57" s="690"/>
      <c r="P57" s="690"/>
      <c r="Q57" s="690"/>
      <c r="R57" s="690"/>
      <c r="S57" s="690"/>
      <c r="T57" s="690"/>
      <c r="U57" s="690"/>
      <c r="V57" s="690"/>
      <c r="W57" s="690"/>
      <c r="X57" s="690"/>
      <c r="Y57" s="690"/>
      <c r="Z57" s="690"/>
      <c r="AA57" s="690"/>
      <c r="AB57" s="690"/>
      <c r="AC57" s="690"/>
      <c r="AD57" s="690"/>
      <c r="AE57" s="690"/>
      <c r="AF57" s="690"/>
      <c r="AG57" s="690"/>
      <c r="AH57" s="690"/>
      <c r="AI57" s="690"/>
      <c r="AJ57" s="690"/>
      <c r="AK57" s="690"/>
      <c r="AL57" s="690"/>
      <c r="AM57" s="690"/>
      <c r="AN57" s="690"/>
      <c r="AO57" s="690"/>
      <c r="AP57" s="690"/>
      <c r="AQ57" s="690"/>
      <c r="AR57" s="690"/>
      <c r="AS57" s="690"/>
      <c r="AT57" s="947"/>
      <c r="AU57" s="947"/>
      <c r="AV57" s="947"/>
      <c r="AW57" s="947"/>
      <c r="AX57" s="947"/>
      <c r="AY57" s="947"/>
      <c r="AZ57" s="947"/>
      <c r="BA57" s="947"/>
      <c r="BB57" s="947"/>
      <c r="BC57" s="947"/>
    </row>
    <row r="58" spans="1:55" ht="14.25">
      <c r="A58" s="684"/>
      <c r="B58" s="890" t="s">
        <v>553</v>
      </c>
      <c r="C58" s="890"/>
      <c r="D58" s="1024" t="s">
        <v>291</v>
      </c>
      <c r="E58" s="1025">
        <f ca="1">(E78+E97+E90)*((1+VLOOKUP(E$76,Inflation!$B$4:$C$44,2,FALSE))^E$44)</f>
        <v>-199577.61871114414</v>
      </c>
      <c r="F58" s="1025">
        <f ca="1">(F78+F97+F90)*((1+VLOOKUP(F$76,Inflation!$B$4:$C$44,2,FALSE))^F$44)</f>
        <v>-63453.867132011495</v>
      </c>
      <c r="G58" s="1025">
        <f ca="1">(G78+G97+G90)*((1+VLOOKUP(G$76,Inflation!$B$4:$C$44,2,FALSE))^G$44)</f>
        <v>-52907.069651636841</v>
      </c>
      <c r="H58" s="1025">
        <f ca="1">(H78+H97+H90)*((1+VLOOKUP(H$76,Inflation!$B$4:$C$44,2,FALSE))^H$44)</f>
        <v>-64945.137010128841</v>
      </c>
      <c r="I58" s="1025">
        <f ca="1">(I78+I97+I90)*((1+VLOOKUP(I$76,Inflation!$B$4:$C$44,2,FALSE))^I$44)</f>
        <v>-52515.038450656524</v>
      </c>
      <c r="J58" s="1025">
        <f ca="1">(J78+J97+J90)*((1+VLOOKUP(J$76,Inflation!$B$4:$C$44,2,FALSE))^J$44)</f>
        <v>-48042.420123649805</v>
      </c>
      <c r="K58" s="1025">
        <f ca="1">(K78+K97+K90)*((1+VLOOKUP(K$76,Inflation!$B$4:$C$44,2,FALSE))^K$44)</f>
        <v>-42275.965001381031</v>
      </c>
      <c r="L58" s="1025">
        <f ca="1">(L78+L97+L90)*((1+VLOOKUP(L$76,Inflation!$B$4:$C$44,2,FALSE))^L$44)</f>
        <v>-34557.7097500659</v>
      </c>
      <c r="M58" s="1025">
        <f ca="1">(M78+M97+M90)*((1+VLOOKUP(M$76,Inflation!$B$4:$C$44,2,FALSE))^M$44)</f>
        <v>-24755.730431586959</v>
      </c>
      <c r="N58" s="1025">
        <f ca="1">(N78+N97+N90)*((1+VLOOKUP(N$76,Inflation!$B$4:$C$44,2,FALSE))^N$44)</f>
        <v>-13176.551997200049</v>
      </c>
      <c r="O58" s="1025">
        <f ca="1">(O78+O97+O90)*((1+VLOOKUP(O$76,Inflation!$B$4:$C$44,2,FALSE))^O$44)</f>
        <v>1939.5880005226204</v>
      </c>
      <c r="P58" s="1025">
        <f ca="1">(P78+P97+P90)*((1+VLOOKUP(P$76,Inflation!$B$4:$C$44,2,FALSE))^P$44)</f>
        <v>20864.726576838344</v>
      </c>
      <c r="Q58" s="1025">
        <f ca="1">(Q78+Q97+Q90)*((1+VLOOKUP(Q$76,Inflation!$B$4:$C$44,2,FALSE))^Q$44)</f>
        <v>44463.93382803721</v>
      </c>
      <c r="R58" s="1025">
        <f ca="1">(R78+R97+R90)*((1+VLOOKUP(R$76,Inflation!$B$4:$C$44,2,FALSE))^R$44)</f>
        <v>73793.513316674726</v>
      </c>
      <c r="S58" s="1025">
        <f ca="1">(S78+S97+S90)*((1+VLOOKUP(S$76,Inflation!$B$4:$C$44,2,FALSE))^S$44)</f>
        <v>110146.47151165181</v>
      </c>
      <c r="T58" s="1025">
        <f ca="1">(T78+T97+T90)*((1+VLOOKUP(T$76,Inflation!$B$4:$C$44,2,FALSE))^T$44)</f>
        <v>155107.50032367071</v>
      </c>
      <c r="U58" s="1025">
        <f ca="1">(U78+U97+U90)*((1+VLOOKUP(U$76,Inflation!$B$4:$C$44,2,FALSE))^U$44)</f>
        <v>210617.90720306369</v>
      </c>
      <c r="V58" s="1025">
        <f ca="1">(V78+V97+V90)*((1+VLOOKUP(V$76,Inflation!$B$4:$C$44,2,FALSE))^V$44)</f>
        <v>279048.83297828969</v>
      </c>
      <c r="W58" s="1025">
        <f ca="1">(W78+W97+W90)*((1+VLOOKUP(W$76,Inflation!$B$4:$C$44,2,FALSE))^W$44)</f>
        <v>363277.52778362646</v>
      </c>
      <c r="X58" s="1025">
        <f ca="1">(X78+X97+X90)*((1+VLOOKUP(X$76,Inflation!$B$4:$C$44,2,FALSE))^X$44)</f>
        <v>466762.29333302024</v>
      </c>
      <c r="Y58" s="1025">
        <f ca="1">(Y78+Y97+Y90)*((1+VLOOKUP(Y$76,Inflation!$B$4:$C$44,2,FALSE))^Y$44)</f>
        <v>595409.73956416023</v>
      </c>
      <c r="Z58" s="1025">
        <f ca="1">(Z78+Z97+Z90)*((1+VLOOKUP(Z$76,Inflation!$B$4:$C$44,2,FALSE))^Z$44)</f>
        <v>752805.94202547439</v>
      </c>
      <c r="AA58" s="1025">
        <f ca="1">(AA78+AA97+AA90)*((1+VLOOKUP(AA$76,Inflation!$B$4:$C$44,2,FALSE))^AA$44)</f>
        <v>945169.68417772138</v>
      </c>
      <c r="AB58" s="1025">
        <f ca="1">(AB78+AB97+AB90)*((1+VLOOKUP(AB$76,Inflation!$B$4:$C$44,2,FALSE))^AB$44)</f>
        <v>1180709.266874389</v>
      </c>
      <c r="AC58" s="1025">
        <f ca="1">(AC78+AC97+AC90)*((1+VLOOKUP(AC$76,Inflation!$B$4:$C$44,2,FALSE))^AC$44)</f>
        <v>1580573.4800359744</v>
      </c>
      <c r="AD58" s="1025">
        <f ca="1">(AD78+AD97+AD90)*((1+VLOOKUP(AD$76,Inflation!$B$4:$C$44,2,FALSE))^AD$44)</f>
        <v>1841267.7716198973</v>
      </c>
      <c r="AE58" s="1025">
        <f ca="1">(AE78+AE97+AE90)*((1+VLOOKUP(AE$76,Inflation!$B$4:$C$44,2,FALSE))^AE$44)</f>
        <v>2069625.2454322269</v>
      </c>
      <c r="AF58" s="1025">
        <f ca="1">(AF78+AF97+AF90)*((1+VLOOKUP(AF$76,Inflation!$B$4:$C$44,2,FALSE))^AF$44)</f>
        <v>2236846.5521971295</v>
      </c>
      <c r="AG58" s="1025">
        <f ca="1">(AG78+AG97+AG90)*((1+VLOOKUP(AG$76,Inflation!$B$4:$C$44,2,FALSE))^AG$44)</f>
        <v>2313723.1662022611</v>
      </c>
      <c r="AH58" s="1025">
        <f ca="1">(AH78+AH97+AH90)*((1+VLOOKUP(AH$76,Inflation!$B$4:$C$44,2,FALSE))^AH$44)</f>
        <v>2269267.4649730748</v>
      </c>
      <c r="AI58" s="1025">
        <f ca="1">(AI78+AI97+AI90)*((1+VLOOKUP(AI$76,Inflation!$B$4:$C$44,2,FALSE))^AI$44)</f>
        <v>1897576.4966893976</v>
      </c>
      <c r="AJ58" s="1025">
        <f ca="1">(AJ78+AJ97+AJ90)*((1+VLOOKUP(AJ$76,Inflation!$B$4:$C$44,2,FALSE))^AJ$44)</f>
        <v>1650517.5003222066</v>
      </c>
      <c r="AK58" s="1025">
        <f ca="1">(AK78+AK97+AK90)*((1+VLOOKUP(AK$76,Inflation!$B$4:$C$44,2,FALSE))^AK$44)</f>
        <v>1340960.2423518654</v>
      </c>
      <c r="AL58" s="1025">
        <f ca="1">(AL78+AL97+AL90)*((1+VLOOKUP(AL$76,Inflation!$B$4:$C$44,2,FALSE))^AL$44)</f>
        <v>988658.47528275277</v>
      </c>
      <c r="AM58" s="1025">
        <f ca="1">(AM78+AM97+AM90)*((1+VLOOKUP(AM$76,Inflation!$B$4:$C$44,2,FALSE))^AM$44)</f>
        <v>609304.71203977487</v>
      </c>
      <c r="AN58" s="1025">
        <f ca="1">(AN78+AN97+AN90)*((1+VLOOKUP(AN$76,Inflation!$B$4:$C$44,2,FALSE))^AN$44)</f>
        <v>215488.6129309212</v>
      </c>
      <c r="AO58" s="1025">
        <f ca="1">(AO78+AO97+AO90)*((1+VLOOKUP(AO$76,Inflation!$B$4:$C$44,2,FALSE))^AO$44)</f>
        <v>-182534.43023726015</v>
      </c>
      <c r="AP58" s="1025">
        <f ca="1">(AP78+AP97+AP90)*((1+VLOOKUP(AP$76,Inflation!$B$4:$C$44,2,FALSE))^AP$44)</f>
        <v>-576219.13195806381</v>
      </c>
      <c r="AQ58" s="1025">
        <f ca="1">(AQ78+AQ97+AQ90)*((1+VLOOKUP(AQ$76,Inflation!$B$4:$C$44,2,FALSE))^AQ$44)</f>
        <v>-958214.41622183914</v>
      </c>
      <c r="AR58" s="1025">
        <f ca="1">(AR78+AR97+AR90)*((1+VLOOKUP(AR$76,Inflation!$B$4:$C$44,2,FALSE))^AR$44)</f>
        <v>-1321926.4374249042</v>
      </c>
      <c r="AS58" s="1025">
        <f ca="1">(AS78+AS97+AS90)*((1+VLOOKUP(AS$76,Inflation!$B$4:$C$44,2,FALSE))^AS$44)</f>
        <v>-1661136.175920777</v>
      </c>
      <c r="AT58" s="947"/>
      <c r="AU58" s="947"/>
      <c r="AV58" s="947"/>
      <c r="AW58" s="947"/>
      <c r="AX58" s="947"/>
      <c r="AY58" s="947"/>
      <c r="AZ58" s="947"/>
      <c r="BA58" s="947"/>
      <c r="BB58" s="947"/>
      <c r="BC58" s="947"/>
    </row>
    <row r="59" spans="1:55" ht="4.5" customHeight="1">
      <c r="A59" s="684"/>
      <c r="B59" s="684"/>
      <c r="C59" s="691"/>
      <c r="D59" s="690"/>
      <c r="F59" s="690"/>
      <c r="G59" s="690"/>
      <c r="H59" s="690"/>
      <c r="I59" s="690"/>
      <c r="J59" s="690"/>
      <c r="K59" s="690"/>
      <c r="L59" s="690"/>
      <c r="M59" s="690"/>
      <c r="N59" s="690"/>
      <c r="O59" s="690"/>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690"/>
      <c r="AP59" s="690"/>
      <c r="AQ59" s="690"/>
      <c r="AR59" s="690"/>
      <c r="AS59" s="690"/>
      <c r="AT59" s="947"/>
      <c r="AU59" s="947"/>
      <c r="AV59" s="947"/>
      <c r="AW59" s="947"/>
      <c r="AX59" s="947"/>
      <c r="AY59" s="947"/>
      <c r="AZ59" s="947"/>
      <c r="BA59" s="947"/>
      <c r="BB59" s="947"/>
      <c r="BC59" s="947"/>
    </row>
    <row r="60" spans="1:55" ht="14.25">
      <c r="A60" s="684"/>
      <c r="B60" s="684"/>
      <c r="C60" s="684" t="s">
        <v>1114</v>
      </c>
      <c r="D60" s="690" t="s">
        <v>291</v>
      </c>
      <c r="E60" s="1033">
        <f ca="1">IFERROR(E78+E90,"*")</f>
        <v>0</v>
      </c>
      <c r="F60" s="1033">
        <f ca="1">IFERROR(F78+F90,"*")</f>
        <v>64049.646717033742</v>
      </c>
      <c r="G60" s="1033">
        <f ca="1">IFERROR(G78+G90,"*")</f>
        <v>86524.318583853863</v>
      </c>
      <c r="H60" s="1033">
        <f ca="1">IFERROR(H78+H90,"*")</f>
        <v>73785.321915731067</v>
      </c>
      <c r="I60" s="1033">
        <f ca="1">IFERROR(I78+I90,"*")</f>
        <v>80962.927863746605</v>
      </c>
      <c r="J60" s="1033">
        <f ca="1">IFERROR(J78+J90,"*")</f>
        <v>86546.643715913728</v>
      </c>
      <c r="K60" s="1033">
        <f ca="1">IFERROR(K78+K90,"*")</f>
        <v>93219.569110626704</v>
      </c>
      <c r="L60" s="1033">
        <f ca="1">IFERROR(L78+L90,"*")</f>
        <v>101473.92022323147</v>
      </c>
      <c r="M60" s="1033">
        <f ca="1">IFERROR(M78+M90,"*")</f>
        <v>111398.46195224419</v>
      </c>
      <c r="N60" s="1033">
        <f ca="1">IFERROR(N78+N90,"*")</f>
        <v>122779.2812286151</v>
      </c>
      <c r="O60" s="1033">
        <f ca="1">IFERROR(O78+O90,"*")</f>
        <v>136879.82457734892</v>
      </c>
      <c r="P60" s="1033">
        <f ca="1">IFERROR(P78+P90,"*")</f>
        <v>153875.47314514633</v>
      </c>
      <c r="Q60" s="1033">
        <f ca="1">IFERROR(Q78+Q90,"*")</f>
        <v>174355.53698025367</v>
      </c>
      <c r="R60" s="1033">
        <f ca="1">IFERROR(R78+R90,"*")</f>
        <v>199027.23064703564</v>
      </c>
      <c r="S60" s="1033">
        <f ca="1">IFERROR(S78+S90,"*")</f>
        <v>228741.84297507431</v>
      </c>
      <c r="T60" s="1033">
        <f ca="1">IFERROR(T78+T90,"*")</f>
        <v>264525.01951224817</v>
      </c>
      <c r="U60" s="1033">
        <f ca="1">IFERROR(U78+U90,"*")</f>
        <v>307610.05965245003</v>
      </c>
      <c r="V60" s="1033">
        <f ca="1">IFERROR(V78+V90,"*")</f>
        <v>359471.16588270973</v>
      </c>
      <c r="W60" s="1033">
        <f ca="1">IFERROR(W78+W90,"*")</f>
        <v>421851.56879236398</v>
      </c>
      <c r="X60" s="1033">
        <f ca="1">IFERROR(X78+X90,"*")</f>
        <v>496785.01439351554</v>
      </c>
      <c r="Y60" s="1033">
        <f ca="1">IFERROR(Y78+Y90,"*")</f>
        <v>587429.29602855141</v>
      </c>
      <c r="Z60" s="1033">
        <f ca="1">IFERROR(Z78+Z90,"*")</f>
        <v>695906.14382186346</v>
      </c>
      <c r="AA60" s="1033">
        <f ca="1">IFERROR(AA78+AA90,"*")</f>
        <v>825650.33872605686</v>
      </c>
      <c r="AB60" s="1033">
        <f ca="1">IFERROR(AB78+AB90,"*")</f>
        <v>981156.8620762385</v>
      </c>
      <c r="AC60" s="1033">
        <f ca="1">IFERROR(AC78+AC90,"*")</f>
        <v>1237468.7841127855</v>
      </c>
      <c r="AD60" s="1033">
        <f ca="1">IFERROR(AD78+AD90,"*")</f>
        <v>1403011.6419416138</v>
      </c>
      <c r="AE60" s="1033">
        <f ca="1">IFERROR(AE78+AE90,"*")</f>
        <v>1548103.9119152655</v>
      </c>
      <c r="AF60" s="1033">
        <f ca="1">IFERROR(AF78+AF90,"*")</f>
        <v>1657896.3115774759</v>
      </c>
      <c r="AG60" s="1033">
        <f ca="1">IFERROR(AG78+AG90,"*")</f>
        <v>1718714.4923268843</v>
      </c>
      <c r="AH60" s="1033">
        <f ca="1">IFERROR(AH78+AH90,"*")</f>
        <v>1717280.8276079213</v>
      </c>
      <c r="AI60" s="1033">
        <f ca="1">IFERROR(AI78+AI90,"*")</f>
        <v>1557506.7792047434</v>
      </c>
      <c r="AJ60" s="1033">
        <f ca="1">IFERROR(AJ78+AJ90,"*")</f>
        <v>1460820.373693927</v>
      </c>
      <c r="AK60" s="1033">
        <f ca="1">IFERROR(AK78+AK90,"*")</f>
        <v>1336925.9932078028</v>
      </c>
      <c r="AL60" s="1033">
        <f ca="1">IFERROR(AL78+AL90,"*")</f>
        <v>1196120.8380641183</v>
      </c>
      <c r="AM60" s="1033">
        <f ca="1">IFERROR(AM78+AM90,"*")</f>
        <v>1046224.8273159299</v>
      </c>
      <c r="AN60" s="1033">
        <f ca="1">IFERROR(AN78+AN90,"*")</f>
        <v>893179.84366363171</v>
      </c>
      <c r="AO60" s="1033">
        <f ca="1">IFERROR(AO78+AO90,"*")</f>
        <v>741514.06362601707</v>
      </c>
      <c r="AP60" s="1033">
        <f ca="1">IFERROR(AP78+AP90,"*")</f>
        <v>594703.4803140969</v>
      </c>
      <c r="AQ60" s="1033">
        <f ca="1">IFERROR(AQ78+AQ90,"*")</f>
        <v>455455.29991848499</v>
      </c>
      <c r="AR60" s="1033">
        <f ca="1">IFERROR(AR78+AR90,"*")</f>
        <v>325932.33879137289</v>
      </c>
      <c r="AS60" s="1033">
        <f ca="1">IFERROR(AS78+AS90,"*")</f>
        <v>207933.35916892707</v>
      </c>
      <c r="AT60" s="947"/>
      <c r="AU60" s="947"/>
      <c r="AV60" s="947"/>
      <c r="AW60" s="947"/>
      <c r="AX60" s="947"/>
      <c r="AY60" s="947"/>
      <c r="AZ60" s="947"/>
      <c r="BA60" s="947"/>
      <c r="BB60" s="947"/>
      <c r="BC60" s="947"/>
    </row>
    <row r="61" spans="1:55" ht="14.25">
      <c r="A61" s="684"/>
      <c r="B61" s="684"/>
      <c r="C61" s="684" t="s">
        <v>1112</v>
      </c>
      <c r="D61" s="690" t="s">
        <v>291</v>
      </c>
      <c r="E61" s="1033">
        <f t="shared" ref="E61:Y61" ca="1" si="63">E97</f>
        <v>-196202.92834363363</v>
      </c>
      <c r="F61" s="1033">
        <f t="shared" ca="1" si="63"/>
        <v>-125171.28274748767</v>
      </c>
      <c r="G61" s="1033">
        <f t="shared" ca="1" si="63"/>
        <v>-136467.91589759372</v>
      </c>
      <c r="H61" s="1033">
        <f t="shared" ca="1" si="63"/>
        <v>-133808.12457789262</v>
      </c>
      <c r="I61" s="1033">
        <f t="shared" ca="1" si="63"/>
        <v>-128796.45862493681</v>
      </c>
      <c r="J61" s="1033">
        <f t="shared" ca="1" si="63"/>
        <v>-129496.66446873291</v>
      </c>
      <c r="K61" s="1033">
        <f t="shared" ca="1" si="63"/>
        <v>-130315.11625817318</v>
      </c>
      <c r="L61" s="1033">
        <f t="shared" ca="1" si="63"/>
        <v>-131235.97792608189</v>
      </c>
      <c r="M61" s="1033">
        <f t="shared" ca="1" si="63"/>
        <v>-132324.33069353417</v>
      </c>
      <c r="N61" s="1033">
        <f t="shared" ca="1" si="63"/>
        <v>-133711.27265164198</v>
      </c>
      <c r="O61" s="1033">
        <f t="shared" ca="1" si="63"/>
        <v>-135300.40782193851</v>
      </c>
      <c r="P61" s="1033">
        <f t="shared" ca="1" si="63"/>
        <v>-137199.55708577699</v>
      </c>
      <c r="Q61" s="1033">
        <f t="shared" ca="1" si="63"/>
        <v>-139475.68479086756</v>
      </c>
      <c r="R61" s="1033">
        <f t="shared" ca="1" si="63"/>
        <v>-142210.70268773573</v>
      </c>
      <c r="S61" s="1033">
        <f t="shared" ca="1" si="63"/>
        <v>-145504.76183830324</v>
      </c>
      <c r="T61" s="1033">
        <f t="shared" ca="1" si="63"/>
        <v>-149479.74034473376</v>
      </c>
      <c r="U61" s="1033">
        <f t="shared" ca="1" si="63"/>
        <v>-154282.209386956</v>
      </c>
      <c r="V61" s="1033">
        <f t="shared" ca="1" si="63"/>
        <v>-160084.68219079723</v>
      </c>
      <c r="W61" s="1033">
        <f t="shared" ca="1" si="63"/>
        <v>-167084.20842307672</v>
      </c>
      <c r="X61" s="1033">
        <f t="shared" ca="1" si="63"/>
        <v>-175499.77817157737</v>
      </c>
      <c r="Y61" s="1033">
        <f t="shared" ca="1" si="63"/>
        <v>-185175.00197367911</v>
      </c>
      <c r="Z61" s="1033">
        <f t="shared" ref="Z61:AJ61" ca="1" si="64">Z97</f>
        <v>-196725.72276498837</v>
      </c>
      <c r="AA61" s="1033">
        <f t="shared" ca="1" si="64"/>
        <v>-210510.23963668954</v>
      </c>
      <c r="AB61" s="1033">
        <f t="shared" ca="1" si="64"/>
        <v>-226938.71631125221</v>
      </c>
      <c r="AC61" s="1033">
        <f t="shared" ca="1" si="64"/>
        <v>-246503.48707242461</v>
      </c>
      <c r="AD61" s="1033">
        <f t="shared" ca="1" si="64"/>
        <v>-269958.03646159521</v>
      </c>
      <c r="AE61" s="1033">
        <f t="shared" ca="1" si="64"/>
        <v>-298089.64737216494</v>
      </c>
      <c r="AF61" s="1033">
        <f t="shared" ca="1" si="64"/>
        <v>-331878.98644592153</v>
      </c>
      <c r="AG61" s="1033">
        <f t="shared" ca="1" si="64"/>
        <v>-372500.34230540448</v>
      </c>
      <c r="AH61" s="1033">
        <f t="shared" ca="1" si="64"/>
        <v>-421360.8260728115</v>
      </c>
      <c r="AI61" s="1033">
        <f t="shared" ca="1" si="64"/>
        <v>-493898.89221980656</v>
      </c>
      <c r="AJ61" s="1033">
        <f t="shared" ca="1" si="64"/>
        <v>-552807.21921676467</v>
      </c>
      <c r="AK61" s="1033">
        <f t="shared" ref="AK61:AS61" ca="1" si="65">AK97</f>
        <v>-612860.82017024013</v>
      </c>
      <c r="AL61" s="1033">
        <f t="shared" ca="1" si="65"/>
        <v>-672161.23932368751</v>
      </c>
      <c r="AM61" s="1033">
        <f t="shared" ca="1" si="65"/>
        <v>-729285.74644963106</v>
      </c>
      <c r="AN61" s="1033">
        <f t="shared" ca="1" si="65"/>
        <v>-783163.97473370342</v>
      </c>
      <c r="AO61" s="1033">
        <f t="shared" ca="1" si="65"/>
        <v>-832981.29895017028</v>
      </c>
      <c r="AP61" s="1033">
        <f t="shared" ca="1" si="65"/>
        <v>-878102.39445655467</v>
      </c>
      <c r="AQ61" s="1033">
        <f t="shared" ca="1" si="65"/>
        <v>-918009.85138584196</v>
      </c>
      <c r="AR61" s="1033">
        <f t="shared" ca="1" si="65"/>
        <v>-952253.80485683598</v>
      </c>
      <c r="AS61" s="1033">
        <f t="shared" ca="1" si="65"/>
        <v>-980409.35867962847</v>
      </c>
      <c r="AT61" s="947"/>
      <c r="AU61" s="947"/>
      <c r="AV61" s="947"/>
      <c r="AW61" s="947"/>
      <c r="AX61" s="947"/>
      <c r="AY61" s="947"/>
      <c r="AZ61" s="947"/>
      <c r="BA61" s="947"/>
      <c r="BB61" s="947"/>
      <c r="BC61" s="947"/>
    </row>
    <row r="62" spans="1:55" ht="14.25">
      <c r="A62" s="684"/>
      <c r="B62" s="684"/>
      <c r="C62" s="684" t="s">
        <v>1113</v>
      </c>
      <c r="D62" s="690" t="s">
        <v>291</v>
      </c>
      <c r="E62" s="1033">
        <f ca="1">E58</f>
        <v>-199577.61871114414</v>
      </c>
      <c r="F62" s="1033">
        <f ca="1">E$62+F$58</f>
        <v>-263031.48584315565</v>
      </c>
      <c r="G62" s="1033">
        <f t="shared" ref="G62:Y62" ca="1" si="66">F$62+G$58</f>
        <v>-315938.55549479247</v>
      </c>
      <c r="H62" s="1033">
        <f t="shared" ca="1" si="66"/>
        <v>-380883.69250492129</v>
      </c>
      <c r="I62" s="1033">
        <f t="shared" ca="1" si="66"/>
        <v>-433398.7309555778</v>
      </c>
      <c r="J62" s="1033">
        <f t="shared" ca="1" si="66"/>
        <v>-481441.15107922762</v>
      </c>
      <c r="K62" s="1033">
        <f t="shared" ca="1" si="66"/>
        <v>-523717.11608060868</v>
      </c>
      <c r="L62" s="1033">
        <f t="shared" ca="1" si="66"/>
        <v>-558274.82583067461</v>
      </c>
      <c r="M62" s="1033">
        <f t="shared" ca="1" si="66"/>
        <v>-583030.55626226158</v>
      </c>
      <c r="N62" s="1033">
        <f t="shared" ca="1" si="66"/>
        <v>-596207.10825946159</v>
      </c>
      <c r="O62" s="1033">
        <f t="shared" ca="1" si="66"/>
        <v>-594267.52025893901</v>
      </c>
      <c r="P62" s="1033">
        <f t="shared" ca="1" si="66"/>
        <v>-573402.79368210072</v>
      </c>
      <c r="Q62" s="1033">
        <f t="shared" ca="1" si="66"/>
        <v>-528938.85985406348</v>
      </c>
      <c r="R62" s="1033">
        <f t="shared" ca="1" si="66"/>
        <v>-455145.34653738874</v>
      </c>
      <c r="S62" s="1033">
        <f t="shared" ca="1" si="66"/>
        <v>-344998.87502573692</v>
      </c>
      <c r="T62" s="1033">
        <f t="shared" ca="1" si="66"/>
        <v>-189891.37470206621</v>
      </c>
      <c r="U62" s="1033">
        <f t="shared" ca="1" si="66"/>
        <v>20726.532500997477</v>
      </c>
      <c r="V62" s="1033">
        <f t="shared" ca="1" si="66"/>
        <v>299775.36547928717</v>
      </c>
      <c r="W62" s="1033">
        <f t="shared" ca="1" si="66"/>
        <v>663052.89326291368</v>
      </c>
      <c r="X62" s="1033">
        <f t="shared" ca="1" si="66"/>
        <v>1129815.186595934</v>
      </c>
      <c r="Y62" s="1033">
        <f t="shared" ca="1" si="66"/>
        <v>1725224.9261600943</v>
      </c>
      <c r="Z62" s="1033">
        <f t="shared" ref="Z62:AJ62" ca="1" si="67">Y$62+Z$58</f>
        <v>2478030.8681855686</v>
      </c>
      <c r="AA62" s="1033">
        <f t="shared" ca="1" si="67"/>
        <v>3423200.55236329</v>
      </c>
      <c r="AB62" s="1033">
        <f t="shared" ca="1" si="67"/>
        <v>4603909.8192376792</v>
      </c>
      <c r="AC62" s="1033">
        <f t="shared" ca="1" si="67"/>
        <v>6184483.2992736539</v>
      </c>
      <c r="AD62" s="1033">
        <f t="shared" ca="1" si="67"/>
        <v>8025751.0708935512</v>
      </c>
      <c r="AE62" s="1033">
        <f t="shared" ca="1" si="67"/>
        <v>10095376.316325778</v>
      </c>
      <c r="AF62" s="1033">
        <f t="shared" ca="1" si="67"/>
        <v>12332222.868522909</v>
      </c>
      <c r="AG62" s="1033">
        <f t="shared" ca="1" si="67"/>
        <v>14645946.034725171</v>
      </c>
      <c r="AH62" s="1033">
        <f t="shared" ca="1" si="67"/>
        <v>16915213.499698244</v>
      </c>
      <c r="AI62" s="1033">
        <f t="shared" ca="1" si="67"/>
        <v>18812789.996387642</v>
      </c>
      <c r="AJ62" s="1033">
        <f t="shared" ca="1" si="67"/>
        <v>20463307.49670985</v>
      </c>
      <c r="AK62" s="1033">
        <f t="shared" ref="AK62:AS62" ca="1" si="68">AJ$62+AK$58</f>
        <v>21804267.739061713</v>
      </c>
      <c r="AL62" s="1033">
        <f t="shared" ca="1" si="68"/>
        <v>22792926.214344464</v>
      </c>
      <c r="AM62" s="1033">
        <f t="shared" ca="1" si="68"/>
        <v>23402230.92638424</v>
      </c>
      <c r="AN62" s="1033">
        <f t="shared" ca="1" si="68"/>
        <v>23617719.53931516</v>
      </c>
      <c r="AO62" s="1033">
        <f t="shared" ca="1" si="68"/>
        <v>23435185.109077901</v>
      </c>
      <c r="AP62" s="1033">
        <f t="shared" ca="1" si="68"/>
        <v>22858965.977119837</v>
      </c>
      <c r="AQ62" s="1033">
        <f t="shared" ca="1" si="68"/>
        <v>21900751.560897999</v>
      </c>
      <c r="AR62" s="1033">
        <f t="shared" ca="1" si="68"/>
        <v>20578825.123473093</v>
      </c>
      <c r="AS62" s="1033">
        <f t="shared" ca="1" si="68"/>
        <v>18917688.947552316</v>
      </c>
      <c r="AT62" s="947"/>
      <c r="AU62" s="947"/>
      <c r="AV62" s="947"/>
      <c r="AW62" s="947"/>
      <c r="AX62" s="947"/>
      <c r="AY62" s="947"/>
      <c r="AZ62" s="947"/>
      <c r="BA62" s="947"/>
      <c r="BB62" s="947"/>
      <c r="BC62" s="947"/>
    </row>
    <row r="63" spans="1:55" ht="14.25">
      <c r="A63" s="684"/>
      <c r="B63" s="684"/>
      <c r="C63" s="691" t="s">
        <v>539</v>
      </c>
      <c r="D63" s="690" t="s">
        <v>291</v>
      </c>
      <c r="E63" s="1034">
        <f ca="1">E$58/(1+$E$11)^E$44</f>
        <v>-190073.92258204203</v>
      </c>
      <c r="F63" s="1034">
        <f ca="1">F$58/(1+$E$11)^F$44</f>
        <v>-57554.528010894777</v>
      </c>
      <c r="G63" s="1034">
        <f t="shared" ref="G63:AS63" ca="1" si="69">G$58/(1+$E$11)^G$44</f>
        <v>-45703.115993207502</v>
      </c>
      <c r="H63" s="1034">
        <f t="shared" ca="1" si="69"/>
        <v>-53430.524943930846</v>
      </c>
      <c r="I63" s="1034">
        <f t="shared" ca="1" si="69"/>
        <v>-41146.906759186626</v>
      </c>
      <c r="J63" s="1034">
        <f t="shared" ca="1" si="69"/>
        <v>-35849.993587952842</v>
      </c>
      <c r="K63" s="1034">
        <f t="shared" ca="1" si="69"/>
        <v>-30044.739039715932</v>
      </c>
      <c r="L63" s="1034">
        <f t="shared" ca="1" si="69"/>
        <v>-23390.018220407146</v>
      </c>
      <c r="M63" s="1034">
        <f t="shared" ca="1" si="69"/>
        <v>-15957.764563685212</v>
      </c>
      <c r="N63" s="1034">
        <f t="shared" ca="1" si="69"/>
        <v>-8089.2599070500728</v>
      </c>
      <c r="O63" s="1034">
        <f t="shared" ca="1" si="69"/>
        <v>1134.0369332661503</v>
      </c>
      <c r="P63" s="1034">
        <f t="shared" ca="1" si="69"/>
        <v>11618.260478027372</v>
      </c>
      <c r="Q63" s="1034">
        <f t="shared" ca="1" si="69"/>
        <v>23580.173442687701</v>
      </c>
      <c r="R63" s="1034">
        <f t="shared" ca="1" si="69"/>
        <v>37270.738715200467</v>
      </c>
      <c r="S63" s="1034">
        <f t="shared" ca="1" si="69"/>
        <v>52982.336091494471</v>
      </c>
      <c r="T63" s="1034">
        <f t="shared" ca="1" si="69"/>
        <v>71056.53304555839</v>
      </c>
      <c r="U63" s="1034">
        <f t="shared" ca="1" si="69"/>
        <v>91891.895264227613</v>
      </c>
      <c r="V63" s="1034">
        <f t="shared" ca="1" si="69"/>
        <v>115950.55381914586</v>
      </c>
      <c r="W63" s="1034">
        <f t="shared" ca="1" si="69"/>
        <v>143761.25356504074</v>
      </c>
      <c r="X63" s="1034">
        <f t="shared" ca="1" si="69"/>
        <v>175917.79935889781</v>
      </c>
      <c r="Y63" s="1034">
        <f t="shared" ca="1" si="69"/>
        <v>213717.77984941364</v>
      </c>
      <c r="Z63" s="1034">
        <f t="shared" ca="1" si="69"/>
        <v>257346.61423465138</v>
      </c>
      <c r="AA63" s="1034">
        <f t="shared" ca="1" si="69"/>
        <v>307720.12827727344</v>
      </c>
      <c r="AB63" s="1034">
        <f t="shared" ca="1" si="69"/>
        <v>366100.05503110174</v>
      </c>
      <c r="AC63" s="1034">
        <f t="shared" ca="1" si="69"/>
        <v>466747.72952660068</v>
      </c>
      <c r="AD63" s="1034">
        <f t="shared" ca="1" si="69"/>
        <v>517839.5013305883</v>
      </c>
      <c r="AE63" s="1034">
        <f t="shared" ca="1" si="69"/>
        <v>554345.64294947637</v>
      </c>
      <c r="AF63" s="1034">
        <f t="shared" ca="1" si="69"/>
        <v>570605.32273093204</v>
      </c>
      <c r="AG63" s="1034">
        <f t="shared" ca="1" si="69"/>
        <v>562110.53124642465</v>
      </c>
      <c r="AH63" s="1034">
        <f t="shared" ca="1" si="69"/>
        <v>525057.31636321696</v>
      </c>
      <c r="AI63" s="1034">
        <f t="shared" ca="1" si="69"/>
        <v>418148.96041268011</v>
      </c>
      <c r="AJ63" s="1034">
        <f t="shared" ca="1" si="69"/>
        <v>346387.7806679334</v>
      </c>
      <c r="AK63" s="1034">
        <f t="shared" ca="1" si="69"/>
        <v>268021.12914312986</v>
      </c>
      <c r="AL63" s="1034">
        <f t="shared" ca="1" si="69"/>
        <v>188195.88595526683</v>
      </c>
      <c r="AM63" s="1034">
        <f t="shared" ca="1" si="69"/>
        <v>110461.02511236064</v>
      </c>
      <c r="AN63" s="1034">
        <f t="shared" ca="1" si="69"/>
        <v>37205.706789026437</v>
      </c>
      <c r="AO63" s="1034">
        <f t="shared" ca="1" si="69"/>
        <v>-30015.164575404066</v>
      </c>
      <c r="AP63" s="1034">
        <f t="shared" ca="1" si="69"/>
        <v>-90239.007328186344</v>
      </c>
      <c r="AQ63" s="1034">
        <f t="shared" ca="1" si="69"/>
        <v>-142915.7315693032</v>
      </c>
      <c r="AR63" s="1034">
        <f t="shared" ca="1" si="69"/>
        <v>-187773.94275479604</v>
      </c>
      <c r="AS63" s="1034">
        <f t="shared" ca="1" si="69"/>
        <v>-224721.16333556295</v>
      </c>
      <c r="AT63" s="947"/>
      <c r="AU63" s="947"/>
      <c r="AV63" s="947"/>
      <c r="AW63" s="947"/>
      <c r="AX63" s="947"/>
      <c r="AY63" s="947"/>
      <c r="AZ63" s="947"/>
      <c r="BA63" s="947"/>
      <c r="BB63" s="947"/>
      <c r="BC63" s="947"/>
    </row>
    <row r="64" spans="1:55" ht="14.25">
      <c r="A64" s="684"/>
      <c r="B64" s="684"/>
      <c r="C64" s="691" t="s">
        <v>540</v>
      </c>
      <c r="D64" s="690" t="s">
        <v>291</v>
      </c>
      <c r="E64" s="1034">
        <f ca="1">E63</f>
        <v>-190073.92258204203</v>
      </c>
      <c r="F64" s="1034">
        <f ca="1">E$64+F$63</f>
        <v>-247628.4505929368</v>
      </c>
      <c r="G64" s="1034">
        <f t="shared" ref="G64:Y64" ca="1" si="70">F$64+G$63</f>
        <v>-293331.56658614433</v>
      </c>
      <c r="H64" s="1034">
        <f t="shared" ca="1" si="70"/>
        <v>-346762.09153007518</v>
      </c>
      <c r="I64" s="1034">
        <f t="shared" ca="1" si="70"/>
        <v>-387908.99828926183</v>
      </c>
      <c r="J64" s="1034">
        <f t="shared" ca="1" si="70"/>
        <v>-423758.99187721469</v>
      </c>
      <c r="K64" s="1034">
        <f t="shared" ca="1" si="70"/>
        <v>-453803.7309169306</v>
      </c>
      <c r="L64" s="1034">
        <f t="shared" ca="1" si="70"/>
        <v>-477193.74913733773</v>
      </c>
      <c r="M64" s="1034">
        <f t="shared" ca="1" si="70"/>
        <v>-493151.51370102295</v>
      </c>
      <c r="N64" s="1034">
        <f t="shared" ca="1" si="70"/>
        <v>-501240.77360807301</v>
      </c>
      <c r="O64" s="1034">
        <f t="shared" ca="1" si="70"/>
        <v>-500106.73667480686</v>
      </c>
      <c r="P64" s="1034">
        <f t="shared" ca="1" si="70"/>
        <v>-488488.47619677946</v>
      </c>
      <c r="Q64" s="1034">
        <f t="shared" ca="1" si="70"/>
        <v>-464908.30275409174</v>
      </c>
      <c r="R64" s="1034">
        <f t="shared" ca="1" si="70"/>
        <v>-427637.56403889129</v>
      </c>
      <c r="S64" s="1034">
        <f t="shared" ca="1" si="70"/>
        <v>-374655.22794739681</v>
      </c>
      <c r="T64" s="1034">
        <f t="shared" ca="1" si="70"/>
        <v>-303598.69490183843</v>
      </c>
      <c r="U64" s="1034">
        <f t="shared" ca="1" si="70"/>
        <v>-211706.79963761082</v>
      </c>
      <c r="V64" s="1034">
        <f t="shared" ca="1" si="70"/>
        <v>-95756.245818464959</v>
      </c>
      <c r="W64" s="1034">
        <f t="shared" ca="1" si="70"/>
        <v>48005.007746575779</v>
      </c>
      <c r="X64" s="1034">
        <f t="shared" ca="1" si="70"/>
        <v>223922.80710547359</v>
      </c>
      <c r="Y64" s="1034">
        <f t="shared" ca="1" si="70"/>
        <v>437640.58695488726</v>
      </c>
      <c r="Z64" s="1034">
        <f t="shared" ref="Z64:AJ64" ca="1" si="71">Y$64+Z$63</f>
        <v>694987.2011895387</v>
      </c>
      <c r="AA64" s="1034">
        <f t="shared" ca="1" si="71"/>
        <v>1002707.3294668121</v>
      </c>
      <c r="AB64" s="1034">
        <f t="shared" ca="1" si="71"/>
        <v>1368807.3844979138</v>
      </c>
      <c r="AC64" s="1034">
        <f t="shared" ca="1" si="71"/>
        <v>1835555.1140245143</v>
      </c>
      <c r="AD64" s="1034">
        <f t="shared" ca="1" si="71"/>
        <v>2353394.6153551028</v>
      </c>
      <c r="AE64" s="1034">
        <f t="shared" ca="1" si="71"/>
        <v>2907740.2583045792</v>
      </c>
      <c r="AF64" s="1034">
        <f t="shared" ca="1" si="71"/>
        <v>3478345.5810355111</v>
      </c>
      <c r="AG64" s="1034">
        <f t="shared" ca="1" si="71"/>
        <v>4040456.1122819358</v>
      </c>
      <c r="AH64" s="1034">
        <f t="shared" ca="1" si="71"/>
        <v>4565513.4286451526</v>
      </c>
      <c r="AI64" s="1034">
        <f t="shared" ca="1" si="71"/>
        <v>4983662.3890578328</v>
      </c>
      <c r="AJ64" s="1034">
        <f t="shared" ca="1" si="71"/>
        <v>5330050.1697257664</v>
      </c>
      <c r="AK64" s="1034">
        <f t="shared" ref="AK64:AS64" ca="1" si="72">AJ$64+AK$63</f>
        <v>5598071.2988688964</v>
      </c>
      <c r="AL64" s="1034">
        <f t="shared" ca="1" si="72"/>
        <v>5786267.1848241631</v>
      </c>
      <c r="AM64" s="1034">
        <f t="shared" ca="1" si="72"/>
        <v>5896728.2099365238</v>
      </c>
      <c r="AN64" s="1034">
        <f t="shared" ca="1" si="72"/>
        <v>5933933.9167255498</v>
      </c>
      <c r="AO64" s="1034">
        <f t="shared" ca="1" si="72"/>
        <v>5903918.7521501454</v>
      </c>
      <c r="AP64" s="1034">
        <f t="shared" ca="1" si="72"/>
        <v>5813679.7448219592</v>
      </c>
      <c r="AQ64" s="1034">
        <f t="shared" ca="1" si="72"/>
        <v>5670764.013252656</v>
      </c>
      <c r="AR64" s="1034">
        <f t="shared" ca="1" si="72"/>
        <v>5482990.0704978602</v>
      </c>
      <c r="AS64" s="1034">
        <f t="shared" ca="1" si="72"/>
        <v>5258268.9071622975</v>
      </c>
      <c r="AT64" s="947"/>
      <c r="AU64" s="947"/>
      <c r="AV64" s="947"/>
      <c r="AW64" s="947"/>
      <c r="AX64" s="947"/>
      <c r="AY64" s="947"/>
      <c r="AZ64" s="947"/>
      <c r="BA64" s="947"/>
      <c r="BB64" s="947"/>
      <c r="BC64" s="947"/>
    </row>
    <row r="65" spans="1:55" ht="14.25">
      <c r="A65" s="684"/>
      <c r="B65" s="684"/>
      <c r="C65" s="691" t="s">
        <v>543</v>
      </c>
      <c r="D65" s="690" t="s">
        <v>0</v>
      </c>
      <c r="E65" s="690" t="str">
        <f ca="1">IF(E64&lt;0, "-", "+")</f>
        <v>-</v>
      </c>
      <c r="F65" s="690" t="str">
        <f ca="1">IF(F64&lt;0, "-", "+")</f>
        <v>-</v>
      </c>
      <c r="G65" s="690" t="str">
        <f t="shared" ref="G65:Y65" ca="1" si="73">IF(G64&lt;0, "-", "+")</f>
        <v>-</v>
      </c>
      <c r="H65" s="690" t="str">
        <f t="shared" ca="1" si="73"/>
        <v>-</v>
      </c>
      <c r="I65" s="690" t="str">
        <f t="shared" ca="1" si="73"/>
        <v>-</v>
      </c>
      <c r="J65" s="690" t="str">
        <f t="shared" ca="1" si="73"/>
        <v>-</v>
      </c>
      <c r="K65" s="690" t="str">
        <f t="shared" ca="1" si="73"/>
        <v>-</v>
      </c>
      <c r="L65" s="690" t="str">
        <f t="shared" ca="1" si="73"/>
        <v>-</v>
      </c>
      <c r="M65" s="690" t="str">
        <f t="shared" ca="1" si="73"/>
        <v>-</v>
      </c>
      <c r="N65" s="690" t="str">
        <f t="shared" ca="1" si="73"/>
        <v>-</v>
      </c>
      <c r="O65" s="690" t="str">
        <f t="shared" ca="1" si="73"/>
        <v>-</v>
      </c>
      <c r="P65" s="690" t="str">
        <f t="shared" ca="1" si="73"/>
        <v>-</v>
      </c>
      <c r="Q65" s="690" t="str">
        <f t="shared" ca="1" si="73"/>
        <v>-</v>
      </c>
      <c r="R65" s="690" t="str">
        <f t="shared" ca="1" si="73"/>
        <v>-</v>
      </c>
      <c r="S65" s="690" t="str">
        <f t="shared" ca="1" si="73"/>
        <v>-</v>
      </c>
      <c r="T65" s="690" t="str">
        <f t="shared" ca="1" si="73"/>
        <v>-</v>
      </c>
      <c r="U65" s="690" t="str">
        <f t="shared" ca="1" si="73"/>
        <v>-</v>
      </c>
      <c r="V65" s="690" t="str">
        <f t="shared" ca="1" si="73"/>
        <v>-</v>
      </c>
      <c r="W65" s="690" t="str">
        <f t="shared" ca="1" si="73"/>
        <v>+</v>
      </c>
      <c r="X65" s="690" t="str">
        <f t="shared" ca="1" si="73"/>
        <v>+</v>
      </c>
      <c r="Y65" s="690" t="str">
        <f t="shared" ca="1" si="73"/>
        <v>+</v>
      </c>
      <c r="Z65" s="690" t="str">
        <f t="shared" ref="Z65" ca="1" si="74">IF(Z64&lt;0, "-", "+")</f>
        <v>+</v>
      </c>
      <c r="AA65" s="690" t="str">
        <f t="shared" ref="AA65" ca="1" si="75">IF(AA64&lt;0, "-", "+")</f>
        <v>+</v>
      </c>
      <c r="AB65" s="690" t="str">
        <f t="shared" ref="AB65" ca="1" si="76">IF(AB64&lt;0, "-", "+")</f>
        <v>+</v>
      </c>
      <c r="AC65" s="690" t="str">
        <f t="shared" ref="AC65" ca="1" si="77">IF(AC64&lt;0, "-", "+")</f>
        <v>+</v>
      </c>
      <c r="AD65" s="690" t="str">
        <f t="shared" ref="AD65" ca="1" si="78">IF(AD64&lt;0, "-", "+")</f>
        <v>+</v>
      </c>
      <c r="AE65" s="690" t="str">
        <f t="shared" ref="AE65" ca="1" si="79">IF(AE64&lt;0, "-", "+")</f>
        <v>+</v>
      </c>
      <c r="AF65" s="690" t="str">
        <f t="shared" ref="AF65" ca="1" si="80">IF(AF64&lt;0, "-", "+")</f>
        <v>+</v>
      </c>
      <c r="AG65" s="690" t="str">
        <f t="shared" ref="AG65" ca="1" si="81">IF(AG64&lt;0, "-", "+")</f>
        <v>+</v>
      </c>
      <c r="AH65" s="690" t="str">
        <f t="shared" ref="AH65" ca="1" si="82">IF(AH64&lt;0, "-", "+")</f>
        <v>+</v>
      </c>
      <c r="AI65" s="690" t="str">
        <f t="shared" ref="AI65" ca="1" si="83">IF(AI64&lt;0, "-", "+")</f>
        <v>+</v>
      </c>
      <c r="AJ65" s="690" t="str">
        <f t="shared" ref="AJ65" ca="1" si="84">IF(AJ64&lt;0, "-", "+")</f>
        <v>+</v>
      </c>
      <c r="AK65" s="690" t="str">
        <f t="shared" ref="AK65" ca="1" si="85">IF(AK64&lt;0, "-", "+")</f>
        <v>+</v>
      </c>
      <c r="AL65" s="690" t="str">
        <f t="shared" ref="AL65" ca="1" si="86">IF(AL64&lt;0, "-", "+")</f>
        <v>+</v>
      </c>
      <c r="AM65" s="690" t="str">
        <f t="shared" ref="AM65" ca="1" si="87">IF(AM64&lt;0, "-", "+")</f>
        <v>+</v>
      </c>
      <c r="AN65" s="690" t="str">
        <f t="shared" ref="AN65" ca="1" si="88">IF(AN64&lt;0, "-", "+")</f>
        <v>+</v>
      </c>
      <c r="AO65" s="690" t="str">
        <f t="shared" ref="AO65" ca="1" si="89">IF(AO64&lt;0, "-", "+")</f>
        <v>+</v>
      </c>
      <c r="AP65" s="690" t="str">
        <f t="shared" ref="AP65" ca="1" si="90">IF(AP64&lt;0, "-", "+")</f>
        <v>+</v>
      </c>
      <c r="AQ65" s="690" t="str">
        <f t="shared" ref="AQ65" ca="1" si="91">IF(AQ64&lt;0, "-", "+")</f>
        <v>+</v>
      </c>
      <c r="AR65" s="690" t="str">
        <f t="shared" ref="AR65" ca="1" si="92">IF(AR64&lt;0, "-", "+")</f>
        <v>+</v>
      </c>
      <c r="AS65" s="690" t="str">
        <f t="shared" ref="AS65" ca="1" si="93">IF(AS64&lt;0, "-", "+")</f>
        <v>+</v>
      </c>
      <c r="AT65" s="947"/>
      <c r="AU65" s="947"/>
      <c r="AV65" s="947"/>
      <c r="AW65" s="947"/>
      <c r="AX65" s="947"/>
      <c r="AY65" s="947"/>
      <c r="AZ65" s="947"/>
      <c r="BA65" s="947"/>
      <c r="BB65" s="947"/>
      <c r="BC65" s="947"/>
    </row>
    <row r="66" spans="1:55" ht="14.25">
      <c r="A66" s="684"/>
      <c r="B66" s="684"/>
      <c r="C66" s="691"/>
      <c r="D66" s="690"/>
      <c r="E66" s="690"/>
      <c r="F66" s="690"/>
      <c r="G66" s="690"/>
      <c r="H66" s="690"/>
      <c r="I66" s="690"/>
      <c r="J66" s="690"/>
      <c r="K66" s="690"/>
      <c r="L66" s="690"/>
      <c r="M66" s="690"/>
      <c r="N66" s="690"/>
      <c r="O66" s="690"/>
      <c r="P66" s="690"/>
      <c r="Q66" s="690"/>
      <c r="R66" s="690"/>
      <c r="S66" s="690"/>
      <c r="T66" s="690"/>
      <c r="U66" s="690"/>
      <c r="V66" s="690"/>
      <c r="W66" s="690"/>
      <c r="X66" s="690"/>
      <c r="Y66" s="690"/>
      <c r="Z66" s="690"/>
      <c r="AA66" s="690"/>
      <c r="AB66" s="690"/>
      <c r="AC66" s="690"/>
      <c r="AD66" s="690"/>
      <c r="AE66" s="690"/>
      <c r="AF66" s="690"/>
      <c r="AG66" s="690"/>
      <c r="AH66" s="690"/>
      <c r="AI66" s="690"/>
      <c r="AJ66" s="690"/>
      <c r="AK66" s="690"/>
      <c r="AL66" s="690"/>
      <c r="AM66" s="690"/>
      <c r="AN66" s="690"/>
      <c r="AO66" s="690"/>
      <c r="AP66" s="690"/>
      <c r="AQ66" s="690"/>
      <c r="AR66" s="690"/>
      <c r="AS66" s="690"/>
      <c r="AT66" s="947"/>
      <c r="AU66" s="947"/>
      <c r="AV66" s="947"/>
      <c r="AW66" s="947"/>
      <c r="AX66" s="947"/>
      <c r="AY66" s="947"/>
      <c r="AZ66" s="947"/>
      <c r="BA66" s="947"/>
      <c r="BB66" s="947"/>
      <c r="BC66" s="947"/>
    </row>
    <row r="67" spans="1:55" ht="14.25">
      <c r="A67" s="684"/>
      <c r="B67" s="890" t="s">
        <v>640</v>
      </c>
      <c r="C67" s="890"/>
      <c r="D67" s="1024" t="s">
        <v>291</v>
      </c>
      <c r="E67" s="1025">
        <f ca="1">(E78+E97+E90+E131)*((1+VLOOKUP(E$76,Inflation!$B$4:$C$44,2,FALSE))^E$44)</f>
        <v>213461.83891573406</v>
      </c>
      <c r="F67" s="1025">
        <f ca="1">(F78+F97+F90+F131)*((1+VLOOKUP(F$76,Inflation!$B$4:$C$44,2,FALSE))^F$44)</f>
        <v>392412.13352750713</v>
      </c>
      <c r="G67" s="1025">
        <f ca="1">(G78+G97+G90+G131)*((1+VLOOKUP(G$76,Inflation!$B$4:$C$44,2,FALSE))^G$44)</f>
        <v>421750.67383685807</v>
      </c>
      <c r="H67" s="1025">
        <f ca="1">(H78+H97+H90+H131)*((1+VLOOKUP(H$76,Inflation!$B$4:$C$44,2,FALSE))^H$44)</f>
        <v>429600.74915617425</v>
      </c>
      <c r="I67" s="1025">
        <f ca="1">(I78+I97+I90+I131)*((1+VLOOKUP(I$76,Inflation!$B$4:$C$44,2,FALSE))^I$44)</f>
        <v>455375.29778265185</v>
      </c>
      <c r="J67" s="1025">
        <f ca="1">(J78+J97+J90+J131)*((1+VLOOKUP(J$76,Inflation!$B$4:$C$44,2,FALSE))^J$44)</f>
        <v>477370.13729044015</v>
      </c>
      <c r="K67" s="1025">
        <f ca="1">(K78+K97+K90+K131)*((1+VLOOKUP(K$76,Inflation!$B$4:$C$44,2,FALSE))^K$44)</f>
        <v>500891.82429985498</v>
      </c>
      <c r="L67" s="1025">
        <f ca="1">(L78+L97+L90+L131)*((1+VLOOKUP(L$76,Inflation!$B$4:$C$44,2,FALSE))^L$44)</f>
        <v>526711.42460302135</v>
      </c>
      <c r="M67" s="1025">
        <f ca="1">(M78+M97+M90+M131)*((1+VLOOKUP(M$76,Inflation!$B$4:$C$44,2,FALSE))^M$44)</f>
        <v>555037.39252412831</v>
      </c>
      <c r="N67" s="1025">
        <f ca="1">(N78+N97+N90+N131)*((1+VLOOKUP(N$76,Inflation!$B$4:$C$44,2,FALSE))^N$44)</f>
        <v>585565.9829698971</v>
      </c>
      <c r="O67" s="1025">
        <f ca="1">(O78+O97+O90+O131)*((1+VLOOKUP(O$76,Inflation!$B$4:$C$44,2,FALSE))^O$44)</f>
        <v>619944.40039068379</v>
      </c>
      <c r="P67" s="1025">
        <f ca="1">(P78+P97+P90+P131)*((1+VLOOKUP(P$76,Inflation!$B$4:$C$44,2,FALSE))^P$44)</f>
        <v>658164.56295273791</v>
      </c>
      <c r="Q67" s="1025">
        <f ca="1">(Q78+Q97+Q90+Q131)*((1+VLOOKUP(Q$76,Inflation!$B$4:$C$44,2,FALSE))^Q$44)</f>
        <v>700572.39389859454</v>
      </c>
      <c r="R67" s="1025">
        <f ca="1">(R78+R97+R90+R131)*((1+VLOOKUP(R$76,Inflation!$B$4:$C$44,2,FALSE))^R$44)</f>
        <v>747367.82056168257</v>
      </c>
      <c r="S67" s="1025">
        <f ca="1">(S78+S97+S90+S131)*((1+VLOOKUP(S$76,Inflation!$B$4:$C$44,2,FALSE))^S$44)</f>
        <v>798528.65663752111</v>
      </c>
      <c r="T67" s="1025">
        <f ca="1">(T78+T97+T90+T131)*((1+VLOOKUP(T$76,Inflation!$B$4:$C$44,2,FALSE))^T$44)</f>
        <v>853753.58007069444</v>
      </c>
      <c r="U67" s="1025">
        <f ca="1">(U78+U97+U90+U131)*((1+VLOOKUP(U$76,Inflation!$B$4:$C$44,2,FALSE))^U$44)</f>
        <v>912512.58843922184</v>
      </c>
      <c r="V67" s="1025">
        <f ca="1">(V78+V97+V90+V131)*((1+VLOOKUP(V$76,Inflation!$B$4:$C$44,2,FALSE))^V$44)</f>
        <v>974349.1351248835</v>
      </c>
      <c r="W67" s="1025">
        <f ca="1">(W78+W97+W90+W131)*((1+VLOOKUP(W$76,Inflation!$B$4:$C$44,2,FALSE))^W$44)</f>
        <v>1039532.9965054905</v>
      </c>
      <c r="X67" s="1025">
        <f ca="1">(X78+X97+X90+X131)*((1+VLOOKUP(X$76,Inflation!$B$4:$C$44,2,FALSE))^X$44)</f>
        <v>1109870.560492978</v>
      </c>
      <c r="Y67" s="1025">
        <f ca="1">(Y78+Y97+Y90+Y131)*((1+VLOOKUP(Y$76,Inflation!$B$4:$C$44,2,FALSE))^Y$44)</f>
        <v>1190892.7792804583</v>
      </c>
      <c r="Z67" s="1025">
        <f ca="1">(Z78+Z97+Z90+Z131)*((1+VLOOKUP(Z$76,Inflation!$B$4:$C$44,2,FALSE))^Z$44)</f>
        <v>1286781.5786099592</v>
      </c>
      <c r="AA67" s="1025">
        <f ca="1">(AA78+AA97+AA90+AA131)*((1+VLOOKUP(AA$76,Inflation!$B$4:$C$44,2,FALSE))^AA$44)</f>
        <v>1405456.9567929998</v>
      </c>
      <c r="AB67" s="1025">
        <f ca="1">(AB78+AB97+AB90+AB131)*((1+VLOOKUP(AB$76,Inflation!$B$4:$C$44,2,FALSE))^AB$44)</f>
        <v>1559284.5226275683</v>
      </c>
      <c r="AC67" s="1025">
        <f ca="1">(AC78+AC97+AC90+AC131)*((1+VLOOKUP(AC$76,Inflation!$B$4:$C$44,2,FALSE))^AC$44)</f>
        <v>1876623.8573386758</v>
      </c>
      <c r="AD67" s="1025">
        <f ca="1">(AD78+AD97+AD90+AD131)*((1+VLOOKUP(AD$76,Inflation!$B$4:$C$44,2,FALSE))^AD$44)</f>
        <v>2062004.7913034626</v>
      </c>
      <c r="AE67" s="1025">
        <f ca="1">(AE78+AE97+AE90+AE131)*((1+VLOOKUP(AE$76,Inflation!$B$4:$C$44,2,FALSE))^AE$44)</f>
        <v>2227791.3898054054</v>
      </c>
      <c r="AF67" s="1025">
        <f ca="1">(AF78+AF97+AF90+AF131)*((1+VLOOKUP(AF$76,Inflation!$B$4:$C$44,2,FALSE))^AF$44)</f>
        <v>2346864.6213812148</v>
      </c>
      <c r="AG67" s="1025">
        <f ca="1">(AG78+AG97+AG90+AG131)*((1+VLOOKUP(AG$76,Inflation!$B$4:$C$44,2,FALSE))^AG$44)</f>
        <v>2388750.0892306683</v>
      </c>
      <c r="AH67" s="1025">
        <f ca="1">(AH78+AH97+AH90+AH131)*((1+VLOOKUP(AH$76,Inflation!$B$4:$C$44,2,FALSE))^AH$44)</f>
        <v>2319864.6115956684</v>
      </c>
      <c r="AI67" s="1025">
        <f ca="1">(AI78+AI97+AI90+AI131)*((1+VLOOKUP(AI$76,Inflation!$B$4:$C$44,2,FALSE))^AI$44)</f>
        <v>1931573.3260617615</v>
      </c>
      <c r="AJ67" s="1025">
        <f ca="1">(AJ78+AJ97+AJ90+AJ131)*((1+VLOOKUP(AJ$76,Inflation!$B$4:$C$44,2,FALSE))^AJ$44)</f>
        <v>1673435.3223788105</v>
      </c>
      <c r="AK67" s="1025">
        <f ca="1">(AK78+AK97+AK90+AK131)*((1+VLOOKUP(AK$76,Inflation!$B$4:$C$44,2,FALSE))^AK$44)</f>
        <v>1356572.6143341563</v>
      </c>
      <c r="AL67" s="1025">
        <f ca="1">(AL78+AL97+AL90+AL131)*((1+VLOOKUP(AL$76,Inflation!$B$4:$C$44,2,FALSE))^AL$44)</f>
        <v>999494.62278189149</v>
      </c>
      <c r="AM67" s="1025">
        <f ca="1">(AM78+AM97+AM90+AM131)*((1+VLOOKUP(AM$76,Inflation!$B$4:$C$44,2,FALSE))^AM$44)</f>
        <v>617039.57796866156</v>
      </c>
      <c r="AN67" s="1025">
        <f ca="1">(AN78+AN97+AN90+AN131)*((1+VLOOKUP(AN$76,Inflation!$B$4:$C$44,2,FALSE))^AN$44)</f>
        <v>221223.35542348091</v>
      </c>
      <c r="AO67" s="1025">
        <f ca="1">(AO78+AO97+AO90+AO131)*((1+VLOOKUP(AO$76,Inflation!$B$4:$C$44,2,FALSE))^AO$44)</f>
        <v>-178078.93719086729</v>
      </c>
      <c r="AP67" s="1025">
        <f ca="1">(AP78+AP97+AP90+AP131)*((1+VLOOKUP(AP$76,Inflation!$B$4:$C$44,2,FALSE))^AP$44)</f>
        <v>-572572.0148810168</v>
      </c>
      <c r="AQ67" s="1025">
        <f ca="1">(AQ78+AQ97+AQ90+AQ131)*((1+VLOOKUP(AQ$76,Inflation!$B$4:$C$44,2,FALSE))^AQ$44)</f>
        <v>-955068.34436054528</v>
      </c>
      <c r="AR67" s="1025">
        <f ca="1">(AR78+AR97+AR90+AR131)*((1+VLOOKUP(AR$76,Inflation!$B$4:$C$44,2,FALSE))^AR$44)</f>
        <v>-1319080.7463270221</v>
      </c>
      <c r="AS67" s="1025">
        <f ca="1">(AS78+AS97+AS90+AS131)*((1+VLOOKUP(AS$76,Inflation!$B$4:$C$44,2,FALSE))^AS$44)</f>
        <v>-1658459.6464832404</v>
      </c>
      <c r="AT67" s="947"/>
      <c r="AU67" s="947"/>
      <c r="AV67" s="947"/>
      <c r="AW67" s="947"/>
      <c r="AX67" s="947"/>
      <c r="AY67" s="947"/>
      <c r="AZ67" s="947"/>
      <c r="BA67" s="947"/>
      <c r="BB67" s="947"/>
      <c r="BC67" s="947"/>
    </row>
    <row r="68" spans="1:55" ht="4.5" customHeight="1">
      <c r="A68" s="684"/>
      <c r="B68" s="684"/>
      <c r="C68" s="691"/>
      <c r="D68" s="690"/>
      <c r="E68" s="690"/>
      <c r="F68" s="690"/>
      <c r="G68" s="690"/>
      <c r="H68" s="690"/>
      <c r="I68" s="690"/>
      <c r="J68" s="690"/>
      <c r="K68" s="690"/>
      <c r="L68" s="690"/>
      <c r="M68" s="690"/>
      <c r="N68" s="690"/>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0"/>
      <c r="AO68" s="690"/>
      <c r="AP68" s="690"/>
      <c r="AQ68" s="690"/>
      <c r="AR68" s="690"/>
      <c r="AS68" s="690"/>
      <c r="AT68" s="947"/>
      <c r="AU68" s="947"/>
      <c r="AV68" s="947"/>
      <c r="AW68" s="947"/>
      <c r="AX68" s="947"/>
      <c r="AY68" s="947"/>
      <c r="AZ68" s="947"/>
      <c r="BA68" s="947"/>
      <c r="BB68" s="947"/>
      <c r="BC68" s="947"/>
    </row>
    <row r="69" spans="1:55" ht="14.25">
      <c r="A69" s="684"/>
      <c r="B69" s="684"/>
      <c r="C69" s="684" t="s">
        <v>1114</v>
      </c>
      <c r="D69" s="690" t="s">
        <v>291</v>
      </c>
      <c r="E69" s="1033">
        <f ca="1">IFERROR(E78+E90+E131,"*")</f>
        <v>406055.30635752867</v>
      </c>
      <c r="F69" s="1033">
        <f ca="1">IFERROR(F78+F90+F131,"*")</f>
        <v>503160.40592422424</v>
      </c>
      <c r="G69" s="1033">
        <f ca="1">IFERROR(G78+G90+G131,"*")</f>
        <v>534595.1597536481</v>
      </c>
      <c r="H69" s="1033">
        <f ca="1">IFERROR(H78+H90+H131,"*")</f>
        <v>530848.49091196107</v>
      </c>
      <c r="I69" s="1033">
        <f ca="1">IFERROR(I78+I90+I131,"*")</f>
        <v>543576.85214667697</v>
      </c>
      <c r="J69" s="1033">
        <f ca="1">IFERROR(J78+J90+J131,"*")</f>
        <v>556266.53265252826</v>
      </c>
      <c r="K69" s="1033">
        <f ca="1">IFERROR(K78+K90+K131,"*")</f>
        <v>569828.59119668382</v>
      </c>
      <c r="L69" s="1033">
        <f ca="1">IFERROR(L78+L90+L131,"*")</f>
        <v>584854.4591611058</v>
      </c>
      <c r="M69" s="1033">
        <f ca="1">IFERROR(M78+M90+M131,"*")</f>
        <v>601494.0711932166</v>
      </c>
      <c r="N69" s="1033">
        <f ca="1">IFERROR(N78+N90+N131,"*")</f>
        <v>619528.98162463319</v>
      </c>
      <c r="O69" s="1033">
        <f ca="1">IFERROR(O78+O90+O131,"*")</f>
        <v>640124.40814369346</v>
      </c>
      <c r="P69" s="1033">
        <f ca="1">IFERROR(P78+P90+P131,"*")</f>
        <v>663230.74971281667</v>
      </c>
      <c r="Q69" s="1033">
        <f ca="1">IFERROR(Q78+Q90+Q131,"*")</f>
        <v>689041.57884001429</v>
      </c>
      <c r="R69" s="1033">
        <f ca="1">IFERROR(R78+R90+R131,"*")</f>
        <v>717638.57926274592</v>
      </c>
      <c r="S69" s="1033">
        <f ca="1">IFERROR(S78+S90+S131,"*")</f>
        <v>748948.46430445928</v>
      </c>
      <c r="T69" s="1033">
        <f ca="1">IFERROR(T78+T90+T131,"*")</f>
        <v>782720.03339656303</v>
      </c>
      <c r="U69" s="1033">
        <f ca="1">IFERROR(U78+U90+U131,"*")</f>
        <v>818582.76855399786</v>
      </c>
      <c r="V69" s="1033">
        <f ca="1">IFERROR(V78+V90+V131,"*")</f>
        <v>856278.41239686916</v>
      </c>
      <c r="W69" s="1033">
        <f ca="1">IFERROR(W78+W90+W131,"*")</f>
        <v>896111.07433541422</v>
      </c>
      <c r="X69" s="1033">
        <f ca="1">IFERROR(X78+X90+X131,"*")</f>
        <v>939454.001331907</v>
      </c>
      <c r="Y69" s="1033">
        <f ca="1">IFERROR(Y78+Y90+Y131,"*")</f>
        <v>989733.11110901844</v>
      </c>
      <c r="Z69" s="1033">
        <f ca="1">IFERROR(Z78+Z90+Z131,"*")</f>
        <v>1049981.7006475511</v>
      </c>
      <c r="AA69" s="1033">
        <f ca="1">IFERROR(AA78+AA90+AA131,"*")</f>
        <v>1125216.8221056673</v>
      </c>
      <c r="AB69" s="1033">
        <f ca="1">IFERROR(AB78+AB90+AB131,"*")</f>
        <v>1222984.6645991474</v>
      </c>
      <c r="AC69" s="1033">
        <f ca="1">IFERROR(AC78+AC90+AC131,"*")</f>
        <v>1423082.2046770765</v>
      </c>
      <c r="AD69" s="1033">
        <f ca="1">IFERROR(AD78+AD90+AD131,"*")</f>
        <v>1538845.7014251729</v>
      </c>
      <c r="AE69" s="1033">
        <f ca="1">IFERROR(AE78+AE90+AE131,"*")</f>
        <v>1643633.2533120294</v>
      </c>
      <c r="AF69" s="1033">
        <f ca="1">IFERROR(AF78+AF90+AF131,"*")</f>
        <v>1723115.745459663</v>
      </c>
      <c r="AG69" s="1033">
        <f ca="1">IFERROR(AG78+AG90+AG131,"*")</f>
        <v>1762368.0749545756</v>
      </c>
      <c r="AH69" s="1033">
        <f ca="1">IFERROR(AH78+AH90+AH131,"*")</f>
        <v>1746175.5503944226</v>
      </c>
      <c r="AI69" s="1033">
        <f ca="1">IFERROR(AI78+AI90+AI131,"*")</f>
        <v>1576562.2933913982</v>
      </c>
      <c r="AJ69" s="1033">
        <f ca="1">IFERROR(AJ78+AJ90+AJ131,"*")</f>
        <v>1473428.3490079124</v>
      </c>
      <c r="AK69" s="1033">
        <f ca="1">IFERROR(AK78+AK90+AK131,"*")</f>
        <v>1345356.0528500318</v>
      </c>
      <c r="AL69" s="1033">
        <f ca="1">IFERROR(AL78+AL90+AL131,"*")</f>
        <v>1201863.6740762377</v>
      </c>
      <c r="AM69" s="1033">
        <f ca="1">IFERROR(AM78+AM90+AM131,"*")</f>
        <v>1050248.2350619796</v>
      </c>
      <c r="AN69" s="1033">
        <f ca="1">IFERROR(AN78+AN90+AN131,"*")</f>
        <v>896107.66741184331</v>
      </c>
      <c r="AO69" s="1033">
        <f ca="1">IFERROR(AO78+AO90+AO131,"*")</f>
        <v>743746.69245352002</v>
      </c>
      <c r="AP69" s="1033">
        <f ca="1">IFERROR(AP78+AP90+AP131,"*")</f>
        <v>596497.22328801255</v>
      </c>
      <c r="AQ69" s="1033">
        <f ca="1">IFERROR(AQ78+AQ90+AQ131,"*")</f>
        <v>456973.98909081315</v>
      </c>
      <c r="AR69" s="1033">
        <f ca="1">IFERROR(AR78+AR90+AR131,"*")</f>
        <v>327280.61156203243</v>
      </c>
      <c r="AS69" s="1033">
        <f ca="1">IFERROR(AS78+AS90+AS131,"*")</f>
        <v>209178.02217877033</v>
      </c>
      <c r="AT69" s="947"/>
      <c r="AU69" s="947"/>
      <c r="AV69" s="947"/>
      <c r="AW69" s="947"/>
      <c r="AX69" s="947"/>
      <c r="AY69" s="947"/>
      <c r="AZ69" s="947"/>
      <c r="BA69" s="947"/>
      <c r="BB69" s="947"/>
      <c r="BC69" s="947"/>
    </row>
    <row r="70" spans="1:55" ht="14.25">
      <c r="A70" s="684"/>
      <c r="B70" s="684"/>
      <c r="C70" s="684" t="s">
        <v>1112</v>
      </c>
      <c r="D70" s="690" t="s">
        <v>291</v>
      </c>
      <c r="E70" s="1033">
        <f t="shared" ref="E70:Y70" ca="1" si="94">E97</f>
        <v>-196202.92834363363</v>
      </c>
      <c r="F70" s="1033">
        <f t="shared" ca="1" si="94"/>
        <v>-125171.28274748767</v>
      </c>
      <c r="G70" s="1033">
        <f t="shared" ca="1" si="94"/>
        <v>-136467.91589759372</v>
      </c>
      <c r="H70" s="1033">
        <f t="shared" ca="1" si="94"/>
        <v>-133808.12457789262</v>
      </c>
      <c r="I70" s="1033">
        <f t="shared" ca="1" si="94"/>
        <v>-128796.45862493681</v>
      </c>
      <c r="J70" s="1033">
        <f t="shared" ca="1" si="94"/>
        <v>-129496.66446873291</v>
      </c>
      <c r="K70" s="1033">
        <f t="shared" ca="1" si="94"/>
        <v>-130315.11625817318</v>
      </c>
      <c r="L70" s="1033">
        <f t="shared" ca="1" si="94"/>
        <v>-131235.97792608189</v>
      </c>
      <c r="M70" s="1033">
        <f t="shared" ca="1" si="94"/>
        <v>-132324.33069353417</v>
      </c>
      <c r="N70" s="1033">
        <f t="shared" ca="1" si="94"/>
        <v>-133711.27265164198</v>
      </c>
      <c r="O70" s="1033">
        <f t="shared" ca="1" si="94"/>
        <v>-135300.40782193851</v>
      </c>
      <c r="P70" s="1033">
        <f t="shared" ca="1" si="94"/>
        <v>-137199.55708577699</v>
      </c>
      <c r="Q70" s="1033">
        <f t="shared" ca="1" si="94"/>
        <v>-139475.68479086756</v>
      </c>
      <c r="R70" s="1033">
        <f t="shared" ca="1" si="94"/>
        <v>-142210.70268773573</v>
      </c>
      <c r="S70" s="1033">
        <f t="shared" ca="1" si="94"/>
        <v>-145504.76183830324</v>
      </c>
      <c r="T70" s="1033">
        <f t="shared" ca="1" si="94"/>
        <v>-149479.74034473376</v>
      </c>
      <c r="U70" s="1033">
        <f t="shared" ca="1" si="94"/>
        <v>-154282.209386956</v>
      </c>
      <c r="V70" s="1033">
        <f t="shared" ca="1" si="94"/>
        <v>-160084.68219079723</v>
      </c>
      <c r="W70" s="1033">
        <f t="shared" ca="1" si="94"/>
        <v>-167084.20842307672</v>
      </c>
      <c r="X70" s="1033">
        <f t="shared" ca="1" si="94"/>
        <v>-175499.77817157737</v>
      </c>
      <c r="Y70" s="1033">
        <f t="shared" ca="1" si="94"/>
        <v>-185175.00197367911</v>
      </c>
      <c r="Z70" s="1033">
        <f t="shared" ref="Z70:AJ70" ca="1" si="95">Z97</f>
        <v>-196725.72276498837</v>
      </c>
      <c r="AA70" s="1033">
        <f t="shared" ca="1" si="95"/>
        <v>-210510.23963668954</v>
      </c>
      <c r="AB70" s="1033">
        <f t="shared" ca="1" si="95"/>
        <v>-226938.71631125221</v>
      </c>
      <c r="AC70" s="1033">
        <f t="shared" ca="1" si="95"/>
        <v>-246503.48707242461</v>
      </c>
      <c r="AD70" s="1033">
        <f t="shared" ca="1" si="95"/>
        <v>-269958.03646159521</v>
      </c>
      <c r="AE70" s="1033">
        <f t="shared" ca="1" si="95"/>
        <v>-298089.64737216494</v>
      </c>
      <c r="AF70" s="1033">
        <f t="shared" ca="1" si="95"/>
        <v>-331878.98644592153</v>
      </c>
      <c r="AG70" s="1033">
        <f t="shared" ca="1" si="95"/>
        <v>-372500.34230540448</v>
      </c>
      <c r="AH70" s="1033">
        <f t="shared" ca="1" si="95"/>
        <v>-421360.8260728115</v>
      </c>
      <c r="AI70" s="1033">
        <f t="shared" ca="1" si="95"/>
        <v>-493898.89221980656</v>
      </c>
      <c r="AJ70" s="1033">
        <f t="shared" ca="1" si="95"/>
        <v>-552807.21921676467</v>
      </c>
      <c r="AK70" s="1033">
        <f t="shared" ref="AK70:AS70" ca="1" si="96">AK97</f>
        <v>-612860.82017024013</v>
      </c>
      <c r="AL70" s="1033">
        <f t="shared" ca="1" si="96"/>
        <v>-672161.23932368751</v>
      </c>
      <c r="AM70" s="1033">
        <f t="shared" ca="1" si="96"/>
        <v>-729285.74644963106</v>
      </c>
      <c r="AN70" s="1033">
        <f t="shared" ca="1" si="96"/>
        <v>-783163.97473370342</v>
      </c>
      <c r="AO70" s="1033">
        <f t="shared" ca="1" si="96"/>
        <v>-832981.29895017028</v>
      </c>
      <c r="AP70" s="1033">
        <f t="shared" ca="1" si="96"/>
        <v>-878102.39445655467</v>
      </c>
      <c r="AQ70" s="1033">
        <f t="shared" ca="1" si="96"/>
        <v>-918009.85138584196</v>
      </c>
      <c r="AR70" s="1033">
        <f t="shared" ca="1" si="96"/>
        <v>-952253.80485683598</v>
      </c>
      <c r="AS70" s="1033">
        <f t="shared" ca="1" si="96"/>
        <v>-980409.35867962847</v>
      </c>
      <c r="AT70" s="947"/>
      <c r="AU70" s="947"/>
      <c r="AV70" s="947"/>
      <c r="AW70" s="947"/>
      <c r="AX70" s="947"/>
      <c r="AY70" s="947"/>
      <c r="AZ70" s="947"/>
      <c r="BA70" s="947"/>
      <c r="BB70" s="947"/>
      <c r="BC70" s="947"/>
    </row>
    <row r="71" spans="1:55" ht="14.25">
      <c r="A71" s="684"/>
      <c r="B71" s="684"/>
      <c r="C71" s="684" t="s">
        <v>1113</v>
      </c>
      <c r="D71" s="690" t="s">
        <v>291</v>
      </c>
      <c r="E71" s="1033">
        <f ca="1">E67</f>
        <v>213461.83891573406</v>
      </c>
      <c r="F71" s="1033">
        <f ca="1">E$71+F$67</f>
        <v>605873.97244324116</v>
      </c>
      <c r="G71" s="1033">
        <f t="shared" ref="G71:Y71" ca="1" si="97">F$71+G$67</f>
        <v>1027624.6462800992</v>
      </c>
      <c r="H71" s="1033">
        <f t="shared" ca="1" si="97"/>
        <v>1457225.3954362734</v>
      </c>
      <c r="I71" s="1033">
        <f t="shared" ca="1" si="97"/>
        <v>1912600.6932189253</v>
      </c>
      <c r="J71" s="1033">
        <f t="shared" ca="1" si="97"/>
        <v>2389970.8305093655</v>
      </c>
      <c r="K71" s="1033">
        <f t="shared" ca="1" si="97"/>
        <v>2890862.6548092207</v>
      </c>
      <c r="L71" s="1033">
        <f t="shared" ca="1" si="97"/>
        <v>3417574.0794122419</v>
      </c>
      <c r="M71" s="1033">
        <f t="shared" ca="1" si="97"/>
        <v>3972611.4719363702</v>
      </c>
      <c r="N71" s="1033">
        <f t="shared" ca="1" si="97"/>
        <v>4558177.4549062671</v>
      </c>
      <c r="O71" s="1033">
        <f t="shared" ca="1" si="97"/>
        <v>5178121.8552969508</v>
      </c>
      <c r="P71" s="1033">
        <f t="shared" ca="1" si="97"/>
        <v>5836286.418249689</v>
      </c>
      <c r="Q71" s="1033">
        <f t="shared" ca="1" si="97"/>
        <v>6536858.8121482832</v>
      </c>
      <c r="R71" s="1033">
        <f t="shared" ca="1" si="97"/>
        <v>7284226.632709966</v>
      </c>
      <c r="S71" s="1033">
        <f t="shared" ca="1" si="97"/>
        <v>8082755.2893474875</v>
      </c>
      <c r="T71" s="1033">
        <f t="shared" ca="1" si="97"/>
        <v>8936508.8694181815</v>
      </c>
      <c r="U71" s="1033">
        <f t="shared" ca="1" si="97"/>
        <v>9849021.4578574039</v>
      </c>
      <c r="V71" s="1033">
        <f t="shared" ca="1" si="97"/>
        <v>10823370.592982287</v>
      </c>
      <c r="W71" s="1033">
        <f t="shared" ca="1" si="97"/>
        <v>11862903.589487776</v>
      </c>
      <c r="X71" s="1033">
        <f t="shared" ca="1" si="97"/>
        <v>12972774.149980754</v>
      </c>
      <c r="Y71" s="1033">
        <f t="shared" ca="1" si="97"/>
        <v>14163666.929261211</v>
      </c>
      <c r="Z71" s="1033">
        <f t="shared" ref="Z71:AJ71" ca="1" si="98">Y$71+Z$67</f>
        <v>15450448.50787117</v>
      </c>
      <c r="AA71" s="1033">
        <f t="shared" ca="1" si="98"/>
        <v>16855905.464664169</v>
      </c>
      <c r="AB71" s="1033">
        <f t="shared" ca="1" si="98"/>
        <v>18415189.987291738</v>
      </c>
      <c r="AC71" s="1033">
        <f t="shared" ca="1" si="98"/>
        <v>20291813.844630413</v>
      </c>
      <c r="AD71" s="1033">
        <f t="shared" ca="1" si="98"/>
        <v>22353818.635933876</v>
      </c>
      <c r="AE71" s="1033">
        <f t="shared" ca="1" si="98"/>
        <v>24581610.025739282</v>
      </c>
      <c r="AF71" s="1033">
        <f t="shared" ca="1" si="98"/>
        <v>26928474.647120498</v>
      </c>
      <c r="AG71" s="1033">
        <f t="shared" ca="1" si="98"/>
        <v>29317224.736351166</v>
      </c>
      <c r="AH71" s="1033">
        <f t="shared" ca="1" si="98"/>
        <v>31637089.347946834</v>
      </c>
      <c r="AI71" s="1033">
        <f t="shared" ca="1" si="98"/>
        <v>33568662.674008593</v>
      </c>
      <c r="AJ71" s="1033">
        <f t="shared" ca="1" si="98"/>
        <v>35242097.996387407</v>
      </c>
      <c r="AK71" s="1033">
        <f t="shared" ref="AK71:AS71" ca="1" si="99">AJ$71+AK$67</f>
        <v>36598670.610721566</v>
      </c>
      <c r="AL71" s="1033">
        <f t="shared" ca="1" si="99"/>
        <v>37598165.233503461</v>
      </c>
      <c r="AM71" s="1033">
        <f t="shared" ca="1" si="99"/>
        <v>38215204.811472125</v>
      </c>
      <c r="AN71" s="1033">
        <f t="shared" ca="1" si="99"/>
        <v>38436428.166895606</v>
      </c>
      <c r="AO71" s="1033">
        <f t="shared" ca="1" si="99"/>
        <v>38258349.229704738</v>
      </c>
      <c r="AP71" s="1033">
        <f t="shared" ca="1" si="99"/>
        <v>37685777.214823723</v>
      </c>
      <c r="AQ71" s="1033">
        <f t="shared" ca="1" si="99"/>
        <v>36730708.870463178</v>
      </c>
      <c r="AR71" s="1033">
        <f t="shared" ca="1" si="99"/>
        <v>35411628.124136157</v>
      </c>
      <c r="AS71" s="1033">
        <f t="shared" ca="1" si="99"/>
        <v>33753168.477652915</v>
      </c>
      <c r="AT71" s="947"/>
      <c r="AU71" s="947"/>
      <c r="AV71" s="947"/>
      <c r="AW71" s="947"/>
      <c r="AX71" s="947"/>
      <c r="AY71" s="947"/>
      <c r="AZ71" s="947"/>
      <c r="BA71" s="947"/>
      <c r="BB71" s="947"/>
      <c r="BC71" s="947"/>
    </row>
    <row r="72" spans="1:55" ht="14.25">
      <c r="A72" s="684"/>
      <c r="B72" s="684"/>
      <c r="C72" s="691" t="s">
        <v>539</v>
      </c>
      <c r="D72" s="690" t="s">
        <v>291</v>
      </c>
      <c r="E72" s="1034">
        <f ca="1">E$67/(1+$E$11)^E$44</f>
        <v>203296.98944355623</v>
      </c>
      <c r="F72" s="1034">
        <f ca="1">F$67/(1+$E$11)^F$44</f>
        <v>355929.37281406543</v>
      </c>
      <c r="G72" s="1034">
        <f t="shared" ref="G72:AS72" ca="1" si="100">G$67/(1+$E$11)^G$44</f>
        <v>364324.0892662633</v>
      </c>
      <c r="H72" s="1034">
        <f t="shared" ca="1" si="100"/>
        <v>353433.59950323106</v>
      </c>
      <c r="I72" s="1034">
        <f t="shared" ca="1" si="100"/>
        <v>356798.46137607412</v>
      </c>
      <c r="J72" s="1034">
        <f t="shared" ca="1" si="100"/>
        <v>356220.9463406672</v>
      </c>
      <c r="K72" s="1034">
        <f t="shared" ca="1" si="100"/>
        <v>355974.46794472402</v>
      </c>
      <c r="L72" s="1034">
        <f t="shared" ca="1" si="100"/>
        <v>356499.02460152993</v>
      </c>
      <c r="M72" s="1034">
        <f t="shared" ca="1" si="100"/>
        <v>357782.05205533048</v>
      </c>
      <c r="N72" s="1034">
        <f t="shared" ca="1" si="100"/>
        <v>359486.71776784241</v>
      </c>
      <c r="O72" s="1034">
        <f t="shared" ca="1" si="100"/>
        <v>362468.6512935427</v>
      </c>
      <c r="P72" s="1034">
        <f t="shared" ca="1" si="100"/>
        <v>366490.6559705644</v>
      </c>
      <c r="Q72" s="1034">
        <f t="shared" ca="1" si="100"/>
        <v>371528.49815711007</v>
      </c>
      <c r="R72" s="1034">
        <f t="shared" ca="1" si="100"/>
        <v>377471.53526581125</v>
      </c>
      <c r="S72" s="1034">
        <f t="shared" ca="1" si="100"/>
        <v>384105.93715826113</v>
      </c>
      <c r="T72" s="1034">
        <f t="shared" ca="1" si="100"/>
        <v>391114.35197179258</v>
      </c>
      <c r="U72" s="1034">
        <f t="shared" ca="1" si="100"/>
        <v>398126.21973924199</v>
      </c>
      <c r="V72" s="1034">
        <f t="shared" ca="1" si="100"/>
        <v>404862.1906966574</v>
      </c>
      <c r="W72" s="1034">
        <f t="shared" ca="1" si="100"/>
        <v>411378.50615649379</v>
      </c>
      <c r="X72" s="1034">
        <f t="shared" ca="1" si="100"/>
        <v>418298.54160016577</v>
      </c>
      <c r="Y72" s="1034">
        <f t="shared" ca="1" si="100"/>
        <v>427461.87022876419</v>
      </c>
      <c r="Z72" s="1034">
        <f t="shared" ca="1" si="100"/>
        <v>439886.11676445435</v>
      </c>
      <c r="AA72" s="1034">
        <f t="shared" ca="1" si="100"/>
        <v>457576.45666426932</v>
      </c>
      <c r="AB72" s="1034">
        <f t="shared" ca="1" si="100"/>
        <v>483484.09346720995</v>
      </c>
      <c r="AC72" s="1034">
        <f t="shared" ca="1" si="100"/>
        <v>554172.22650625661</v>
      </c>
      <c r="AD72" s="1034">
        <f t="shared" ca="1" si="100"/>
        <v>579919.74297712184</v>
      </c>
      <c r="AE72" s="1034">
        <f t="shared" ca="1" si="100"/>
        <v>596710.17884258111</v>
      </c>
      <c r="AF72" s="1034">
        <f t="shared" ca="1" si="100"/>
        <v>598670.23215055978</v>
      </c>
      <c r="AG72" s="1034">
        <f t="shared" ca="1" si="100"/>
        <v>580338.04617877759</v>
      </c>
      <c r="AH72" s="1034">
        <f t="shared" ca="1" si="100"/>
        <v>536764.35505801905</v>
      </c>
      <c r="AI72" s="1034">
        <f t="shared" ca="1" si="100"/>
        <v>425640.48388179066</v>
      </c>
      <c r="AJ72" s="1034">
        <f t="shared" ca="1" si="100"/>
        <v>351197.4561293447</v>
      </c>
      <c r="AK72" s="1034">
        <f t="shared" ca="1" si="100"/>
        <v>271141.61358042923</v>
      </c>
      <c r="AL72" s="1034">
        <f t="shared" ca="1" si="100"/>
        <v>190258.59864112039</v>
      </c>
      <c r="AM72" s="1034">
        <f t="shared" ca="1" si="100"/>
        <v>111863.28116377244</v>
      </c>
      <c r="AN72" s="1034">
        <f t="shared" ca="1" si="100"/>
        <v>38195.852601311861</v>
      </c>
      <c r="AO72" s="1034">
        <f t="shared" ca="1" si="100"/>
        <v>-29282.522756114282</v>
      </c>
      <c r="AP72" s="1034">
        <f t="shared" ca="1" si="100"/>
        <v>-89667.849228100298</v>
      </c>
      <c r="AQ72" s="1034">
        <f t="shared" ca="1" si="100"/>
        <v>-142446.50134899485</v>
      </c>
      <c r="AR72" s="1034">
        <f t="shared" ca="1" si="100"/>
        <v>-187369.72462118155</v>
      </c>
      <c r="AS72" s="1034">
        <f t="shared" ca="1" si="100"/>
        <v>-224359.07814494232</v>
      </c>
      <c r="AT72" s="947"/>
      <c r="AU72" s="947"/>
      <c r="AV72" s="947"/>
      <c r="AW72" s="947"/>
      <c r="AX72" s="947"/>
      <c r="AY72" s="947"/>
      <c r="AZ72" s="947"/>
      <c r="BA72" s="947"/>
      <c r="BB72" s="947"/>
      <c r="BC72" s="947"/>
    </row>
    <row r="73" spans="1:55" ht="14.25">
      <c r="A73" s="684"/>
      <c r="B73" s="684"/>
      <c r="C73" s="691" t="s">
        <v>540</v>
      </c>
      <c r="D73" s="690" t="s">
        <v>291</v>
      </c>
      <c r="E73" s="1034">
        <f ca="1">E72</f>
        <v>203296.98944355623</v>
      </c>
      <c r="F73" s="1034">
        <f ca="1">E$73+F$72</f>
        <v>559226.36225762172</v>
      </c>
      <c r="G73" s="1034">
        <f t="shared" ref="G73:Y73" ca="1" si="101">F$73+G$72</f>
        <v>923550.45152388501</v>
      </c>
      <c r="H73" s="1034">
        <f t="shared" ca="1" si="101"/>
        <v>1276984.0510271161</v>
      </c>
      <c r="I73" s="1034">
        <f t="shared" ca="1" si="101"/>
        <v>1633782.5124031901</v>
      </c>
      <c r="J73" s="1034">
        <f t="shared" ca="1" si="101"/>
        <v>1990003.4587438572</v>
      </c>
      <c r="K73" s="1034">
        <f t="shared" ca="1" si="101"/>
        <v>2345977.9266885812</v>
      </c>
      <c r="L73" s="1034">
        <f t="shared" ca="1" si="101"/>
        <v>2702476.9512901111</v>
      </c>
      <c r="M73" s="1034">
        <f t="shared" ca="1" si="101"/>
        <v>3060259.0033454415</v>
      </c>
      <c r="N73" s="1034">
        <f t="shared" ca="1" si="101"/>
        <v>3419745.7211132841</v>
      </c>
      <c r="O73" s="1034">
        <f t="shared" ca="1" si="101"/>
        <v>3782214.3724068268</v>
      </c>
      <c r="P73" s="1034">
        <f t="shared" ca="1" si="101"/>
        <v>4148705.0283773914</v>
      </c>
      <c r="Q73" s="1034">
        <f t="shared" ca="1" si="101"/>
        <v>4520233.5265345015</v>
      </c>
      <c r="R73" s="1034">
        <f t="shared" ca="1" si="101"/>
        <v>4897705.0618003123</v>
      </c>
      <c r="S73" s="1034">
        <f t="shared" ca="1" si="101"/>
        <v>5281810.9989585737</v>
      </c>
      <c r="T73" s="1034">
        <f t="shared" ca="1" si="101"/>
        <v>5672925.3509303667</v>
      </c>
      <c r="U73" s="1034">
        <f t="shared" ca="1" si="101"/>
        <v>6071051.5706696082</v>
      </c>
      <c r="V73" s="1034">
        <f t="shared" ca="1" si="101"/>
        <v>6475913.7613662658</v>
      </c>
      <c r="W73" s="1034">
        <f t="shared" ca="1" si="101"/>
        <v>6887292.2675227597</v>
      </c>
      <c r="X73" s="1034">
        <f t="shared" ca="1" si="101"/>
        <v>7305590.8091229256</v>
      </c>
      <c r="Y73" s="1034">
        <f t="shared" ca="1" si="101"/>
        <v>7733052.6793516902</v>
      </c>
      <c r="Z73" s="1034">
        <f t="shared" ref="Z73:AJ73" ca="1" si="102">Y$73+Z$72</f>
        <v>8172938.7961161444</v>
      </c>
      <c r="AA73" s="1034">
        <f t="shared" ca="1" si="102"/>
        <v>8630515.2527804133</v>
      </c>
      <c r="AB73" s="1034">
        <f t="shared" ca="1" si="102"/>
        <v>9113999.3462476227</v>
      </c>
      <c r="AC73" s="1034">
        <f t="shared" ca="1" si="102"/>
        <v>9668171.5727538802</v>
      </c>
      <c r="AD73" s="1034">
        <f t="shared" ca="1" si="102"/>
        <v>10248091.315731002</v>
      </c>
      <c r="AE73" s="1034">
        <f t="shared" ca="1" si="102"/>
        <v>10844801.494573584</v>
      </c>
      <c r="AF73" s="1034">
        <f t="shared" ca="1" si="102"/>
        <v>11443471.726724144</v>
      </c>
      <c r="AG73" s="1034">
        <f t="shared" ca="1" si="102"/>
        <v>12023809.772902921</v>
      </c>
      <c r="AH73" s="1034">
        <f t="shared" ca="1" si="102"/>
        <v>12560574.127960939</v>
      </c>
      <c r="AI73" s="1034">
        <f t="shared" ca="1" si="102"/>
        <v>12986214.611842729</v>
      </c>
      <c r="AJ73" s="1034">
        <f t="shared" ca="1" si="102"/>
        <v>13337412.067972073</v>
      </c>
      <c r="AK73" s="1034">
        <f t="shared" ref="AK73:AS73" ca="1" si="103">AJ$73+AK$72</f>
        <v>13608553.681552503</v>
      </c>
      <c r="AL73" s="1034">
        <f t="shared" ca="1" si="103"/>
        <v>13798812.280193623</v>
      </c>
      <c r="AM73" s="1034">
        <f t="shared" ca="1" si="103"/>
        <v>13910675.561357396</v>
      </c>
      <c r="AN73" s="1034">
        <f t="shared" ca="1" si="103"/>
        <v>13948871.413958708</v>
      </c>
      <c r="AO73" s="1034">
        <f t="shared" ca="1" si="103"/>
        <v>13919588.891202593</v>
      </c>
      <c r="AP73" s="1034">
        <f t="shared" ca="1" si="103"/>
        <v>13829921.041974492</v>
      </c>
      <c r="AQ73" s="1034">
        <f t="shared" ca="1" si="103"/>
        <v>13687474.540625498</v>
      </c>
      <c r="AR73" s="1034">
        <f t="shared" ca="1" si="103"/>
        <v>13500104.816004315</v>
      </c>
      <c r="AS73" s="1034">
        <f t="shared" ca="1" si="103"/>
        <v>13275745.737859374</v>
      </c>
      <c r="AT73" s="947"/>
      <c r="AU73" s="947"/>
      <c r="AV73" s="947"/>
      <c r="AW73" s="947"/>
      <c r="AX73" s="947"/>
      <c r="AY73" s="947"/>
      <c r="AZ73" s="947"/>
      <c r="BA73" s="947"/>
      <c r="BB73" s="947"/>
      <c r="BC73" s="947"/>
    </row>
    <row r="74" spans="1:55" ht="14.25">
      <c r="A74" s="684"/>
      <c r="B74" s="684"/>
      <c r="C74" s="691" t="s">
        <v>543</v>
      </c>
      <c r="D74" s="690" t="s">
        <v>0</v>
      </c>
      <c r="E74" s="690" t="str">
        <f ca="1">IF(E73&lt;0, "-", "+")</f>
        <v>+</v>
      </c>
      <c r="F74" s="690" t="str">
        <f ca="1">IF(F73&lt;0, "-", "+")</f>
        <v>+</v>
      </c>
      <c r="G74" s="690" t="str">
        <f t="shared" ref="G74:Y74" ca="1" si="104">IF(G73&lt;0, "-", "+")</f>
        <v>+</v>
      </c>
      <c r="H74" s="690" t="str">
        <f t="shared" ca="1" si="104"/>
        <v>+</v>
      </c>
      <c r="I74" s="690" t="str">
        <f t="shared" ca="1" si="104"/>
        <v>+</v>
      </c>
      <c r="J74" s="690" t="str">
        <f t="shared" ca="1" si="104"/>
        <v>+</v>
      </c>
      <c r="K74" s="690" t="str">
        <f t="shared" ca="1" si="104"/>
        <v>+</v>
      </c>
      <c r="L74" s="690" t="str">
        <f t="shared" ca="1" si="104"/>
        <v>+</v>
      </c>
      <c r="M74" s="690" t="str">
        <f t="shared" ca="1" si="104"/>
        <v>+</v>
      </c>
      <c r="N74" s="690" t="str">
        <f t="shared" ca="1" si="104"/>
        <v>+</v>
      </c>
      <c r="O74" s="690" t="str">
        <f t="shared" ca="1" si="104"/>
        <v>+</v>
      </c>
      <c r="P74" s="690" t="str">
        <f t="shared" ca="1" si="104"/>
        <v>+</v>
      </c>
      <c r="Q74" s="690" t="str">
        <f t="shared" ca="1" si="104"/>
        <v>+</v>
      </c>
      <c r="R74" s="690" t="str">
        <f t="shared" ca="1" si="104"/>
        <v>+</v>
      </c>
      <c r="S74" s="690" t="str">
        <f t="shared" ca="1" si="104"/>
        <v>+</v>
      </c>
      <c r="T74" s="690" t="str">
        <f t="shared" ca="1" si="104"/>
        <v>+</v>
      </c>
      <c r="U74" s="690" t="str">
        <f t="shared" ca="1" si="104"/>
        <v>+</v>
      </c>
      <c r="V74" s="690" t="str">
        <f t="shared" ca="1" si="104"/>
        <v>+</v>
      </c>
      <c r="W74" s="690" t="str">
        <f t="shared" ca="1" si="104"/>
        <v>+</v>
      </c>
      <c r="X74" s="690" t="str">
        <f t="shared" ca="1" si="104"/>
        <v>+</v>
      </c>
      <c r="Y74" s="690" t="str">
        <f t="shared" ca="1" si="104"/>
        <v>+</v>
      </c>
      <c r="Z74" s="690" t="str">
        <f t="shared" ref="Z74" ca="1" si="105">IF(Z73&lt;0, "-", "+")</f>
        <v>+</v>
      </c>
      <c r="AA74" s="690" t="str">
        <f t="shared" ref="AA74" ca="1" si="106">IF(AA73&lt;0, "-", "+")</f>
        <v>+</v>
      </c>
      <c r="AB74" s="690" t="str">
        <f t="shared" ref="AB74" ca="1" si="107">IF(AB73&lt;0, "-", "+")</f>
        <v>+</v>
      </c>
      <c r="AC74" s="690" t="str">
        <f t="shared" ref="AC74" ca="1" si="108">IF(AC73&lt;0, "-", "+")</f>
        <v>+</v>
      </c>
      <c r="AD74" s="690" t="str">
        <f t="shared" ref="AD74" ca="1" si="109">IF(AD73&lt;0, "-", "+")</f>
        <v>+</v>
      </c>
      <c r="AE74" s="690" t="str">
        <f t="shared" ref="AE74" ca="1" si="110">IF(AE73&lt;0, "-", "+")</f>
        <v>+</v>
      </c>
      <c r="AF74" s="690" t="str">
        <f t="shared" ref="AF74" ca="1" si="111">IF(AF73&lt;0, "-", "+")</f>
        <v>+</v>
      </c>
      <c r="AG74" s="690" t="str">
        <f t="shared" ref="AG74" ca="1" si="112">IF(AG73&lt;0, "-", "+")</f>
        <v>+</v>
      </c>
      <c r="AH74" s="690" t="str">
        <f t="shared" ref="AH74" ca="1" si="113">IF(AH73&lt;0, "-", "+")</f>
        <v>+</v>
      </c>
      <c r="AI74" s="690" t="str">
        <f t="shared" ref="AI74" ca="1" si="114">IF(AI73&lt;0, "-", "+")</f>
        <v>+</v>
      </c>
      <c r="AJ74" s="690" t="str">
        <f t="shared" ref="AJ74" ca="1" si="115">IF(AJ73&lt;0, "-", "+")</f>
        <v>+</v>
      </c>
      <c r="AK74" s="690" t="str">
        <f t="shared" ref="AK74" ca="1" si="116">IF(AK73&lt;0, "-", "+")</f>
        <v>+</v>
      </c>
      <c r="AL74" s="690" t="str">
        <f t="shared" ref="AL74" ca="1" si="117">IF(AL73&lt;0, "-", "+")</f>
        <v>+</v>
      </c>
      <c r="AM74" s="690" t="str">
        <f t="shared" ref="AM74" ca="1" si="118">IF(AM73&lt;0, "-", "+")</f>
        <v>+</v>
      </c>
      <c r="AN74" s="690" t="str">
        <f t="shared" ref="AN74" ca="1" si="119">IF(AN73&lt;0, "-", "+")</f>
        <v>+</v>
      </c>
      <c r="AO74" s="690" t="str">
        <f t="shared" ref="AO74" ca="1" si="120">IF(AO73&lt;0, "-", "+")</f>
        <v>+</v>
      </c>
      <c r="AP74" s="690" t="str">
        <f t="shared" ref="AP74" ca="1" si="121">IF(AP73&lt;0, "-", "+")</f>
        <v>+</v>
      </c>
      <c r="AQ74" s="690" t="str">
        <f t="shared" ref="AQ74" ca="1" si="122">IF(AQ73&lt;0, "-", "+")</f>
        <v>+</v>
      </c>
      <c r="AR74" s="690" t="str">
        <f t="shared" ref="AR74" ca="1" si="123">IF(AR73&lt;0, "-", "+")</f>
        <v>+</v>
      </c>
      <c r="AS74" s="690" t="str">
        <f t="shared" ref="AS74" ca="1" si="124">IF(AS73&lt;0, "-", "+")</f>
        <v>+</v>
      </c>
      <c r="AT74" s="947"/>
      <c r="AU74" s="947"/>
      <c r="AV74" s="947"/>
      <c r="AW74" s="947"/>
      <c r="AX74" s="947"/>
      <c r="AY74" s="947"/>
      <c r="AZ74" s="947"/>
      <c r="BA74" s="947"/>
      <c r="BB74" s="947"/>
      <c r="BC74" s="947"/>
    </row>
    <row r="75" spans="1:55" ht="14.25">
      <c r="A75" s="684"/>
      <c r="B75" s="778"/>
      <c r="C75" s="778"/>
      <c r="D75" s="684"/>
      <c r="E75" s="965"/>
      <c r="F75" s="965"/>
      <c r="G75" s="965"/>
      <c r="H75" s="965"/>
      <c r="I75" s="965"/>
      <c r="J75" s="965"/>
      <c r="K75" s="965"/>
      <c r="L75" s="965"/>
      <c r="M75" s="965"/>
      <c r="N75" s="965"/>
      <c r="O75" s="965"/>
      <c r="P75" s="965"/>
      <c r="Q75" s="965"/>
      <c r="R75" s="965"/>
      <c r="S75" s="965"/>
      <c r="T75" s="965"/>
      <c r="U75" s="965"/>
      <c r="V75" s="965"/>
      <c r="W75" s="965"/>
      <c r="X75" s="965"/>
      <c r="Y75" s="965"/>
      <c r="Z75" s="965"/>
      <c r="AA75" s="965"/>
      <c r="AB75" s="965"/>
      <c r="AC75" s="965"/>
      <c r="AD75" s="965"/>
      <c r="AE75" s="965"/>
      <c r="AF75" s="965"/>
      <c r="AG75" s="965"/>
      <c r="AH75" s="965"/>
      <c r="AI75" s="965"/>
      <c r="AJ75" s="965"/>
      <c r="AK75" s="965"/>
      <c r="AL75" s="965"/>
      <c r="AM75" s="965"/>
      <c r="AN75" s="965"/>
      <c r="AO75" s="965"/>
      <c r="AP75" s="965"/>
      <c r="AQ75" s="965"/>
      <c r="AR75" s="965"/>
      <c r="AS75" s="965"/>
      <c r="AT75" s="947"/>
      <c r="AU75" s="947"/>
      <c r="AV75" s="947"/>
      <c r="AW75" s="947"/>
      <c r="AX75" s="947"/>
      <c r="AY75" s="947"/>
      <c r="AZ75" s="947"/>
      <c r="BA75" s="947"/>
      <c r="BB75" s="947"/>
      <c r="BC75" s="947"/>
    </row>
    <row r="76" spans="1:55" ht="14.25">
      <c r="A76" s="684"/>
      <c r="B76" s="778"/>
      <c r="C76" s="778"/>
      <c r="D76" s="684"/>
      <c r="E76" s="965">
        <f t="shared" ref="E76:Y76" ca="1" si="125">E41</f>
        <v>2018</v>
      </c>
      <c r="F76" s="965">
        <f t="shared" ca="1" si="125"/>
        <v>2019</v>
      </c>
      <c r="G76" s="965">
        <f t="shared" ca="1" si="125"/>
        <v>2020</v>
      </c>
      <c r="H76" s="965">
        <f t="shared" ca="1" si="125"/>
        <v>2021</v>
      </c>
      <c r="I76" s="965">
        <f t="shared" ca="1" si="125"/>
        <v>2022</v>
      </c>
      <c r="J76" s="965">
        <f t="shared" ca="1" si="125"/>
        <v>2023</v>
      </c>
      <c r="K76" s="965">
        <f t="shared" ca="1" si="125"/>
        <v>2024</v>
      </c>
      <c r="L76" s="965">
        <f t="shared" ca="1" si="125"/>
        <v>2025</v>
      </c>
      <c r="M76" s="965">
        <f t="shared" ca="1" si="125"/>
        <v>2026</v>
      </c>
      <c r="N76" s="965">
        <f t="shared" ca="1" si="125"/>
        <v>2027</v>
      </c>
      <c r="O76" s="965">
        <f t="shared" ca="1" si="125"/>
        <v>2028</v>
      </c>
      <c r="P76" s="965">
        <f t="shared" ca="1" si="125"/>
        <v>2029</v>
      </c>
      <c r="Q76" s="965">
        <f t="shared" ca="1" si="125"/>
        <v>2030</v>
      </c>
      <c r="R76" s="965">
        <f t="shared" ca="1" si="125"/>
        <v>2031</v>
      </c>
      <c r="S76" s="965">
        <f t="shared" ca="1" si="125"/>
        <v>2032</v>
      </c>
      <c r="T76" s="965">
        <f t="shared" ca="1" si="125"/>
        <v>2033</v>
      </c>
      <c r="U76" s="965">
        <f t="shared" ca="1" si="125"/>
        <v>2034</v>
      </c>
      <c r="V76" s="965">
        <f t="shared" ca="1" si="125"/>
        <v>2035</v>
      </c>
      <c r="W76" s="965">
        <f t="shared" ca="1" si="125"/>
        <v>2036</v>
      </c>
      <c r="X76" s="965">
        <f t="shared" ca="1" si="125"/>
        <v>2037</v>
      </c>
      <c r="Y76" s="965">
        <f t="shared" ca="1" si="125"/>
        <v>2038</v>
      </c>
      <c r="Z76" s="965">
        <f t="shared" ref="Z76:AJ76" ca="1" si="126">Z41</f>
        <v>2039</v>
      </c>
      <c r="AA76" s="965">
        <f t="shared" ca="1" si="126"/>
        <v>2040</v>
      </c>
      <c r="AB76" s="965">
        <f t="shared" ca="1" si="126"/>
        <v>2041</v>
      </c>
      <c r="AC76" s="965">
        <f t="shared" ca="1" si="126"/>
        <v>2042</v>
      </c>
      <c r="AD76" s="965">
        <f t="shared" ca="1" si="126"/>
        <v>2043</v>
      </c>
      <c r="AE76" s="965">
        <f t="shared" ca="1" si="126"/>
        <v>2044</v>
      </c>
      <c r="AF76" s="965">
        <f t="shared" ca="1" si="126"/>
        <v>2045</v>
      </c>
      <c r="AG76" s="965">
        <f t="shared" ca="1" si="126"/>
        <v>2046</v>
      </c>
      <c r="AH76" s="965">
        <f t="shared" ca="1" si="126"/>
        <v>2047</v>
      </c>
      <c r="AI76" s="965">
        <f t="shared" ca="1" si="126"/>
        <v>2048</v>
      </c>
      <c r="AJ76" s="965">
        <f t="shared" ca="1" si="126"/>
        <v>2049</v>
      </c>
      <c r="AK76" s="965">
        <f t="shared" ref="AK76:AS76" ca="1" si="127">AK41</f>
        <v>2050</v>
      </c>
      <c r="AL76" s="965">
        <f t="shared" ca="1" si="127"/>
        <v>2051</v>
      </c>
      <c r="AM76" s="965">
        <f t="shared" ca="1" si="127"/>
        <v>2052</v>
      </c>
      <c r="AN76" s="965">
        <f t="shared" ca="1" si="127"/>
        <v>2053</v>
      </c>
      <c r="AO76" s="965">
        <f t="shared" ca="1" si="127"/>
        <v>2054</v>
      </c>
      <c r="AP76" s="965">
        <f t="shared" ca="1" si="127"/>
        <v>2055</v>
      </c>
      <c r="AQ76" s="965">
        <f t="shared" ca="1" si="127"/>
        <v>2056</v>
      </c>
      <c r="AR76" s="965">
        <f t="shared" ca="1" si="127"/>
        <v>2057</v>
      </c>
      <c r="AS76" s="965">
        <f t="shared" ca="1" si="127"/>
        <v>2058</v>
      </c>
      <c r="AT76" s="947"/>
      <c r="AU76" s="947"/>
      <c r="AV76" s="947"/>
      <c r="AW76" s="947"/>
      <c r="AX76" s="947"/>
      <c r="AY76" s="947"/>
      <c r="AZ76" s="947"/>
      <c r="BA76" s="947"/>
      <c r="BB76" s="947"/>
      <c r="BC76" s="947"/>
    </row>
    <row r="77" spans="1:55" ht="5.25" customHeight="1">
      <c r="A77" s="884"/>
      <c r="B77" s="884"/>
      <c r="C77" s="884"/>
      <c r="D77" s="884"/>
      <c r="E77" s="1035"/>
      <c r="F77" s="1036"/>
      <c r="G77" s="1036"/>
      <c r="H77" s="1036"/>
      <c r="I77" s="1036"/>
      <c r="J77" s="1036"/>
      <c r="K77" s="1036"/>
      <c r="L77" s="1036"/>
      <c r="M77" s="1036"/>
      <c r="N77" s="1036"/>
      <c r="O77" s="1036"/>
      <c r="P77" s="1036"/>
      <c r="Q77" s="1036"/>
      <c r="R77" s="1036"/>
      <c r="S77" s="1036"/>
      <c r="T77" s="1036"/>
      <c r="U77" s="1036"/>
      <c r="V77" s="1036"/>
      <c r="W77" s="1036"/>
      <c r="X77" s="1036"/>
      <c r="Y77" s="1036"/>
      <c r="Z77" s="1036"/>
      <c r="AA77" s="1036"/>
      <c r="AB77" s="1036"/>
      <c r="AC77" s="1036"/>
      <c r="AD77" s="1036"/>
      <c r="AE77" s="1036"/>
      <c r="AF77" s="1036"/>
      <c r="AG77" s="1036"/>
      <c r="AH77" s="1036"/>
      <c r="AI77" s="1036"/>
      <c r="AJ77" s="1036"/>
      <c r="AK77" s="1036"/>
      <c r="AL77" s="1036"/>
      <c r="AM77" s="1036"/>
      <c r="AN77" s="1036"/>
      <c r="AO77" s="1036"/>
      <c r="AP77" s="1036"/>
      <c r="AQ77" s="1036"/>
      <c r="AR77" s="1036"/>
      <c r="AS77" s="1036"/>
      <c r="AT77" s="947"/>
      <c r="AU77" s="947"/>
      <c r="AV77" s="947"/>
      <c r="AW77" s="947"/>
      <c r="AX77" s="947"/>
      <c r="AY77" s="947"/>
      <c r="AZ77" s="947"/>
      <c r="BA77" s="947"/>
      <c r="BB77" s="947"/>
      <c r="BC77" s="947"/>
    </row>
    <row r="78" spans="1:55" ht="14.25">
      <c r="A78" s="884"/>
      <c r="B78" s="1037" t="s">
        <v>523</v>
      </c>
      <c r="C78" s="1037"/>
      <c r="D78" s="1037"/>
      <c r="E78" s="1038">
        <f ca="1">SUM(E83:E88)</f>
        <v>0</v>
      </c>
      <c r="F78" s="1038">
        <f ca="1">SUM(F83:F88)</f>
        <v>35408.920741678689</v>
      </c>
      <c r="G78" s="1038">
        <f ca="1">SUM(G83:G88)</f>
        <v>41464.449620549465</v>
      </c>
      <c r="H78" s="1038">
        <f ca="1">SUM(H83:H88)</f>
        <v>48920.850694513836</v>
      </c>
      <c r="I78" s="1038">
        <f ca="1">SUM(I83:I88)</f>
        <v>57380.156824477555</v>
      </c>
      <c r="J78" s="1038">
        <f ca="1">SUM(J83:J88)</f>
        <v>63030.959411936186</v>
      </c>
      <c r="K78" s="1038">
        <f ca="1">SUM(K83:K88)</f>
        <v>69775.865274034906</v>
      </c>
      <c r="L78" s="1038">
        <f ca="1">SUM(L83:L88)</f>
        <v>78100.443317129175</v>
      </c>
      <c r="M78" s="1038">
        <f ca="1">SUM(M83:M88)</f>
        <v>88083.670403592085</v>
      </c>
      <c r="N78" s="1038">
        <f ca="1">SUM(N83:N88)</f>
        <v>99501.223360676493</v>
      </c>
      <c r="O78" s="1038">
        <f ca="1">SUM(O83:O88)</f>
        <v>113604.41823965954</v>
      </c>
      <c r="P78" s="1038">
        <f ca="1">SUM(P83:P88)</f>
        <v>130552.82351964631</v>
      </c>
      <c r="Q78" s="1038">
        <f ca="1">SUM(Q83:Q88)</f>
        <v>150913.41045127535</v>
      </c>
      <c r="R78" s="1038">
        <f ca="1">SUM(R83:R88)</f>
        <v>175360.94234571161</v>
      </c>
      <c r="S78" s="1038">
        <f ca="1">SUM(S83:S88)</f>
        <v>204700.43431510753</v>
      </c>
      <c r="T78" s="1038">
        <f ca="1">SUM(T83:T88)</f>
        <v>239895.42955812864</v>
      </c>
      <c r="U78" s="1038">
        <f ca="1">SUM(U83:U88)</f>
        <v>282105.18518370023</v>
      </c>
      <c r="V78" s="1038">
        <f ca="1">SUM(V83:V88)</f>
        <v>332734.95816069347</v>
      </c>
      <c r="W78" s="1038">
        <f ca="1">SUM(W83:W88)</f>
        <v>393501.82266579295</v>
      </c>
      <c r="X78" s="1038">
        <f ca="1">SUM(X83:X88)</f>
        <v>466511.16074120696</v>
      </c>
      <c r="Y78" s="1038">
        <f ca="1">SUM(Y83:Y88)</f>
        <v>555131.14467821911</v>
      </c>
      <c r="Z78" s="1038">
        <f ca="1">SUM(Z83:Z88)</f>
        <v>661802.25579758186</v>
      </c>
      <c r="AA78" s="1038">
        <f ca="1">SUM(AA83:AA88)</f>
        <v>790257.02144909988</v>
      </c>
      <c r="AB78" s="1038">
        <f ca="1">SUM(AB83:AB88)</f>
        <v>945112.54197029595</v>
      </c>
      <c r="AC78" s="1038">
        <f ca="1">SUM(AC83:AC88)</f>
        <v>1201312.9360098783</v>
      </c>
      <c r="AD78" s="1038">
        <f ca="1">SUM(AD83:AD88)</f>
        <v>1367062.9759475964</v>
      </c>
      <c r="AE78" s="1038">
        <f ca="1">SUM(AE83:AE88)</f>
        <v>1512474.3605489142</v>
      </c>
      <c r="AF78" s="1038">
        <f ca="1">SUM(AF83:AF88)</f>
        <v>1622572.3601815721</v>
      </c>
      <c r="AG78" s="1038">
        <f ca="1">SUM(AG83:AG88)</f>
        <v>1683633.1436609435</v>
      </c>
      <c r="AH78" s="1038">
        <f ca="1">SUM(AH83:AH88)</f>
        <v>1682373.7227627679</v>
      </c>
      <c r="AI78" s="1038">
        <f ca="1">SUM(AI83:AI88)</f>
        <v>1522717.7000141446</v>
      </c>
      <c r="AJ78" s="1038">
        <f ca="1">SUM(AJ83:AJ88)</f>
        <v>1426108.4595423816</v>
      </c>
      <c r="AK78" s="1038">
        <f ca="1">SUM(AK83:AK88)</f>
        <v>1302263.4541991418</v>
      </c>
      <c r="AL78" s="1038">
        <f ca="1">SUM(AL83:AL88)</f>
        <v>1161489.4861827379</v>
      </c>
      <c r="AM78" s="1038">
        <f ca="1">SUM(AM83:AM88)</f>
        <v>1011613.0290385904</v>
      </c>
      <c r="AN78" s="1038">
        <f ca="1">SUM(AN83:AN88)</f>
        <v>858580.26088158076</v>
      </c>
      <c r="AO78" s="1038">
        <f ca="1">SUM(AO83:AO88)</f>
        <v>706922.10692507541</v>
      </c>
      <c r="AP78" s="1038">
        <f ca="1">SUM(AP83:AP88)</f>
        <v>560116.29435738898</v>
      </c>
      <c r="AQ78" s="1038">
        <f ca="1">SUM(AQ83:AQ88)</f>
        <v>420871.11401886895</v>
      </c>
      <c r="AR78" s="1038">
        <f ca="1">SUM(AR83:AR88)</f>
        <v>291350.05721708218</v>
      </c>
      <c r="AS78" s="1038">
        <f ca="1">SUM(AS83:AS88)</f>
        <v>173352.30491461142</v>
      </c>
      <c r="AT78" s="947"/>
      <c r="AU78" s="947"/>
      <c r="AV78" s="947"/>
      <c r="AW78" s="947"/>
      <c r="AX78" s="947"/>
      <c r="AY78" s="947"/>
      <c r="AZ78" s="947"/>
      <c r="BA78" s="947"/>
      <c r="BB78" s="947"/>
      <c r="BC78" s="947"/>
    </row>
    <row r="79" spans="1:55" ht="5.25" customHeight="1">
      <c r="A79" s="684"/>
      <c r="B79" s="684"/>
      <c r="C79" s="684"/>
      <c r="D79" s="690"/>
      <c r="E79" s="1039"/>
      <c r="F79" s="1040"/>
      <c r="G79" s="1039"/>
      <c r="H79" s="1039"/>
      <c r="I79" s="1039"/>
      <c r="J79" s="684"/>
      <c r="K79" s="664"/>
      <c r="L79" s="664"/>
      <c r="M79" s="664"/>
      <c r="N79" s="684"/>
      <c r="O79" s="684"/>
      <c r="P79" s="684"/>
      <c r="Q79" s="684"/>
      <c r="R79" s="684"/>
      <c r="S79" s="684"/>
      <c r="T79" s="684"/>
      <c r="U79" s="684"/>
      <c r="V79" s="684"/>
      <c r="W79" s="684"/>
      <c r="X79" s="684"/>
      <c r="Y79" s="684"/>
      <c r="Z79" s="1091"/>
      <c r="AA79" s="1091"/>
      <c r="AB79" s="1091"/>
      <c r="AC79" s="1091"/>
      <c r="AD79" s="1091"/>
      <c r="AE79" s="1091"/>
      <c r="AF79" s="1091"/>
      <c r="AG79" s="1091"/>
      <c r="AH79" s="1091"/>
      <c r="AI79" s="1091"/>
      <c r="AJ79" s="1091"/>
      <c r="AK79" s="1091"/>
      <c r="AL79" s="1091"/>
      <c r="AM79" s="1091"/>
      <c r="AN79" s="1091"/>
      <c r="AO79" s="1091"/>
      <c r="AP79" s="1091"/>
      <c r="AQ79" s="1091"/>
      <c r="AR79" s="1091"/>
      <c r="AS79" s="1091"/>
      <c r="AT79" s="947"/>
      <c r="AU79" s="947"/>
      <c r="AV79" s="947"/>
      <c r="AW79" s="947"/>
      <c r="AX79" s="947"/>
      <c r="AY79" s="947"/>
      <c r="AZ79" s="947"/>
      <c r="BA79" s="947"/>
      <c r="BB79" s="947"/>
      <c r="BC79" s="947"/>
    </row>
    <row r="80" spans="1:55" thickBot="1">
      <c r="A80" s="897" t="s">
        <v>200</v>
      </c>
      <c r="B80" s="914" t="s">
        <v>522</v>
      </c>
      <c r="C80" s="916"/>
      <c r="D80" s="951"/>
      <c r="E80" s="1041"/>
      <c r="F80" s="1041"/>
      <c r="G80" s="1041"/>
      <c r="H80" s="1041"/>
      <c r="I80" s="1041"/>
      <c r="J80" s="1041"/>
      <c r="K80" s="1041"/>
      <c r="L80" s="1041"/>
      <c r="M80" s="1041"/>
      <c r="N80" s="1041"/>
      <c r="O80" s="1041"/>
      <c r="P80" s="1041"/>
      <c r="Q80" s="1041"/>
      <c r="R80" s="1041"/>
      <c r="S80" s="1041"/>
      <c r="T80" s="1041"/>
      <c r="U80" s="1041"/>
      <c r="V80" s="1041"/>
      <c r="W80" s="1041"/>
      <c r="X80" s="1041"/>
      <c r="Y80" s="1041"/>
      <c r="Z80" s="1041"/>
      <c r="AA80" s="1041"/>
      <c r="AB80" s="1041"/>
      <c r="AC80" s="1041"/>
      <c r="AD80" s="1041"/>
      <c r="AE80" s="1041"/>
      <c r="AF80" s="1041"/>
      <c r="AG80" s="1041"/>
      <c r="AH80" s="1041"/>
      <c r="AI80" s="1041"/>
      <c r="AJ80" s="1041"/>
      <c r="AK80" s="1041"/>
      <c r="AL80" s="1041"/>
      <c r="AM80" s="1041"/>
      <c r="AN80" s="1041"/>
      <c r="AO80" s="1041"/>
      <c r="AP80" s="1041"/>
      <c r="AQ80" s="1041"/>
      <c r="AR80" s="1041"/>
      <c r="AS80" s="1041"/>
      <c r="AT80" s="947"/>
      <c r="AU80" s="947"/>
      <c r="AV80" s="947"/>
      <c r="AW80" s="947"/>
      <c r="AX80" s="947"/>
      <c r="AY80" s="947"/>
      <c r="AZ80" s="947"/>
      <c r="BA80" s="947"/>
      <c r="BB80" s="947"/>
      <c r="BC80" s="947"/>
    </row>
    <row r="81" spans="1:55" ht="5.25" customHeight="1">
      <c r="A81" s="684"/>
      <c r="B81" s="684"/>
      <c r="C81" s="684"/>
      <c r="D81" s="690"/>
      <c r="E81" s="1039"/>
      <c r="F81" s="1040"/>
      <c r="G81" s="1039"/>
      <c r="H81" s="1039"/>
      <c r="I81" s="1039"/>
      <c r="J81" s="684"/>
      <c r="K81" s="664"/>
      <c r="L81" s="664"/>
      <c r="M81" s="664"/>
      <c r="N81" s="684"/>
      <c r="O81" s="684"/>
      <c r="P81" s="684"/>
      <c r="Q81" s="684"/>
      <c r="R81" s="684"/>
      <c r="S81" s="684"/>
      <c r="T81" s="684"/>
      <c r="U81" s="684"/>
      <c r="V81" s="684"/>
      <c r="W81" s="684"/>
      <c r="X81" s="684"/>
      <c r="Y81" s="684"/>
      <c r="Z81" s="1091"/>
      <c r="AA81" s="1091"/>
      <c r="AB81" s="1091"/>
      <c r="AC81" s="1091"/>
      <c r="AD81" s="1091"/>
      <c r="AE81" s="1091"/>
      <c r="AF81" s="1091"/>
      <c r="AG81" s="1091"/>
      <c r="AH81" s="1091"/>
      <c r="AI81" s="1091"/>
      <c r="AJ81" s="1091"/>
      <c r="AK81" s="1091"/>
      <c r="AL81" s="1091"/>
      <c r="AM81" s="1091"/>
      <c r="AN81" s="1091"/>
      <c r="AO81" s="1091"/>
      <c r="AP81" s="1091"/>
      <c r="AQ81" s="1091"/>
      <c r="AR81" s="1091"/>
      <c r="AS81" s="1091"/>
      <c r="AT81" s="947"/>
      <c r="AU81" s="947"/>
      <c r="AV81" s="947"/>
      <c r="AW81" s="947"/>
      <c r="AX81" s="947"/>
      <c r="AY81" s="947"/>
      <c r="AZ81" s="947"/>
      <c r="BA81" s="947"/>
      <c r="BB81" s="947"/>
      <c r="BC81" s="947"/>
    </row>
    <row r="82" spans="1:55" ht="14.25">
      <c r="A82" s="684"/>
      <c r="B82" s="684"/>
      <c r="C82" s="684"/>
      <c r="D82" s="690"/>
      <c r="E82" s="1039"/>
      <c r="F82" s="1040"/>
      <c r="G82" s="1040"/>
      <c r="H82" s="1040"/>
      <c r="I82" s="1040"/>
      <c r="J82" s="1040"/>
      <c r="K82" s="1040"/>
      <c r="L82" s="1040"/>
      <c r="M82" s="1040"/>
      <c r="N82" s="1040"/>
      <c r="O82" s="1040"/>
      <c r="P82" s="1040"/>
      <c r="Q82" s="1040"/>
      <c r="R82" s="1040"/>
      <c r="S82" s="1040"/>
      <c r="T82" s="1040"/>
      <c r="U82" s="1040"/>
      <c r="V82" s="1040"/>
      <c r="W82" s="1040"/>
      <c r="X82" s="1040"/>
      <c r="Y82" s="1040"/>
      <c r="Z82" s="1040"/>
      <c r="AA82" s="1040"/>
      <c r="AB82" s="1040"/>
      <c r="AC82" s="1040"/>
      <c r="AD82" s="1040"/>
      <c r="AE82" s="1040"/>
      <c r="AF82" s="1040"/>
      <c r="AG82" s="1040"/>
      <c r="AH82" s="1040"/>
      <c r="AI82" s="1040"/>
      <c r="AJ82" s="1040"/>
      <c r="AK82" s="1040"/>
      <c r="AL82" s="1040"/>
      <c r="AM82" s="1040"/>
      <c r="AN82" s="1040"/>
      <c r="AO82" s="1040"/>
      <c r="AP82" s="1040"/>
      <c r="AQ82" s="1040"/>
      <c r="AR82" s="1040"/>
      <c r="AS82" s="1040"/>
      <c r="AT82" s="947"/>
      <c r="AU82" s="947"/>
      <c r="AV82" s="947"/>
      <c r="AW82" s="947"/>
      <c r="AX82" s="947"/>
      <c r="AY82" s="947"/>
      <c r="AZ82" s="947"/>
      <c r="BA82" s="947"/>
      <c r="BB82" s="947"/>
      <c r="BC82" s="947"/>
    </row>
    <row r="83" spans="1:55" ht="14.25">
      <c r="A83" s="684"/>
      <c r="B83" s="684"/>
      <c r="C83" s="684" t="s">
        <v>518</v>
      </c>
      <c r="D83" s="690" t="s">
        <v>291</v>
      </c>
      <c r="E83" s="1033">
        <v>0</v>
      </c>
      <c r="F83" s="1033">
        <f ca="1">VLOOKUP(F$76,Calc_Storage!$F$4:$AH$48, 27, FALSE)</f>
        <v>12480</v>
      </c>
      <c r="G83" s="1033">
        <f ca="1">VLOOKUP(G$76,Calc_Storage!$F$4:$AH$48, 27, FALSE)</f>
        <v>18000</v>
      </c>
      <c r="H83" s="1033">
        <f ca="1">VLOOKUP(H$76,Calc_Storage!$F$4:$AH$48, 27, FALSE)</f>
        <v>24960</v>
      </c>
      <c r="I83" s="1033">
        <f ca="1">VLOOKUP(I$76,Calc_Storage!$F$4:$AH$48, 27, FALSE)</f>
        <v>33000.856539642133</v>
      </c>
      <c r="J83" s="1033">
        <f ca="1">VLOOKUP(J$76,Calc_Storage!$F$4:$AH$48, 27, FALSE)</f>
        <v>38250.271810301812</v>
      </c>
      <c r="K83" s="1033">
        <f ca="1">VLOOKUP(K$76,Calc_Storage!$F$4:$AH$48, 27, FALSE)</f>
        <v>44627.104247384552</v>
      </c>
      <c r="L83" s="1033">
        <f ca="1">VLOOKUP(L$76,Calc_Storage!$F$4:$AH$48, 27, FALSE)</f>
        <v>52606.548121847467</v>
      </c>
      <c r="M83" s="1033">
        <f ca="1">VLOOKUP(M$76,Calc_Storage!$F$4:$AH$48, 27, FALSE)</f>
        <v>62256.700584896913</v>
      </c>
      <c r="N83" s="1033">
        <f ca="1">VLOOKUP(N$76,Calc_Storage!$F$4:$AH$48, 27, FALSE)</f>
        <v>73344.576775975729</v>
      </c>
      <c r="O83" s="1033">
        <f ca="1">VLOOKUP(O$76,Calc_Storage!$F$4:$AH$48, 27, FALSE)</f>
        <v>87117.487230689847</v>
      </c>
      <c r="P83" s="1033">
        <f ca="1">VLOOKUP(P$76,Calc_Storage!$F$4:$AH$48, 27, FALSE)</f>
        <v>103737.63486860058</v>
      </c>
      <c r="Q83" s="1033">
        <f ca="1">VLOOKUP(Q$76,Calc_Storage!$F$4:$AH$48, 27, FALSE)</f>
        <v>123782.93265638435</v>
      </c>
      <c r="R83" s="1033">
        <f ca="1">VLOOKUP(R$76,Calc_Storage!$F$4:$AH$48, 27, FALSE)</f>
        <v>147948.99219612041</v>
      </c>
      <c r="S83" s="1033">
        <f ca="1">VLOOKUP(S$76,Calc_Storage!$F$4:$AH$48, 27, FALSE)</f>
        <v>177073.07933276315</v>
      </c>
      <c r="T83" s="1033">
        <f ca="1">VLOOKUP(T$76,Calc_Storage!$F$4:$AH$48, 27, FALSE)</f>
        <v>212162.94609814297</v>
      </c>
      <c r="U83" s="1033">
        <f ca="1">VLOOKUP(U$76,Calc_Storage!$F$4:$AH$48, 27, FALSE)</f>
        <v>254431.53158341633</v>
      </c>
      <c r="V83" s="1033">
        <f ca="1">VLOOKUP(V$76,Calc_Storage!$F$4:$AH$48, 27, FALSE)</f>
        <v>305338.72637754621</v>
      </c>
      <c r="W83" s="1033">
        <f ca="1">VLOOKUP(W$76,Calc_Storage!$F$4:$AH$48, 27, FALSE)</f>
        <v>366641.63838216482</v>
      </c>
      <c r="X83" s="1033">
        <f ca="1">VLOOKUP(X$76,Calc_Storage!$F$4:$AH$48, 27, FALSE)</f>
        <v>440455.09048459376</v>
      </c>
      <c r="Y83" s="1033">
        <f ca="1">VLOOKUP(Y$76,Calc_Storage!$F$4:$AH$48, 27, FALSE)</f>
        <v>530123.54235889763</v>
      </c>
      <c r="Z83" s="1033">
        <f ca="1">VLOOKUP(Z$76,Calc_Storage!$F$4:$AH$48, 27, FALSE)</f>
        <v>638043.22008394904</v>
      </c>
      <c r="AA83" s="1033">
        <f ca="1">VLOOKUP(AA$76,Calc_Storage!$F$4:$AH$48, 27, FALSE)</f>
        <v>767882.89641116152</v>
      </c>
      <c r="AB83" s="1033">
        <f ca="1">VLOOKUP(AB$76,Calc_Storage!$F$4:$AH$48, 27, FALSE)</f>
        <v>924152.37818162842</v>
      </c>
      <c r="AC83" s="1033">
        <f ca="1">VLOOKUP(AC$76,Calc_Storage!$F$4:$AH$48, 27, FALSE)</f>
        <v>1181641.7216583267</v>
      </c>
      <c r="AD83" s="1033">
        <f ca="1">VLOOKUP(AD$76,Calc_Storage!$F$4:$AH$48, 27, FALSE)</f>
        <v>1348408.0194995778</v>
      </c>
      <c r="AE83" s="1033">
        <f ca="1">VLOOKUP(AE$76,Calc_Storage!$F$4:$AH$48, 27, FALSE)</f>
        <v>1494484.0100706478</v>
      </c>
      <c r="AF83" s="1033">
        <f ca="1">VLOOKUP(AF$76,Calc_Storage!$F$4:$AH$48, 27, FALSE)</f>
        <v>1604898.4639649838</v>
      </c>
      <c r="AG83" s="1033">
        <f ca="1">VLOOKUP(AG$76,Calc_Storage!$F$4:$AH$48, 27, FALSE)</f>
        <v>1665983.9872697047</v>
      </c>
      <c r="AH83" s="1033">
        <f ca="1">VLOOKUP(AH$76,Calc_Storage!$F$4:$AH$48, 27, FALSE)</f>
        <v>1664530.528165695</v>
      </c>
      <c r="AI83" s="1033">
        <f ca="1">VLOOKUP(AI$76,Calc_Storage!$F$4:$AH$48, 27, FALSE)</f>
        <v>1504528.4116631639</v>
      </c>
      <c r="AJ83" s="1033">
        <f ca="1">VLOOKUP(AJ$76,Calc_Storage!$F$4:$AH$48, 27, FALSE)</f>
        <v>1407473.1961640723</v>
      </c>
      <c r="AK83" s="1033">
        <f ca="1">VLOOKUP(AK$76,Calc_Storage!$F$4:$AH$48, 27, FALSE)</f>
        <v>1283119.8093901402</v>
      </c>
      <c r="AL83" s="1033">
        <f ca="1">VLOOKUP(AL$76,Calc_Storage!$F$4:$AH$48, 27, FALSE)</f>
        <v>1141800.7137580584</v>
      </c>
      <c r="AM83" s="1033">
        <f ca="1">VLOOKUP(AM$76,Calc_Storage!$F$4:$AH$48, 27, FALSE)</f>
        <v>991359.50420256099</v>
      </c>
      <c r="AN83" s="1033">
        <f ca="1">VLOOKUP(AN$76,Calc_Storage!$F$4:$AH$48, 27, FALSE)</f>
        <v>837753.64927514549</v>
      </c>
      <c r="AO83" s="1033">
        <f ca="1">VLOOKUP(AO$76,Calc_Storage!$F$4:$AH$48, 27, FALSE)</f>
        <v>685521.50550539605</v>
      </c>
      <c r="AP83" s="1033">
        <f ca="1">VLOOKUP(AP$76,Calc_Storage!$F$4:$AH$48, 27, FALSE)</f>
        <v>538145.71868768614</v>
      </c>
      <c r="AQ83" s="1033">
        <f ca="1">VLOOKUP(AQ$76,Calc_Storage!$F$4:$AH$48, 27, FALSE)</f>
        <v>398337.8726006737</v>
      </c>
      <c r="AR83" s="1033">
        <f ca="1">VLOOKUP(AR$76,Calc_Storage!$F$4:$AH$48, 27, FALSE)</f>
        <v>268263.69828318432</v>
      </c>
      <c r="AS83" s="1033">
        <f ca="1">VLOOKUP(AS$76,Calc_Storage!$F$4:$AH$48, 27, FALSE)</f>
        <v>149723.92831729399</v>
      </c>
      <c r="AT83" s="947"/>
      <c r="AU83" s="947"/>
      <c r="AV83" s="947"/>
      <c r="AW83" s="947"/>
      <c r="AX83" s="947"/>
      <c r="AY83" s="947"/>
      <c r="AZ83" s="947"/>
      <c r="BA83" s="947"/>
      <c r="BB83" s="947"/>
      <c r="BC83" s="947"/>
    </row>
    <row r="84" spans="1:55" ht="14.25">
      <c r="A84" s="684"/>
      <c r="B84" s="684"/>
      <c r="C84" s="684" t="str">
        <f>Calc_Misc!D47</f>
        <v>Time saved thanks to less retractions of published works</v>
      </c>
      <c r="D84" s="690" t="s">
        <v>291</v>
      </c>
      <c r="E84" s="1033">
        <v>0</v>
      </c>
      <c r="F84" s="1033">
        <f ca="1">HLOOKUP(F$76,Calc_Misc!$S$49:$BG$58,10,FALSE)</f>
        <v>0</v>
      </c>
      <c r="G84" s="1033">
        <f ca="1">HLOOKUP(G$76,Calc_Misc!$S$49:$BG$58,10,FALSE)</f>
        <v>0</v>
      </c>
      <c r="H84" s="1033">
        <f ca="1">HLOOKUP(H$76,Calc_Misc!$S$49:$BG$58,10,FALSE)</f>
        <v>0</v>
      </c>
      <c r="I84" s="1033">
        <f ca="1">HLOOKUP(I$76,Calc_Misc!$S$49:$BG$58,10,FALSE)</f>
        <v>0</v>
      </c>
      <c r="J84" s="1033">
        <f ca="1">HLOOKUP(J$76,Calc_Misc!$S$49:$BG$58,10,FALSE)</f>
        <v>0</v>
      </c>
      <c r="K84" s="1033">
        <f ca="1">HLOOKUP(K$76,Calc_Misc!$S$49:$BG$58,10,FALSE)</f>
        <v>0</v>
      </c>
      <c r="L84" s="1033">
        <f ca="1">HLOOKUP(L$76,Calc_Misc!$S$49:$BG$58,10,FALSE)</f>
        <v>0</v>
      </c>
      <c r="M84" s="1033">
        <f ca="1">HLOOKUP(M$76,Calc_Misc!$S$49:$BG$58,10,FALSE)</f>
        <v>0</v>
      </c>
      <c r="N84" s="1033">
        <f ca="1">HLOOKUP(N$76,Calc_Misc!$S$49:$BG$58,10,FALSE)</f>
        <v>0</v>
      </c>
      <c r="O84" s="1033">
        <f ca="1">HLOOKUP(O$76,Calc_Misc!$S$49:$BG$58,10,FALSE)</f>
        <v>0</v>
      </c>
      <c r="P84" s="1033">
        <f ca="1">HLOOKUP(P$76,Calc_Misc!$S$49:$BG$58,10,FALSE)</f>
        <v>0</v>
      </c>
      <c r="Q84" s="1033">
        <f ca="1">HLOOKUP(Q$76,Calc_Misc!$S$49:$BG$58,10,FALSE)</f>
        <v>0</v>
      </c>
      <c r="R84" s="1033">
        <f ca="1">HLOOKUP(R$76,Calc_Misc!$S$49:$BG$58,10,FALSE)</f>
        <v>0</v>
      </c>
      <c r="S84" s="1033">
        <f ca="1">HLOOKUP(S$76,Calc_Misc!$S$49:$BG$58,10,FALSE)</f>
        <v>0</v>
      </c>
      <c r="T84" s="1033">
        <f ca="1">HLOOKUP(T$76,Calc_Misc!$S$49:$BG$58,10,FALSE)</f>
        <v>0</v>
      </c>
      <c r="U84" s="1033">
        <f ca="1">HLOOKUP(U$76,Calc_Misc!$S$49:$BG$58,10,FALSE)</f>
        <v>0</v>
      </c>
      <c r="V84" s="1033">
        <f ca="1">HLOOKUP(V$76,Calc_Misc!$S$49:$BG$58,10,FALSE)</f>
        <v>0</v>
      </c>
      <c r="W84" s="1033">
        <f ca="1">HLOOKUP(W$76,Calc_Misc!$S$49:$BG$58,10,FALSE)</f>
        <v>0</v>
      </c>
      <c r="X84" s="1033">
        <f ca="1">HLOOKUP(X$76,Calc_Misc!$S$49:$BG$58,10,FALSE)</f>
        <v>0</v>
      </c>
      <c r="Y84" s="1033">
        <f ca="1">HLOOKUP(Y$76,Calc_Misc!$S$49:$BG$58,10,FALSE)</f>
        <v>0</v>
      </c>
      <c r="Z84" s="1033">
        <f ca="1">HLOOKUP(Z$76,Calc_Misc!$S$49:$BG$58,10,FALSE)</f>
        <v>0</v>
      </c>
      <c r="AA84" s="1033">
        <f ca="1">HLOOKUP(AA$76,Calc_Misc!$S$49:$BG$58,10,FALSE)</f>
        <v>0</v>
      </c>
      <c r="AB84" s="1033">
        <f ca="1">HLOOKUP(AB$76,Calc_Misc!$S$49:$BG$58,10,FALSE)</f>
        <v>0</v>
      </c>
      <c r="AC84" s="1033">
        <f ca="1">HLOOKUP(AC$76,Calc_Misc!$S$49:$BG$58,10,FALSE)</f>
        <v>0</v>
      </c>
      <c r="AD84" s="1033">
        <f ca="1">HLOOKUP(AD$76,Calc_Misc!$S$49:$BG$58,10,FALSE)</f>
        <v>0</v>
      </c>
      <c r="AE84" s="1033">
        <f ca="1">HLOOKUP(AE$76,Calc_Misc!$S$49:$BG$58,10,FALSE)</f>
        <v>0</v>
      </c>
      <c r="AF84" s="1033">
        <f ca="1">HLOOKUP(AF$76,Calc_Misc!$S$49:$BG$58,10,FALSE)</f>
        <v>0</v>
      </c>
      <c r="AG84" s="1033">
        <f ca="1">HLOOKUP(AG$76,Calc_Misc!$S$49:$BG$58,10,FALSE)</f>
        <v>0</v>
      </c>
      <c r="AH84" s="1033">
        <f ca="1">HLOOKUP(AH$76,Calc_Misc!$S$49:$BG$58,10,FALSE)</f>
        <v>0</v>
      </c>
      <c r="AI84" s="1033">
        <f ca="1">HLOOKUP(AI$76,Calc_Misc!$S$49:$BG$58,10,FALSE)</f>
        <v>0</v>
      </c>
      <c r="AJ84" s="1033">
        <f ca="1">HLOOKUP(AJ$76,Calc_Misc!$S$49:$BG$58,10,FALSE)</f>
        <v>0</v>
      </c>
      <c r="AK84" s="1033">
        <f ca="1">HLOOKUP(AK$76,Calc_Misc!$S$49:$BG$58,10,FALSE)</f>
        <v>0</v>
      </c>
      <c r="AL84" s="1033">
        <f ca="1">HLOOKUP(AL$76,Calc_Misc!$S$49:$BG$58,10,FALSE)</f>
        <v>0</v>
      </c>
      <c r="AM84" s="1033">
        <f ca="1">HLOOKUP(AM$76,Calc_Misc!$S$49:$BG$58,10,FALSE)</f>
        <v>0</v>
      </c>
      <c r="AN84" s="1033">
        <f ca="1">HLOOKUP(AN$76,Calc_Misc!$S$49:$BG$58,10,FALSE)</f>
        <v>0</v>
      </c>
      <c r="AO84" s="1033">
        <f ca="1">HLOOKUP(AO$76,Calc_Misc!$S$49:$BG$58,10,FALSE)</f>
        <v>0</v>
      </c>
      <c r="AP84" s="1033">
        <f ca="1">HLOOKUP(AP$76,Calc_Misc!$S$49:$BG$58,10,FALSE)</f>
        <v>0</v>
      </c>
      <c r="AQ84" s="1033">
        <f ca="1">HLOOKUP(AQ$76,Calc_Misc!$S$49:$BG$58,10,FALSE)</f>
        <v>0</v>
      </c>
      <c r="AR84" s="1033">
        <f ca="1">HLOOKUP(AR$76,Calc_Misc!$S$49:$BG$58,10,FALSE)</f>
        <v>0</v>
      </c>
      <c r="AS84" s="1033">
        <f ca="1">HLOOKUP(AS$76,Calc_Misc!$S$49:$BG$58,10,FALSE)</f>
        <v>0</v>
      </c>
      <c r="AT84" s="947"/>
      <c r="AU84" s="947"/>
      <c r="AV84" s="947"/>
      <c r="AW84" s="947"/>
      <c r="AX84" s="947"/>
      <c r="AY84" s="947"/>
      <c r="AZ84" s="947"/>
      <c r="BA84" s="947"/>
      <c r="BB84" s="947"/>
      <c r="BC84" s="947"/>
    </row>
    <row r="85" spans="1:55" ht="14.25">
      <c r="A85" s="684"/>
      <c r="B85" s="684"/>
      <c r="C85" s="684" t="str">
        <f>Calc_time!V619</f>
        <v>Publishing costs saved thanks to open access</v>
      </c>
      <c r="D85" s="690" t="s">
        <v>291</v>
      </c>
      <c r="E85" s="1033">
        <f ca="1">HLOOKUP(E$76,Calc_time!$W$614:$BK$619,6,FALSE)</f>
        <v>0</v>
      </c>
      <c r="F85" s="1033">
        <f ca="1">HLOOKUP(F$76,Calc_time!$W$614:$BK$619,6,FALSE)</f>
        <v>950.65489580236681</v>
      </c>
      <c r="G85" s="1033">
        <f ca="1">HLOOKUP(G$76,Calc_time!$W$614:$BK$619,6,FALSE)</f>
        <v>1030.4575446415693</v>
      </c>
      <c r="H85" s="1033">
        <f ca="1">HLOOKUP(H$76,Calc_time!$W$614:$BK$619,6,FALSE)</f>
        <v>1084.2857148393341</v>
      </c>
      <c r="I85" s="1033">
        <f ca="1">HLOOKUP(I$76,Calc_time!$W$614:$BK$619,6,FALSE)</f>
        <v>1105.8613245782144</v>
      </c>
      <c r="J85" s="1033">
        <f ca="1">HLOOKUP(J$76,Calc_time!$W$614:$BK$619,6,FALSE)</f>
        <v>1092.5350905959131</v>
      </c>
      <c r="K85" s="1033">
        <f ca="1">HLOOKUP(K$76,Calc_time!$W$614:$BK$619,6,FALSE)</f>
        <v>1045.9523131096794</v>
      </c>
      <c r="L85" s="1033">
        <f ca="1">HLOOKUP(L$76,Calc_time!$W$614:$BK$619,6,FALSE)</f>
        <v>971.63646860655717</v>
      </c>
      <c r="M85" s="1033">
        <f ca="1">HLOOKUP(M$76,Calc_time!$W$614:$BK$619,6,FALSE)</f>
        <v>877.66328973067357</v>
      </c>
      <c r="N85" s="1033">
        <f ca="1">HLOOKUP(N$76,Calc_time!$W$614:$BK$619,6,FALSE)</f>
        <v>772.94093806732235</v>
      </c>
      <c r="O85" s="1033">
        <f ca="1">HLOOKUP(O$76,Calc_time!$W$614:$BK$619,6,FALSE)</f>
        <v>665.66784221887247</v>
      </c>
      <c r="P85" s="1033">
        <f ca="1">HLOOKUP(P$76,Calc_time!$W$614:$BK$619,6,FALSE)</f>
        <v>562.33620475387033</v>
      </c>
      <c r="Q85" s="1033">
        <f ca="1">HLOOKUP(Q$76,Calc_time!$W$614:$BK$619,6,FALSE)</f>
        <v>467.35929861351906</v>
      </c>
      <c r="R85" s="1033">
        <f ca="1">HLOOKUP(R$76,Calc_time!$W$614:$BK$619,6,FALSE)</f>
        <v>383.18670070991902</v>
      </c>
      <c r="S85" s="1033">
        <f ca="1">HLOOKUP(S$76,Calc_time!$W$614:$BK$619,6,FALSE)</f>
        <v>310.69233011807228</v>
      </c>
      <c r="T85" s="1033">
        <f ca="1">HLOOKUP(T$76,Calc_time!$W$614:$BK$619,6,FALSE)</f>
        <v>249.64486584025508</v>
      </c>
      <c r="U85" s="1033">
        <f ca="1">HLOOKUP(U$76,Calc_time!$W$614:$BK$619,6,FALSE)</f>
        <v>199.13873979521668</v>
      </c>
      <c r="V85" s="1033">
        <f ca="1">HLOOKUP(V$76,Calc_time!$W$614:$BK$619,6,FALSE)</f>
        <v>157.93090683633818</v>
      </c>
      <c r="W85" s="1033">
        <f ca="1">HLOOKUP(W$76,Calc_time!$W$614:$BK$619,6,FALSE)</f>
        <v>124.67442879077316</v>
      </c>
      <c r="X85" s="1033">
        <f ca="1">HLOOKUP(X$76,Calc_time!$W$614:$BK$619,6,FALSE)</f>
        <v>98.063445940028032</v>
      </c>
      <c r="Y85" s="1033">
        <f ca="1">HLOOKUP(Y$76,Calc_time!$W$614:$BK$619,6,FALSE)</f>
        <v>76.911854426700302</v>
      </c>
      <c r="Z85" s="1033">
        <f ca="1">HLOOKUP(Z$76,Calc_time!$W$614:$BK$619,6,FALSE)</f>
        <v>60.187142659460733</v>
      </c>
      <c r="AA85" s="1033">
        <f ca="1">HLOOKUP(AA$76,Calc_time!$W$614:$BK$619,6,FALSE)</f>
        <v>47.01651772851983</v>
      </c>
      <c r="AB85" s="1033">
        <f ca="1">HLOOKUP(AB$76,Calc_time!$W$614:$BK$619,6,FALSE)</f>
        <v>36.677564623496437</v>
      </c>
      <c r="AC85" s="1033">
        <f ca="1">HLOOKUP(AC$76,Calc_time!$W$614:$BK$619,6,FALSE)</f>
        <v>28.581496467142642</v>
      </c>
      <c r="AD85" s="1033">
        <f ca="1">HLOOKUP(AD$76,Calc_time!$W$614:$BK$619,6,FALSE)</f>
        <v>22.25392403148544</v>
      </c>
      <c r="AE85" s="1033">
        <f ca="1">HLOOKUP(AE$76,Calc_time!$W$614:$BK$619,6,FALSE)</f>
        <v>17.315925314684137</v>
      </c>
      <c r="AF85" s="1033">
        <f ca="1">HLOOKUP(AF$76,Calc_time!$W$614:$BK$619,6,FALSE)</f>
        <v>13.466816702928554</v>
      </c>
      <c r="AG85" s="1033">
        <f ca="1">HLOOKUP(AG$76,Calc_time!$W$614:$BK$619,6,FALSE)</f>
        <v>10.469192806109277</v>
      </c>
      <c r="AH85" s="1033">
        <f ca="1">HLOOKUP(AH$76,Calc_time!$W$614:$BK$619,6,FALSE)</f>
        <v>8.1363291244288121</v>
      </c>
      <c r="AI85" s="1033">
        <f ca="1">HLOOKUP(AI$76,Calc_time!$W$614:$BK$619,6,FALSE)</f>
        <v>6.3217963045863144</v>
      </c>
      <c r="AJ85" s="1033">
        <f ca="1">HLOOKUP(AJ$76,Calc_time!$W$614:$BK$619,6,FALSE)</f>
        <v>4.9110257206266397</v>
      </c>
      <c r="AK85" s="1033">
        <f ca="1">HLOOKUP(AK$76,Calc_time!$W$614:$BK$619,6,FALSE)</f>
        <v>3.8145345528591861</v>
      </c>
      <c r="AL85" s="1033">
        <f ca="1">HLOOKUP(AL$76,Calc_time!$W$614:$BK$619,6,FALSE)</f>
        <v>2.9625279440333543</v>
      </c>
      <c r="AM85" s="1033">
        <f ca="1">HLOOKUP(AM$76,Calc_time!$W$614:$BK$619,6,FALSE)</f>
        <v>2.3006244722510019</v>
      </c>
      <c r="AN85" s="1033">
        <f ca="1">HLOOKUP(AN$76,Calc_time!$W$614:$BK$619,6,FALSE)</f>
        <v>1.7864867426778801</v>
      </c>
      <c r="AO85" s="1033">
        <f ca="1">HLOOKUP(AO$76,Calc_time!$W$614:$BK$619,6,FALSE)</f>
        <v>1.3871747415014397</v>
      </c>
      <c r="AP85" s="1033">
        <f ca="1">HLOOKUP(AP$76,Calc_time!$W$614:$BK$619,6,FALSE)</f>
        <v>1.0770724814319692</v>
      </c>
      <c r="AQ85" s="1033">
        <f ca="1">HLOOKUP(AQ$76,Calc_time!$W$614:$BK$619,6,FALSE)</f>
        <v>0.83626709577583824</v>
      </c>
      <c r="AR85" s="1033">
        <f ca="1">HLOOKUP(AR$76,Calc_time!$W$614:$BK$619,6,FALSE)</f>
        <v>0.64928365134073829</v>
      </c>
      <c r="AS85" s="1033">
        <f ca="1">HLOOKUP(AS$76,Calc_time!$W$614:$BK$619,6,FALSE)</f>
        <v>0.50409881943232904</v>
      </c>
      <c r="AT85" s="947"/>
      <c r="AU85" s="947"/>
      <c r="AV85" s="947"/>
      <c r="AW85" s="947"/>
      <c r="AX85" s="947"/>
      <c r="AY85" s="947"/>
      <c r="AZ85" s="947"/>
      <c r="BA85" s="947"/>
      <c r="BB85" s="947"/>
      <c r="BC85" s="947"/>
    </row>
    <row r="86" spans="1:55" ht="14.25">
      <c r="A86" s="684"/>
      <c r="B86" s="684"/>
      <c r="C86" s="684" t="str">
        <f>Calc_Misc!D28</f>
        <v>Licensing saving to access studies</v>
      </c>
      <c r="D86" s="690" t="s">
        <v>291</v>
      </c>
      <c r="E86" s="1033">
        <v>0</v>
      </c>
      <c r="F86" s="1033">
        <f ca="1">HLOOKUP(F$76,Calc_Misc!S31:BG33,2,FALSE) *(100% + F$47)</f>
        <v>429.99029345751427</v>
      </c>
      <c r="G86" s="1033">
        <f ca="1">HLOOKUP(G$76,Calc_Misc!T31:BH33,2,FALSE) *(100% + G$47)</f>
        <v>875.05085972231655</v>
      </c>
      <c r="H86" s="1033">
        <f ca="1">HLOOKUP(H$76,Calc_Misc!U31:BI33,2,FALSE) *(100% + H$47)</f>
        <v>1335.1882795718436</v>
      </c>
      <c r="I86" s="1033">
        <f ca="1">HLOOKUP(I$76,Calc_Misc!V31:BJ33,2,FALSE) *(100% + I$47)</f>
        <v>1807.6079673913346</v>
      </c>
      <c r="J86" s="1033">
        <f ca="1">HLOOKUP(J$76,Calc_Misc!W31:BK33,2,FALSE) *(100% + J$47)</f>
        <v>2295.8414516989387</v>
      </c>
      <c r="K86" s="1033">
        <f ca="1">HLOOKUP(K$76,Calc_Misc!X31:BL33,2,FALSE) *(100% + K$47)</f>
        <v>2798.3372309518122</v>
      </c>
      <c r="L86" s="1033">
        <f ca="1">HLOOKUP(L$76,Calc_Misc!Y31:BM33,2,FALSE) *(100% + L$47)</f>
        <v>3314.8592364558467</v>
      </c>
      <c r="M86" s="1033">
        <f ca="1">HLOOKUP(M$76,Calc_Misc!Z31:BN33,2,FALSE) *(100% + M$47)</f>
        <v>3845.1102329185187</v>
      </c>
      <c r="N86" s="1033">
        <f ca="1">HLOOKUP(N$76,Calc_Misc!AA31:BO33,2,FALSE) *(100% + N$47)</f>
        <v>4388.7302479297277</v>
      </c>
      <c r="O86" s="1033">
        <f ca="1">HLOOKUP(O$76,Calc_Misc!AB31:BP33,2,FALSE) *(100% + O$47)</f>
        <v>4945.2954917435682</v>
      </c>
      <c r="P86" s="1033">
        <f ca="1">HLOOKUP(P$76,Calc_Misc!AC31:BQ33,2,FALSE) *(100% + P$47)</f>
        <v>5514.3178180380191</v>
      </c>
      <c r="Q86" s="1033">
        <f ca="1">HLOOKUP(Q$76,Calc_Misc!AD31:BR33,2,FALSE) *(100% + Q$47)</f>
        <v>6095.2447707953997</v>
      </c>
      <c r="R86" s="1033">
        <f ca="1">HLOOKUP(R$76,Calc_Misc!AE31:BS33,2,FALSE) *(100% + R$47)</f>
        <v>6687.4602553614259</v>
      </c>
      <c r="S86" s="1033">
        <f ca="1">HLOOKUP(S$76,Calc_Misc!AF31:BT33,2,FALSE) *(100% + S$47)</f>
        <v>7290.2858631601875</v>
      </c>
      <c r="T86" s="1033">
        <f ca="1">HLOOKUP(T$76,Calc_Misc!AG31:BU33,2,FALSE) *(100% + T$47)</f>
        <v>7902.9828695813458</v>
      </c>
      <c r="U86" s="1033">
        <f ca="1">HLOOKUP(U$76,Calc_Misc!AH31:BV33,2,FALSE) *(100% + U$47)</f>
        <v>8524.7549133907069</v>
      </c>
      <c r="V86" s="1033">
        <f ca="1">HLOOKUP(V$76,Calc_Misc!AI31:BW33,2,FALSE) *(100% + V$47)</f>
        <v>9154.7513538827916</v>
      </c>
      <c r="W86" s="1033">
        <f ca="1">HLOOKUP(W$76,Calc_Misc!AJ31:BX33,2,FALSE) *(100% + W$47)</f>
        <v>9792.0712891848016</v>
      </c>
      <c r="X86" s="1033">
        <f ca="1">HLOOKUP(X$76,Calc_Misc!AK31:BY33,2,FALSE) *(100% + X$47)</f>
        <v>10435.768205975834</v>
      </c>
      <c r="Y86" s="1033">
        <f ca="1">HLOOKUP(Y$76,Calc_Misc!AL31:BZ33,2,FALSE) *(100% + Y$47)</f>
        <v>11084.855217777211</v>
      </c>
      <c r="Z86" s="1033">
        <f ca="1">HLOOKUP(Z$76,Calc_Misc!AM31:CA33,2,FALSE) *(100% + Z$47)</f>
        <v>11738.310836298364</v>
      </c>
      <c r="AA86" s="1033">
        <f ca="1">HLOOKUP(AA$76,Calc_Misc!AN31:CB33,2,FALSE) *(100% + AA$47)</f>
        <v>12395.085208490173</v>
      </c>
      <c r="AB86" s="1033">
        <f ca="1">HLOOKUP(AB$76,Calc_Misc!AO31:CC33,2,FALSE) *(100% + AB$47)</f>
        <v>13054.106741357638</v>
      </c>
      <c r="AC86" s="1033">
        <f ca="1">HLOOKUP(AC$76,Calc_Misc!AP31:CD33,2,FALSE) *(100% + AC$47)</f>
        <v>13714.289027577765</v>
      </c>
      <c r="AD86" s="1033">
        <f ca="1">HLOOKUP(AD$76,Calc_Misc!AQ31:CE33,2,FALSE) *(100% + AD$47)</f>
        <v>14374.537977873757</v>
      </c>
      <c r="AE86" s="1033">
        <f ca="1">HLOOKUP(AE$76,Calc_Misc!AR31:CF33,2,FALSE) *(100% + AE$47)</f>
        <v>15033.75906116598</v>
      </c>
      <c r="AF86" s="1033">
        <f ca="1">HLOOKUP(AF$76,Calc_Misc!AS31:CG33,2,FALSE) *(100% + AF$47)</f>
        <v>15690.864550933044</v>
      </c>
      <c r="AG86" s="1033">
        <f ca="1">HLOOKUP(AG$76,Calc_Misc!AT31:CH33,2,FALSE) *(100% + AG$47)</f>
        <v>16344.78067606685</v>
      </c>
      <c r="AH86" s="1033">
        <f ca="1">HLOOKUP(AH$76,Calc_Misc!AU31:CI33,2,FALSE) *(100% + AH$47)</f>
        <v>16994.454576799319</v>
      </c>
      <c r="AI86" s="1033">
        <f ca="1">HLOOKUP(AI$76,Calc_Misc!AV31:CJ33,2,FALSE) *(100% + AI$47)</f>
        <v>17638.860970931783</v>
      </c>
      <c r="AJ86" s="1033">
        <f ca="1">HLOOKUP(AJ$76,Calc_Misc!AW31:CK33,2,FALSE) *(100% + AJ$47)</f>
        <v>18277.008442441671</v>
      </c>
      <c r="AK86" s="1033">
        <f ca="1">HLOOKUP(AK$76,Calc_Misc!AX31:CL33,2,FALSE) *(100% + AK$47)</f>
        <v>18907.945273330264</v>
      </c>
      <c r="AL86" s="1033">
        <f ca="1">HLOOKUP(AL$76,Calc_Misc!AY31:CM33,2,FALSE) *(100% + AL$47)</f>
        <v>19530.764749999893</v>
      </c>
      <c r="AM86" s="1033">
        <f ca="1">HLOOKUP(AM$76,Calc_Misc!AZ31:CN33,2,FALSE) *(100% + AM$47)</f>
        <v>20144.609887152194</v>
      </c>
      <c r="AN86" s="1033">
        <f ca="1">HLOOKUP(AN$76,Calc_Misc!BA31:CO33,2,FALSE) *(100% + AN$47)</f>
        <v>20748.677524789655</v>
      </c>
      <c r="AO86" s="1033">
        <f ca="1">HLOOKUP(AO$76,Calc_Misc!BB31:CP33,2,FALSE) *(100% + AO$47)</f>
        <v>21342.221766979288</v>
      </c>
      <c r="AP86" s="1033">
        <f ca="1">HLOOKUP(AP$76,Calc_Misc!BC31:CQ33,2,FALSE) *(100% + AP$47)</f>
        <v>21924.556744198751</v>
      </c>
      <c r="AQ86" s="1033">
        <f ca="1">HLOOKUP(AQ$76,Calc_Misc!BD31:CR33,2,FALSE) *(100% + AQ$47)</f>
        <v>22495.058693954375</v>
      </c>
      <c r="AR86" s="1033">
        <f ca="1">HLOOKUP(AR$76,Calc_Misc!BE31:CS33,2,FALSE) *(100% + AR$47)</f>
        <v>23053.167366592144</v>
      </c>
      <c r="AS86" s="1033">
        <f ca="1">HLOOKUP(AS$76,Calc_Misc!BF31:CT33,2,FALSE) *(100% + AS$47)</f>
        <v>23598.38677451924</v>
      </c>
      <c r="AT86" s="947"/>
      <c r="AU86" s="947"/>
      <c r="AV86" s="947"/>
      <c r="AW86" s="947"/>
      <c r="AX86" s="947"/>
      <c r="AY86" s="947"/>
      <c r="AZ86" s="947"/>
      <c r="BA86" s="947"/>
      <c r="BB86" s="947"/>
      <c r="BC86" s="947"/>
    </row>
    <row r="87" spans="1:55" ht="14.25">
      <c r="A87" s="684"/>
      <c r="B87" s="684"/>
      <c r="C87" s="684" t="str">
        <f>Calc_time!V562</f>
        <v>Saving in time for internal reusers thanks to the implementation of the FAIR principles in creating, collection and integrating</v>
      </c>
      <c r="D87" s="690" t="s">
        <v>291</v>
      </c>
      <c r="E87" s="1033">
        <v>0</v>
      </c>
      <c r="F87" s="1033">
        <f ca="1">HLOOKUP(F$129,Calc_time!$W$558:$BK$564,5,FALSE) *(100% + F$47)</f>
        <v>21548.275552418807</v>
      </c>
      <c r="G87" s="1033">
        <f ca="1">HLOOKUP(G$129,Calc_time!$W$558:$BK$564,5,FALSE) *(100% + G$47)</f>
        <v>21558.941216185583</v>
      </c>
      <c r="H87" s="1033">
        <f ca="1">HLOOKUP(H$129,Calc_time!$W$558:$BK$564,5,FALSE) *(100% + H$47)</f>
        <v>21541.376700102657</v>
      </c>
      <c r="I87" s="1033">
        <f ca="1">HLOOKUP(I$129,Calc_time!$W$558:$BK$564,5,FALSE) *(100% + I$47)</f>
        <v>21465.830992865871</v>
      </c>
      <c r="J87" s="1033">
        <f ca="1">HLOOKUP(J$129,Calc_time!$W$558:$BK$564,5,FALSE) *(100% + J$47)</f>
        <v>21392.311059339525</v>
      </c>
      <c r="K87" s="1033">
        <f ca="1">HLOOKUP(K$129,Calc_time!$W$558:$BK$564,5,FALSE) *(100% + K$47)</f>
        <v>21304.471482588859</v>
      </c>
      <c r="L87" s="1033">
        <f ca="1">HLOOKUP(L$129,Calc_time!$W$558:$BK$564,5,FALSE) *(100% + L$47)</f>
        <v>21207.399490219297</v>
      </c>
      <c r="M87" s="1033">
        <f ca="1">HLOOKUP(M$129,Calc_time!$W$558:$BK$564,5,FALSE) *(100% + M$47)</f>
        <v>21104.196296045971</v>
      </c>
      <c r="N87" s="1033">
        <f ca="1">HLOOKUP(N$129,Calc_time!$W$558:$BK$564,5,FALSE) *(100% + N$47)</f>
        <v>20994.975398703733</v>
      </c>
      <c r="O87" s="1033">
        <f ca="1">HLOOKUP(O$129,Calc_time!$W$558:$BK$564,5,FALSE) *(100% + O$47)</f>
        <v>20875.967675007261</v>
      </c>
      <c r="P87" s="1033">
        <f ca="1">HLOOKUP(P$129,Calc_time!$W$558:$BK$564,5,FALSE) *(100% + P$47)</f>
        <v>20738.534628253845</v>
      </c>
      <c r="Q87" s="1033">
        <f ca="1">HLOOKUP(Q$129,Calc_time!$W$558:$BK$564,5,FALSE) *(100% + Q$47)</f>
        <v>20567.873725482081</v>
      </c>
      <c r="R87" s="1033">
        <f ca="1">HLOOKUP(R$129,Calc_time!$W$558:$BK$564,5,FALSE) *(100% + R$47)</f>
        <v>20341.303193519841</v>
      </c>
      <c r="S87" s="1033">
        <f ca="1">HLOOKUP(S$129,Calc_time!$W$558:$BK$564,5,FALSE) *(100% + S$47)</f>
        <v>20026.376789066122</v>
      </c>
      <c r="T87" s="1033">
        <f ca="1">HLOOKUP(T$129,Calc_time!$W$558:$BK$564,5,FALSE) *(100% + T$47)</f>
        <v>19579.85572456404</v>
      </c>
      <c r="U87" s="1033">
        <f ca="1">HLOOKUP(U$129,Calc_time!$W$558:$BK$564,5,FALSE) *(100% + U$47)</f>
        <v>18949.759947097988</v>
      </c>
      <c r="V87" s="1033">
        <f ca="1">HLOOKUP(V$129,Calc_time!$W$558:$BK$564,5,FALSE) *(100% + V$47)</f>
        <v>18083.549522428108</v>
      </c>
      <c r="W87" s="1033">
        <f ca="1">HLOOKUP(W$129,Calc_time!$W$558:$BK$564,5,FALSE) *(100% + W$47)</f>
        <v>16943.438565652559</v>
      </c>
      <c r="X87" s="1033">
        <f ca="1">HLOOKUP(X$129,Calc_time!$W$558:$BK$564,5,FALSE) *(100% + X$47)</f>
        <v>15522.238604697359</v>
      </c>
      <c r="Y87" s="1033">
        <f ca="1">HLOOKUP(Y$129,Calc_time!$W$558:$BK$564,5,FALSE) *(100% + Y$47)</f>
        <v>13845.835247117519</v>
      </c>
      <c r="Z87" s="1033">
        <f ca="1">HLOOKUP(Z$129,Calc_time!$W$558:$BK$564,5,FALSE) *(100% + Z$47)</f>
        <v>11960.537734674977</v>
      </c>
      <c r="AA87" s="1033">
        <f ca="1">HLOOKUP(AA$129,Calc_time!$W$558:$BK$564,5,FALSE) *(100% + AA$47)</f>
        <v>9932.023311719624</v>
      </c>
      <c r="AB87" s="1033">
        <f ca="1">HLOOKUP(AB$129,Calc_time!$W$558:$BK$564,5,FALSE) *(100% + AB$47)</f>
        <v>7869.3794826863559</v>
      </c>
      <c r="AC87" s="1033">
        <f ca="1">HLOOKUP(AC$129,Calc_time!$W$558:$BK$564,5,FALSE) *(100% + AC$47)</f>
        <v>5928.3438275067519</v>
      </c>
      <c r="AD87" s="1033">
        <f ca="1">HLOOKUP(AD$129,Calc_time!$W$558:$BK$564,5,FALSE) *(100% + AD$47)</f>
        <v>4258.1645461133376</v>
      </c>
      <c r="AE87" s="1033">
        <f ca="1">HLOOKUP(AE$129,Calc_time!$W$558:$BK$564,5,FALSE) *(100% + AE$47)</f>
        <v>2939.2754917854345</v>
      </c>
      <c r="AF87" s="1033">
        <f ca="1">HLOOKUP(AF$129,Calc_time!$W$558:$BK$564,5,FALSE) *(100% + AF$47)</f>
        <v>1969.5648489524885</v>
      </c>
      <c r="AG87" s="1033">
        <f ca="1">HLOOKUP(AG$129,Calc_time!$W$558:$BK$564,5,FALSE) *(100% + AG$47)</f>
        <v>1293.9065223656735</v>
      </c>
      <c r="AH87" s="1033">
        <f ca="1">HLOOKUP(AH$129,Calc_time!$W$558:$BK$564,5,FALSE) *(100% + AH$47)</f>
        <v>840.60369114909804</v>
      </c>
      <c r="AI87" s="1033">
        <f ca="1">HLOOKUP(AI$129,Calc_time!$W$558:$BK$564,5,FALSE) *(100% + AI$47)</f>
        <v>544.10558374428808</v>
      </c>
      <c r="AJ87" s="1033">
        <f ca="1">HLOOKUP(AJ$129,Calc_time!$W$558:$BK$564,5,FALSE) *(100% + AJ$47)</f>
        <v>353.34391014701924</v>
      </c>
      <c r="AK87" s="1033">
        <f ca="1">HLOOKUP(AK$129,Calc_time!$W$558:$BK$564,5,FALSE) *(100% + AK$47)</f>
        <v>231.88500111864141</v>
      </c>
      <c r="AL87" s="1033">
        <f ca="1">HLOOKUP(AL$129,Calc_time!$W$558:$BK$564,5,FALSE) *(100% + AL$47)</f>
        <v>155.04514673561894</v>
      </c>
      <c r="AM87" s="1033">
        <f ca="1">HLOOKUP(AM$129,Calc_time!$W$558:$BK$564,5,FALSE) *(100% + AM$47)</f>
        <v>106.61432440491841</v>
      </c>
      <c r="AN87" s="1033">
        <f ca="1">HLOOKUP(AN$129,Calc_time!$W$558:$BK$564,5,FALSE) *(100% + AN$47)</f>
        <v>76.147594902905198</v>
      </c>
      <c r="AO87" s="1033">
        <f ca="1">HLOOKUP(AO$129,Calc_time!$W$558:$BK$564,5,FALSE) *(100% + AO$47)</f>
        <v>56.992477958566155</v>
      </c>
      <c r="AP87" s="1033">
        <f ca="1">HLOOKUP(AP$129,Calc_time!$W$558:$BK$564,5,FALSE) *(100% + AP$47)</f>
        <v>44.941853022723706</v>
      </c>
      <c r="AQ87" s="1033">
        <f ca="1">HLOOKUP(AQ$129,Calc_time!$W$558:$BK$564,5,FALSE) *(100% + AQ$47)</f>
        <v>37.346457145147241</v>
      </c>
      <c r="AR87" s="1033">
        <f ca="1">HLOOKUP(AR$129,Calc_time!$W$558:$BK$564,5,FALSE) *(100% + AR$47)</f>
        <v>32.542283654376021</v>
      </c>
      <c r="AS87" s="1033">
        <f ca="1">HLOOKUP(AS$129,Calc_time!$W$558:$BK$564,5,FALSE) *(100% + AS$47)</f>
        <v>29.485723978750691</v>
      </c>
      <c r="AT87" s="947"/>
      <c r="AU87" s="947"/>
      <c r="AV87" s="947"/>
      <c r="AW87" s="947"/>
      <c r="AX87" s="947"/>
      <c r="AY87" s="947"/>
      <c r="AZ87" s="947"/>
      <c r="BA87" s="947"/>
      <c r="BB87" s="947"/>
      <c r="BC87" s="947"/>
    </row>
    <row r="88" spans="1:55" ht="14.25">
      <c r="C88" s="684" t="str">
        <f>Calc_time!D21</f>
        <v>Other likely benefits</v>
      </c>
      <c r="D88" s="690" t="s">
        <v>291</v>
      </c>
      <c r="E88" s="1033">
        <f>Calc_time!G25</f>
        <v>0</v>
      </c>
      <c r="F88" s="1033"/>
      <c r="G88" s="1033"/>
      <c r="H88" s="1033"/>
      <c r="I88" s="1033"/>
      <c r="J88" s="1033"/>
      <c r="K88" s="1033"/>
      <c r="L88" s="1033"/>
      <c r="M88" s="1033"/>
      <c r="N88" s="1033"/>
      <c r="O88" s="1033"/>
      <c r="P88" s="1033"/>
      <c r="Q88" s="1033"/>
      <c r="R88" s="1033"/>
      <c r="S88" s="1033"/>
      <c r="T88" s="1033"/>
      <c r="U88" s="1033"/>
      <c r="V88" s="1033"/>
      <c r="W88" s="1033"/>
      <c r="X88" s="1033"/>
      <c r="Y88" s="1033"/>
      <c r="Z88" s="1033"/>
      <c r="AA88" s="1033"/>
      <c r="AB88" s="1033"/>
      <c r="AC88" s="1033"/>
      <c r="AD88" s="1033"/>
      <c r="AE88" s="1033"/>
      <c r="AF88" s="1033"/>
      <c r="AG88" s="1033"/>
      <c r="AH88" s="1033"/>
      <c r="AI88" s="1033"/>
      <c r="AJ88" s="1033"/>
      <c r="AK88" s="1033"/>
      <c r="AL88" s="1033"/>
      <c r="AM88" s="1033"/>
      <c r="AN88" s="1033"/>
      <c r="AO88" s="1033"/>
      <c r="AP88" s="1033"/>
      <c r="AQ88" s="1033"/>
      <c r="AR88" s="1033"/>
      <c r="AS88" s="1033"/>
      <c r="AT88" s="947"/>
      <c r="AU88" s="947"/>
      <c r="AV88" s="947"/>
      <c r="AW88" s="947"/>
      <c r="AX88" s="947"/>
      <c r="AY88" s="947"/>
      <c r="AZ88" s="947"/>
      <c r="BA88" s="947"/>
      <c r="BB88" s="947"/>
      <c r="BC88" s="947"/>
    </row>
    <row r="89" spans="1:55" ht="14.25">
      <c r="AJ89" s="1090"/>
      <c r="AK89" s="1090"/>
      <c r="AL89" s="1090"/>
      <c r="AM89" s="1090"/>
      <c r="AN89" s="1090"/>
      <c r="AO89" s="1090"/>
      <c r="AP89" s="1090"/>
      <c r="AQ89" s="1090"/>
      <c r="AR89" s="1090"/>
      <c r="AS89" s="1090"/>
      <c r="AT89" s="947"/>
      <c r="AU89" s="947"/>
      <c r="AV89" s="947"/>
      <c r="AW89" s="947"/>
      <c r="AX89" s="947"/>
      <c r="AY89" s="947"/>
      <c r="AZ89" s="947"/>
      <c r="BA89" s="947"/>
      <c r="BB89" s="947"/>
      <c r="BC89" s="947"/>
    </row>
    <row r="90" spans="1:55" ht="14.25">
      <c r="A90" s="884"/>
      <c r="B90" s="1037" t="s">
        <v>706</v>
      </c>
      <c r="C90" s="1037"/>
      <c r="D90" s="1037"/>
      <c r="E90" s="1038">
        <f>SUM(E93)</f>
        <v>0</v>
      </c>
      <c r="F90" s="1038">
        <f t="shared" ref="F90:Y90" ca="1" si="128">SUM(F93)</f>
        <v>28640.725975355057</v>
      </c>
      <c r="G90" s="1038">
        <f t="shared" ca="1" si="128"/>
        <v>45059.868963304405</v>
      </c>
      <c r="H90" s="1038">
        <f t="shared" ca="1" si="128"/>
        <v>24864.471221217234</v>
      </c>
      <c r="I90" s="1038">
        <f t="shared" ca="1" si="128"/>
        <v>23582.771039269046</v>
      </c>
      <c r="J90" s="1038">
        <f t="shared" ca="1" si="128"/>
        <v>23515.684303977545</v>
      </c>
      <c r="K90" s="1038">
        <f t="shared" ca="1" si="128"/>
        <v>23443.703836591798</v>
      </c>
      <c r="L90" s="1038">
        <f t="shared" ca="1" si="128"/>
        <v>23373.476906102296</v>
      </c>
      <c r="M90" s="1038">
        <f t="shared" ca="1" si="128"/>
        <v>23314.791548652116</v>
      </c>
      <c r="N90" s="1038">
        <f t="shared" ca="1" si="128"/>
        <v>23278.057867938605</v>
      </c>
      <c r="O90" s="1038">
        <f t="shared" ca="1" si="128"/>
        <v>23275.406337689376</v>
      </c>
      <c r="P90" s="1038">
        <f t="shared" ca="1" si="128"/>
        <v>23322.649625500024</v>
      </c>
      <c r="Q90" s="1038">
        <f t="shared" ca="1" si="128"/>
        <v>23442.126528978319</v>
      </c>
      <c r="R90" s="1038">
        <f t="shared" ca="1" si="128"/>
        <v>23666.288301324021</v>
      </c>
      <c r="S90" s="1038">
        <f t="shared" ca="1" si="128"/>
        <v>24041.408659966768</v>
      </c>
      <c r="T90" s="1038">
        <f t="shared" ca="1" si="128"/>
        <v>24629.589954119547</v>
      </c>
      <c r="U90" s="1038">
        <f t="shared" ca="1" si="128"/>
        <v>25504.874468749771</v>
      </c>
      <c r="V90" s="1038">
        <f t="shared" ca="1" si="128"/>
        <v>26736.207722016283</v>
      </c>
      <c r="W90" s="1038">
        <f t="shared" ca="1" si="128"/>
        <v>28349.746126571004</v>
      </c>
      <c r="X90" s="1038">
        <f t="shared" ca="1" si="128"/>
        <v>30273.853652308568</v>
      </c>
      <c r="Y90" s="1038">
        <f t="shared" ca="1" si="128"/>
        <v>32298.151350332329</v>
      </c>
      <c r="Z90" s="1038">
        <f t="shared" ref="Z90:AJ90" ca="1" si="129">SUM(Z93)</f>
        <v>34103.888024281587</v>
      </c>
      <c r="AA90" s="1038">
        <f t="shared" ca="1" si="129"/>
        <v>35393.317276956943</v>
      </c>
      <c r="AB90" s="1038">
        <f t="shared" ca="1" si="129"/>
        <v>36044.32010594257</v>
      </c>
      <c r="AC90" s="1038">
        <f t="shared" ca="1" si="129"/>
        <v>36155.848102907286</v>
      </c>
      <c r="AD90" s="1038">
        <f t="shared" ca="1" si="129"/>
        <v>35948.665994017421</v>
      </c>
      <c r="AE90" s="1038">
        <f t="shared" ca="1" si="129"/>
        <v>35629.551366351312</v>
      </c>
      <c r="AF90" s="1038">
        <f t="shared" ca="1" si="129"/>
        <v>35323.951395903787</v>
      </c>
      <c r="AG90" s="1038">
        <f t="shared" ca="1" si="129"/>
        <v>35081.348665940903</v>
      </c>
      <c r="AH90" s="1038">
        <f t="shared" ca="1" si="129"/>
        <v>34907.104845153423</v>
      </c>
      <c r="AI90" s="1038">
        <f t="shared" ca="1" si="129"/>
        <v>34789.079190598713</v>
      </c>
      <c r="AJ90" s="1038">
        <f t="shared" ca="1" si="129"/>
        <v>34711.914151545425</v>
      </c>
      <c r="AK90" s="1038">
        <f t="shared" ref="AK90:AS90" ca="1" si="130">SUM(AK93)</f>
        <v>34662.539008660904</v>
      </c>
      <c r="AL90" s="1038">
        <f t="shared" ca="1" si="130"/>
        <v>34631.351881380477</v>
      </c>
      <c r="AM90" s="1038">
        <f t="shared" ca="1" si="130"/>
        <v>34611.79827733952</v>
      </c>
      <c r="AN90" s="1038">
        <f t="shared" ca="1" si="130"/>
        <v>34599.582782050966</v>
      </c>
      <c r="AO90" s="1038">
        <f t="shared" ca="1" si="130"/>
        <v>34591.956700941715</v>
      </c>
      <c r="AP90" s="1038">
        <f t="shared" ca="1" si="130"/>
        <v>34587.185956707959</v>
      </c>
      <c r="AQ90" s="1038">
        <f t="shared" ca="1" si="130"/>
        <v>34584.185899616044</v>
      </c>
      <c r="AR90" s="1038">
        <f t="shared" ca="1" si="130"/>
        <v>34582.28157429069</v>
      </c>
      <c r="AS90" s="1038">
        <f t="shared" ca="1" si="130"/>
        <v>34581.054254315663</v>
      </c>
      <c r="AT90" s="947"/>
      <c r="AU90" s="947"/>
      <c r="AV90" s="947"/>
      <c r="AW90" s="947"/>
      <c r="AX90" s="947"/>
      <c r="AY90" s="947"/>
      <c r="AZ90" s="947"/>
      <c r="BA90" s="947"/>
      <c r="BB90" s="947"/>
      <c r="BC90" s="947"/>
    </row>
    <row r="91" spans="1:55" ht="5.25" customHeight="1">
      <c r="A91" s="684"/>
      <c r="B91" s="684"/>
      <c r="C91" s="684"/>
      <c r="D91" s="939"/>
      <c r="E91" s="965"/>
      <c r="F91" s="965"/>
      <c r="G91" s="965"/>
      <c r="H91" s="965"/>
      <c r="I91" s="965"/>
      <c r="J91" s="965"/>
      <c r="K91" s="965"/>
      <c r="L91" s="965"/>
      <c r="M91" s="965"/>
      <c r="N91" s="965"/>
      <c r="O91" s="965"/>
      <c r="P91" s="965"/>
      <c r="Q91" s="965"/>
      <c r="R91" s="965"/>
      <c r="S91" s="965"/>
      <c r="T91" s="965"/>
      <c r="U91" s="965"/>
      <c r="V91" s="965"/>
      <c r="W91" s="965"/>
      <c r="X91" s="965"/>
      <c r="Y91" s="965"/>
      <c r="Z91" s="965"/>
      <c r="AA91" s="965"/>
      <c r="AB91" s="965"/>
      <c r="AC91" s="965"/>
      <c r="AD91" s="965"/>
      <c r="AE91" s="965"/>
      <c r="AF91" s="965"/>
      <c r="AG91" s="965"/>
      <c r="AH91" s="965"/>
      <c r="AI91" s="965"/>
      <c r="AJ91" s="965"/>
      <c r="AK91" s="965"/>
      <c r="AL91" s="965"/>
      <c r="AM91" s="965"/>
      <c r="AN91" s="965"/>
      <c r="AO91" s="965"/>
      <c r="AP91" s="965"/>
      <c r="AQ91" s="965"/>
      <c r="AR91" s="965"/>
      <c r="AS91" s="965"/>
      <c r="AT91" s="947"/>
      <c r="AU91" s="947"/>
      <c r="AV91" s="947"/>
      <c r="AW91" s="947"/>
      <c r="AX91" s="947"/>
      <c r="AY91" s="947"/>
      <c r="AZ91" s="947"/>
      <c r="BA91" s="947"/>
      <c r="BB91" s="947"/>
      <c r="BC91" s="947"/>
    </row>
    <row r="92" spans="1:55" thickBot="1">
      <c r="A92" s="684"/>
      <c r="B92" s="914" t="s">
        <v>522</v>
      </c>
      <c r="C92" s="916"/>
      <c r="D92" s="951"/>
      <c r="E92" s="1041"/>
      <c r="F92" s="1041"/>
      <c r="G92" s="1041"/>
      <c r="H92" s="1041"/>
      <c r="I92" s="1041"/>
      <c r="J92" s="1041"/>
      <c r="K92" s="1041"/>
      <c r="L92" s="1041"/>
      <c r="M92" s="1041"/>
      <c r="N92" s="1041"/>
      <c r="O92" s="1041"/>
      <c r="P92" s="1041"/>
      <c r="Q92" s="1041"/>
      <c r="R92" s="1041"/>
      <c r="S92" s="1041"/>
      <c r="T92" s="1041"/>
      <c r="U92" s="1041"/>
      <c r="V92" s="1041"/>
      <c r="W92" s="1041"/>
      <c r="X92" s="1041"/>
      <c r="Y92" s="1041"/>
      <c r="Z92" s="1041"/>
      <c r="AA92" s="1041"/>
      <c r="AB92" s="1041"/>
      <c r="AC92" s="1041"/>
      <c r="AD92" s="1041"/>
      <c r="AE92" s="1041"/>
      <c r="AF92" s="1041"/>
      <c r="AG92" s="1041"/>
      <c r="AH92" s="1041"/>
      <c r="AI92" s="1041"/>
      <c r="AJ92" s="1041"/>
      <c r="AK92" s="1041"/>
      <c r="AL92" s="1041"/>
      <c r="AM92" s="1041"/>
      <c r="AN92" s="1041"/>
      <c r="AO92" s="1041"/>
      <c r="AP92" s="1041"/>
      <c r="AQ92" s="1041"/>
      <c r="AR92" s="1041"/>
      <c r="AS92" s="1041"/>
      <c r="AT92" s="947"/>
      <c r="AU92" s="947"/>
      <c r="AV92" s="947"/>
      <c r="AW92" s="947"/>
      <c r="AX92" s="947"/>
      <c r="AY92" s="947"/>
      <c r="AZ92" s="947"/>
      <c r="BA92" s="947"/>
      <c r="BB92" s="947"/>
      <c r="BC92" s="947"/>
    </row>
    <row r="93" spans="1:55" thickTop="1">
      <c r="A93" s="684"/>
      <c r="B93" s="684"/>
      <c r="C93" s="684" t="s">
        <v>517</v>
      </c>
      <c r="D93" s="690" t="s">
        <v>291</v>
      </c>
      <c r="E93" s="1033">
        <v>0</v>
      </c>
      <c r="F93" s="1034">
        <f ca="1">HLOOKUP(F$76,Calc_time!$V$90:$BK$99,10,FALSE)</f>
        <v>28640.725975355057</v>
      </c>
      <c r="G93" s="1034">
        <f ca="1">HLOOKUP(G$76,Calc_time!$V$90:$BK$99,10,FALSE)</f>
        <v>45059.868963304405</v>
      </c>
      <c r="H93" s="1034">
        <f ca="1">HLOOKUP(H$76,Calc_time!$V$90:$BK$99,10,FALSE)</f>
        <v>24864.471221217234</v>
      </c>
      <c r="I93" s="1034">
        <f ca="1">HLOOKUP(I$76,Calc_time!$V$90:$BK$99,10,FALSE)</f>
        <v>23582.771039269046</v>
      </c>
      <c r="J93" s="1034">
        <f ca="1">HLOOKUP(J$76,Calc_time!$V$90:$BK$99,10,FALSE)</f>
        <v>23515.684303977545</v>
      </c>
      <c r="K93" s="1034">
        <f ca="1">HLOOKUP(K$76,Calc_time!$V$90:$BK$99,10,FALSE)</f>
        <v>23443.703836591798</v>
      </c>
      <c r="L93" s="1034">
        <f ca="1">HLOOKUP(L$76,Calc_time!$V$90:$BK$99,10,FALSE)</f>
        <v>23373.476906102296</v>
      </c>
      <c r="M93" s="1034">
        <f ca="1">HLOOKUP(M$76,Calc_time!$V$90:$BK$99,10,FALSE)</f>
        <v>23314.791548652116</v>
      </c>
      <c r="N93" s="1034">
        <f ca="1">HLOOKUP(N$76,Calc_time!$V$90:$BK$99,10,FALSE)</f>
        <v>23278.057867938605</v>
      </c>
      <c r="O93" s="1034">
        <f ca="1">HLOOKUP(O$76,Calc_time!$V$90:$BK$99,10,FALSE)</f>
        <v>23275.406337689376</v>
      </c>
      <c r="P93" s="1034">
        <f ca="1">HLOOKUP(P$76,Calc_time!$V$90:$BK$99,10,FALSE)</f>
        <v>23322.649625500024</v>
      </c>
      <c r="Q93" s="1034">
        <f ca="1">HLOOKUP(Q$76,Calc_time!$V$90:$BK$99,10,FALSE)</f>
        <v>23442.126528978319</v>
      </c>
      <c r="R93" s="1034">
        <f ca="1">HLOOKUP(R$76,Calc_time!$V$90:$BK$99,10,FALSE)</f>
        <v>23666.288301324021</v>
      </c>
      <c r="S93" s="1034">
        <f ca="1">HLOOKUP(S$76,Calc_time!$V$90:$BK$99,10,FALSE)</f>
        <v>24041.408659966768</v>
      </c>
      <c r="T93" s="1034">
        <f ca="1">HLOOKUP(T$76,Calc_time!$V$90:$BK$99,10,FALSE)</f>
        <v>24629.589954119547</v>
      </c>
      <c r="U93" s="1034">
        <f ca="1">HLOOKUP(U$76,Calc_time!$V$90:$BK$99,10,FALSE)</f>
        <v>25504.874468749771</v>
      </c>
      <c r="V93" s="1034">
        <f ca="1">HLOOKUP(V$76,Calc_time!$V$90:$BK$99,10,FALSE)</f>
        <v>26736.207722016283</v>
      </c>
      <c r="W93" s="1034">
        <f ca="1">HLOOKUP(W$76,Calc_time!$V$90:$BK$99,10,FALSE)</f>
        <v>28349.746126571004</v>
      </c>
      <c r="X93" s="1034">
        <f ca="1">HLOOKUP(X$76,Calc_time!$V$90:$BK$99,10,FALSE)</f>
        <v>30273.853652308568</v>
      </c>
      <c r="Y93" s="1034">
        <f ca="1">HLOOKUP(Y$76,Calc_time!$V$90:$BK$99,10,FALSE)</f>
        <v>32298.151350332329</v>
      </c>
      <c r="Z93" s="1034">
        <f ca="1">HLOOKUP(Z$76,Calc_time!$V$90:$BK$99,10,FALSE)</f>
        <v>34103.888024281587</v>
      </c>
      <c r="AA93" s="1034">
        <f ca="1">HLOOKUP(AA$76,Calc_time!$V$90:$BK$99,10,FALSE)</f>
        <v>35393.317276956943</v>
      </c>
      <c r="AB93" s="1034">
        <f ca="1">HLOOKUP(AB$76,Calc_time!$V$90:$BK$99,10,FALSE)</f>
        <v>36044.32010594257</v>
      </c>
      <c r="AC93" s="1034">
        <f ca="1">HLOOKUP(AC$76,Calc_time!$V$90:$BK$99,10,FALSE)</f>
        <v>36155.848102907286</v>
      </c>
      <c r="AD93" s="1034">
        <f ca="1">HLOOKUP(AD$76,Calc_time!$V$90:$BK$99,10,FALSE)</f>
        <v>35948.665994017421</v>
      </c>
      <c r="AE93" s="1034">
        <f ca="1">HLOOKUP(AE$76,Calc_time!$V$90:$BK$99,10,FALSE)</f>
        <v>35629.551366351312</v>
      </c>
      <c r="AF93" s="1034">
        <f ca="1">HLOOKUP(AF$76,Calc_time!$V$90:$BK$99,10,FALSE)</f>
        <v>35323.951395903787</v>
      </c>
      <c r="AG93" s="1034">
        <f ca="1">HLOOKUP(AG$76,Calc_time!$V$90:$BK$99,10,FALSE)</f>
        <v>35081.348665940903</v>
      </c>
      <c r="AH93" s="1034">
        <f ca="1">HLOOKUP(AH$76,Calc_time!$V$90:$BK$99,10,FALSE)</f>
        <v>34907.104845153423</v>
      </c>
      <c r="AI93" s="1034">
        <f ca="1">HLOOKUP(AI$76,Calc_time!$V$90:$BK$99,10,FALSE)</f>
        <v>34789.079190598713</v>
      </c>
      <c r="AJ93" s="1034">
        <f ca="1">HLOOKUP(AJ$76,Calc_time!$V$90:$BK$99,10,FALSE)</f>
        <v>34711.914151545425</v>
      </c>
      <c r="AK93" s="1034">
        <f ca="1">HLOOKUP(AK$76,Calc_time!$V$90:$BK$99,10,FALSE)</f>
        <v>34662.539008660904</v>
      </c>
      <c r="AL93" s="1034">
        <f ca="1">HLOOKUP(AL$76,Calc_time!$V$90:$BK$99,10,FALSE)</f>
        <v>34631.351881380477</v>
      </c>
      <c r="AM93" s="1034">
        <f ca="1">HLOOKUP(AM$76,Calc_time!$V$90:$BK$99,10,FALSE)</f>
        <v>34611.79827733952</v>
      </c>
      <c r="AN93" s="1034">
        <f ca="1">HLOOKUP(AN$76,Calc_time!$V$90:$BK$99,10,FALSE)</f>
        <v>34599.582782050966</v>
      </c>
      <c r="AO93" s="1034">
        <f ca="1">HLOOKUP(AO$76,Calc_time!$V$90:$BK$99,10,FALSE)</f>
        <v>34591.956700941715</v>
      </c>
      <c r="AP93" s="1034">
        <f ca="1">HLOOKUP(AP$76,Calc_time!$V$90:$BK$99,10,FALSE)</f>
        <v>34587.185956707959</v>
      </c>
      <c r="AQ93" s="1034">
        <f ca="1">HLOOKUP(AQ$76,Calc_time!$V$90:$BK$99,10,FALSE)</f>
        <v>34584.185899616044</v>
      </c>
      <c r="AR93" s="1034">
        <f ca="1">HLOOKUP(AR$76,Calc_time!$V$90:$BK$99,10,FALSE)</f>
        <v>34582.28157429069</v>
      </c>
      <c r="AS93" s="1034">
        <f ca="1">HLOOKUP(AS$76,Calc_time!$V$90:$BK$99,10,FALSE)</f>
        <v>34581.054254315663</v>
      </c>
      <c r="AT93" s="947"/>
      <c r="AU93" s="947"/>
      <c r="AV93" s="947"/>
      <c r="AW93" s="947"/>
      <c r="AX93" s="947"/>
      <c r="AY93" s="947"/>
      <c r="AZ93" s="947"/>
      <c r="BA93" s="947"/>
      <c r="BB93" s="947"/>
      <c r="BC93" s="947"/>
    </row>
    <row r="94" spans="1:55" ht="14.25">
      <c r="A94" s="684"/>
      <c r="B94" s="684"/>
      <c r="C94" s="684"/>
      <c r="D94" s="939"/>
      <c r="E94" s="965"/>
      <c r="F94" s="965"/>
      <c r="G94" s="965"/>
      <c r="H94" s="965"/>
      <c r="I94" s="965"/>
      <c r="J94" s="965"/>
      <c r="K94" s="965"/>
      <c r="L94" s="965"/>
      <c r="M94" s="965"/>
      <c r="N94" s="965"/>
      <c r="O94" s="965"/>
      <c r="P94" s="965"/>
      <c r="Q94" s="965"/>
      <c r="R94" s="965"/>
      <c r="S94" s="965"/>
      <c r="T94" s="965"/>
      <c r="U94" s="965"/>
      <c r="V94" s="965"/>
      <c r="W94" s="965"/>
      <c r="X94" s="965"/>
      <c r="Y94" s="965"/>
      <c r="Z94" s="965"/>
      <c r="AA94" s="965"/>
      <c r="AB94" s="965"/>
      <c r="AC94" s="965"/>
      <c r="AD94" s="965"/>
      <c r="AE94" s="965"/>
      <c r="AF94" s="965"/>
      <c r="AG94" s="965"/>
      <c r="AH94" s="965"/>
      <c r="AI94" s="965"/>
      <c r="AJ94" s="965"/>
      <c r="AK94" s="965"/>
      <c r="AL94" s="965"/>
      <c r="AM94" s="965"/>
      <c r="AN94" s="965"/>
      <c r="AO94" s="965"/>
      <c r="AP94" s="965"/>
      <c r="AQ94" s="965"/>
      <c r="AR94" s="965"/>
      <c r="AS94" s="965"/>
      <c r="AT94" s="947"/>
      <c r="AU94" s="947"/>
      <c r="AV94" s="947"/>
      <c r="AW94" s="947"/>
      <c r="AX94" s="947"/>
      <c r="AY94" s="947"/>
      <c r="AZ94" s="947"/>
      <c r="BA94" s="947"/>
      <c r="BB94" s="947"/>
      <c r="BC94" s="947"/>
    </row>
    <row r="95" spans="1:55" ht="14.25">
      <c r="A95" s="684"/>
      <c r="B95" s="684"/>
      <c r="C95" s="684"/>
      <c r="D95" s="939"/>
      <c r="E95" s="965">
        <f ca="1">E41</f>
        <v>2018</v>
      </c>
      <c r="F95" s="965">
        <f ca="1">F41</f>
        <v>2019</v>
      </c>
      <c r="G95" s="965">
        <f ca="1">G41</f>
        <v>2020</v>
      </c>
      <c r="H95" s="965">
        <f ca="1">H41</f>
        <v>2021</v>
      </c>
      <c r="I95" s="965">
        <f ca="1">I41</f>
        <v>2022</v>
      </c>
      <c r="J95" s="965">
        <f ca="1">J41</f>
        <v>2023</v>
      </c>
      <c r="K95" s="965">
        <f ca="1">K41</f>
        <v>2024</v>
      </c>
      <c r="L95" s="965">
        <f ca="1">L41</f>
        <v>2025</v>
      </c>
      <c r="M95" s="965">
        <f ca="1">M41</f>
        <v>2026</v>
      </c>
      <c r="N95" s="965">
        <f ca="1">N41</f>
        <v>2027</v>
      </c>
      <c r="O95" s="965">
        <f ca="1">O41</f>
        <v>2028</v>
      </c>
      <c r="P95" s="965">
        <f ca="1">P41</f>
        <v>2029</v>
      </c>
      <c r="Q95" s="965">
        <f ca="1">Q41</f>
        <v>2030</v>
      </c>
      <c r="R95" s="965">
        <f ca="1">R41</f>
        <v>2031</v>
      </c>
      <c r="S95" s="965">
        <f ca="1">S41</f>
        <v>2032</v>
      </c>
      <c r="T95" s="965">
        <f ca="1">T41</f>
        <v>2033</v>
      </c>
      <c r="U95" s="965">
        <f ca="1">U41</f>
        <v>2034</v>
      </c>
      <c r="V95" s="965">
        <f ca="1">V41</f>
        <v>2035</v>
      </c>
      <c r="W95" s="965">
        <f ca="1">W41</f>
        <v>2036</v>
      </c>
      <c r="X95" s="965">
        <f ca="1">X41</f>
        <v>2037</v>
      </c>
      <c r="Y95" s="965">
        <f ca="1">Y41</f>
        <v>2038</v>
      </c>
      <c r="Z95" s="965">
        <f ca="1">Z41</f>
        <v>2039</v>
      </c>
      <c r="AA95" s="965">
        <f ca="1">AA41</f>
        <v>2040</v>
      </c>
      <c r="AB95" s="965">
        <f ca="1">AB41</f>
        <v>2041</v>
      </c>
      <c r="AC95" s="965">
        <f ca="1">AC41</f>
        <v>2042</v>
      </c>
      <c r="AD95" s="965">
        <f ca="1">AD41</f>
        <v>2043</v>
      </c>
      <c r="AE95" s="965">
        <f ca="1">AE41</f>
        <v>2044</v>
      </c>
      <c r="AF95" s="965">
        <f ca="1">AF41</f>
        <v>2045</v>
      </c>
      <c r="AG95" s="965">
        <f ca="1">AG41</f>
        <v>2046</v>
      </c>
      <c r="AH95" s="965">
        <f ca="1">AH41</f>
        <v>2047</v>
      </c>
      <c r="AI95" s="965">
        <f ca="1">AI41</f>
        <v>2048</v>
      </c>
      <c r="AJ95" s="965">
        <f ca="1">AJ41</f>
        <v>2049</v>
      </c>
      <c r="AK95" s="965">
        <f ca="1">AK41</f>
        <v>2050</v>
      </c>
      <c r="AL95" s="965">
        <f ca="1">AL41</f>
        <v>2051</v>
      </c>
      <c r="AM95" s="965">
        <f ca="1">AM41</f>
        <v>2052</v>
      </c>
      <c r="AN95" s="965">
        <f ca="1">AN41</f>
        <v>2053</v>
      </c>
      <c r="AO95" s="965">
        <f ca="1">AO41</f>
        <v>2054</v>
      </c>
      <c r="AP95" s="965">
        <f ca="1">AP41</f>
        <v>2055</v>
      </c>
      <c r="AQ95" s="965">
        <f ca="1">AQ41</f>
        <v>2056</v>
      </c>
      <c r="AR95" s="965">
        <f ca="1">AR41</f>
        <v>2057</v>
      </c>
      <c r="AS95" s="965">
        <f ca="1">AS41</f>
        <v>2058</v>
      </c>
      <c r="AT95" s="947"/>
      <c r="AU95" s="947"/>
      <c r="AV95" s="947"/>
      <c r="AW95" s="947"/>
      <c r="AX95" s="947"/>
      <c r="AY95" s="947"/>
      <c r="AZ95" s="947"/>
      <c r="BA95" s="947"/>
      <c r="BB95" s="947"/>
      <c r="BC95" s="947"/>
    </row>
    <row r="96" spans="1:55" ht="5.25" customHeight="1">
      <c r="A96" s="684"/>
      <c r="B96" s="684"/>
      <c r="C96" s="684"/>
      <c r="D96" s="939"/>
      <c r="E96" s="1042"/>
      <c r="F96" s="1039"/>
      <c r="G96" s="1039"/>
      <c r="H96" s="1039"/>
      <c r="I96" s="1039"/>
      <c r="J96" s="684"/>
      <c r="K96" s="684"/>
      <c r="L96" s="690"/>
      <c r="M96" s="684"/>
      <c r="N96" s="684"/>
      <c r="O96" s="684"/>
      <c r="P96" s="684"/>
      <c r="Q96" s="684"/>
      <c r="R96" s="684"/>
      <c r="S96" s="684"/>
      <c r="T96" s="684"/>
      <c r="U96" s="684"/>
      <c r="V96" s="684"/>
      <c r="W96" s="684"/>
      <c r="X96" s="684"/>
      <c r="Y96" s="684"/>
      <c r="Z96" s="1091"/>
      <c r="AA96" s="1091"/>
      <c r="AB96" s="1091"/>
      <c r="AC96" s="1091"/>
      <c r="AD96" s="1091"/>
      <c r="AE96" s="1091"/>
      <c r="AF96" s="1091"/>
      <c r="AG96" s="1091"/>
      <c r="AH96" s="1091"/>
      <c r="AI96" s="1091"/>
      <c r="AJ96" s="1091"/>
      <c r="AK96" s="1091"/>
      <c r="AL96" s="1091"/>
      <c r="AM96" s="1091"/>
      <c r="AN96" s="1091"/>
      <c r="AO96" s="1091"/>
      <c r="AP96" s="1091"/>
      <c r="AQ96" s="1091"/>
      <c r="AR96" s="1091"/>
      <c r="AS96" s="1091"/>
      <c r="AT96" s="947"/>
      <c r="AU96" s="947"/>
      <c r="AV96" s="947"/>
      <c r="AW96" s="947"/>
      <c r="AX96" s="947"/>
      <c r="AY96" s="947"/>
      <c r="AZ96" s="947"/>
      <c r="BA96" s="947"/>
      <c r="BB96" s="947"/>
      <c r="BC96" s="947"/>
    </row>
    <row r="97" spans="1:55" ht="14.25">
      <c r="A97" s="889"/>
      <c r="B97" s="1037" t="s">
        <v>538</v>
      </c>
      <c r="C97" s="1037"/>
      <c r="D97" s="1037"/>
      <c r="E97" s="1038">
        <f ca="1">SUM(E101:E126)</f>
        <v>-196202.92834363363</v>
      </c>
      <c r="F97" s="1038">
        <f t="shared" ref="F97:Y97" ca="1" si="131">SUM(F101:F126)</f>
        <v>-125171.28274748767</v>
      </c>
      <c r="G97" s="1038">
        <f t="shared" ca="1" si="131"/>
        <v>-136467.91589759372</v>
      </c>
      <c r="H97" s="1038">
        <f t="shared" ca="1" si="131"/>
        <v>-133808.12457789262</v>
      </c>
      <c r="I97" s="1038">
        <f t="shared" ca="1" si="131"/>
        <v>-128796.45862493681</v>
      </c>
      <c r="J97" s="1038">
        <f t="shared" ca="1" si="131"/>
        <v>-129496.66446873291</v>
      </c>
      <c r="K97" s="1038">
        <f t="shared" ca="1" si="131"/>
        <v>-130315.11625817318</v>
      </c>
      <c r="L97" s="1038">
        <f t="shared" ca="1" si="131"/>
        <v>-131235.97792608189</v>
      </c>
      <c r="M97" s="1038">
        <f t="shared" ca="1" si="131"/>
        <v>-132324.33069353417</v>
      </c>
      <c r="N97" s="1038">
        <f t="shared" ca="1" si="131"/>
        <v>-133711.27265164198</v>
      </c>
      <c r="O97" s="1038">
        <f t="shared" ca="1" si="131"/>
        <v>-135300.40782193851</v>
      </c>
      <c r="P97" s="1038">
        <f t="shared" ca="1" si="131"/>
        <v>-137199.55708577699</v>
      </c>
      <c r="Q97" s="1038">
        <f t="shared" ca="1" si="131"/>
        <v>-139475.68479086756</v>
      </c>
      <c r="R97" s="1038">
        <f t="shared" ca="1" si="131"/>
        <v>-142210.70268773573</v>
      </c>
      <c r="S97" s="1038">
        <f t="shared" ca="1" si="131"/>
        <v>-145504.76183830324</v>
      </c>
      <c r="T97" s="1038">
        <f t="shared" ca="1" si="131"/>
        <v>-149479.74034473376</v>
      </c>
      <c r="U97" s="1038">
        <f t="shared" ca="1" si="131"/>
        <v>-154282.209386956</v>
      </c>
      <c r="V97" s="1038">
        <f t="shared" ca="1" si="131"/>
        <v>-160084.68219079723</v>
      </c>
      <c r="W97" s="1038">
        <f t="shared" ca="1" si="131"/>
        <v>-167084.20842307672</v>
      </c>
      <c r="X97" s="1038">
        <f t="shared" ca="1" si="131"/>
        <v>-175499.77817157737</v>
      </c>
      <c r="Y97" s="1038">
        <f t="shared" ca="1" si="131"/>
        <v>-185175.00197367911</v>
      </c>
      <c r="Z97" s="1038">
        <f t="shared" ref="Z97:AJ97" ca="1" si="132">SUM(Z101:Z126)</f>
        <v>-196725.72276498837</v>
      </c>
      <c r="AA97" s="1038">
        <f t="shared" ca="1" si="132"/>
        <v>-210510.23963668954</v>
      </c>
      <c r="AB97" s="1038">
        <f t="shared" ca="1" si="132"/>
        <v>-226938.71631125221</v>
      </c>
      <c r="AC97" s="1038">
        <f t="shared" ca="1" si="132"/>
        <v>-246503.48707242461</v>
      </c>
      <c r="AD97" s="1038">
        <f t="shared" ca="1" si="132"/>
        <v>-269958.03646159521</v>
      </c>
      <c r="AE97" s="1038">
        <f t="shared" ca="1" si="132"/>
        <v>-298089.64737216494</v>
      </c>
      <c r="AF97" s="1038">
        <f t="shared" ca="1" si="132"/>
        <v>-331878.98644592153</v>
      </c>
      <c r="AG97" s="1038">
        <f t="shared" ca="1" si="132"/>
        <v>-372500.34230540448</v>
      </c>
      <c r="AH97" s="1038">
        <f t="shared" ca="1" si="132"/>
        <v>-421360.8260728115</v>
      </c>
      <c r="AI97" s="1038">
        <f t="shared" ca="1" si="132"/>
        <v>-493898.89221980656</v>
      </c>
      <c r="AJ97" s="1038">
        <f t="shared" ca="1" si="132"/>
        <v>-552807.21921676467</v>
      </c>
      <c r="AK97" s="1038">
        <f t="shared" ref="AK97:AR97" ca="1" si="133">SUM(AK101:AK126)</f>
        <v>-612860.82017024013</v>
      </c>
      <c r="AL97" s="1038">
        <f t="shared" ca="1" si="133"/>
        <v>-672161.23932368751</v>
      </c>
      <c r="AM97" s="1038">
        <f t="shared" ca="1" si="133"/>
        <v>-729285.74644963106</v>
      </c>
      <c r="AN97" s="1038">
        <f t="shared" ca="1" si="133"/>
        <v>-783163.97473370342</v>
      </c>
      <c r="AO97" s="1038">
        <f t="shared" ca="1" si="133"/>
        <v>-832981.29895017028</v>
      </c>
      <c r="AP97" s="1038">
        <f t="shared" ca="1" si="133"/>
        <v>-878102.39445655467</v>
      </c>
      <c r="AQ97" s="1038">
        <f t="shared" ca="1" si="133"/>
        <v>-918009.85138584196</v>
      </c>
      <c r="AR97" s="1038">
        <f t="shared" ca="1" si="133"/>
        <v>-952253.80485683598</v>
      </c>
      <c r="AS97" s="1038">
        <f ca="1">SUM(AS101:AS126)</f>
        <v>-980409.35867962847</v>
      </c>
      <c r="AT97" s="947"/>
      <c r="AU97" s="947"/>
      <c r="AV97" s="947"/>
      <c r="AW97" s="947"/>
      <c r="AX97" s="947"/>
      <c r="AY97" s="947"/>
      <c r="AZ97" s="947"/>
      <c r="BA97" s="947"/>
      <c r="BB97" s="947"/>
      <c r="BC97" s="947"/>
    </row>
    <row r="98" spans="1:55" ht="5.25" customHeight="1">
      <c r="A98" s="684"/>
      <c r="B98" s="684"/>
      <c r="C98" s="684"/>
      <c r="D98" s="690"/>
      <c r="E98" s="1043"/>
      <c r="F98" s="1043"/>
      <c r="G98" s="1043"/>
      <c r="H98" s="1043"/>
      <c r="I98" s="1043"/>
      <c r="J98" s="684"/>
      <c r="K98" s="684"/>
      <c r="L98" s="690"/>
      <c r="M98" s="684"/>
      <c r="N98" s="684"/>
      <c r="O98" s="684"/>
      <c r="P98" s="684"/>
      <c r="Q98" s="684"/>
      <c r="R98" s="684"/>
      <c r="S98" s="684"/>
      <c r="T98" s="684"/>
      <c r="U98" s="684"/>
      <c r="V98" s="684"/>
      <c r="W98" s="684"/>
      <c r="X98" s="684"/>
      <c r="Y98" s="684"/>
      <c r="Z98" s="1091"/>
      <c r="AA98" s="1091"/>
      <c r="AB98" s="1091"/>
      <c r="AC98" s="1091"/>
      <c r="AD98" s="1091"/>
      <c r="AE98" s="1091"/>
      <c r="AF98" s="1091"/>
      <c r="AG98" s="1091"/>
      <c r="AH98" s="1091"/>
      <c r="AI98" s="1091"/>
      <c r="AJ98" s="1091"/>
      <c r="AK98" s="1091"/>
      <c r="AL98" s="1091"/>
      <c r="AM98" s="1091"/>
      <c r="AN98" s="1091"/>
      <c r="AO98" s="1091"/>
      <c r="AP98" s="1091"/>
      <c r="AQ98" s="1091"/>
      <c r="AR98" s="1091"/>
      <c r="AS98" s="1091"/>
      <c r="AT98" s="947"/>
      <c r="AU98" s="947"/>
      <c r="AV98" s="947"/>
      <c r="AW98" s="947"/>
      <c r="AX98" s="947"/>
      <c r="AY98" s="947"/>
      <c r="AZ98" s="947"/>
      <c r="BA98" s="947"/>
      <c r="BB98" s="947"/>
      <c r="BC98" s="947"/>
    </row>
    <row r="99" spans="1:55" thickBot="1">
      <c r="A99" s="684"/>
      <c r="B99" s="914" t="s">
        <v>532</v>
      </c>
      <c r="C99" s="916"/>
      <c r="D99" s="951"/>
      <c r="E99" s="1041"/>
      <c r="F99" s="1041"/>
      <c r="G99" s="1041"/>
      <c r="H99" s="1041"/>
      <c r="I99" s="1041"/>
      <c r="J99" s="1041"/>
      <c r="K99" s="1041"/>
      <c r="L99" s="1041"/>
      <c r="M99" s="1041"/>
      <c r="N99" s="1041"/>
      <c r="O99" s="1041"/>
      <c r="P99" s="1041"/>
      <c r="Q99" s="1041"/>
      <c r="R99" s="1041"/>
      <c r="S99" s="1041"/>
      <c r="T99" s="1041"/>
      <c r="U99" s="1041"/>
      <c r="V99" s="1041"/>
      <c r="W99" s="1041"/>
      <c r="X99" s="1041"/>
      <c r="Y99" s="1041"/>
      <c r="Z99" s="1041"/>
      <c r="AA99" s="1041"/>
      <c r="AB99" s="1041"/>
      <c r="AC99" s="1041"/>
      <c r="AD99" s="1041"/>
      <c r="AE99" s="1041"/>
      <c r="AF99" s="1041"/>
      <c r="AG99" s="1041"/>
      <c r="AH99" s="1041"/>
      <c r="AI99" s="1041"/>
      <c r="AJ99" s="1041"/>
      <c r="AK99" s="1041"/>
      <c r="AL99" s="1041"/>
      <c r="AM99" s="1041"/>
      <c r="AN99" s="1041"/>
      <c r="AO99" s="1041"/>
      <c r="AP99" s="1041"/>
      <c r="AQ99" s="1041"/>
      <c r="AR99" s="1041"/>
      <c r="AS99" s="1041"/>
      <c r="AT99" s="947"/>
      <c r="AU99" s="947"/>
      <c r="AV99" s="947"/>
      <c r="AW99" s="947"/>
      <c r="AX99" s="947"/>
      <c r="AY99" s="947"/>
      <c r="AZ99" s="947"/>
      <c r="BA99" s="947"/>
      <c r="BB99" s="947"/>
      <c r="BC99" s="947"/>
    </row>
    <row r="100" spans="1:55" ht="5.25" customHeight="1" thickTop="1">
      <c r="A100" s="684"/>
      <c r="B100" s="684"/>
      <c r="C100" s="684"/>
      <c r="D100" s="690"/>
      <c r="E100" s="1043"/>
      <c r="F100" s="1043"/>
      <c r="G100" s="1043"/>
      <c r="H100" s="1043"/>
      <c r="I100" s="1043"/>
      <c r="J100" s="684"/>
      <c r="K100" s="684"/>
      <c r="L100" s="690"/>
      <c r="M100" s="684"/>
      <c r="N100" s="684"/>
      <c r="O100" s="684"/>
      <c r="P100" s="684"/>
      <c r="Q100" s="684"/>
      <c r="R100" s="684"/>
      <c r="S100" s="684"/>
      <c r="T100" s="684"/>
      <c r="U100" s="684"/>
      <c r="V100" s="684"/>
      <c r="W100" s="684"/>
      <c r="X100" s="684"/>
      <c r="Y100" s="684"/>
      <c r="Z100" s="1091"/>
      <c r="AA100" s="1091"/>
      <c r="AB100" s="1091"/>
      <c r="AC100" s="1091"/>
      <c r="AD100" s="1091"/>
      <c r="AE100" s="1091"/>
      <c r="AF100" s="1091"/>
      <c r="AG100" s="1091"/>
      <c r="AH100" s="1091"/>
      <c r="AI100" s="1091"/>
      <c r="AJ100" s="1091"/>
      <c r="AK100" s="1091"/>
      <c r="AL100" s="1091"/>
      <c r="AM100" s="1091"/>
      <c r="AN100" s="1091"/>
      <c r="AO100" s="1091"/>
      <c r="AP100" s="1091"/>
      <c r="AQ100" s="1091"/>
      <c r="AR100" s="1091"/>
      <c r="AS100" s="1091"/>
      <c r="AT100" s="947"/>
      <c r="AU100" s="947"/>
      <c r="AV100" s="947"/>
      <c r="AW100" s="947"/>
      <c r="AX100" s="947"/>
      <c r="AY100" s="947"/>
      <c r="AZ100" s="947"/>
      <c r="BA100" s="947"/>
      <c r="BB100" s="947"/>
      <c r="BC100" s="947"/>
    </row>
    <row r="101" spans="1:55" thickBot="1">
      <c r="A101" s="684"/>
      <c r="B101" s="684"/>
      <c r="C101" s="1044" t="s">
        <v>716</v>
      </c>
      <c r="D101" s="1045"/>
      <c r="E101" s="1046"/>
      <c r="F101" s="1046"/>
      <c r="G101" s="1046"/>
      <c r="H101" s="1046"/>
      <c r="I101" s="1047"/>
      <c r="J101" s="1046"/>
      <c r="K101" s="1046"/>
      <c r="L101" s="1046"/>
      <c r="M101" s="1046"/>
      <c r="N101" s="1046"/>
      <c r="O101" s="1046"/>
      <c r="P101" s="1046"/>
      <c r="Q101" s="1046"/>
      <c r="R101" s="1046"/>
      <c r="S101" s="1046"/>
      <c r="T101" s="1046"/>
      <c r="U101" s="1046"/>
      <c r="V101" s="1046"/>
      <c r="W101" s="1046"/>
      <c r="X101" s="1046"/>
      <c r="Y101" s="1046"/>
      <c r="Z101" s="1046"/>
      <c r="AA101" s="1046"/>
      <c r="AB101" s="1046"/>
      <c r="AC101" s="1046"/>
      <c r="AD101" s="1046"/>
      <c r="AE101" s="1046"/>
      <c r="AF101" s="1046"/>
      <c r="AG101" s="1046"/>
      <c r="AH101" s="1046"/>
      <c r="AI101" s="1046"/>
      <c r="AJ101" s="1046"/>
      <c r="AK101" s="1046"/>
      <c r="AL101" s="1046"/>
      <c r="AM101" s="1046"/>
      <c r="AN101" s="1046"/>
      <c r="AO101" s="1046"/>
      <c r="AP101" s="1046"/>
      <c r="AQ101" s="1046"/>
      <c r="AR101" s="1046"/>
      <c r="AS101" s="1046"/>
      <c r="AT101" s="947"/>
      <c r="AU101" s="947"/>
      <c r="AV101" s="947"/>
      <c r="AW101" s="947"/>
      <c r="AX101" s="947"/>
      <c r="AY101" s="947"/>
      <c r="AZ101" s="947"/>
      <c r="BA101" s="947"/>
      <c r="BB101" s="947"/>
      <c r="BC101" s="947"/>
    </row>
    <row r="102" spans="1:55" ht="5.25" customHeight="1" thickTop="1">
      <c r="A102" s="684"/>
      <c r="B102" s="684"/>
      <c r="C102" s="684"/>
      <c r="D102" s="690"/>
      <c r="E102" s="1039"/>
      <c r="F102" s="1039"/>
      <c r="G102" s="1039"/>
      <c r="H102" s="1039"/>
      <c r="I102" s="1039"/>
      <c r="J102" s="1039"/>
      <c r="K102" s="1039"/>
      <c r="L102" s="1039"/>
      <c r="M102" s="1039"/>
      <c r="N102" s="1039"/>
      <c r="O102" s="1039"/>
      <c r="P102" s="1039"/>
      <c r="Q102" s="1039"/>
      <c r="R102" s="1039"/>
      <c r="S102" s="1039"/>
      <c r="T102" s="1039"/>
      <c r="U102" s="1039"/>
      <c r="V102" s="1039"/>
      <c r="W102" s="1039"/>
      <c r="X102" s="1039"/>
      <c r="Y102" s="1039"/>
      <c r="Z102" s="1039"/>
      <c r="AA102" s="1039"/>
      <c r="AB102" s="1039"/>
      <c r="AC102" s="1039"/>
      <c r="AD102" s="1039"/>
      <c r="AE102" s="1039"/>
      <c r="AF102" s="1039"/>
      <c r="AG102" s="1039"/>
      <c r="AH102" s="1039"/>
      <c r="AI102" s="1039"/>
      <c r="AJ102" s="1039"/>
      <c r="AK102" s="1039"/>
      <c r="AL102" s="1039"/>
      <c r="AM102" s="1039"/>
      <c r="AN102" s="1039"/>
      <c r="AO102" s="1039"/>
      <c r="AP102" s="1039"/>
      <c r="AQ102" s="1039"/>
      <c r="AR102" s="1039"/>
      <c r="AS102" s="1039"/>
      <c r="AT102" s="947"/>
      <c r="AU102" s="947"/>
      <c r="AV102" s="947"/>
      <c r="AW102" s="947"/>
      <c r="AX102" s="947"/>
      <c r="AY102" s="947"/>
      <c r="AZ102" s="947"/>
      <c r="BA102" s="947"/>
      <c r="BB102" s="947"/>
      <c r="BC102" s="947"/>
    </row>
    <row r="103" spans="1:55" ht="14.25">
      <c r="A103" s="684"/>
      <c r="B103" s="684"/>
      <c r="C103" s="684" t="str">
        <f>Calc_time!D727</f>
        <v>Marketing and raising awareness costs</v>
      </c>
      <c r="D103" s="690" t="s">
        <v>291</v>
      </c>
      <c r="E103" s="1033">
        <f ca="1">HLOOKUP(E$76,Calc_time!W729:BK732,3,FALSE)</f>
        <v>-5000</v>
      </c>
      <c r="F103" s="1033">
        <f ca="1">HLOOKUP(F$76,Calc_time!X729:BL732,3,FALSE)</f>
        <v>-5000</v>
      </c>
      <c r="G103" s="1033">
        <f ca="1">HLOOKUP(G$76,Calc_time!Y729:BM732,3,FALSE)</f>
        <v>-5000</v>
      </c>
      <c r="H103" s="1033">
        <f ca="1">HLOOKUP(H$76,Calc_time!Z729:BN732,3,FALSE)</f>
        <v>-5000</v>
      </c>
      <c r="I103" s="1033">
        <f ca="1">HLOOKUP(I$76,Calc_time!AA729:BO732,3,FALSE)</f>
        <v>0</v>
      </c>
      <c r="J103" s="1033">
        <f ca="1">HLOOKUP(J$76,Calc_time!AB729:BP732,3,FALSE)</f>
        <v>0</v>
      </c>
      <c r="K103" s="1033">
        <f ca="1">HLOOKUP(K$76,Calc_time!AC729:BQ732,3,FALSE)</f>
        <v>0</v>
      </c>
      <c r="L103" s="1033">
        <f ca="1">HLOOKUP(L$76,Calc_time!AD729:BR732,3,FALSE)</f>
        <v>0</v>
      </c>
      <c r="M103" s="1033">
        <f ca="1">HLOOKUP(M$76,Calc_time!AE729:BS732,3,FALSE)</f>
        <v>0</v>
      </c>
      <c r="N103" s="1033">
        <f ca="1">HLOOKUP(N$76,Calc_time!AF729:BT732,3,FALSE)</f>
        <v>0</v>
      </c>
      <c r="O103" s="1033">
        <f ca="1">HLOOKUP(O$76,Calc_time!AG729:BU732,3,FALSE)</f>
        <v>0</v>
      </c>
      <c r="P103" s="1033">
        <f ca="1">HLOOKUP(P$76,Calc_time!AH729:BV732,3,FALSE)</f>
        <v>0</v>
      </c>
      <c r="Q103" s="1033">
        <f ca="1">HLOOKUP(Q$76,Calc_time!AI729:BW732,3,FALSE)</f>
        <v>0</v>
      </c>
      <c r="R103" s="1033">
        <f ca="1">HLOOKUP(R$76,Calc_time!AJ729:BX732,3,FALSE)</f>
        <v>0</v>
      </c>
      <c r="S103" s="1033">
        <f ca="1">HLOOKUP(S$76,Calc_time!AK729:BY732,3,FALSE)</f>
        <v>0</v>
      </c>
      <c r="T103" s="1033">
        <f ca="1">HLOOKUP(T$76,Calc_time!AL729:BZ732,3,FALSE)</f>
        <v>0</v>
      </c>
      <c r="U103" s="1033">
        <f ca="1">HLOOKUP(U$76,Calc_time!AM729:CA732,3,FALSE)</f>
        <v>0</v>
      </c>
      <c r="V103" s="1033">
        <f ca="1">HLOOKUP(V$76,Calc_time!AN729:CB732,3,FALSE)</f>
        <v>0</v>
      </c>
      <c r="W103" s="1033">
        <f ca="1">HLOOKUP(W$76,Calc_time!AO729:CC732,3,FALSE)</f>
        <v>0</v>
      </c>
      <c r="X103" s="1033">
        <f ca="1">HLOOKUP(X$76,Calc_time!AP729:CD732,3,FALSE)</f>
        <v>0</v>
      </c>
      <c r="Y103" s="1033">
        <f ca="1">HLOOKUP(Y$76,Calc_time!AQ729:CE732,3,FALSE)</f>
        <v>0</v>
      </c>
      <c r="Z103" s="1033">
        <f ca="1">HLOOKUP(Z$76,Calc_time!AR729:CF732,3,FALSE)</f>
        <v>0</v>
      </c>
      <c r="AA103" s="1033">
        <f ca="1">HLOOKUP(AA$76,Calc_time!AS729:CG732,3,FALSE)</f>
        <v>0</v>
      </c>
      <c r="AB103" s="1033">
        <f ca="1">HLOOKUP(AB$76,Calc_time!AT729:CH732,3,FALSE)</f>
        <v>0</v>
      </c>
      <c r="AC103" s="1033">
        <f ca="1">HLOOKUP(AC$76,Calc_time!AU729:CI732,3,FALSE)</f>
        <v>0</v>
      </c>
      <c r="AD103" s="1033">
        <f ca="1">HLOOKUP(AD$76,Calc_time!AV729:CJ732,3,FALSE)</f>
        <v>0</v>
      </c>
      <c r="AE103" s="1033">
        <f ca="1">HLOOKUP(AE$76,Calc_time!AW729:CK732,3,FALSE)</f>
        <v>0</v>
      </c>
      <c r="AF103" s="1033">
        <f ca="1">HLOOKUP(AF$76,Calc_time!AX729:CL732,3,FALSE)</f>
        <v>0</v>
      </c>
      <c r="AG103" s="1033">
        <f ca="1">HLOOKUP(AG$76,Calc_time!AY729:CM732,3,FALSE)</f>
        <v>0</v>
      </c>
      <c r="AH103" s="1033">
        <f ca="1">HLOOKUP(AH$76,Calc_time!AZ729:CN732,3,FALSE)</f>
        <v>0</v>
      </c>
      <c r="AI103" s="1033">
        <f ca="1">HLOOKUP(AI$76,Calc_time!BA729:CO732,3,FALSE)</f>
        <v>0</v>
      </c>
      <c r="AJ103" s="1033">
        <f ca="1">HLOOKUP(AJ$76,Calc_time!BB729:CP732,3,FALSE)</f>
        <v>0</v>
      </c>
      <c r="AK103" s="1033">
        <f ca="1">HLOOKUP(AK$76,Calc_time!BC729:CQ732,3,FALSE)</f>
        <v>0</v>
      </c>
      <c r="AL103" s="1033">
        <f ca="1">HLOOKUP(AL$76,Calc_time!BD729:CR732,3,FALSE)</f>
        <v>0</v>
      </c>
      <c r="AM103" s="1033">
        <f ca="1">HLOOKUP(AM$76,Calc_time!BE729:CS732,3,FALSE)</f>
        <v>0</v>
      </c>
      <c r="AN103" s="1033">
        <f ca="1">HLOOKUP(AN$76,Calc_time!BF729:CT732,3,FALSE)</f>
        <v>0</v>
      </c>
      <c r="AO103" s="1033">
        <f ca="1">HLOOKUP(AO$76,Calc_time!BG729:CU732,3,FALSE)</f>
        <v>0</v>
      </c>
      <c r="AP103" s="1033">
        <f ca="1">HLOOKUP(AP$76,Calc_time!BH729:CV732,3,FALSE)</f>
        <v>0</v>
      </c>
      <c r="AQ103" s="1033">
        <f ca="1">HLOOKUP(AQ$76,Calc_time!BI729:CW732,3,FALSE)</f>
        <v>0</v>
      </c>
      <c r="AR103" s="1033">
        <f ca="1">HLOOKUP(AR$76,Calc_time!BJ729:CX732,3,FALSE)</f>
        <v>0</v>
      </c>
      <c r="AS103" s="1033">
        <f ca="1">HLOOKUP(AS$76,Calc_time!BK729:CY732,3,FALSE)</f>
        <v>0</v>
      </c>
      <c r="AT103" s="947"/>
      <c r="AU103" s="947"/>
      <c r="AV103" s="947"/>
      <c r="AW103" s="947"/>
      <c r="AX103" s="947"/>
      <c r="AY103" s="947"/>
      <c r="AZ103" s="947"/>
      <c r="BA103" s="947"/>
      <c r="BB103" s="947"/>
      <c r="BC103" s="947"/>
    </row>
    <row r="104" spans="1:55" ht="14.25">
      <c r="A104" s="684"/>
      <c r="B104" s="684"/>
      <c r="C104" s="684"/>
      <c r="D104" s="690"/>
      <c r="E104" s="1039"/>
      <c r="F104" s="1039"/>
      <c r="G104" s="1039"/>
      <c r="H104" s="1039"/>
      <c r="I104" s="1039"/>
      <c r="J104" s="1039"/>
      <c r="K104" s="1039"/>
      <c r="L104" s="1039"/>
      <c r="M104" s="1039"/>
      <c r="N104" s="1039"/>
      <c r="O104" s="1039"/>
      <c r="P104" s="1039"/>
      <c r="Q104" s="1039"/>
      <c r="R104" s="1039"/>
      <c r="S104" s="1039"/>
      <c r="T104" s="1039"/>
      <c r="U104" s="1039"/>
      <c r="V104" s="1039"/>
      <c r="W104" s="1039"/>
      <c r="X104" s="1039"/>
      <c r="Y104" s="1039"/>
      <c r="Z104" s="1039"/>
      <c r="AA104" s="1039"/>
      <c r="AB104" s="1039"/>
      <c r="AC104" s="1039"/>
      <c r="AD104" s="1039"/>
      <c r="AE104" s="1039"/>
      <c r="AF104" s="1039"/>
      <c r="AG104" s="1039"/>
      <c r="AH104" s="1039"/>
      <c r="AI104" s="1039"/>
      <c r="AJ104" s="1039"/>
      <c r="AK104" s="1039"/>
      <c r="AL104" s="1039"/>
      <c r="AM104" s="1039"/>
      <c r="AN104" s="1039"/>
      <c r="AO104" s="1039"/>
      <c r="AP104" s="1039"/>
      <c r="AQ104" s="1039"/>
      <c r="AR104" s="1039"/>
      <c r="AS104" s="1039"/>
      <c r="AT104" s="947"/>
      <c r="AU104" s="947"/>
      <c r="AV104" s="947"/>
      <c r="AW104" s="947"/>
      <c r="AX104" s="947"/>
      <c r="AY104" s="947"/>
      <c r="AZ104" s="947"/>
      <c r="BA104" s="947"/>
      <c r="BB104" s="947"/>
      <c r="BC104" s="947"/>
    </row>
    <row r="105" spans="1:55" thickBot="1">
      <c r="A105" s="684"/>
      <c r="B105" s="684"/>
      <c r="C105" s="1044" t="s">
        <v>717</v>
      </c>
      <c r="D105" s="1045"/>
      <c r="E105" s="1046"/>
      <c r="F105" s="1046"/>
      <c r="G105" s="1046"/>
      <c r="H105" s="1046"/>
      <c r="I105" s="1047"/>
      <c r="J105" s="1046"/>
      <c r="K105" s="1046"/>
      <c r="L105" s="1046"/>
      <c r="M105" s="1046"/>
      <c r="N105" s="1046"/>
      <c r="O105" s="1046"/>
      <c r="P105" s="1046"/>
      <c r="Q105" s="1046"/>
      <c r="R105" s="1046"/>
      <c r="S105" s="1046"/>
      <c r="T105" s="1046"/>
      <c r="U105" s="1046"/>
      <c r="V105" s="1046"/>
      <c r="W105" s="1046"/>
      <c r="X105" s="1046"/>
      <c r="Y105" s="1046"/>
      <c r="Z105" s="1046"/>
      <c r="AA105" s="1046"/>
      <c r="AB105" s="1046"/>
      <c r="AC105" s="1046"/>
      <c r="AD105" s="1046"/>
      <c r="AE105" s="1046"/>
      <c r="AF105" s="1046"/>
      <c r="AG105" s="1046"/>
      <c r="AH105" s="1046"/>
      <c r="AI105" s="1046"/>
      <c r="AJ105" s="1046"/>
      <c r="AK105" s="1046"/>
      <c r="AL105" s="1046"/>
      <c r="AM105" s="1046"/>
      <c r="AN105" s="1046"/>
      <c r="AO105" s="1046"/>
      <c r="AP105" s="1046"/>
      <c r="AQ105" s="1046"/>
      <c r="AR105" s="1046"/>
      <c r="AS105" s="1046"/>
      <c r="AT105" s="947"/>
      <c r="AU105" s="947"/>
      <c r="AV105" s="947"/>
      <c r="AW105" s="947"/>
      <c r="AX105" s="947"/>
      <c r="AY105" s="947"/>
      <c r="AZ105" s="947"/>
      <c r="BA105" s="947"/>
      <c r="BB105" s="947"/>
      <c r="BC105" s="947"/>
    </row>
    <row r="106" spans="1:55" ht="5.25" customHeight="1" thickTop="1">
      <c r="A106" s="684"/>
      <c r="B106" s="684"/>
      <c r="C106" s="684"/>
      <c r="D106" s="690"/>
      <c r="E106" s="1039"/>
      <c r="F106" s="1039"/>
      <c r="G106" s="1039"/>
      <c r="H106" s="1039"/>
      <c r="I106" s="1039"/>
      <c r="J106" s="1039"/>
      <c r="K106" s="1039"/>
      <c r="L106" s="1039"/>
      <c r="M106" s="1039"/>
      <c r="N106" s="1039"/>
      <c r="O106" s="1039"/>
      <c r="P106" s="1039"/>
      <c r="Q106" s="1039"/>
      <c r="R106" s="1039"/>
      <c r="S106" s="1039"/>
      <c r="T106" s="1039"/>
      <c r="U106" s="1039"/>
      <c r="V106" s="1039"/>
      <c r="W106" s="1039"/>
      <c r="X106" s="1039"/>
      <c r="Y106" s="1039"/>
      <c r="Z106" s="1039"/>
      <c r="AA106" s="1039"/>
      <c r="AB106" s="1039"/>
      <c r="AC106" s="1039"/>
      <c r="AD106" s="1039"/>
      <c r="AE106" s="1039"/>
      <c r="AF106" s="1039"/>
      <c r="AG106" s="1039"/>
      <c r="AH106" s="1039"/>
      <c r="AI106" s="1039"/>
      <c r="AJ106" s="1039"/>
      <c r="AK106" s="1039"/>
      <c r="AL106" s="1039"/>
      <c r="AM106" s="1039"/>
      <c r="AN106" s="1039"/>
      <c r="AO106" s="1039"/>
      <c r="AP106" s="1039"/>
      <c r="AQ106" s="1039"/>
      <c r="AR106" s="1039"/>
      <c r="AS106" s="1039"/>
      <c r="AT106" s="947"/>
      <c r="AU106" s="947"/>
      <c r="AV106" s="947"/>
      <c r="AW106" s="947"/>
      <c r="AX106" s="947"/>
      <c r="AY106" s="947"/>
      <c r="AZ106" s="947"/>
      <c r="BA106" s="947"/>
      <c r="BB106" s="947"/>
      <c r="BC106" s="947"/>
    </row>
    <row r="107" spans="1:55" ht="14.25">
      <c r="A107" s="684"/>
      <c r="B107" s="684"/>
      <c r="C107" s="684" t="str">
        <f>Calc_time!D60</f>
        <v>Total operational cost in EUR of time spent to become FAIR</v>
      </c>
      <c r="D107" s="690" t="s">
        <v>291</v>
      </c>
      <c r="E107" s="1033">
        <v>0</v>
      </c>
      <c r="F107" s="1033">
        <f ca="1">HLOOKUP(F$76,Calc_time!$V$111:$BK$120,10,FALSE)</f>
        <v>-11049.783716466141</v>
      </c>
      <c r="G107" s="1033">
        <f ca="1">HLOOKUP(G$76,Calc_time!$V$111:$BK$120,10,FALSE)</f>
        <v>-10853.514632245749</v>
      </c>
      <c r="H107" s="1033">
        <f ca="1">HLOOKUP(H$76,Calc_time!$V$111:$BK$120,10,FALSE)</f>
        <v>-7641.3902010870597</v>
      </c>
      <c r="I107" s="1033">
        <f ca="1">HLOOKUP(I$76,Calc_time!$V$111:$BK$120,10,FALSE)</f>
        <v>-7627.1230355420921</v>
      </c>
      <c r="J107" s="1033">
        <f ca="1">HLOOKUP(J$76,Calc_time!$V$111:$BK$120,10,FALSE)</f>
        <v>-7613.6508354422185</v>
      </c>
      <c r="K107" s="1033">
        <f ca="1">HLOOKUP(K$76,Calc_time!$V$111:$BK$120,10,FALSE)</f>
        <v>-7600.040527740437</v>
      </c>
      <c r="L107" s="1033">
        <f ca="1">HLOOKUP(L$76,Calc_time!$V$111:$BK$120,10,FALSE)</f>
        <v>-7586.298274306062</v>
      </c>
      <c r="M107" s="1033">
        <f ca="1">HLOOKUP(M$76,Calc_time!$V$111:$BK$120,10,FALSE)</f>
        <v>-7572.4305169747022</v>
      </c>
      <c r="N107" s="1033">
        <f ca="1">HLOOKUP(N$76,Calc_time!$V$111:$BK$120,10,FALSE)</f>
        <v>-7558.4439678019771</v>
      </c>
      <c r="O107" s="1033">
        <f ca="1">HLOOKUP(O$76,Calc_time!$V$111:$BK$120,10,FALSE)</f>
        <v>-7544.345598134616</v>
      </c>
      <c r="P107" s="1033">
        <f ca="1">HLOOKUP(P$76,Calc_time!$V$111:$BK$120,10,FALSE)</f>
        <v>-7530.1426265240298</v>
      </c>
      <c r="Q107" s="1033">
        <f ca="1">HLOOKUP(Q$76,Calc_time!$V$111:$BK$120,10,FALSE)</f>
        <v>-7515.8425055159769</v>
      </c>
      <c r="R107" s="1033">
        <f ca="1">HLOOKUP(R$76,Calc_time!$V$111:$BK$120,10,FALSE)</f>
        <v>-7501.452907358318</v>
      </c>
      <c r="S107" s="1033">
        <f ca="1">HLOOKUP(S$76,Calc_time!$V$111:$BK$120,10,FALSE)</f>
        <v>-7486.9817086772382</v>
      </c>
      <c r="T107" s="1033">
        <f ca="1">HLOOKUP(T$76,Calc_time!$V$111:$BK$120,10,FALSE)</f>
        <v>-7472.436974180393</v>
      </c>
      <c r="U107" s="1033">
        <f ca="1">HLOOKUP(U$76,Calc_time!$V$111:$BK$120,10,FALSE)</f>
        <v>-7457.826939453209</v>
      </c>
      <c r="V107" s="1033">
        <f ca="1">HLOOKUP(V$76,Calc_time!$V$111:$BK$120,10,FALSE)</f>
        <v>-7443.1599929219738</v>
      </c>
      <c r="W107" s="1033">
        <f ca="1">HLOOKUP(W$76,Calc_time!$V$111:$BK$120,10,FALSE)</f>
        <v>-7428.4446570642031</v>
      </c>
      <c r="X107" s="1033">
        <f ca="1">HLOOKUP(X$76,Calc_time!$V$111:$BK$120,10,FALSE)</f>
        <v>-7413.6895689530847</v>
      </c>
      <c r="Y107" s="1033">
        <f ca="1">HLOOKUP(Y$76,Calc_time!$V$111:$BK$120,10,FALSE)</f>
        <v>-7398.9034602284173</v>
      </c>
      <c r="Z107" s="1033">
        <f ca="1">HLOOKUP(Z$76,Calc_time!$V$111:$BK$120,10,FALSE)</f>
        <v>-7384.0951365913988</v>
      </c>
      <c r="AA107" s="1033">
        <f ca="1">HLOOKUP(AA$76,Calc_time!$V$111:$BK$120,10,FALSE)</f>
        <v>-7369.2734569246295</v>
      </c>
      <c r="AB107" s="1033">
        <f ca="1">HLOOKUP(AB$76,Calc_time!$V$111:$BK$120,10,FALSE)</f>
        <v>-7354.4473121420542</v>
      </c>
      <c r="AC107" s="1033">
        <f ca="1">HLOOKUP(AC$76,Calc_time!$V$111:$BK$120,10,FALSE)</f>
        <v>-7339.625603875822</v>
      </c>
      <c r="AD107" s="1033">
        <f ca="1">HLOOKUP(AD$76,Calc_time!$V$111:$BK$120,10,FALSE)</f>
        <v>-7324.8172231085173</v>
      </c>
      <c r="AE107" s="1033">
        <f ca="1">HLOOKUP(AE$76,Calc_time!$V$111:$BK$120,10,FALSE)</f>
        <v>-7310.0310288596593</v>
      </c>
      <c r="AF107" s="1033">
        <f ca="1">HLOOKUP(AF$76,Calc_time!$V$111:$BK$120,10,FALSE)</f>
        <v>-7295.275827034955</v>
      </c>
      <c r="AG107" s="1033">
        <f ca="1">HLOOKUP(AG$76,Calc_time!$V$111:$BK$120,10,FALSE)</f>
        <v>-7280.5603495452706</v>
      </c>
      <c r="AH107" s="1033">
        <f ca="1">HLOOKUP(AH$76,Calc_time!$V$111:$BK$120,10,FALSE)</f>
        <v>-7265.8932338000395</v>
      </c>
      <c r="AI107" s="1033">
        <f ca="1">HLOOKUP(AI$76,Calc_time!$V$111:$BK$120,10,FALSE)</f>
        <v>-7251.2830026765187</v>
      </c>
      <c r="AJ107" s="1033">
        <f ca="1">HLOOKUP(AJ$76,Calc_time!$V$111:$BK$120,10,FALSE)</f>
        <v>-7236.7380450622386</v>
      </c>
      <c r="AK107" s="1033">
        <f ca="1">HLOOKUP(AK$76,Calc_time!$V$111:$BK$120,10,FALSE)</f>
        <v>-7222.2665970630933</v>
      </c>
      <c r="AL107" s="1033">
        <f ca="1">HLOOKUP(AL$76,Calc_time!$V$111:$BK$120,10,FALSE)</f>
        <v>-7207.8767239638655</v>
      </c>
      <c r="AM107" s="1033">
        <f ca="1">HLOOKUP(AM$76,Calc_time!$V$111:$BK$120,10,FALSE)</f>
        <v>-7193.5763030217458</v>
      </c>
      <c r="AN107" s="1033">
        <f ca="1">HLOOKUP(AN$76,Calc_time!$V$111:$BK$120,10,FALSE)</f>
        <v>-7179.3730071664322</v>
      </c>
      <c r="AO107" s="1033">
        <f ca="1">HLOOKUP(AO$76,Calc_time!$V$111:$BK$120,10,FALSE)</f>
        <v>-7165.2742896731525</v>
      </c>
      <c r="AP107" s="1033">
        <f ca="1">HLOOKUP(AP$76,Calc_time!$V$111:$BK$120,10,FALSE)</f>
        <v>-7151.2873698670028</v>
      </c>
      <c r="AQ107" s="1033">
        <f ca="1">HLOOKUP(AQ$76,Calc_time!$V$111:$BK$120,10,FALSE)</f>
        <v>-7137.4192199090667</v>
      </c>
      <c r="AR107" s="1033">
        <f ca="1">HLOOKUP(AR$76,Calc_time!$V$111:$BK$120,10,FALSE)</f>
        <v>-7123.676552706318</v>
      </c>
      <c r="AS107" s="1033">
        <f ca="1">HLOOKUP(AS$76,Calc_time!$V$111:$BK$120,10,FALSE)</f>
        <v>-7110.0658109789656</v>
      </c>
      <c r="AT107" s="947"/>
      <c r="AU107" s="947"/>
      <c r="AV107" s="947"/>
      <c r="AW107" s="947"/>
      <c r="AX107" s="947"/>
      <c r="AY107" s="947"/>
      <c r="AZ107" s="947"/>
      <c r="BA107" s="947"/>
      <c r="BB107" s="947"/>
      <c r="BC107" s="947"/>
    </row>
    <row r="108" spans="1:55" ht="14.25">
      <c r="A108" s="684"/>
      <c r="B108" s="684"/>
      <c r="C108" s="684" t="str">
        <f>Calc_time!D734</f>
        <v>Software maintenance costs</v>
      </c>
      <c r="D108" s="690" t="s">
        <v>291</v>
      </c>
      <c r="E108" s="1033">
        <f ca="1">HLOOKUP(E$76,Calc_time!$W$122:$BK$125,4,FALSE)</f>
        <v>-0.49999999999979222</v>
      </c>
      <c r="F108" s="1033">
        <f ca="1">HLOOKUP(F$76,Calc_time!$W$122:$BK$125,4,FALSE)</f>
        <v>-221.79215509421206</v>
      </c>
      <c r="G108" s="1033">
        <f ca="1">HLOOKUP(G$76,Calc_time!$W$122:$BK$125,4,FALSE)</f>
        <v>-4778.2078449057872</v>
      </c>
      <c r="H108" s="1033">
        <f ca="1">HLOOKUP(H$76,Calc_time!$W$122:$BK$125,4,FALSE)</f>
        <v>-4999.5000000000009</v>
      </c>
      <c r="I108" s="1033">
        <f ca="1">HLOOKUP(I$76,Calc_time!$W$122:$BK$125,4,FALSE)</f>
        <v>-5000</v>
      </c>
      <c r="J108" s="1033">
        <f ca="1">HLOOKUP(J$76,Calc_time!$W$122:$BK$125,4,FALSE)</f>
        <v>-5000</v>
      </c>
      <c r="K108" s="1033">
        <f ca="1">HLOOKUP(K$76,Calc_time!$W$122:$BK$125,4,FALSE)</f>
        <v>-5000</v>
      </c>
      <c r="L108" s="1033">
        <f ca="1">HLOOKUP(L$76,Calc_time!$W$122:$BK$125,4,FALSE)</f>
        <v>-5000</v>
      </c>
      <c r="M108" s="1033">
        <f ca="1">HLOOKUP(M$76,Calc_time!$W$122:$BK$125,4,FALSE)</f>
        <v>-5000</v>
      </c>
      <c r="N108" s="1033">
        <f ca="1">HLOOKUP(N$76,Calc_time!$W$122:$BK$125,4,FALSE)</f>
        <v>-5000</v>
      </c>
      <c r="O108" s="1033">
        <f ca="1">HLOOKUP(O$76,Calc_time!$W$122:$BK$125,4,FALSE)</f>
        <v>-5000</v>
      </c>
      <c r="P108" s="1033">
        <f ca="1">HLOOKUP(P$76,Calc_time!$W$122:$BK$125,4,FALSE)</f>
        <v>-5000</v>
      </c>
      <c r="Q108" s="1033">
        <f ca="1">HLOOKUP(Q$76,Calc_time!$W$122:$BK$125,4,FALSE)</f>
        <v>-5000</v>
      </c>
      <c r="R108" s="1033">
        <f ca="1">HLOOKUP(R$76,Calc_time!$W$122:$BK$125,4,FALSE)</f>
        <v>-5000</v>
      </c>
      <c r="S108" s="1033">
        <f ca="1">HLOOKUP(S$76,Calc_time!$W$122:$BK$125,4,FALSE)</f>
        <v>-5000</v>
      </c>
      <c r="T108" s="1033">
        <f ca="1">HLOOKUP(T$76,Calc_time!$W$122:$BK$125,4,FALSE)</f>
        <v>-5000</v>
      </c>
      <c r="U108" s="1033">
        <f ca="1">HLOOKUP(U$76,Calc_time!$W$122:$BK$125,4,FALSE)</f>
        <v>-5000</v>
      </c>
      <c r="V108" s="1033">
        <f ca="1">HLOOKUP(V$76,Calc_time!$W$122:$BK$125,4,FALSE)</f>
        <v>-5000</v>
      </c>
      <c r="W108" s="1033">
        <f ca="1">HLOOKUP(W$76,Calc_time!$W$122:$BK$125,4,FALSE)</f>
        <v>-5000</v>
      </c>
      <c r="X108" s="1033">
        <f ca="1">HLOOKUP(X$76,Calc_time!$W$122:$BK$125,4,FALSE)</f>
        <v>-5000</v>
      </c>
      <c r="Y108" s="1033">
        <f ca="1">HLOOKUP(Y$76,Calc_time!$W$122:$BK$125,4,FALSE)</f>
        <v>-5000</v>
      </c>
      <c r="Z108" s="1033">
        <f ca="1">HLOOKUP(Z$76,Calc_time!$W$122:$BK$125,4,FALSE)</f>
        <v>-5000</v>
      </c>
      <c r="AA108" s="1033">
        <f ca="1">HLOOKUP(AA$76,Calc_time!$W$122:$BK$125,4,FALSE)</f>
        <v>-5000</v>
      </c>
      <c r="AB108" s="1033">
        <f ca="1">HLOOKUP(AB$76,Calc_time!$W$122:$BK$125,4,FALSE)</f>
        <v>-5000</v>
      </c>
      <c r="AC108" s="1033">
        <f ca="1">HLOOKUP(AC$76,Calc_time!$W$122:$BK$125,4,FALSE)</f>
        <v>-5000</v>
      </c>
      <c r="AD108" s="1033">
        <f ca="1">HLOOKUP(AD$76,Calc_time!$W$122:$BK$125,4,FALSE)</f>
        <v>-5000</v>
      </c>
      <c r="AE108" s="1033">
        <f ca="1">HLOOKUP(AE$76,Calc_time!$W$122:$BK$125,4,FALSE)</f>
        <v>-5000</v>
      </c>
      <c r="AF108" s="1033">
        <f ca="1">HLOOKUP(AF$76,Calc_time!$W$122:$BK$125,4,FALSE)</f>
        <v>-5000</v>
      </c>
      <c r="AG108" s="1033">
        <f ca="1">HLOOKUP(AG$76,Calc_time!$W$122:$BK$125,4,FALSE)</f>
        <v>-5000</v>
      </c>
      <c r="AH108" s="1033">
        <f ca="1">HLOOKUP(AH$76,Calc_time!$W$122:$BK$125,4,FALSE)</f>
        <v>-5000</v>
      </c>
      <c r="AI108" s="1033">
        <f ca="1">HLOOKUP(AI$76,Calc_time!$W$122:$BK$125,4,FALSE)</f>
        <v>-5000</v>
      </c>
      <c r="AJ108" s="1033">
        <f ca="1">HLOOKUP(AJ$76,Calc_time!$W$122:$BK$125,4,FALSE)</f>
        <v>-5000</v>
      </c>
      <c r="AK108" s="1033">
        <f ca="1">HLOOKUP(AK$76,Calc_time!$W$122:$BK$125,4,FALSE)</f>
        <v>-5000</v>
      </c>
      <c r="AL108" s="1033">
        <f ca="1">HLOOKUP(AL$76,Calc_time!$W$122:$BK$125,4,FALSE)</f>
        <v>-5000</v>
      </c>
      <c r="AM108" s="1033">
        <f ca="1">HLOOKUP(AM$76,Calc_time!$W$122:$BK$125,4,FALSE)</f>
        <v>-5000</v>
      </c>
      <c r="AN108" s="1033">
        <f ca="1">HLOOKUP(AN$76,Calc_time!$W$122:$BK$125,4,FALSE)</f>
        <v>-5000</v>
      </c>
      <c r="AO108" s="1033">
        <f ca="1">HLOOKUP(AO$76,Calc_time!$W$122:$BK$125,4,FALSE)</f>
        <v>-5000</v>
      </c>
      <c r="AP108" s="1033">
        <f ca="1">HLOOKUP(AP$76,Calc_time!$W$122:$BK$125,4,FALSE)</f>
        <v>-5000</v>
      </c>
      <c r="AQ108" s="1033">
        <f ca="1">HLOOKUP(AQ$76,Calc_time!$W$122:$BK$125,4,FALSE)</f>
        <v>-5000</v>
      </c>
      <c r="AR108" s="1033">
        <f ca="1">HLOOKUP(AR$76,Calc_time!$W$122:$BK$125,4,FALSE)</f>
        <v>-5000</v>
      </c>
      <c r="AS108" s="1033">
        <f ca="1">HLOOKUP(AS$76,Calc_time!$W$122:$BK$125,4,FALSE)</f>
        <v>-5000</v>
      </c>
      <c r="AT108" s="947"/>
      <c r="AU108" s="947"/>
      <c r="AV108" s="947"/>
      <c r="AW108" s="947"/>
      <c r="AX108" s="947"/>
      <c r="AY108" s="947"/>
      <c r="AZ108" s="947"/>
      <c r="BA108" s="947"/>
      <c r="BB108" s="947"/>
      <c r="BC108" s="947"/>
    </row>
    <row r="109" spans="1:55" ht="14.25">
      <c r="A109" s="684"/>
      <c r="B109" s="684"/>
      <c r="C109" s="684" t="str">
        <f>Calc_time!D725</f>
        <v>Data stewardship costs</v>
      </c>
      <c r="D109" s="690" t="s">
        <v>291</v>
      </c>
      <c r="E109" s="1033">
        <f ca="1">HLOOKUP(E$76,Calc_time!$W$122:$BK$125,2,FALSE)</f>
        <v>-108150</v>
      </c>
      <c r="F109" s="1033">
        <f ca="1">HLOOKUP(F$76,Calc_time!$W$122:$BK$125,2,FALSE)</f>
        <v>-105000</v>
      </c>
      <c r="G109" s="1033">
        <f ca="1">HLOOKUP(G$76,Calc_time!$W$122:$BK$125,2,FALSE)</f>
        <v>-105000</v>
      </c>
      <c r="H109" s="1033">
        <f ca="1">HLOOKUP(H$76,Calc_time!$W$122:$BK$125,2,FALSE)</f>
        <v>-105000</v>
      </c>
      <c r="I109" s="1033">
        <f ca="1">HLOOKUP(I$76,Calc_time!$W$122:$BK$125,2,FALSE)</f>
        <v>-105000</v>
      </c>
      <c r="J109" s="1033">
        <f ca="1">HLOOKUP(J$76,Calc_time!$W$122:$BK$125,2,FALSE)</f>
        <v>-105000</v>
      </c>
      <c r="K109" s="1033">
        <f ca="1">HLOOKUP(K$76,Calc_time!$W$122:$BK$125,2,FALSE)</f>
        <v>-105000</v>
      </c>
      <c r="L109" s="1033">
        <f ca="1">HLOOKUP(L$76,Calc_time!$W$122:$BK$125,2,FALSE)</f>
        <v>-105000</v>
      </c>
      <c r="M109" s="1033">
        <f ca="1">HLOOKUP(M$76,Calc_time!$W$122:$BK$125,2,FALSE)</f>
        <v>-105000</v>
      </c>
      <c r="N109" s="1033">
        <f ca="1">HLOOKUP(N$76,Calc_time!$W$122:$BK$125,2,FALSE)</f>
        <v>-105000</v>
      </c>
      <c r="O109" s="1033">
        <f ca="1">HLOOKUP(O$76,Calc_time!$W$122:$BK$125,2,FALSE)</f>
        <v>-105000</v>
      </c>
      <c r="P109" s="1033">
        <f ca="1">HLOOKUP(P$76,Calc_time!$W$122:$BK$125,2,FALSE)</f>
        <v>-105000</v>
      </c>
      <c r="Q109" s="1033">
        <f ca="1">HLOOKUP(Q$76,Calc_time!$W$122:$BK$125,2,FALSE)</f>
        <v>-105000</v>
      </c>
      <c r="R109" s="1033">
        <f ca="1">HLOOKUP(R$76,Calc_time!$W$122:$BK$125,2,FALSE)</f>
        <v>-105000</v>
      </c>
      <c r="S109" s="1033">
        <f ca="1">HLOOKUP(S$76,Calc_time!$W$122:$BK$125,2,FALSE)</f>
        <v>-105000</v>
      </c>
      <c r="T109" s="1033">
        <f ca="1">HLOOKUP(T$76,Calc_time!$W$122:$BK$125,2,FALSE)</f>
        <v>-105000</v>
      </c>
      <c r="U109" s="1033">
        <f ca="1">HLOOKUP(U$76,Calc_time!$W$122:$BK$125,2,FALSE)</f>
        <v>-105000</v>
      </c>
      <c r="V109" s="1033">
        <f ca="1">HLOOKUP(V$76,Calc_time!$W$122:$BK$125,2,FALSE)</f>
        <v>-105000</v>
      </c>
      <c r="W109" s="1033">
        <f ca="1">HLOOKUP(W$76,Calc_time!$W$122:$BK$125,2,FALSE)</f>
        <v>-105000</v>
      </c>
      <c r="X109" s="1033">
        <f ca="1">HLOOKUP(X$76,Calc_time!$W$122:$BK$125,2,FALSE)</f>
        <v>-105000</v>
      </c>
      <c r="Y109" s="1033">
        <f ca="1">HLOOKUP(Y$76,Calc_time!$W$122:$BK$125,2,FALSE)</f>
        <v>-105000</v>
      </c>
      <c r="Z109" s="1033">
        <f ca="1">HLOOKUP(Z$76,Calc_time!$W$122:$BK$125,2,FALSE)</f>
        <v>-105000</v>
      </c>
      <c r="AA109" s="1033">
        <f ca="1">HLOOKUP(AA$76,Calc_time!$W$122:$BK$125,2,FALSE)</f>
        <v>-105000</v>
      </c>
      <c r="AB109" s="1033">
        <f ca="1">HLOOKUP(AB$76,Calc_time!$W$122:$BK$125,2,FALSE)</f>
        <v>-105000</v>
      </c>
      <c r="AC109" s="1033">
        <f ca="1">HLOOKUP(AC$76,Calc_time!$W$122:$BK$125,2,FALSE)</f>
        <v>-105000</v>
      </c>
      <c r="AD109" s="1033">
        <f ca="1">HLOOKUP(AD$76,Calc_time!$W$122:$BK$125,2,FALSE)</f>
        <v>-105000</v>
      </c>
      <c r="AE109" s="1033">
        <f ca="1">HLOOKUP(AE$76,Calc_time!$W$122:$BK$125,2,FALSE)</f>
        <v>-105000</v>
      </c>
      <c r="AF109" s="1033">
        <f ca="1">HLOOKUP(AF$76,Calc_time!$W$122:$BK$125,2,FALSE)</f>
        <v>-105000</v>
      </c>
      <c r="AG109" s="1033">
        <f ca="1">HLOOKUP(AG$76,Calc_time!$W$122:$BK$125,2,FALSE)</f>
        <v>-105000</v>
      </c>
      <c r="AH109" s="1033">
        <f ca="1">HLOOKUP(AH$76,Calc_time!$W$122:$BK$125,2,FALSE)</f>
        <v>-105000</v>
      </c>
      <c r="AI109" s="1033">
        <f ca="1">HLOOKUP(AI$76,Calc_time!$W$122:$BK$125,2,FALSE)</f>
        <v>-105000</v>
      </c>
      <c r="AJ109" s="1033">
        <f ca="1">HLOOKUP(AJ$76,Calc_time!$W$122:$BK$125,2,FALSE)</f>
        <v>-105000</v>
      </c>
      <c r="AK109" s="1033">
        <f ca="1">HLOOKUP(AK$76,Calc_time!$W$122:$BK$125,2,FALSE)</f>
        <v>-105000</v>
      </c>
      <c r="AL109" s="1033">
        <f ca="1">HLOOKUP(AL$76,Calc_time!$W$122:$BK$125,2,FALSE)</f>
        <v>-105000</v>
      </c>
      <c r="AM109" s="1033">
        <f ca="1">HLOOKUP(AM$76,Calc_time!$W$122:$BK$125,2,FALSE)</f>
        <v>-105000</v>
      </c>
      <c r="AN109" s="1033">
        <f ca="1">HLOOKUP(AN$76,Calc_time!$W$122:$BK$125,2,FALSE)</f>
        <v>-105000</v>
      </c>
      <c r="AO109" s="1033">
        <f ca="1">HLOOKUP(AO$76,Calc_time!$W$122:$BK$125,2,FALSE)</f>
        <v>-105000</v>
      </c>
      <c r="AP109" s="1033">
        <f ca="1">HLOOKUP(AP$76,Calc_time!$W$122:$BK$125,2,FALSE)</f>
        <v>-105000</v>
      </c>
      <c r="AQ109" s="1033">
        <f ca="1">HLOOKUP(AQ$76,Calc_time!$W$122:$BK$125,2,FALSE)</f>
        <v>-105000</v>
      </c>
      <c r="AR109" s="1033">
        <f ca="1">HLOOKUP(AR$76,Calc_time!$W$122:$BK$125,2,FALSE)</f>
        <v>-105000</v>
      </c>
      <c r="AS109" s="1033">
        <f ca="1">HLOOKUP(AS$76,Calc_time!$W$122:$BK$125,2,FALSE)</f>
        <v>-105000</v>
      </c>
      <c r="AT109" s="947"/>
      <c r="AU109" s="947"/>
      <c r="AV109" s="947"/>
      <c r="AW109" s="947"/>
      <c r="AX109" s="947"/>
      <c r="AY109" s="947"/>
      <c r="AZ109" s="947"/>
      <c r="BA109" s="947"/>
      <c r="BB109" s="947"/>
      <c r="BC109" s="947"/>
    </row>
    <row r="110" spans="1:55" ht="14.25">
      <c r="A110" s="684"/>
      <c r="B110" s="684"/>
      <c r="C110" s="684" t="str">
        <f>Calc_time!D411</f>
        <v>Cost to comply with global standardised PIDs</v>
      </c>
      <c r="D110" s="690" t="s">
        <v>291</v>
      </c>
      <c r="E110" s="1033">
        <f ca="1">HLOOKUP(E$76,Calc_time!$W$122:$BK$125,3,FALSE)</f>
        <v>-4.9999999999979221E-2</v>
      </c>
      <c r="F110" s="1033">
        <f ca="1">HLOOKUP(F$76,Calc_time!$W$122:$BK$125,3,FALSE)</f>
        <v>-22.179215509421205</v>
      </c>
      <c r="G110" s="1033">
        <f ca="1">HLOOKUP(G$76,Calc_time!$W$122:$BK$125,3,FALSE)</f>
        <v>-477.82078449057872</v>
      </c>
      <c r="H110" s="1033">
        <f ca="1">HLOOKUP(H$76,Calc_time!$W$122:$BK$125,3,FALSE)</f>
        <v>-499.95000000000005</v>
      </c>
      <c r="I110" s="1033">
        <f ca="1">HLOOKUP(I$76,Calc_time!$W$122:$BK$125,3,FALSE)</f>
        <v>-500</v>
      </c>
      <c r="J110" s="1033">
        <f ca="1">HLOOKUP(J$76,Calc_time!$W$122:$BK$125,3,FALSE)</f>
        <v>-500</v>
      </c>
      <c r="K110" s="1033">
        <f ca="1">HLOOKUP(K$76,Calc_time!$W$122:$BK$125,3,FALSE)</f>
        <v>-500</v>
      </c>
      <c r="L110" s="1033">
        <f ca="1">HLOOKUP(L$76,Calc_time!$W$122:$BK$125,3,FALSE)</f>
        <v>-500</v>
      </c>
      <c r="M110" s="1033">
        <f ca="1">HLOOKUP(M$76,Calc_time!$W$122:$BK$125,3,FALSE)</f>
        <v>-500</v>
      </c>
      <c r="N110" s="1033">
        <f ca="1">HLOOKUP(N$76,Calc_time!$W$122:$BK$125,3,FALSE)</f>
        <v>-500</v>
      </c>
      <c r="O110" s="1033">
        <f ca="1">HLOOKUP(O$76,Calc_time!$W$122:$BK$125,3,FALSE)</f>
        <v>-500</v>
      </c>
      <c r="P110" s="1033">
        <f ca="1">HLOOKUP(P$76,Calc_time!$W$122:$BK$125,3,FALSE)</f>
        <v>-500</v>
      </c>
      <c r="Q110" s="1033">
        <f ca="1">HLOOKUP(Q$76,Calc_time!$W$122:$BK$125,3,FALSE)</f>
        <v>-500</v>
      </c>
      <c r="R110" s="1033">
        <f ca="1">HLOOKUP(R$76,Calc_time!$W$122:$BK$125,3,FALSE)</f>
        <v>-500</v>
      </c>
      <c r="S110" s="1033">
        <f ca="1">HLOOKUP(S$76,Calc_time!$W$122:$BK$125,3,FALSE)</f>
        <v>-500</v>
      </c>
      <c r="T110" s="1033">
        <f ca="1">HLOOKUP(T$76,Calc_time!$W$122:$BK$125,3,FALSE)</f>
        <v>-500</v>
      </c>
      <c r="U110" s="1033">
        <f ca="1">HLOOKUP(U$76,Calc_time!$W$122:$BK$125,3,FALSE)</f>
        <v>-500</v>
      </c>
      <c r="V110" s="1033">
        <f ca="1">HLOOKUP(V$76,Calc_time!$W$122:$BK$125,3,FALSE)</f>
        <v>-500</v>
      </c>
      <c r="W110" s="1033">
        <f ca="1">HLOOKUP(W$76,Calc_time!$W$122:$BK$125,3,FALSE)</f>
        <v>-500</v>
      </c>
      <c r="X110" s="1033">
        <f ca="1">HLOOKUP(X$76,Calc_time!$W$122:$BK$125,3,FALSE)</f>
        <v>-500</v>
      </c>
      <c r="Y110" s="1033">
        <f ca="1">HLOOKUP(Y$76,Calc_time!$W$122:$BK$125,3,FALSE)</f>
        <v>-500</v>
      </c>
      <c r="Z110" s="1033">
        <f ca="1">HLOOKUP(Z$76,Calc_time!$W$122:$BK$125,3,FALSE)</f>
        <v>-500</v>
      </c>
      <c r="AA110" s="1033">
        <f ca="1">HLOOKUP(AA$76,Calc_time!$W$122:$BK$125,3,FALSE)</f>
        <v>-500</v>
      </c>
      <c r="AB110" s="1033">
        <f ca="1">HLOOKUP(AB$76,Calc_time!$W$122:$BK$125,3,FALSE)</f>
        <v>-500</v>
      </c>
      <c r="AC110" s="1033">
        <f ca="1">HLOOKUP(AC$76,Calc_time!$W$122:$BK$125,3,FALSE)</f>
        <v>-500</v>
      </c>
      <c r="AD110" s="1033">
        <f ca="1">HLOOKUP(AD$76,Calc_time!$W$122:$BK$125,3,FALSE)</f>
        <v>-500</v>
      </c>
      <c r="AE110" s="1033">
        <f ca="1">HLOOKUP(AE$76,Calc_time!$W$122:$BK$125,3,FALSE)</f>
        <v>-500</v>
      </c>
      <c r="AF110" s="1033">
        <f ca="1">HLOOKUP(AF$76,Calc_time!$W$122:$BK$125,3,FALSE)</f>
        <v>-500</v>
      </c>
      <c r="AG110" s="1033">
        <f ca="1">HLOOKUP(AG$76,Calc_time!$W$122:$BK$125,3,FALSE)</f>
        <v>-500</v>
      </c>
      <c r="AH110" s="1033">
        <f ca="1">HLOOKUP(AH$76,Calc_time!$W$122:$BK$125,3,FALSE)</f>
        <v>-500</v>
      </c>
      <c r="AI110" s="1033">
        <f ca="1">HLOOKUP(AI$76,Calc_time!$W$122:$BK$125,3,FALSE)</f>
        <v>-500</v>
      </c>
      <c r="AJ110" s="1033">
        <f ca="1">HLOOKUP(AJ$76,Calc_time!$W$122:$BK$125,3,FALSE)</f>
        <v>-500</v>
      </c>
      <c r="AK110" s="1033">
        <f ca="1">HLOOKUP(AK$76,Calc_time!$W$122:$BK$125,3,FALSE)</f>
        <v>-500</v>
      </c>
      <c r="AL110" s="1033">
        <f ca="1">HLOOKUP(AL$76,Calc_time!$W$122:$BK$125,3,FALSE)</f>
        <v>-500</v>
      </c>
      <c r="AM110" s="1033">
        <f ca="1">HLOOKUP(AM$76,Calc_time!$W$122:$BK$125,3,FALSE)</f>
        <v>-500</v>
      </c>
      <c r="AN110" s="1033">
        <f ca="1">HLOOKUP(AN$76,Calc_time!$W$122:$BK$125,3,FALSE)</f>
        <v>-500</v>
      </c>
      <c r="AO110" s="1033">
        <f ca="1">HLOOKUP(AO$76,Calc_time!$W$122:$BK$125,3,FALSE)</f>
        <v>-500</v>
      </c>
      <c r="AP110" s="1033">
        <f ca="1">HLOOKUP(AP$76,Calc_time!$W$122:$BK$125,3,FALSE)</f>
        <v>-500</v>
      </c>
      <c r="AQ110" s="1033">
        <f ca="1">HLOOKUP(AQ$76,Calc_time!$W$122:$BK$125,3,FALSE)</f>
        <v>-500</v>
      </c>
      <c r="AR110" s="1033">
        <f ca="1">HLOOKUP(AR$76,Calc_time!$W$122:$BK$125,3,FALSE)</f>
        <v>-500</v>
      </c>
      <c r="AS110" s="1033">
        <f ca="1">HLOOKUP(AS$76,Calc_time!$W$122:$BK$125,3,FALSE)</f>
        <v>-500</v>
      </c>
      <c r="AT110" s="947"/>
      <c r="AU110" s="947"/>
      <c r="AV110" s="947"/>
      <c r="AW110" s="947"/>
      <c r="AX110" s="947"/>
      <c r="AY110" s="947"/>
      <c r="AZ110" s="947"/>
      <c r="BA110" s="947"/>
      <c r="BB110" s="947"/>
      <c r="BC110" s="947"/>
    </row>
    <row r="111" spans="1:55" ht="14.25">
      <c r="A111" s="684"/>
      <c r="B111" s="684"/>
      <c r="C111" s="684" t="str">
        <f>Calc_Misc!D30</f>
        <v>Decreasing revenue from licensing fees and royalties</v>
      </c>
      <c r="D111" s="690" t="s">
        <v>291</v>
      </c>
      <c r="E111" s="1033">
        <f ca="1">HLOOKUP(E$76,Calc_Misc!$S$31:$BG$33,3,FALSE)</f>
        <v>-799.99999999996783</v>
      </c>
      <c r="F111" s="1033">
        <f ca="1">HLOOKUP(F$76,Calc_Misc!$S$31:$BG$33,3,FALSE)</f>
        <v>-3581.134057101272</v>
      </c>
      <c r="G111" s="1033">
        <f ca="1">HLOOKUP(G$76,Calc_Misc!$S$31:$BG$33,3,FALSE)</f>
        <v>-3986.3659113993276</v>
      </c>
      <c r="H111" s="1033">
        <f ca="1">HLOOKUP(H$76,Calc_Misc!$S$31:$BG$33,3,FALSE)</f>
        <v>-3999.6000000000004</v>
      </c>
      <c r="I111" s="1033">
        <f ca="1">HLOOKUP(I$76,Calc_Misc!$S$31:$BG$33,3,FALSE)</f>
        <v>-4000</v>
      </c>
      <c r="J111" s="1033">
        <f ca="1">HLOOKUP(J$76,Calc_Misc!$S$31:$BG$33,3,FALSE)</f>
        <v>-4000</v>
      </c>
      <c r="K111" s="1033">
        <f ca="1">HLOOKUP(K$76,Calc_Misc!$S$31:$BG$33,3,FALSE)</f>
        <v>-4000</v>
      </c>
      <c r="L111" s="1033">
        <f ca="1">HLOOKUP(L$76,Calc_Misc!$S$31:$BG$33,3,FALSE)</f>
        <v>-4000</v>
      </c>
      <c r="M111" s="1033">
        <f ca="1">HLOOKUP(M$76,Calc_Misc!$S$31:$BG$33,3,FALSE)</f>
        <v>-4000</v>
      </c>
      <c r="N111" s="1033">
        <f ca="1">HLOOKUP(N$76,Calc_Misc!$S$31:$BG$33,3,FALSE)</f>
        <v>-4000</v>
      </c>
      <c r="O111" s="1033">
        <f ca="1">HLOOKUP(O$76,Calc_Misc!$S$31:$BG$33,3,FALSE)</f>
        <v>-4000</v>
      </c>
      <c r="P111" s="1033">
        <f ca="1">HLOOKUP(P$76,Calc_Misc!$S$31:$BG$33,3,FALSE)</f>
        <v>-4000</v>
      </c>
      <c r="Q111" s="1033">
        <f ca="1">HLOOKUP(Q$76,Calc_Misc!$S$31:$BG$33,3,FALSE)</f>
        <v>-4000</v>
      </c>
      <c r="R111" s="1033">
        <f ca="1">HLOOKUP(R$76,Calc_Misc!$S$31:$BG$33,3,FALSE)</f>
        <v>-4000</v>
      </c>
      <c r="S111" s="1033">
        <f ca="1">HLOOKUP(S$76,Calc_Misc!$S$31:$BG$33,3,FALSE)</f>
        <v>-4000</v>
      </c>
      <c r="T111" s="1033">
        <f ca="1">HLOOKUP(T$76,Calc_Misc!$S$31:$BG$33,3,FALSE)</f>
        <v>-4000</v>
      </c>
      <c r="U111" s="1033">
        <f ca="1">HLOOKUP(U$76,Calc_Misc!$S$31:$BG$33,3,FALSE)</f>
        <v>-4000</v>
      </c>
      <c r="V111" s="1033">
        <f ca="1">HLOOKUP(V$76,Calc_Misc!$S$31:$BG$33,3,FALSE)</f>
        <v>-4000</v>
      </c>
      <c r="W111" s="1033">
        <f ca="1">HLOOKUP(W$76,Calc_Misc!$S$31:$BG$33,3,FALSE)</f>
        <v>-4000</v>
      </c>
      <c r="X111" s="1033">
        <f ca="1">HLOOKUP(X$76,Calc_Misc!$S$31:$BG$33,3,FALSE)</f>
        <v>-4000</v>
      </c>
      <c r="Y111" s="1033">
        <f ca="1">HLOOKUP(Y$76,Calc_Misc!$S$31:$BG$33,3,FALSE)</f>
        <v>-4000</v>
      </c>
      <c r="Z111" s="1033">
        <f ca="1">HLOOKUP(Z$76,Calc_Misc!$S$31:$BG$33,3,FALSE)</f>
        <v>-4000</v>
      </c>
      <c r="AA111" s="1033">
        <f ca="1">HLOOKUP(AA$76,Calc_Misc!$S$31:$BG$33,3,FALSE)</f>
        <v>-4000</v>
      </c>
      <c r="AB111" s="1033">
        <f ca="1">HLOOKUP(AB$76,Calc_Misc!$S$31:$BG$33,3,FALSE)</f>
        <v>-4000</v>
      </c>
      <c r="AC111" s="1033">
        <f ca="1">HLOOKUP(AC$76,Calc_Misc!$S$31:$BG$33,3,FALSE)</f>
        <v>-4000</v>
      </c>
      <c r="AD111" s="1033">
        <f ca="1">HLOOKUP(AD$76,Calc_Misc!$S$31:$BG$33,3,FALSE)</f>
        <v>-4000</v>
      </c>
      <c r="AE111" s="1033">
        <f ca="1">HLOOKUP(AE$76,Calc_Misc!$S$31:$BG$33,3,FALSE)</f>
        <v>-4000</v>
      </c>
      <c r="AF111" s="1033">
        <f ca="1">HLOOKUP(AF$76,Calc_Misc!$S$31:$BG$33,3,FALSE)</f>
        <v>-4000</v>
      </c>
      <c r="AG111" s="1033">
        <f ca="1">HLOOKUP(AG$76,Calc_Misc!$S$31:$BG$33,3,FALSE)</f>
        <v>-4000</v>
      </c>
      <c r="AH111" s="1033">
        <f ca="1">HLOOKUP(AH$76,Calc_Misc!$S$31:$BG$33,3,FALSE)</f>
        <v>-4000</v>
      </c>
      <c r="AI111" s="1033">
        <f ca="1">HLOOKUP(AI$76,Calc_Misc!$S$31:$BG$33,3,FALSE)</f>
        <v>-4000</v>
      </c>
      <c r="AJ111" s="1033">
        <f ca="1">HLOOKUP(AJ$76,Calc_Misc!$S$31:$BG$33,3,FALSE)</f>
        <v>-4000</v>
      </c>
      <c r="AK111" s="1033">
        <f ca="1">HLOOKUP(AK$76,Calc_Misc!$S$31:$BG$33,3,FALSE)</f>
        <v>-4000</v>
      </c>
      <c r="AL111" s="1033">
        <f ca="1">HLOOKUP(AL$76,Calc_Misc!$S$31:$BG$33,3,FALSE)</f>
        <v>-4000</v>
      </c>
      <c r="AM111" s="1033">
        <f ca="1">HLOOKUP(AM$76,Calc_Misc!$S$31:$BG$33,3,FALSE)</f>
        <v>-4000</v>
      </c>
      <c r="AN111" s="1033">
        <f ca="1">HLOOKUP(AN$76,Calc_Misc!$S$31:$BG$33,3,FALSE)</f>
        <v>-4000</v>
      </c>
      <c r="AO111" s="1033">
        <f ca="1">HLOOKUP(AO$76,Calc_Misc!$S$31:$BG$33,3,FALSE)</f>
        <v>-4000</v>
      </c>
      <c r="AP111" s="1033">
        <f ca="1">HLOOKUP(AP$76,Calc_Misc!$S$31:$BG$33,3,FALSE)</f>
        <v>-4000</v>
      </c>
      <c r="AQ111" s="1033">
        <f ca="1">HLOOKUP(AQ$76,Calc_Misc!$S$31:$BG$33,3,FALSE)</f>
        <v>-4000</v>
      </c>
      <c r="AR111" s="1033">
        <f ca="1">HLOOKUP(AR$76,Calc_Misc!$S$31:$BG$33,3,FALSE)</f>
        <v>-4000</v>
      </c>
      <c r="AS111" s="1033">
        <f ca="1">HLOOKUP(AS$76,Calc_Misc!$S$31:$BG$33,3,FALSE)</f>
        <v>-4000</v>
      </c>
      <c r="AT111" s="947"/>
      <c r="AU111" s="947"/>
      <c r="AV111" s="947"/>
      <c r="AW111" s="947"/>
      <c r="AX111" s="947"/>
      <c r="AY111" s="947"/>
      <c r="AZ111" s="947"/>
      <c r="BA111" s="947"/>
      <c r="BB111" s="947"/>
      <c r="BC111" s="947"/>
    </row>
    <row r="112" spans="1:55" ht="14.25">
      <c r="A112" s="684"/>
      <c r="B112" s="684"/>
      <c r="C112" s="684" t="str">
        <f>Calc_Misc!D10</f>
        <v>Cost faced due to the identification of grant duplication</v>
      </c>
      <c r="D112" s="690" t="s">
        <v>291</v>
      </c>
      <c r="E112" s="1033">
        <f ca="1">HLOOKUP(E$76,Calc_Misc!$S$22:$BG$24,2,FALSE)</f>
        <v>-0.42322879856558532</v>
      </c>
      <c r="F112" s="1033">
        <f ca="1">HLOOKUP(F$76,Calc_Misc!$S$22:$BG$24,2,FALSE)</f>
        <v>-0.67072985767734694</v>
      </c>
      <c r="G112" s="1033">
        <f ca="1">HLOOKUP(G$76,Calc_Misc!$S$22:$BG$24,2,FALSE)</f>
        <v>-1.0629313445581827</v>
      </c>
      <c r="H112" s="1033">
        <f ca="1">HLOOKUP(H$76,Calc_Misc!$S$22:$BG$24,2,FALSE)</f>
        <v>-1.6843768055552137</v>
      </c>
      <c r="I112" s="1033">
        <f ca="1">HLOOKUP(I$76,Calc_Misc!$S$22:$BG$24,2,FALSE)</f>
        <v>-2.6689227280614123</v>
      </c>
      <c r="J112" s="1033">
        <f ca="1">HLOOKUP(J$76,Calc_Misc!$S$22:$BG$24,2,FALSE)</f>
        <v>-4.2283767411350066</v>
      </c>
      <c r="K112" s="1033">
        <f ca="1">HLOOKUP(K$76,Calc_Misc!$S$22:$BG$24,2,FALSE)</f>
        <v>-6.6975783082493718</v>
      </c>
      <c r="L112" s="1033">
        <f ca="1">HLOOKUP(L$76,Calc_Misc!$S$22:$BG$24,2,FALSE)</f>
        <v>-10.605077357583918</v>
      </c>
      <c r="M112" s="1033">
        <f ca="1">HLOOKUP(M$76,Calc_Misc!$S$22:$BG$24,2,FALSE)</f>
        <v>-16.783233706699001</v>
      </c>
      <c r="N112" s="1033">
        <f ca="1">HLOOKUP(N$76,Calc_Misc!$S$22:$BG$24,2,FALSE)</f>
        <v>-26.537948370736554</v>
      </c>
      <c r="O112" s="1033">
        <f ca="1">HLOOKUP(O$76,Calc_Misc!$S$22:$BG$24,2,FALSE)</f>
        <v>-41.905916044311319</v>
      </c>
      <c r="P112" s="1033">
        <f ca="1">HLOOKUP(P$76,Calc_Misc!$S$22:$BG$24,2,FALSE)</f>
        <v>-66.033652896633342</v>
      </c>
      <c r="Q112" s="1033">
        <f ca="1">HLOOKUP(Q$76,Calc_Misc!$S$22:$BG$24,2,FALSE)</f>
        <v>-103.70935493788973</v>
      </c>
      <c r="R112" s="1033">
        <f ca="1">HLOOKUP(R$76,Calc_Misc!$S$22:$BG$24,2,FALSE)</f>
        <v>-162.04496499999721</v>
      </c>
      <c r="S112" s="1033">
        <f ca="1">HLOOKUP(S$76,Calc_Misc!$S$22:$BG$24,2,FALSE)</f>
        <v>-251.19737233651458</v>
      </c>
      <c r="T112" s="1033">
        <f ca="1">HLOOKUP(T$76,Calc_Misc!$S$22:$BG$24,2,FALSE)</f>
        <v>-384.76219816490425</v>
      </c>
      <c r="U112" s="1033">
        <f ca="1">HLOOKUP(U$76,Calc_Misc!$S$22:$BG$24,2,FALSE)</f>
        <v>-579.01614744535357</v>
      </c>
      <c r="V112" s="1033">
        <f ca="1">HLOOKUP(V$76,Calc_Misc!$S$22:$BG$24,2,FALSE)</f>
        <v>-849.68436068208848</v>
      </c>
      <c r="W112" s="1033">
        <f ca="1">HLOOKUP(W$76,Calc_Misc!$S$22:$BG$24,2,FALSE)</f>
        <v>-1205.1409808752894</v>
      </c>
      <c r="X112" s="1033">
        <f ca="1">HLOOKUP(X$76,Calc_Misc!$S$22:$BG$24,2,FALSE)</f>
        <v>-1637.3214079075162</v>
      </c>
      <c r="Y112" s="1033">
        <f ca="1">HLOOKUP(Y$76,Calc_Misc!$S$22:$BG$24,2,FALSE)</f>
        <v>-2116.1439928283621</v>
      </c>
      <c r="Z112" s="1033">
        <f ca="1">HLOOKUP(Z$76,Calc_Misc!$S$22:$BG$24,2,FALSE)</f>
        <v>-2594.9665777491628</v>
      </c>
      <c r="AA112" s="1033">
        <f ca="1">HLOOKUP(AA$76,Calc_Misc!$S$22:$BG$24,2,FALSE)</f>
        <v>-3027.1470047812713</v>
      </c>
      <c r="AB112" s="1033">
        <f ca="1">HLOOKUP(AB$76,Calc_Misc!$S$22:$BG$24,2,FALSE)</f>
        <v>-3382.6036249743188</v>
      </c>
      <c r="AC112" s="1033">
        <f ca="1">HLOOKUP(AC$76,Calc_Misc!$S$22:$BG$24,2,FALSE)</f>
        <v>-3653.2718382109038</v>
      </c>
      <c r="AD112" s="1033">
        <f ca="1">HLOOKUP(AD$76,Calc_Misc!$S$22:$BG$24,2,FALSE)</f>
        <v>-3847.5257874912268</v>
      </c>
      <c r="AE112" s="1033">
        <f ca="1">HLOOKUP(AE$76,Calc_Misc!$S$22:$BG$24,2,FALSE)</f>
        <v>-3981.0906133195222</v>
      </c>
      <c r="AF112" s="1033">
        <f ca="1">HLOOKUP(AF$76,Calc_Misc!$S$22:$BG$24,2,FALSE)</f>
        <v>-4070.2430206559716</v>
      </c>
      <c r="AG112" s="1033">
        <f ca="1">HLOOKUP(AG$76,Calc_Misc!$S$22:$BG$24,2,FALSE)</f>
        <v>-4128.5786307180333</v>
      </c>
      <c r="AH112" s="1033">
        <f ca="1">HLOOKUP(AH$76,Calc_Misc!$S$22:$BG$24,2,FALSE)</f>
        <v>-4166.2543327592593</v>
      </c>
      <c r="AI112" s="1033">
        <f ca="1">HLOOKUP(AI$76,Calc_Misc!$S$22:$BG$24,2,FALSE)</f>
        <v>-4190.3820696115617</v>
      </c>
      <c r="AJ112" s="1033">
        <f ca="1">HLOOKUP(AJ$76,Calc_Misc!$S$22:$BG$24,2,FALSE)</f>
        <v>-4205.7500372851237</v>
      </c>
      <c r="AK112" s="1033">
        <f ca="1">HLOOKUP(AK$76,Calc_Misc!$S$22:$BG$24,2,FALSE)</f>
        <v>-4215.5047519491527</v>
      </c>
      <c r="AL112" s="1033">
        <f ca="1">HLOOKUP(AL$76,Calc_Misc!$S$22:$BG$24,2,FALSE)</f>
        <v>-4221.682908298264</v>
      </c>
      <c r="AM112" s="1033">
        <f ca="1">HLOOKUP(AM$76,Calc_Misc!$S$22:$BG$24,2,FALSE)</f>
        <v>-4225.5904073475949</v>
      </c>
      <c r="AN112" s="1033">
        <f ca="1">HLOOKUP(AN$76,Calc_Misc!$S$22:$BG$24,2,FALSE)</f>
        <v>-4228.0596089147066</v>
      </c>
      <c r="AO112" s="1033">
        <f ca="1">HLOOKUP(AO$76,Calc_Misc!$S$22:$BG$24,2,FALSE)</f>
        <v>-4229.6190629277789</v>
      </c>
      <c r="AP112" s="1033">
        <f ca="1">HLOOKUP(AP$76,Calc_Misc!$S$22:$BG$24,2,FALSE)</f>
        <v>-4230.6036088502842</v>
      </c>
      <c r="AQ112" s="1033">
        <f ca="1">HLOOKUP(AQ$76,Calc_Misc!$S$22:$BG$24,2,FALSE)</f>
        <v>-4231.2250543112805</v>
      </c>
      <c r="AR112" s="1033">
        <f ca="1">HLOOKUP(AR$76,Calc_Misc!$S$22:$BG$24,2,FALSE)</f>
        <v>-4231.6172557981618</v>
      </c>
      <c r="AS112" s="1033">
        <f ca="1">HLOOKUP(AS$76,Calc_Misc!$S$22:$BG$24,2,FALSE)</f>
        <v>-4231.8647568572733</v>
      </c>
      <c r="AT112" s="947"/>
      <c r="AU112" s="947"/>
      <c r="AV112" s="947"/>
      <c r="AW112" s="947"/>
      <c r="AX112" s="947"/>
      <c r="AY112" s="947"/>
      <c r="AZ112" s="947"/>
      <c r="BA112" s="947"/>
      <c r="BB112" s="947"/>
      <c r="BC112" s="947"/>
    </row>
    <row r="113" spans="1:55" ht="14.25">
      <c r="A113" s="684"/>
      <c r="B113" s="684"/>
      <c r="C113" s="684" t="s">
        <v>529</v>
      </c>
      <c r="D113" s="690" t="s">
        <v>291</v>
      </c>
      <c r="E113" s="1033">
        <f ca="1">VLOOKUP(E$76, Calc_Storage!$F$4:$AH$48, 29, FALSE)</f>
        <v>0</v>
      </c>
      <c r="F113" s="1033">
        <f ca="1">VLOOKUP(F$76, Calc_Storage!$F$4:$AH$48, 29, FALSE)</f>
        <v>0</v>
      </c>
      <c r="G113" s="1033">
        <f ca="1">VLOOKUP(G$76, Calc_Storage!$F$4:$AH$48, 29, FALSE)</f>
        <v>0</v>
      </c>
      <c r="H113" s="1033">
        <f ca="1">VLOOKUP(H$76, Calc_Storage!$F$4:$AH$48, 29, FALSE)</f>
        <v>0</v>
      </c>
      <c r="I113" s="1033">
        <f ca="1">VLOOKUP(I$76, Calc_Storage!$F$4:$AH$48, 29, FALSE)</f>
        <v>0</v>
      </c>
      <c r="J113" s="1033">
        <f ca="1">VLOOKUP(J$76, Calc_Storage!$F$4:$AH$48, 29, FALSE)</f>
        <v>-712.11858988290442</v>
      </c>
      <c r="K113" s="1033">
        <f ca="1">VLOOKUP(K$76, Calc_Storage!$F$4:$AH$48, 29, FALSE)</f>
        <v>-1541.7114854578285</v>
      </c>
      <c r="L113" s="1033">
        <f ca="1">VLOOKUP(L$76, Calc_Storage!$F$4:$AH$48, 29, FALSE)</f>
        <v>-2472.4079077515726</v>
      </c>
      <c r="M113" s="1033">
        <f ca="1">VLOOKUP(M$76, Calc_Storage!$F$4:$AH$48, 29, FALSE)</f>
        <v>-3568.4502761860895</v>
      </c>
      <c r="N113" s="1033">
        <f ca="1">VLOOKUP(N$76, Calc_Storage!$F$4:$AH$48, 29, FALSE)</f>
        <v>-4959.6240688025646</v>
      </c>
      <c r="O113" s="1033">
        <f ca="1">VLOOKUP(O$76, Calc_Storage!$F$4:$AH$48, 29, FALSE)</f>
        <v>-6547.4896410929287</v>
      </c>
      <c r="P113" s="1033">
        <f ca="1">VLOOKUP(P$76, Calc_Storage!$F$4:$AH$48, 29, FALSE)</f>
        <v>-8436.7141396896441</v>
      </c>
      <c r="Q113" s="1033">
        <f ca="1">VLOOKUP(Q$76, Calc_Storage!$F$4:$AH$48, 29, FALSE)</f>
        <v>-10689.466263747017</v>
      </c>
      <c r="R113" s="1033">
        <f ca="1">VLOOKUP(R$76, Calc_Storage!$F$4:$AH$48, 29, FALSE)</f>
        <v>-13380.538148710722</v>
      </c>
      <c r="S113" s="1033">
        <f ca="1">VLOOKUP(S$76, Calc_Storage!$F$4:$AH$48, 29, FALSE)</f>
        <v>-16599.916090622792</v>
      </c>
      <c r="T113" s="1033">
        <f ca="1">VLOOKUP(T$76, Calc_Storage!$F$4:$AH$48, 29, FALSE)</f>
        <v>-20455.874505721782</v>
      </c>
      <c r="U113" s="1033">
        <f ca="1">VLOOKUP(U$76, Calc_Storage!$F$4:$AH$48, 29, FALSE)</f>
        <v>-25078.699633390774</v>
      </c>
      <c r="V113" s="1033">
        <f ca="1">VLOOKUP(V$76, Calc_Storage!$F$4:$AH$48, 29, FALSE)</f>
        <v>-30625.171170526461</v>
      </c>
      <c r="W113" s="1033">
        <f ca="1">VLOOKUP(W$76, Calc_Storage!$F$4:$AH$48, 29, FALSE)</f>
        <v>-37283.956118470538</v>
      </c>
      <c r="X113" s="1033">
        <f ca="1">VLOOKUP(X$76, Calc_Storage!$F$4:$AH$48, 29, FALSE)</f>
        <v>-45282.100528050098</v>
      </c>
      <c r="Y113" s="1033">
        <f ca="1">VLOOKUP(Y$76, Calc_Storage!$F$4:$AH$48, 29, FALSE)</f>
        <v>-54493.28785395564</v>
      </c>
      <c r="Z113" s="1033">
        <f ca="1">VLOOKUP(Z$76, Calc_Storage!$F$4:$AH$48, 29, FALSE)</f>
        <v>-65579.994383981131</v>
      </c>
      <c r="AA113" s="1033">
        <f ca="1">VLOOKUP(AA$76, Calc_Storage!$F$4:$AH$48, 29, FALSE)</f>
        <v>-78947.152508316969</v>
      </c>
      <c r="AB113" s="1033">
        <f ca="1">VLOOKUP(AB$76, Calc_Storage!$F$4:$AH$48, 29, FALSE)</f>
        <v>-95034.998707469145</v>
      </c>
      <c r="AC113" s="1033">
        <f ca="1">VLOOKUP(AC$76, Calc_Storage!$F$4:$AH$48, 29, FALSE)</f>
        <v>-114343.92296367121</v>
      </c>
      <c r="AD113" s="1033">
        <f ca="1">VLOOKUP(AD$76, Calc_Storage!$F$4:$AH$48, 29, FALSE)</f>
        <v>-137619.0267843288</v>
      </c>
      <c r="AE113" s="1033">
        <f ca="1">VLOOKUP(AE$76, Calc_Storage!$F$4:$AH$48, 29, FALSE)</f>
        <v>-165631.85906331905</v>
      </c>
      <c r="AF113" s="1033">
        <f ca="1">VLOOKUP(AF$76, Calc_Storage!$F$4:$AH$48, 29, FALSE)</f>
        <v>-199346.80093156389</v>
      </c>
      <c r="AG113" s="1033">
        <f ca="1">VLOOKUP(AG$76, Calc_Storage!$F$4:$AH$48, 29, FALSE)</f>
        <v>-239924.53665847448</v>
      </c>
      <c r="AH113" s="1033">
        <f ca="1">VLOOKUP(AH$76, Calc_Storage!$F$4:$AH$48, 29, FALSE)</f>
        <v>-288762.0118395855</v>
      </c>
      <c r="AI113" s="1033">
        <f ca="1">VLOOKUP(AI$76, Calc_Storage!$F$4:$AH$48, 29, FALSE)</f>
        <v>-361290.5604808518</v>
      </c>
      <c r="AJ113" s="1033">
        <f ca="1">VLOOKUP(AJ$76, Calc_Storage!$F$4:$AH$48, 29, FALSE)</f>
        <v>-420198.06446775072</v>
      </c>
      <c r="AK113" s="1033">
        <f ca="1">VLOOKUP(AK$76, Calc_Storage!$F$4:$AH$48, 29, FALSE)</f>
        <v>-480256.38215456123</v>
      </c>
      <c r="AL113" s="1033">
        <f ca="1">VLOOKUP(AL$76, Calc_Storage!$F$4:$AH$48, 29, FALSE)</f>
        <v>-539565.01302475878</v>
      </c>
      <c r="AM113" s="1033">
        <f ca="1">VLOOKUP(AM$76, Calc_Storage!$F$4:$AH$48, 29, FALSE)</f>
        <v>-596699.91307259502</v>
      </c>
      <c r="AN113" s="1033">
        <f ca="1">VLOOKUP(AN$76, Calc_Storage!$F$4:$AH$48, 29, FALSE)</f>
        <v>-650589.8754509557</v>
      </c>
      <c r="AO113" s="1033">
        <f ca="1">VLOOKUP(AO$76, Calc_Storage!$F$4:$AH$48, 29, FALSE)</f>
        <v>-700419.73893090268</v>
      </c>
      <c r="AP113" s="1033">
        <f ca="1">VLOOKUP(AP$76, Calc_Storage!$F$4:$AH$48, 29, FALSE)</f>
        <v>-745553.8368111708</v>
      </c>
      <c r="AQ113" s="1033">
        <f ca="1">VLOOKUP(AQ$76, Calc_Storage!$F$4:$AH$48, 29, FALSE)</f>
        <v>-785474.540444955</v>
      </c>
      <c r="AR113" s="1033">
        <f ca="1">VLOOKUP(AR$76, Calc_Storage!$F$4:$AH$48, 29, FALSE)</f>
        <v>-819731.84438166488</v>
      </c>
      <c r="AS113" s="1033">
        <f ca="1">VLOOKUP(AS$76, Calc_Storage!$F$4:$AH$48, 29, FALSE)</f>
        <v>-847900.76144512556</v>
      </c>
      <c r="AT113" s="947"/>
      <c r="AU113" s="947"/>
      <c r="AV113" s="947"/>
      <c r="AW113" s="947"/>
      <c r="AX113" s="947"/>
      <c r="AY113" s="947"/>
      <c r="AZ113" s="947"/>
      <c r="BA113" s="947"/>
      <c r="BB113" s="947"/>
      <c r="BC113" s="947"/>
    </row>
    <row r="114" spans="1:55" ht="14.25">
      <c r="A114" s="684"/>
      <c r="B114" s="684"/>
      <c r="C114" s="684" t="str">
        <f>Calc_Misc!D61</f>
        <v>Additional cost because of the reduced period between two innovation cycles of the basic IT infrastructure</v>
      </c>
      <c r="D114" s="690" t="s">
        <v>291</v>
      </c>
      <c r="E114" s="1033">
        <f ca="1">HLOOKUP(E$76,Calc_Misc!$S$63:$BG$64,2,FALSE)</f>
        <v>-0.66666666666639007</v>
      </c>
      <c r="F114" s="1033">
        <f ca="1">HLOOKUP(F$76,Calc_Misc!$S$63:$BG$64,2,FALSE)</f>
        <v>-295.72287345894961</v>
      </c>
      <c r="G114" s="1033">
        <f ca="1">HLOOKUP(G$76,Calc_Misc!$S$63:$BG$64,2,FALSE)</f>
        <v>-6370.9437932077208</v>
      </c>
      <c r="H114" s="1033">
        <f ca="1">HLOOKUP(H$76,Calc_Misc!$S$63:$BG$64,2,FALSE)</f>
        <v>-6666.0000000000055</v>
      </c>
      <c r="I114" s="1033">
        <f ca="1">HLOOKUP(I$76,Calc_Misc!$S$63:$BG$64,2,FALSE)</f>
        <v>-6666.6666666666715</v>
      </c>
      <c r="J114" s="1033">
        <f ca="1">HLOOKUP(J$76,Calc_Misc!$S$63:$BG$64,2,FALSE)</f>
        <v>-6666.6666666666715</v>
      </c>
      <c r="K114" s="1033">
        <f ca="1">HLOOKUP(K$76,Calc_Misc!$S$63:$BG$64,2,FALSE)</f>
        <v>-6666.6666666666715</v>
      </c>
      <c r="L114" s="1033">
        <f ca="1">HLOOKUP(L$76,Calc_Misc!$S$63:$BG$64,2,FALSE)</f>
        <v>-6666.6666666666715</v>
      </c>
      <c r="M114" s="1033">
        <f ca="1">HLOOKUP(M$76,Calc_Misc!$S$63:$BG$64,2,FALSE)</f>
        <v>-6666.6666666666715</v>
      </c>
      <c r="N114" s="1033">
        <f ca="1">HLOOKUP(N$76,Calc_Misc!$S$63:$BG$64,2,FALSE)</f>
        <v>-6666.6666666666715</v>
      </c>
      <c r="O114" s="1033">
        <f ca="1">HLOOKUP(O$76,Calc_Misc!$S$63:$BG$64,2,FALSE)</f>
        <v>-6666.6666666666715</v>
      </c>
      <c r="P114" s="1033">
        <f ca="1">HLOOKUP(P$76,Calc_Misc!$S$63:$BG$64,2,FALSE)</f>
        <v>-6666.6666666666715</v>
      </c>
      <c r="Q114" s="1033">
        <f ca="1">HLOOKUP(Q$76,Calc_Misc!$S$63:$BG$64,2,FALSE)</f>
        <v>-6666.6666666666715</v>
      </c>
      <c r="R114" s="1033">
        <f ca="1">HLOOKUP(R$76,Calc_Misc!$S$63:$BG$64,2,FALSE)</f>
        <v>-6666.6666666666715</v>
      </c>
      <c r="S114" s="1033">
        <f ca="1">HLOOKUP(S$76,Calc_Misc!$S$63:$BG$64,2,FALSE)</f>
        <v>-6666.6666666666715</v>
      </c>
      <c r="T114" s="1033">
        <f ca="1">HLOOKUP(T$76,Calc_Misc!$S$63:$BG$64,2,FALSE)</f>
        <v>-6666.6666666666715</v>
      </c>
      <c r="U114" s="1033">
        <f ca="1">HLOOKUP(U$76,Calc_Misc!$S$63:$BG$64,2,FALSE)</f>
        <v>-6666.6666666666715</v>
      </c>
      <c r="V114" s="1033">
        <f ca="1">HLOOKUP(V$76,Calc_Misc!$S$63:$BG$64,2,FALSE)</f>
        <v>-6666.6666666666715</v>
      </c>
      <c r="W114" s="1033">
        <f ca="1">HLOOKUP(W$76,Calc_Misc!$S$63:$BG$64,2,FALSE)</f>
        <v>-6666.6666666666715</v>
      </c>
      <c r="X114" s="1033">
        <f ca="1">HLOOKUP(X$76,Calc_Misc!$S$63:$BG$64,2,FALSE)</f>
        <v>-6666.6666666666715</v>
      </c>
      <c r="Y114" s="1033">
        <f ca="1">HLOOKUP(Y$76,Calc_Misc!$S$63:$BG$64,2,FALSE)</f>
        <v>-6666.6666666666715</v>
      </c>
      <c r="Z114" s="1033">
        <f ca="1">HLOOKUP(Z$76,Calc_Misc!$S$63:$BG$64,2,FALSE)</f>
        <v>-6666.6666666666715</v>
      </c>
      <c r="AA114" s="1033">
        <f ca="1">HLOOKUP(AA$76,Calc_Misc!$S$63:$BG$64,2,FALSE)</f>
        <v>-6666.6666666666715</v>
      </c>
      <c r="AB114" s="1033">
        <f ca="1">HLOOKUP(AB$76,Calc_Misc!$S$63:$BG$64,2,FALSE)</f>
        <v>-6666.6666666666715</v>
      </c>
      <c r="AC114" s="1033">
        <f ca="1">HLOOKUP(AC$76,Calc_Misc!$S$63:$BG$64,2,FALSE)</f>
        <v>-6666.6666666666715</v>
      </c>
      <c r="AD114" s="1033">
        <f ca="1">HLOOKUP(AD$76,Calc_Misc!$S$63:$BG$64,2,FALSE)</f>
        <v>-6666.6666666666715</v>
      </c>
      <c r="AE114" s="1033">
        <f ca="1">HLOOKUP(AE$76,Calc_Misc!$S$63:$BG$64,2,FALSE)</f>
        <v>-6666.6666666666715</v>
      </c>
      <c r="AF114" s="1033">
        <f ca="1">HLOOKUP(AF$76,Calc_Misc!$S$63:$BG$64,2,FALSE)</f>
        <v>-6666.6666666666715</v>
      </c>
      <c r="AG114" s="1033">
        <f ca="1">HLOOKUP(AG$76,Calc_Misc!$S$63:$BG$64,2,FALSE)</f>
        <v>-6666.6666666666715</v>
      </c>
      <c r="AH114" s="1033">
        <f ca="1">HLOOKUP(AH$76,Calc_Misc!$S$63:$BG$64,2,FALSE)</f>
        <v>-6666.6666666666715</v>
      </c>
      <c r="AI114" s="1033">
        <f ca="1">HLOOKUP(AI$76,Calc_Misc!$S$63:$BG$64,2,FALSE)</f>
        <v>-6666.6666666666715</v>
      </c>
      <c r="AJ114" s="1033">
        <f ca="1">HLOOKUP(AJ$76,Calc_Misc!$S$63:$BG$64,2,FALSE)</f>
        <v>-6666.6666666666715</v>
      </c>
      <c r="AK114" s="1033">
        <f ca="1">HLOOKUP(AK$76,Calc_Misc!$S$63:$BG$64,2,FALSE)</f>
        <v>-6666.6666666666715</v>
      </c>
      <c r="AL114" s="1033">
        <f ca="1">HLOOKUP(AL$76,Calc_Misc!$S$63:$BG$64,2,FALSE)</f>
        <v>-6666.6666666666715</v>
      </c>
      <c r="AM114" s="1033">
        <f ca="1">HLOOKUP(AM$76,Calc_Misc!$S$63:$BG$64,2,FALSE)</f>
        <v>-6666.6666666666715</v>
      </c>
      <c r="AN114" s="1033">
        <f ca="1">HLOOKUP(AN$76,Calc_Misc!$S$63:$BG$64,2,FALSE)</f>
        <v>-6666.6666666666715</v>
      </c>
      <c r="AO114" s="1033">
        <f ca="1">HLOOKUP(AO$76,Calc_Misc!$S$63:$BG$64,2,FALSE)</f>
        <v>-6666.6666666666715</v>
      </c>
      <c r="AP114" s="1033">
        <f ca="1">HLOOKUP(AP$76,Calc_Misc!$S$63:$BG$64,2,FALSE)</f>
        <v>-6666.6666666666715</v>
      </c>
      <c r="AQ114" s="1033">
        <f ca="1">HLOOKUP(AQ$76,Calc_Misc!$S$63:$BG$64,2,FALSE)</f>
        <v>-6666.6666666666715</v>
      </c>
      <c r="AR114" s="1033">
        <f ca="1">HLOOKUP(AR$76,Calc_Misc!$S$63:$BG$64,2,FALSE)</f>
        <v>-6666.6666666666715</v>
      </c>
      <c r="AS114" s="1033">
        <f ca="1">HLOOKUP(AS$76,Calc_Misc!$S$63:$BG$64,2,FALSE)</f>
        <v>-6666.6666666666715</v>
      </c>
      <c r="AT114" s="947"/>
      <c r="AU114" s="947"/>
      <c r="AV114" s="947"/>
      <c r="AW114" s="947"/>
      <c r="AX114" s="947"/>
      <c r="AY114" s="947"/>
      <c r="AZ114" s="947"/>
      <c r="BA114" s="947"/>
      <c r="BB114" s="947"/>
      <c r="BC114" s="947"/>
    </row>
    <row r="115" spans="1:55" ht="14.25">
      <c r="A115" s="684"/>
      <c r="B115" s="684"/>
      <c r="C115" s="684" t="str">
        <f>Calc_time!D485</f>
        <v>Operational cost (Data Policies)</v>
      </c>
      <c r="D115" s="690"/>
      <c r="E115" s="1033">
        <f ca="1">Calc_time!G66</f>
        <v>-21911.058474175385</v>
      </c>
      <c r="F115" s="1033">
        <f>Calc_time!H66</f>
        <v>0</v>
      </c>
      <c r="G115" s="1033">
        <f>Calc_time!I66</f>
        <v>0</v>
      </c>
      <c r="H115" s="1033">
        <f>Calc_time!J66</f>
        <v>0</v>
      </c>
      <c r="I115" s="1033">
        <f>Calc_time!K66</f>
        <v>0</v>
      </c>
      <c r="J115" s="1033">
        <f>Calc_time!L66</f>
        <v>0</v>
      </c>
      <c r="K115" s="1033">
        <f>Calc_time!M66</f>
        <v>0</v>
      </c>
      <c r="L115" s="1033">
        <f>Calc_time!N66</f>
        <v>0</v>
      </c>
      <c r="M115" s="1033">
        <f>Calc_time!O66</f>
        <v>0</v>
      </c>
      <c r="N115" s="1033">
        <f>Calc_time!P66</f>
        <v>0</v>
      </c>
      <c r="O115" s="1033">
        <f>Calc_time!Q66</f>
        <v>0</v>
      </c>
      <c r="P115" s="1033">
        <f>Calc_time!R66</f>
        <v>0</v>
      </c>
      <c r="Q115" s="1033">
        <f>Calc_time!S66</f>
        <v>0</v>
      </c>
      <c r="R115" s="1033">
        <f>Calc_time!T66</f>
        <v>0</v>
      </c>
      <c r="S115" s="1033">
        <f>Calc_time!U66</f>
        <v>0</v>
      </c>
      <c r="T115" s="1033">
        <f>Calc_time!V66</f>
        <v>0</v>
      </c>
      <c r="U115" s="1033">
        <f>Calc_time!W66</f>
        <v>0</v>
      </c>
      <c r="V115" s="1033">
        <f>Calc_time!X66</f>
        <v>0</v>
      </c>
      <c r="W115" s="1033">
        <f>Calc_time!Y66</f>
        <v>0</v>
      </c>
      <c r="X115" s="1033">
        <f>Calc_time!Z66</f>
        <v>0</v>
      </c>
      <c r="Y115" s="1033">
        <f>Calc_time!AA66</f>
        <v>0</v>
      </c>
      <c r="Z115" s="1033">
        <f>Calc_time!AB66</f>
        <v>0</v>
      </c>
      <c r="AA115" s="1033">
        <f>Calc_time!AC66</f>
        <v>0</v>
      </c>
      <c r="AB115" s="1033">
        <f>Calc_time!AD66</f>
        <v>0</v>
      </c>
      <c r="AC115" s="1033">
        <f>Calc_time!AE66</f>
        <v>0</v>
      </c>
      <c r="AD115" s="1033">
        <f>Calc_time!AF66</f>
        <v>0</v>
      </c>
      <c r="AE115" s="1033">
        <f>Calc_time!AG66</f>
        <v>0</v>
      </c>
      <c r="AF115" s="1033">
        <f>Calc_time!AH66</f>
        <v>0</v>
      </c>
      <c r="AG115" s="1033">
        <f>Calc_time!AI66</f>
        <v>0</v>
      </c>
      <c r="AH115" s="1033">
        <f>Calc_time!AJ66</f>
        <v>0</v>
      </c>
      <c r="AI115" s="1033">
        <f>Calc_time!AK66</f>
        <v>0</v>
      </c>
      <c r="AJ115" s="1033">
        <f>Calc_time!AL66</f>
        <v>0</v>
      </c>
      <c r="AK115" s="1033">
        <f>Calc_time!AM66</f>
        <v>0</v>
      </c>
      <c r="AL115" s="1033">
        <f>Calc_time!AN66</f>
        <v>0</v>
      </c>
      <c r="AM115" s="1033">
        <f>Calc_time!AO66</f>
        <v>0</v>
      </c>
      <c r="AN115" s="1033">
        <f>Calc_time!AP66</f>
        <v>0</v>
      </c>
      <c r="AO115" s="1033">
        <f>Calc_time!AQ66</f>
        <v>0</v>
      </c>
      <c r="AP115" s="1033">
        <f>Calc_time!AR66</f>
        <v>0</v>
      </c>
      <c r="AQ115" s="1033">
        <f>Calc_time!AS66</f>
        <v>0</v>
      </c>
      <c r="AR115" s="1033">
        <f>Calc_time!AT66</f>
        <v>0</v>
      </c>
      <c r="AS115" s="1033">
        <f>Calc_time!AU66</f>
        <v>0</v>
      </c>
      <c r="AT115" s="947"/>
      <c r="AU115" s="947"/>
      <c r="AV115" s="947"/>
      <c r="AW115" s="947"/>
      <c r="AX115" s="947"/>
      <c r="AY115" s="947"/>
      <c r="AZ115" s="947"/>
      <c r="BA115" s="947"/>
      <c r="BB115" s="947"/>
      <c r="BC115" s="947"/>
    </row>
    <row r="116" spans="1:55" ht="14.25">
      <c r="A116" s="684"/>
      <c r="B116" s="684"/>
      <c r="C116" s="684"/>
      <c r="D116" s="690"/>
      <c r="E116" s="1039"/>
      <c r="F116" s="1039"/>
      <c r="G116" s="1039"/>
      <c r="H116" s="1039"/>
      <c r="I116" s="1039"/>
      <c r="J116" s="1039"/>
      <c r="K116" s="1039"/>
      <c r="L116" s="1039"/>
      <c r="M116" s="1039"/>
      <c r="N116" s="1039"/>
      <c r="O116" s="1039"/>
      <c r="P116" s="1039"/>
      <c r="Q116" s="1039"/>
      <c r="R116" s="1039"/>
      <c r="S116" s="1039"/>
      <c r="T116" s="1039"/>
      <c r="U116" s="1039"/>
      <c r="V116" s="1039"/>
      <c r="W116" s="1039"/>
      <c r="X116" s="1039"/>
      <c r="Y116" s="1039"/>
      <c r="Z116" s="1039"/>
      <c r="AA116" s="1039"/>
      <c r="AB116" s="1039"/>
      <c r="AC116" s="1039"/>
      <c r="AD116" s="1039"/>
      <c r="AE116" s="1039"/>
      <c r="AF116" s="1039"/>
      <c r="AG116" s="1039"/>
      <c r="AH116" s="1039"/>
      <c r="AI116" s="1039"/>
      <c r="AJ116" s="1039"/>
      <c r="AK116" s="1039"/>
      <c r="AL116" s="1039"/>
      <c r="AM116" s="1039"/>
      <c r="AN116" s="1039"/>
      <c r="AO116" s="1039"/>
      <c r="AP116" s="1039"/>
      <c r="AQ116" s="1039"/>
      <c r="AR116" s="1039"/>
      <c r="AS116" s="1039"/>
      <c r="AT116" s="947"/>
      <c r="AU116" s="947"/>
      <c r="AV116" s="947"/>
      <c r="AW116" s="947"/>
      <c r="AX116" s="947"/>
      <c r="AY116" s="947"/>
      <c r="AZ116" s="947"/>
      <c r="BA116" s="947"/>
      <c r="BB116" s="947"/>
      <c r="BC116" s="947"/>
    </row>
    <row r="117" spans="1:55" thickBot="1">
      <c r="A117" s="684"/>
      <c r="B117" s="914" t="s">
        <v>537</v>
      </c>
      <c r="C117" s="916"/>
      <c r="D117" s="951"/>
      <c r="E117" s="1041"/>
      <c r="F117" s="1041"/>
      <c r="G117" s="1041"/>
      <c r="H117" s="1041"/>
      <c r="I117" s="1041"/>
      <c r="J117" s="1041"/>
      <c r="K117" s="1041"/>
      <c r="L117" s="1041"/>
      <c r="M117" s="1041"/>
      <c r="N117" s="1041"/>
      <c r="O117" s="1041"/>
      <c r="P117" s="1041"/>
      <c r="Q117" s="1041"/>
      <c r="R117" s="1041"/>
      <c r="S117" s="1041"/>
      <c r="T117" s="1041"/>
      <c r="U117" s="1041"/>
      <c r="V117" s="1041"/>
      <c r="W117" s="1041"/>
      <c r="X117" s="1041"/>
      <c r="Y117" s="1041"/>
      <c r="Z117" s="1041"/>
      <c r="AA117" s="1041"/>
      <c r="AB117" s="1041"/>
      <c r="AC117" s="1041"/>
      <c r="AD117" s="1041"/>
      <c r="AE117" s="1041"/>
      <c r="AF117" s="1041"/>
      <c r="AG117" s="1041"/>
      <c r="AH117" s="1041"/>
      <c r="AI117" s="1041"/>
      <c r="AJ117" s="1041"/>
      <c r="AK117" s="1041"/>
      <c r="AL117" s="1041"/>
      <c r="AM117" s="1041"/>
      <c r="AN117" s="1041"/>
      <c r="AO117" s="1041"/>
      <c r="AP117" s="1041"/>
      <c r="AQ117" s="1041"/>
      <c r="AR117" s="1041"/>
      <c r="AS117" s="1041"/>
      <c r="AT117" s="947"/>
      <c r="AU117" s="947"/>
      <c r="AV117" s="947"/>
      <c r="AW117" s="947"/>
      <c r="AX117" s="947"/>
      <c r="AY117" s="947"/>
      <c r="AZ117" s="947"/>
      <c r="BA117" s="947"/>
      <c r="BB117" s="947"/>
      <c r="BC117" s="947"/>
    </row>
    <row r="118" spans="1:55" ht="5.25" customHeight="1" thickTop="1">
      <c r="A118" s="684"/>
      <c r="B118" s="684"/>
      <c r="C118" s="684"/>
      <c r="D118" s="690"/>
      <c r="E118" s="1043"/>
      <c r="F118" s="1043"/>
      <c r="G118" s="1043"/>
      <c r="H118" s="1043"/>
      <c r="I118" s="1043"/>
      <c r="J118" s="684"/>
      <c r="K118" s="684"/>
      <c r="L118" s="690"/>
      <c r="M118" s="684"/>
      <c r="N118" s="684"/>
      <c r="O118" s="684"/>
      <c r="P118" s="684"/>
      <c r="Q118" s="684"/>
      <c r="R118" s="684"/>
      <c r="S118" s="684"/>
      <c r="T118" s="684"/>
      <c r="U118" s="684"/>
      <c r="V118" s="684"/>
      <c r="W118" s="684"/>
      <c r="X118" s="684"/>
      <c r="Y118" s="684"/>
      <c r="Z118" s="1091"/>
      <c r="AA118" s="1091"/>
      <c r="AB118" s="1091"/>
      <c r="AC118" s="1091"/>
      <c r="AD118" s="1091"/>
      <c r="AE118" s="1091"/>
      <c r="AF118" s="1091"/>
      <c r="AG118" s="1091"/>
      <c r="AH118" s="1091"/>
      <c r="AI118" s="1091"/>
      <c r="AJ118" s="1091"/>
      <c r="AK118" s="1091"/>
      <c r="AL118" s="1091"/>
      <c r="AM118" s="1091"/>
      <c r="AN118" s="1091"/>
      <c r="AO118" s="1091"/>
      <c r="AP118" s="1091"/>
      <c r="AQ118" s="1091"/>
      <c r="AR118" s="1091"/>
      <c r="AS118" s="1091"/>
      <c r="AT118" s="947"/>
      <c r="AU118" s="947"/>
      <c r="AV118" s="947"/>
      <c r="AW118" s="947"/>
      <c r="AX118" s="947"/>
      <c r="AY118" s="947"/>
      <c r="AZ118" s="947"/>
      <c r="BA118" s="947"/>
      <c r="BB118" s="947"/>
      <c r="BC118" s="947"/>
    </row>
    <row r="119" spans="1:55" thickBot="1">
      <c r="A119" s="684"/>
      <c r="B119" s="684"/>
      <c r="C119" s="1044" t="s">
        <v>709</v>
      </c>
      <c r="D119" s="1045"/>
      <c r="E119" s="1046"/>
      <c r="F119" s="1046"/>
      <c r="G119" s="1046"/>
      <c r="H119" s="1046"/>
      <c r="I119" s="1047"/>
      <c r="J119" s="1046"/>
      <c r="K119" s="1046"/>
      <c r="L119" s="1046"/>
      <c r="M119" s="1046"/>
      <c r="N119" s="1046"/>
      <c r="O119" s="1046"/>
      <c r="P119" s="1046"/>
      <c r="Q119" s="1046"/>
      <c r="R119" s="1046"/>
      <c r="S119" s="1046"/>
      <c r="T119" s="1046"/>
      <c r="U119" s="1046"/>
      <c r="V119" s="1046"/>
      <c r="W119" s="1046"/>
      <c r="X119" s="1046"/>
      <c r="Y119" s="1046"/>
      <c r="Z119" s="1046"/>
      <c r="AA119" s="1046"/>
      <c r="AB119" s="1046"/>
      <c r="AC119" s="1046"/>
      <c r="AD119" s="1046"/>
      <c r="AE119" s="1046"/>
      <c r="AF119" s="1046"/>
      <c r="AG119" s="1046"/>
      <c r="AH119" s="1046"/>
      <c r="AI119" s="1046"/>
      <c r="AJ119" s="1046"/>
      <c r="AK119" s="1046"/>
      <c r="AL119" s="1046"/>
      <c r="AM119" s="1046"/>
      <c r="AN119" s="1046"/>
      <c r="AO119" s="1046"/>
      <c r="AP119" s="1046"/>
      <c r="AQ119" s="1046"/>
      <c r="AR119" s="1046"/>
      <c r="AS119" s="1046"/>
      <c r="AT119" s="947"/>
      <c r="AU119" s="947"/>
      <c r="AV119" s="947"/>
      <c r="AW119" s="947"/>
      <c r="AX119" s="947"/>
      <c r="AY119" s="947"/>
      <c r="AZ119" s="947"/>
      <c r="BA119" s="947"/>
      <c r="BB119" s="947"/>
      <c r="BC119" s="947"/>
    </row>
    <row r="120" spans="1:55" ht="5.25" customHeight="1" thickTop="1">
      <c r="A120" s="684"/>
      <c r="B120" s="684"/>
      <c r="C120" s="684"/>
      <c r="D120" s="690"/>
      <c r="E120" s="1039"/>
      <c r="F120" s="1039"/>
      <c r="G120" s="1039"/>
      <c r="H120" s="1039"/>
      <c r="I120" s="1039"/>
      <c r="J120" s="1039"/>
      <c r="K120" s="1039"/>
      <c r="L120" s="1039"/>
      <c r="M120" s="1039"/>
      <c r="N120" s="1039"/>
      <c r="O120" s="1039"/>
      <c r="P120" s="1039"/>
      <c r="Q120" s="1039"/>
      <c r="R120" s="1039"/>
      <c r="S120" s="1039"/>
      <c r="T120" s="1039"/>
      <c r="U120" s="1039"/>
      <c r="V120" s="1039"/>
      <c r="W120" s="1039"/>
      <c r="X120" s="1039"/>
      <c r="Y120" s="1039"/>
      <c r="Z120" s="1039"/>
      <c r="AA120" s="1039"/>
      <c r="AB120" s="1039"/>
      <c r="AC120" s="1039"/>
      <c r="AD120" s="1039"/>
      <c r="AE120" s="1039"/>
      <c r="AF120" s="1039"/>
      <c r="AG120" s="1039"/>
      <c r="AH120" s="1039"/>
      <c r="AI120" s="1039"/>
      <c r="AJ120" s="1039"/>
      <c r="AK120" s="1039"/>
      <c r="AL120" s="1039"/>
      <c r="AM120" s="1039"/>
      <c r="AN120" s="1039"/>
      <c r="AO120" s="1039"/>
      <c r="AP120" s="1039"/>
      <c r="AQ120" s="1039"/>
      <c r="AR120" s="1039"/>
      <c r="AS120" s="1039"/>
      <c r="AT120" s="947"/>
      <c r="AU120" s="947"/>
      <c r="AV120" s="947"/>
      <c r="AW120" s="947"/>
      <c r="AX120" s="947"/>
      <c r="AY120" s="947"/>
      <c r="AZ120" s="947"/>
      <c r="BA120" s="947"/>
      <c r="BB120" s="947"/>
      <c r="BC120" s="947"/>
    </row>
    <row r="121" spans="1:55" ht="14.25">
      <c r="A121" s="684"/>
      <c r="B121" s="684"/>
      <c r="C121" s="684" t="str">
        <f>Calc_time!E41</f>
        <v>Cost faced due to non-open import/export formats</v>
      </c>
      <c r="D121" s="690" t="s">
        <v>291</v>
      </c>
      <c r="E121" s="1033">
        <f>Calc_time!G41</f>
        <v>-5000</v>
      </c>
      <c r="F121" s="1039"/>
      <c r="G121" s="1039"/>
      <c r="H121" s="1039"/>
      <c r="I121" s="1039"/>
      <c r="J121" s="1039"/>
      <c r="K121" s="1039"/>
      <c r="L121" s="1039"/>
      <c r="M121" s="1039"/>
      <c r="N121" s="1039"/>
      <c r="O121" s="1039"/>
      <c r="P121" s="1039"/>
      <c r="Q121" s="1039"/>
      <c r="R121" s="1039"/>
      <c r="S121" s="1039"/>
      <c r="T121" s="1039"/>
      <c r="U121" s="1039"/>
      <c r="V121" s="1039"/>
      <c r="W121" s="1039"/>
      <c r="X121" s="1039"/>
      <c r="Y121" s="1039"/>
      <c r="Z121" s="1039"/>
      <c r="AA121" s="1039"/>
      <c r="AB121" s="1039"/>
      <c r="AC121" s="1039"/>
      <c r="AD121" s="1039"/>
      <c r="AE121" s="1039"/>
      <c r="AF121" s="1039"/>
      <c r="AG121" s="1039"/>
      <c r="AH121" s="1039"/>
      <c r="AI121" s="1039"/>
      <c r="AJ121" s="1039"/>
      <c r="AK121" s="1039"/>
      <c r="AL121" s="1039"/>
      <c r="AM121" s="1039"/>
      <c r="AN121" s="1039"/>
      <c r="AO121" s="1039"/>
      <c r="AP121" s="1039"/>
      <c r="AQ121" s="1039"/>
      <c r="AR121" s="1039"/>
      <c r="AS121" s="1039"/>
      <c r="AT121" s="947"/>
      <c r="AU121" s="947"/>
      <c r="AV121" s="947"/>
      <c r="AW121" s="947"/>
      <c r="AX121" s="947"/>
      <c r="AY121" s="947"/>
      <c r="AZ121" s="947"/>
      <c r="BA121" s="947"/>
      <c r="BB121" s="947"/>
      <c r="BC121" s="947"/>
    </row>
    <row r="122" spans="1:55" ht="14.25">
      <c r="A122" s="684"/>
      <c r="B122" s="684"/>
      <c r="C122" s="684" t="str">
        <f>Calc_time!E42</f>
        <v>Investment cost (Data Policies)</v>
      </c>
      <c r="D122" s="690" t="s">
        <v>291</v>
      </c>
      <c r="E122" s="1033">
        <f ca="1">Calc_time!G42</f>
        <v>-27543.175422526154</v>
      </c>
      <c r="F122" s="1039"/>
      <c r="G122" s="1039"/>
      <c r="H122" s="1039"/>
      <c r="I122" s="1039"/>
      <c r="J122" s="1039"/>
      <c r="K122" s="1039"/>
      <c r="L122" s="1039"/>
      <c r="M122" s="1039"/>
      <c r="N122" s="1039"/>
      <c r="O122" s="1039"/>
      <c r="P122" s="684"/>
      <c r="Q122" s="684"/>
      <c r="R122" s="684"/>
      <c r="S122" s="684"/>
      <c r="T122" s="684"/>
      <c r="U122" s="684"/>
      <c r="V122" s="684"/>
      <c r="W122" s="684"/>
      <c r="X122" s="684"/>
      <c r="Y122" s="684"/>
      <c r="Z122" s="1091"/>
      <c r="AA122" s="1091"/>
      <c r="AB122" s="1091"/>
      <c r="AC122" s="1091"/>
      <c r="AD122" s="1091"/>
      <c r="AE122" s="1091"/>
      <c r="AF122" s="1091"/>
      <c r="AG122" s="1091"/>
      <c r="AH122" s="1091"/>
      <c r="AI122" s="1091"/>
      <c r="AJ122" s="1091"/>
      <c r="AK122" s="1091"/>
      <c r="AL122" s="1091"/>
      <c r="AM122" s="1091"/>
      <c r="AN122" s="1091"/>
      <c r="AO122" s="1091"/>
      <c r="AP122" s="1091"/>
      <c r="AQ122" s="1091"/>
      <c r="AR122" s="1091"/>
      <c r="AS122" s="1091"/>
      <c r="AT122" s="947"/>
      <c r="AU122" s="947"/>
      <c r="AV122" s="947"/>
      <c r="AW122" s="947"/>
      <c r="AX122" s="947"/>
      <c r="AY122" s="947"/>
      <c r="AZ122" s="947"/>
      <c r="BA122" s="947"/>
      <c r="BB122" s="947"/>
      <c r="BC122" s="947"/>
    </row>
    <row r="123" spans="1:55" ht="14.25">
      <c r="A123" s="684"/>
      <c r="B123" s="684"/>
      <c r="C123" s="684" t="str">
        <f>Calc_time!E43</f>
        <v>Project Management costs</v>
      </c>
      <c r="D123" s="690" t="s">
        <v>291</v>
      </c>
      <c r="E123" s="1033">
        <f ca="1">Calc_time!G43</f>
        <v>-26391.165241351599</v>
      </c>
      <c r="F123" s="1039"/>
      <c r="G123" s="1039"/>
      <c r="H123" s="1039"/>
      <c r="I123" s="1039"/>
      <c r="J123" s="1039"/>
      <c r="K123" s="1039"/>
      <c r="L123" s="1039"/>
      <c r="M123" s="1039"/>
      <c r="N123" s="1039"/>
      <c r="O123" s="1039"/>
      <c r="P123" s="684"/>
      <c r="Q123" s="684"/>
      <c r="R123" s="684"/>
      <c r="S123" s="684"/>
      <c r="T123" s="684"/>
      <c r="U123" s="684"/>
      <c r="V123" s="684"/>
      <c r="W123" s="684"/>
      <c r="X123" s="684"/>
      <c r="Y123" s="684"/>
      <c r="Z123" s="1091"/>
      <c r="AA123" s="1091"/>
      <c r="AB123" s="1091"/>
      <c r="AC123" s="1091"/>
      <c r="AD123" s="1091"/>
      <c r="AE123" s="1091"/>
      <c r="AF123" s="1091"/>
      <c r="AG123" s="1091"/>
      <c r="AH123" s="1091"/>
      <c r="AI123" s="1091"/>
      <c r="AJ123" s="1091"/>
      <c r="AK123" s="1091"/>
      <c r="AL123" s="1091"/>
      <c r="AM123" s="1091"/>
      <c r="AN123" s="1091"/>
      <c r="AO123" s="1091"/>
      <c r="AP123" s="1091"/>
      <c r="AQ123" s="1091"/>
      <c r="AR123" s="1091"/>
      <c r="AS123" s="1091"/>
      <c r="AT123" s="947"/>
      <c r="AU123" s="947"/>
      <c r="AV123" s="947"/>
      <c r="AW123" s="947"/>
      <c r="AX123" s="947"/>
      <c r="AY123" s="947"/>
      <c r="AZ123" s="947"/>
      <c r="BA123" s="947"/>
      <c r="BB123" s="947"/>
      <c r="BC123" s="947"/>
    </row>
    <row r="124" spans="1:55" ht="14.25">
      <c r="A124" s="684"/>
      <c r="B124" s="684"/>
      <c r="C124" s="684" t="str">
        <f>Calc_time!D35</f>
        <v>Total investment cost in EUR of time spent to become FAIR</v>
      </c>
      <c r="D124" s="690" t="s">
        <v>291</v>
      </c>
      <c r="E124" s="1033">
        <f ca="1">Calc_time!G37</f>
        <v>-1405.8893101152692</v>
      </c>
      <c r="F124" s="1039"/>
      <c r="G124" s="1039"/>
      <c r="H124" s="1039"/>
      <c r="I124" s="1039"/>
      <c r="J124" s="1039"/>
      <c r="K124" s="1039"/>
      <c r="L124" s="1039"/>
      <c r="M124" s="1039"/>
      <c r="N124" s="1039"/>
      <c r="O124" s="1039"/>
      <c r="P124" s="684"/>
      <c r="Q124" s="684"/>
      <c r="R124" s="684"/>
      <c r="S124" s="684"/>
      <c r="T124" s="684"/>
      <c r="U124" s="684"/>
      <c r="V124" s="684"/>
      <c r="W124" s="684"/>
      <c r="X124" s="684"/>
      <c r="Y124" s="684"/>
      <c r="Z124" s="1091"/>
      <c r="AA124" s="1091"/>
      <c r="AB124" s="1091"/>
      <c r="AC124" s="1091"/>
      <c r="AD124" s="1091"/>
      <c r="AE124" s="1091"/>
      <c r="AF124" s="1091"/>
      <c r="AG124" s="1091"/>
      <c r="AH124" s="1091"/>
      <c r="AI124" s="1091"/>
      <c r="AJ124" s="1091"/>
      <c r="AK124" s="1091"/>
      <c r="AL124" s="1091"/>
      <c r="AM124" s="1091"/>
      <c r="AN124" s="1091"/>
      <c r="AO124" s="1091"/>
      <c r="AP124" s="1091"/>
      <c r="AQ124" s="1091"/>
      <c r="AR124" s="1091"/>
      <c r="AS124" s="1091"/>
      <c r="AT124" s="947"/>
      <c r="AU124" s="947"/>
      <c r="AV124" s="947"/>
      <c r="AW124" s="947"/>
      <c r="AX124" s="947"/>
      <c r="AY124" s="947"/>
      <c r="AZ124" s="947"/>
      <c r="BA124" s="947"/>
      <c r="BB124" s="947"/>
      <c r="BC124" s="947"/>
    </row>
    <row r="125" spans="1:55" ht="14.25">
      <c r="A125" s="684"/>
      <c r="B125" s="684"/>
      <c r="C125" s="684" t="str">
        <f>Calc_time!E44</f>
        <v>Other likely costs</v>
      </c>
      <c r="D125" s="690" t="s">
        <v>291</v>
      </c>
      <c r="E125" s="1033">
        <f>Calc_time!G44</f>
        <v>0</v>
      </c>
      <c r="F125" s="1039"/>
      <c r="G125" s="1039"/>
      <c r="H125" s="1039"/>
      <c r="I125" s="1039"/>
      <c r="J125" s="1039"/>
      <c r="K125" s="1039"/>
      <c r="L125" s="1039"/>
      <c r="M125" s="1039"/>
      <c r="N125" s="1039"/>
      <c r="O125" s="1039"/>
      <c r="P125" s="684"/>
      <c r="Q125" s="684"/>
      <c r="R125" s="684"/>
      <c r="S125" s="684"/>
      <c r="T125" s="684"/>
      <c r="U125" s="684"/>
      <c r="V125" s="684"/>
      <c r="W125" s="684"/>
      <c r="X125" s="684"/>
      <c r="Y125" s="684"/>
      <c r="Z125" s="1091"/>
      <c r="AA125" s="1091"/>
      <c r="AB125" s="1091"/>
      <c r="AC125" s="1091"/>
      <c r="AD125" s="1091"/>
      <c r="AE125" s="1091"/>
      <c r="AF125" s="1091"/>
      <c r="AG125" s="1091"/>
      <c r="AH125" s="1091"/>
      <c r="AI125" s="1091"/>
      <c r="AJ125" s="1091"/>
      <c r="AK125" s="1091"/>
      <c r="AL125" s="1091"/>
      <c r="AM125" s="1091"/>
      <c r="AN125" s="1091"/>
      <c r="AO125" s="1091"/>
      <c r="AP125" s="1091"/>
      <c r="AQ125" s="1091"/>
      <c r="AR125" s="1091"/>
      <c r="AS125" s="1091"/>
      <c r="AT125" s="947"/>
      <c r="AU125" s="947"/>
      <c r="AV125" s="947"/>
      <c r="AW125" s="947"/>
      <c r="AX125" s="947"/>
      <c r="AY125" s="947"/>
      <c r="AZ125" s="947"/>
      <c r="BA125" s="947"/>
      <c r="BB125" s="947"/>
      <c r="BC125" s="947"/>
    </row>
    <row r="126" spans="1:55" ht="14.25">
      <c r="A126" s="684"/>
      <c r="B126" s="684"/>
      <c r="C126" s="684"/>
      <c r="D126" s="684"/>
      <c r="E126" s="1039"/>
      <c r="F126" s="1039"/>
      <c r="G126" s="1039"/>
      <c r="H126" s="1039"/>
      <c r="I126" s="1039"/>
      <c r="J126" s="684"/>
      <c r="K126" s="684"/>
      <c r="L126" s="690"/>
      <c r="M126" s="684"/>
      <c r="N126" s="684"/>
      <c r="O126" s="684"/>
      <c r="P126" s="684"/>
      <c r="Q126" s="684"/>
      <c r="R126" s="684"/>
      <c r="S126" s="684"/>
      <c r="T126" s="684"/>
      <c r="U126" s="684"/>
      <c r="V126" s="684"/>
      <c r="W126" s="684"/>
      <c r="X126" s="684"/>
      <c r="Y126" s="684"/>
      <c r="Z126" s="1091"/>
      <c r="AA126" s="1091"/>
      <c r="AB126" s="1091"/>
      <c r="AC126" s="1091"/>
      <c r="AD126" s="1091"/>
      <c r="AE126" s="1091"/>
      <c r="AF126" s="1091"/>
      <c r="AG126" s="1091"/>
      <c r="AH126" s="1091"/>
      <c r="AI126" s="1091"/>
      <c r="AJ126" s="1091"/>
      <c r="AK126" s="1091"/>
      <c r="AL126" s="1091"/>
      <c r="AM126" s="1091"/>
      <c r="AN126" s="1091"/>
      <c r="AO126" s="1091"/>
      <c r="AP126" s="1091"/>
      <c r="AQ126" s="1091"/>
      <c r="AR126" s="1091"/>
      <c r="AS126" s="1091"/>
      <c r="AT126" s="947"/>
      <c r="AU126" s="947"/>
      <c r="AV126" s="947"/>
      <c r="AW126" s="947"/>
      <c r="AX126" s="947"/>
      <c r="AY126" s="947"/>
      <c r="AZ126" s="947"/>
      <c r="BA126" s="947"/>
      <c r="BB126" s="947"/>
      <c r="BC126" s="947"/>
    </row>
    <row r="127" spans="1:55" ht="17.25" customHeight="1">
      <c r="A127" s="684"/>
      <c r="B127" s="1017" t="s">
        <v>719</v>
      </c>
      <c r="C127" s="1018"/>
      <c r="D127" s="1019"/>
      <c r="E127" s="1020"/>
      <c r="F127" s="1020"/>
      <c r="G127" s="1020"/>
      <c r="H127" s="1020"/>
      <c r="I127" s="1020"/>
      <c r="J127" s="1021"/>
      <c r="K127" s="1022"/>
      <c r="L127" s="1023"/>
      <c r="M127" s="1022"/>
      <c r="N127" s="1022"/>
      <c r="O127" s="1022"/>
      <c r="P127" s="1022"/>
      <c r="Q127" s="1022"/>
      <c r="R127" s="1022"/>
      <c r="S127" s="1022"/>
      <c r="T127" s="1022"/>
      <c r="U127" s="1022"/>
      <c r="V127" s="1022"/>
      <c r="W127" s="1022"/>
      <c r="X127" s="1022"/>
      <c r="Y127" s="1022"/>
      <c r="Z127" s="1022"/>
      <c r="AA127" s="1022"/>
      <c r="AB127" s="1022"/>
      <c r="AC127" s="1022"/>
      <c r="AD127" s="1022"/>
      <c r="AE127" s="1022"/>
      <c r="AF127" s="1022"/>
      <c r="AG127" s="1022"/>
      <c r="AH127" s="1022"/>
      <c r="AI127" s="1022"/>
      <c r="AJ127" s="1022"/>
      <c r="AK127" s="1022"/>
      <c r="AL127" s="1022"/>
      <c r="AM127" s="1022"/>
      <c r="AN127" s="1022"/>
      <c r="AO127" s="1022"/>
      <c r="AP127" s="1022"/>
      <c r="AQ127" s="1022"/>
      <c r="AR127" s="1022"/>
      <c r="AS127" s="1022"/>
      <c r="AT127" s="947"/>
      <c r="AU127" s="947"/>
      <c r="AV127" s="947"/>
      <c r="AW127" s="947"/>
      <c r="AX127" s="947"/>
      <c r="AY127" s="947"/>
      <c r="AZ127" s="947"/>
      <c r="BA127" s="947"/>
      <c r="BB127" s="947"/>
      <c r="BC127" s="947"/>
    </row>
    <row r="128" spans="1:55" ht="14.25">
      <c r="AJ128" s="1090"/>
      <c r="AK128" s="1090"/>
      <c r="AL128" s="1090"/>
      <c r="AM128" s="1090"/>
      <c r="AN128" s="1090"/>
      <c r="AO128" s="1090"/>
      <c r="AP128" s="1090"/>
      <c r="AQ128" s="1090"/>
      <c r="AR128" s="1090"/>
      <c r="AS128" s="1090"/>
      <c r="AT128" s="947"/>
      <c r="AU128" s="947"/>
      <c r="AV128" s="947"/>
      <c r="AW128" s="947"/>
      <c r="AX128" s="947"/>
      <c r="AY128" s="947"/>
      <c r="AZ128" s="947"/>
      <c r="BA128" s="947"/>
      <c r="BB128" s="947"/>
      <c r="BC128" s="947"/>
    </row>
    <row r="129" spans="1:55" ht="14.25">
      <c r="A129" s="907"/>
      <c r="B129" s="907"/>
      <c r="C129" s="684"/>
      <c r="D129" s="690"/>
      <c r="E129" s="965">
        <f ca="1">E41</f>
        <v>2018</v>
      </c>
      <c r="F129" s="965">
        <f t="shared" ref="F129:Y129" ca="1" si="134">E129 + 1</f>
        <v>2019</v>
      </c>
      <c r="G129" s="965">
        <f t="shared" ca="1" si="134"/>
        <v>2020</v>
      </c>
      <c r="H129" s="965">
        <f t="shared" ca="1" si="134"/>
        <v>2021</v>
      </c>
      <c r="I129" s="965">
        <f t="shared" ca="1" si="134"/>
        <v>2022</v>
      </c>
      <c r="J129" s="965">
        <f t="shared" ca="1" si="134"/>
        <v>2023</v>
      </c>
      <c r="K129" s="965">
        <f t="shared" ca="1" si="134"/>
        <v>2024</v>
      </c>
      <c r="L129" s="965">
        <f t="shared" ca="1" si="134"/>
        <v>2025</v>
      </c>
      <c r="M129" s="965">
        <f t="shared" ca="1" si="134"/>
        <v>2026</v>
      </c>
      <c r="N129" s="965">
        <f t="shared" ca="1" si="134"/>
        <v>2027</v>
      </c>
      <c r="O129" s="965">
        <f t="shared" ca="1" si="134"/>
        <v>2028</v>
      </c>
      <c r="P129" s="965">
        <f t="shared" ca="1" si="134"/>
        <v>2029</v>
      </c>
      <c r="Q129" s="965">
        <f t="shared" ca="1" si="134"/>
        <v>2030</v>
      </c>
      <c r="R129" s="965">
        <f t="shared" ca="1" si="134"/>
        <v>2031</v>
      </c>
      <c r="S129" s="965">
        <f t="shared" ca="1" si="134"/>
        <v>2032</v>
      </c>
      <c r="T129" s="965">
        <f t="shared" ca="1" si="134"/>
        <v>2033</v>
      </c>
      <c r="U129" s="965">
        <f t="shared" ca="1" si="134"/>
        <v>2034</v>
      </c>
      <c r="V129" s="965">
        <f t="shared" ca="1" si="134"/>
        <v>2035</v>
      </c>
      <c r="W129" s="965">
        <f t="shared" ca="1" si="134"/>
        <v>2036</v>
      </c>
      <c r="X129" s="965">
        <f t="shared" ca="1" si="134"/>
        <v>2037</v>
      </c>
      <c r="Y129" s="965">
        <f t="shared" ca="1" si="134"/>
        <v>2038</v>
      </c>
      <c r="Z129" s="965">
        <f t="shared" ref="Z129" ca="1" si="135">Y129 + 1</f>
        <v>2039</v>
      </c>
      <c r="AA129" s="965">
        <f t="shared" ref="AA129" ca="1" si="136">Z129 + 1</f>
        <v>2040</v>
      </c>
      <c r="AB129" s="965">
        <f t="shared" ref="AB129" ca="1" si="137">AA129 + 1</f>
        <v>2041</v>
      </c>
      <c r="AC129" s="965">
        <f t="shared" ref="AC129" ca="1" si="138">AB129 + 1</f>
        <v>2042</v>
      </c>
      <c r="AD129" s="965">
        <f t="shared" ref="AD129" ca="1" si="139">AC129 + 1</f>
        <v>2043</v>
      </c>
      <c r="AE129" s="965">
        <f t="shared" ref="AE129" ca="1" si="140">AD129 + 1</f>
        <v>2044</v>
      </c>
      <c r="AF129" s="965">
        <f t="shared" ref="AF129" ca="1" si="141">AE129 + 1</f>
        <v>2045</v>
      </c>
      <c r="AG129" s="965">
        <f t="shared" ref="AG129" ca="1" si="142">AF129 + 1</f>
        <v>2046</v>
      </c>
      <c r="AH129" s="965">
        <f t="shared" ref="AH129" ca="1" si="143">AG129 + 1</f>
        <v>2047</v>
      </c>
      <c r="AI129" s="965">
        <f t="shared" ref="AI129" ca="1" si="144">AH129 + 1</f>
        <v>2048</v>
      </c>
      <c r="AJ129" s="965">
        <f t="shared" ref="AJ129" ca="1" si="145">AI129 + 1</f>
        <v>2049</v>
      </c>
      <c r="AK129" s="965">
        <f t="shared" ref="AK129" ca="1" si="146">AJ129 + 1</f>
        <v>2050</v>
      </c>
      <c r="AL129" s="965">
        <f t="shared" ref="AL129" ca="1" si="147">AK129 + 1</f>
        <v>2051</v>
      </c>
      <c r="AM129" s="965">
        <f t="shared" ref="AM129" ca="1" si="148">AL129 + 1</f>
        <v>2052</v>
      </c>
      <c r="AN129" s="965">
        <f t="shared" ref="AN129" ca="1" si="149">AM129 + 1</f>
        <v>2053</v>
      </c>
      <c r="AO129" s="965">
        <f t="shared" ref="AO129" ca="1" si="150">AN129 + 1</f>
        <v>2054</v>
      </c>
      <c r="AP129" s="965">
        <f t="shared" ref="AP129" ca="1" si="151">AO129 + 1</f>
        <v>2055</v>
      </c>
      <c r="AQ129" s="965">
        <f t="shared" ref="AQ129" ca="1" si="152">AP129 + 1</f>
        <v>2056</v>
      </c>
      <c r="AR129" s="965">
        <f t="shared" ref="AR129" ca="1" si="153">AQ129 + 1</f>
        <v>2057</v>
      </c>
      <c r="AS129" s="965">
        <f t="shared" ref="AS129" ca="1" si="154">AR129 + 1</f>
        <v>2058</v>
      </c>
      <c r="AT129" s="947"/>
      <c r="AU129" s="947"/>
      <c r="AV129" s="947"/>
      <c r="AW129" s="947"/>
      <c r="AX129" s="947"/>
      <c r="AY129" s="947"/>
      <c r="AZ129" s="947"/>
      <c r="BA129" s="947"/>
      <c r="BB129" s="947"/>
      <c r="BC129" s="947"/>
    </row>
    <row r="130" spans="1:55" ht="5.25" customHeight="1">
      <c r="A130" s="684"/>
      <c r="B130" s="884"/>
      <c r="C130" s="884"/>
      <c r="D130" s="1035"/>
      <c r="E130" s="1036"/>
      <c r="F130" s="1036"/>
      <c r="G130" s="1036"/>
      <c r="H130" s="1036"/>
      <c r="I130" s="1036"/>
      <c r="J130" s="1036"/>
      <c r="K130" s="1036"/>
      <c r="L130" s="1036"/>
      <c r="M130" s="1036"/>
      <c r="N130" s="1036"/>
      <c r="O130" s="1036"/>
      <c r="P130" s="1036"/>
      <c r="Q130" s="1036"/>
      <c r="R130" s="1036"/>
      <c r="S130" s="1036"/>
      <c r="T130" s="1036"/>
      <c r="U130" s="1036"/>
      <c r="V130" s="1036"/>
      <c r="W130" s="1036"/>
      <c r="X130" s="1036"/>
      <c r="Y130" s="1036"/>
      <c r="Z130" s="1036"/>
      <c r="AA130" s="1036"/>
      <c r="AB130" s="1036"/>
      <c r="AC130" s="1036"/>
      <c r="AD130" s="1036"/>
      <c r="AE130" s="1036"/>
      <c r="AF130" s="1036"/>
      <c r="AG130" s="1036"/>
      <c r="AH130" s="1036"/>
      <c r="AI130" s="1036"/>
      <c r="AJ130" s="1036"/>
      <c r="AK130" s="1036"/>
      <c r="AL130" s="1036"/>
      <c r="AM130" s="1036"/>
      <c r="AN130" s="1036"/>
      <c r="AO130" s="1036"/>
      <c r="AP130" s="1036"/>
      <c r="AQ130" s="1036"/>
      <c r="AR130" s="1036"/>
      <c r="AS130" s="1036"/>
      <c r="AT130" s="947"/>
      <c r="AU130" s="947"/>
      <c r="AV130" s="947"/>
      <c r="AW130" s="947"/>
      <c r="AX130" s="947"/>
      <c r="AY130" s="947"/>
      <c r="AZ130" s="947"/>
      <c r="BA130" s="947"/>
      <c r="BB130" s="947"/>
      <c r="BC130" s="947"/>
    </row>
    <row r="131" spans="1:55" ht="14.25">
      <c r="A131" s="684"/>
      <c r="B131" s="890" t="s">
        <v>720</v>
      </c>
      <c r="C131" s="890"/>
      <c r="D131" s="1024" t="s">
        <v>291</v>
      </c>
      <c r="E131" s="1025">
        <f ca="1">SUM(E135)*((1+VLOOKUP(E$129,Inflation!$B$4:$C$44,2,FALSE))^E$44)</f>
        <v>406055.30635752867</v>
      </c>
      <c r="F131" s="1025">
        <f ca="1">SUM(F135)*((1+VLOOKUP(F$129,Inflation!$B$4:$C$44,2,FALSE))^F$44)</f>
        <v>439110.75920719048</v>
      </c>
      <c r="G131" s="1025">
        <f ca="1">SUM(G135)*((1+VLOOKUP(G$129,Inflation!$B$4:$C$44,2,FALSE))^G$44)</f>
        <v>448070.84116979421</v>
      </c>
      <c r="H131" s="1025">
        <f ca="1">SUM(H135)*((1+VLOOKUP(H$129,Inflation!$B$4:$C$44,2,FALSE))^H$44)</f>
        <v>457063.16899622994</v>
      </c>
      <c r="I131" s="1025">
        <f ca="1">SUM(I135)*((1+VLOOKUP(I$129,Inflation!$B$4:$C$44,2,FALSE))^I$44)</f>
        <v>462613.92428293038</v>
      </c>
      <c r="J131" s="1025">
        <f ca="1">SUM(J135)*((1+VLOOKUP(J$129,Inflation!$B$4:$C$44,2,FALSE))^J$44)</f>
        <v>469719.88893661456</v>
      </c>
      <c r="K131" s="1025">
        <f ca="1">SUM(K135)*((1+VLOOKUP(K$129,Inflation!$B$4:$C$44,2,FALSE))^K$44)</f>
        <v>476609.02208605711</v>
      </c>
      <c r="L131" s="1025">
        <f ca="1">SUM(L135)*((1+VLOOKUP(L$129,Inflation!$B$4:$C$44,2,FALSE))^L$44)</f>
        <v>483380.53893787431</v>
      </c>
      <c r="M131" s="1025">
        <f ca="1">SUM(M135)*((1+VLOOKUP(M$129,Inflation!$B$4:$C$44,2,FALSE))^M$44)</f>
        <v>490095.60924097244</v>
      </c>
      <c r="N131" s="1025">
        <f ca="1">SUM(N135)*((1+VLOOKUP(N$129,Inflation!$B$4:$C$44,2,FALSE))^N$44)</f>
        <v>496749.70039601804</v>
      </c>
      <c r="O131" s="1025">
        <f ca="1">SUM(O135)*((1+VLOOKUP(O$129,Inflation!$B$4:$C$44,2,FALSE))^O$44)</f>
        <v>503244.58356634452</v>
      </c>
      <c r="P131" s="1025">
        <f ca="1">SUM(P135)*((1+VLOOKUP(P$129,Inflation!$B$4:$C$44,2,FALSE))^P$44)</f>
        <v>509355.27656767028</v>
      </c>
      <c r="Q131" s="1025">
        <f ca="1">SUM(Q135)*((1+VLOOKUP(Q$129,Inflation!$B$4:$C$44,2,FALSE))^Q$44)</f>
        <v>514686.04185976059</v>
      </c>
      <c r="R131" s="1025">
        <f ca="1">SUM(R135)*((1+VLOOKUP(R$129,Inflation!$B$4:$C$44,2,FALSE))^R$44)</f>
        <v>518611.34861571027</v>
      </c>
      <c r="S131" s="1025">
        <f ca="1">SUM(S135)*((1+VLOOKUP(S$129,Inflation!$B$4:$C$44,2,FALSE))^S$44)</f>
        <v>520206.62132938491</v>
      </c>
      <c r="T131" s="1025">
        <f ca="1">SUM(T135)*((1+VLOOKUP(T$129,Inflation!$B$4:$C$44,2,FALSE))^T$44)</f>
        <v>518195.0138843148</v>
      </c>
      <c r="U131" s="1025">
        <f ca="1">SUM(U135)*((1+VLOOKUP(U$129,Inflation!$B$4:$C$44,2,FALSE))^U$44)</f>
        <v>510972.70890154789</v>
      </c>
      <c r="V131" s="1025">
        <f ca="1">SUM(V135)*((1+VLOOKUP(V$129,Inflation!$B$4:$C$44,2,FALSE))^V$44)</f>
        <v>496807.24651415949</v>
      </c>
      <c r="W131" s="1025">
        <f ca="1">SUM(W135)*((1+VLOOKUP(W$129,Inflation!$B$4:$C$44,2,FALSE))^W$44)</f>
        <v>474259.50554305018</v>
      </c>
      <c r="X131" s="1025">
        <f ca="1">SUM(X135)*((1+VLOOKUP(X$129,Inflation!$B$4:$C$44,2,FALSE))^X$44)</f>
        <v>442668.98693839146</v>
      </c>
      <c r="Y131" s="1025">
        <f ca="1">SUM(Y135)*((1+VLOOKUP(Y$129,Inflation!$B$4:$C$44,2,FALSE))^Y$44)</f>
        <v>402303.81508046703</v>
      </c>
      <c r="Z131" s="1025">
        <f ca="1">SUM(Z135)*((1+VLOOKUP(Z$129,Inflation!$B$4:$C$44,2,FALSE))^Z$44)</f>
        <v>354075.55682568764</v>
      </c>
      <c r="AA131" s="1025">
        <f ca="1">SUM(AA135)*((1+VLOOKUP(AA$129,Inflation!$B$4:$C$44,2,FALSE))^AA$44)</f>
        <v>299566.48337961041</v>
      </c>
      <c r="AB131" s="1025">
        <f ca="1">SUM(AB135)*((1+VLOOKUP(AB$129,Inflation!$B$4:$C$44,2,FALSE))^AB$44)</f>
        <v>241827.80252290884</v>
      </c>
      <c r="AC131" s="1025">
        <f ca="1">SUM(AC135)*((1+VLOOKUP(AC$129,Inflation!$B$4:$C$44,2,FALSE))^AC$44)</f>
        <v>185613.42056429101</v>
      </c>
      <c r="AD131" s="1025">
        <f ca="1">SUM(AD135)*((1+VLOOKUP(AD$129,Inflation!$B$4:$C$44,2,FALSE))^AD$44)</f>
        <v>135834.05948355916</v>
      </c>
      <c r="AE131" s="1025">
        <f ca="1">SUM(AE135)*((1+VLOOKUP(AE$129,Inflation!$B$4:$C$44,2,FALSE))^AE$44)</f>
        <v>95529.341396763877</v>
      </c>
      <c r="AF131" s="1025">
        <f ca="1">SUM(AF135)*((1+VLOOKUP(AF$129,Inflation!$B$4:$C$44,2,FALSE))^AF$44)</f>
        <v>65219.433882187208</v>
      </c>
      <c r="AG131" s="1025">
        <f ca="1">SUM(AG135)*((1+VLOOKUP(AG$129,Inflation!$B$4:$C$44,2,FALSE))^AG$44)</f>
        <v>43653.582627691438</v>
      </c>
      <c r="AH131" s="1025">
        <f ca="1">SUM(AH135)*((1+VLOOKUP(AH$129,Inflation!$B$4:$C$44,2,FALSE))^AH$44)</f>
        <v>28894.722786501196</v>
      </c>
      <c r="AI131" s="1025">
        <f ca="1">SUM(AI135)*((1+VLOOKUP(AI$129,Inflation!$B$4:$C$44,2,FALSE))^AI$44)</f>
        <v>19055.514186654735</v>
      </c>
      <c r="AJ131" s="1025">
        <f ca="1">SUM(AJ135)*((1+VLOOKUP(AJ$129,Inflation!$B$4:$C$44,2,FALSE))^AJ$44)</f>
        <v>12607.975313985422</v>
      </c>
      <c r="AK131" s="1025">
        <f ca="1">SUM(AK135)*((1+VLOOKUP(AK$129,Inflation!$B$4:$C$44,2,FALSE))^AK$44)</f>
        <v>8430.0596422290764</v>
      </c>
      <c r="AL131" s="1025">
        <f ca="1">SUM(AL135)*((1+VLOOKUP(AL$129,Inflation!$B$4:$C$44,2,FALSE))^AL$44)</f>
        <v>5742.83601211932</v>
      </c>
      <c r="AM131" s="1025">
        <f ca="1">SUM(AM135)*((1+VLOOKUP(AM$129,Inflation!$B$4:$C$44,2,FALSE))^AM$44)</f>
        <v>4023.4077460497128</v>
      </c>
      <c r="AN131" s="1025">
        <f ca="1">SUM(AN135)*((1+VLOOKUP(AN$129,Inflation!$B$4:$C$44,2,FALSE))^AN$44)</f>
        <v>2927.8237482116474</v>
      </c>
      <c r="AO131" s="1025">
        <f ca="1">SUM(AO135)*((1+VLOOKUP(AO$129,Inflation!$B$4:$C$44,2,FALSE))^AO$44)</f>
        <v>2232.6288275030079</v>
      </c>
      <c r="AP131" s="1025">
        <f ca="1">SUM(AP135)*((1+VLOOKUP(AP$129,Inflation!$B$4:$C$44,2,FALSE))^AP$44)</f>
        <v>1793.7429739156732</v>
      </c>
      <c r="AQ131" s="1025">
        <f ca="1">SUM(AQ135)*((1+VLOOKUP(AQ$129,Inflation!$B$4:$C$44,2,FALSE))^AQ$44)</f>
        <v>1518.6891723281854</v>
      </c>
      <c r="AR131" s="1025">
        <f ca="1">SUM(AR135)*((1+VLOOKUP(AR$129,Inflation!$B$4:$C$44,2,FALSE))^AR$44)</f>
        <v>1348.2727706595276</v>
      </c>
      <c r="AS131" s="1025">
        <f ca="1">SUM(AS135)*((1+VLOOKUP(AS$129,Inflation!$B$4:$C$44,2,FALSE))^AS$44)</f>
        <v>1244.6630098432552</v>
      </c>
      <c r="AT131" s="947"/>
      <c r="AU131" s="947"/>
      <c r="AV131" s="947"/>
      <c r="AW131" s="947"/>
      <c r="AX131" s="947"/>
      <c r="AY131" s="947"/>
      <c r="AZ131" s="947"/>
      <c r="BA131" s="947"/>
      <c r="BB131" s="947"/>
      <c r="BC131" s="947"/>
    </row>
    <row r="132" spans="1:55" ht="5.25" customHeight="1">
      <c r="A132" s="907"/>
      <c r="B132" s="927"/>
      <c r="C132" s="907"/>
      <c r="D132" s="907"/>
      <c r="E132" s="1048"/>
      <c r="F132" s="1048"/>
      <c r="G132" s="1048"/>
      <c r="H132" s="1048"/>
      <c r="I132" s="1048"/>
      <c r="J132" s="1048"/>
      <c r="K132" s="1048"/>
      <c r="L132" s="1048"/>
      <c r="M132" s="1048"/>
      <c r="N132" s="1048"/>
      <c r="O132" s="1048"/>
      <c r="P132" s="1048"/>
      <c r="Q132" s="1048"/>
      <c r="R132" s="1048"/>
      <c r="S132" s="1048"/>
      <c r="T132" s="1048"/>
      <c r="U132" s="1048"/>
      <c r="V132" s="1048"/>
      <c r="W132" s="1048"/>
      <c r="X132" s="1048"/>
      <c r="Y132" s="1048"/>
      <c r="Z132" s="1048"/>
      <c r="AA132" s="1048"/>
      <c r="AB132" s="1048"/>
      <c r="AC132" s="1048"/>
      <c r="AD132" s="1048"/>
      <c r="AE132" s="1048"/>
      <c r="AF132" s="1048"/>
      <c r="AG132" s="1048"/>
      <c r="AH132" s="1048"/>
      <c r="AI132" s="1048"/>
      <c r="AJ132" s="1048"/>
      <c r="AK132" s="1048"/>
      <c r="AL132" s="1048"/>
      <c r="AM132" s="1048"/>
      <c r="AN132" s="1048"/>
      <c r="AO132" s="1048"/>
      <c r="AP132" s="1048"/>
      <c r="AQ132" s="1048"/>
      <c r="AR132" s="1048"/>
      <c r="AS132" s="1048"/>
      <c r="AT132" s="947"/>
      <c r="AU132" s="947"/>
      <c r="AV132" s="947"/>
      <c r="AW132" s="947"/>
      <c r="AX132" s="947"/>
      <c r="AY132" s="947"/>
      <c r="AZ132" s="947"/>
      <c r="BA132" s="947"/>
      <c r="BB132" s="947"/>
      <c r="BC132" s="947"/>
    </row>
    <row r="133" spans="1:55" thickBot="1">
      <c r="A133" s="907"/>
      <c r="B133" s="1049" t="s">
        <v>722</v>
      </c>
      <c r="C133" s="1050"/>
      <c r="D133" s="1050"/>
      <c r="E133" s="1051"/>
      <c r="F133" s="1051"/>
      <c r="G133" s="1051"/>
      <c r="H133" s="1051"/>
      <c r="I133" s="1051"/>
      <c r="J133" s="1051"/>
      <c r="K133" s="1051"/>
      <c r="L133" s="1051"/>
      <c r="M133" s="1051"/>
      <c r="N133" s="1051"/>
      <c r="O133" s="1051"/>
      <c r="P133" s="1051"/>
      <c r="Q133" s="1051"/>
      <c r="R133" s="1051"/>
      <c r="S133" s="1051"/>
      <c r="T133" s="1051"/>
      <c r="U133" s="1051"/>
      <c r="V133" s="1051"/>
      <c r="W133" s="1051"/>
      <c r="X133" s="1051"/>
      <c r="Y133" s="1051"/>
      <c r="Z133" s="1051"/>
      <c r="AA133" s="1051"/>
      <c r="AB133" s="1051"/>
      <c r="AC133" s="1051"/>
      <c r="AD133" s="1051"/>
      <c r="AE133" s="1051"/>
      <c r="AF133" s="1051"/>
      <c r="AG133" s="1051"/>
      <c r="AH133" s="1051"/>
      <c r="AI133" s="1051"/>
      <c r="AJ133" s="1051"/>
      <c r="AK133" s="1051"/>
      <c r="AL133" s="1051"/>
      <c r="AM133" s="1051"/>
      <c r="AN133" s="1051"/>
      <c r="AO133" s="1051"/>
      <c r="AP133" s="1051"/>
      <c r="AQ133" s="1051"/>
      <c r="AR133" s="1051"/>
      <c r="AS133" s="1051"/>
      <c r="AT133" s="947"/>
      <c r="AU133" s="947"/>
      <c r="AV133" s="947"/>
      <c r="AW133" s="947"/>
      <c r="AX133" s="947"/>
      <c r="AY133" s="947"/>
      <c r="AZ133" s="947"/>
      <c r="BA133" s="947"/>
      <c r="BB133" s="947"/>
      <c r="BC133" s="947"/>
    </row>
    <row r="134" spans="1:55" ht="5.25" customHeight="1" thickTop="1">
      <c r="A134" s="684"/>
      <c r="B134" s="684"/>
      <c r="C134" s="684"/>
      <c r="D134" s="939"/>
      <c r="E134" s="1042"/>
      <c r="F134" s="1039"/>
      <c r="G134" s="1039"/>
      <c r="H134" s="1039"/>
      <c r="I134" s="1039"/>
      <c r="J134" s="684"/>
      <c r="K134" s="684"/>
      <c r="L134" s="690"/>
      <c r="M134" s="684"/>
      <c r="N134" s="684"/>
      <c r="O134" s="684"/>
      <c r="P134" s="684"/>
      <c r="Q134" s="684"/>
      <c r="R134" s="684"/>
      <c r="S134" s="684"/>
      <c r="T134" s="684"/>
      <c r="U134" s="684"/>
      <c r="V134" s="684"/>
      <c r="W134" s="684"/>
      <c r="X134" s="684"/>
      <c r="Y134" s="684"/>
      <c r="Z134" s="1091"/>
      <c r="AA134" s="1091"/>
      <c r="AB134" s="1091"/>
      <c r="AC134" s="1091"/>
      <c r="AD134" s="1091"/>
      <c r="AE134" s="1091"/>
      <c r="AF134" s="1091"/>
      <c r="AG134" s="1091"/>
      <c r="AH134" s="1091"/>
      <c r="AI134" s="1091"/>
      <c r="AJ134" s="1091"/>
      <c r="AK134" s="1091"/>
      <c r="AL134" s="1091"/>
      <c r="AM134" s="1091"/>
      <c r="AN134" s="1091"/>
      <c r="AO134" s="1091"/>
      <c r="AP134" s="1091"/>
      <c r="AQ134" s="1091"/>
      <c r="AR134" s="1091"/>
      <c r="AS134" s="1091"/>
      <c r="AT134" s="947"/>
      <c r="AU134" s="947"/>
      <c r="AV134" s="947"/>
      <c r="AW134" s="947"/>
      <c r="AX134" s="947"/>
      <c r="AY134" s="947"/>
      <c r="AZ134" s="947"/>
      <c r="BA134" s="947"/>
      <c r="BB134" s="947"/>
      <c r="BC134" s="947"/>
    </row>
    <row r="135" spans="1:55" ht="14.25">
      <c r="A135" s="907"/>
      <c r="B135" s="907"/>
      <c r="C135" s="684" t="str">
        <f>Calc_time!V563</f>
        <v>Saving in time for external reusers thanks to the implementation of the FAIR principles in creating, collection and integrating</v>
      </c>
      <c r="D135" s="690" t="s">
        <v>291</v>
      </c>
      <c r="E135" s="1052">
        <f ca="1">HLOOKUP(E$129,Calc_time!$W$558:$BK$564,6,FALSE)</f>
        <v>399189.25123626488</v>
      </c>
      <c r="F135" s="1052">
        <f ca="1">HLOOKUP(F$129,Calc_time!$W$558:$BK$564,6,FALSE)</f>
        <v>422971.35248638358</v>
      </c>
      <c r="G135" s="1052">
        <f ca="1">HLOOKUP(G$129,Calc_time!$W$558:$BK$564,6,FALSE)</f>
        <v>422973.14530479856</v>
      </c>
      <c r="H135" s="1052">
        <f ca="1">HLOOKUP(H$129,Calc_time!$W$558:$BK$564,6,FALSE)</f>
        <v>422421.34915389074</v>
      </c>
      <c r="I135" s="1052">
        <f ca="1">HLOOKUP(I$129,Calc_time!$W$558:$BK$564,6,FALSE)</f>
        <v>421373.72513845749</v>
      </c>
      <c r="J135" s="1052">
        <f ca="1">HLOOKUP(J$129,Calc_time!$W$558:$BK$564,6,FALSE)</f>
        <v>419930.53068340826</v>
      </c>
      <c r="K135" s="1052">
        <f ca="1">HLOOKUP(K$129,Calc_time!$W$558:$BK$564,6,FALSE)</f>
        <v>418206.24199026078</v>
      </c>
      <c r="L135" s="1052">
        <f ca="1">HLOOKUP(L$129,Calc_time!$W$558:$BK$564,6,FALSE)</f>
        <v>416300.72120958526</v>
      </c>
      <c r="M135" s="1052">
        <f ca="1">HLOOKUP(M$129,Calc_time!$W$558:$BK$564,6,FALSE)</f>
        <v>414274.84509095497</v>
      </c>
      <c r="N135" s="1052">
        <f ca="1">HLOOKUP(N$129,Calc_time!$W$558:$BK$564,6,FALSE)</f>
        <v>412130.84160973126</v>
      </c>
      <c r="O135" s="1052">
        <f ca="1">HLOOKUP(O$129,Calc_time!$W$558:$BK$564,6,FALSE)</f>
        <v>409794.72297212074</v>
      </c>
      <c r="P135" s="1052">
        <f ca="1">HLOOKUP(P$129,Calc_time!$W$558:$BK$564,6,FALSE)</f>
        <v>407096.9157040554</v>
      </c>
      <c r="Q135" s="1052">
        <f ca="1">HLOOKUP(Q$129,Calc_time!$W$558:$BK$564,6,FALSE)</f>
        <v>403746.84645398404</v>
      </c>
      <c r="R135" s="1052">
        <f ca="1">HLOOKUP(R$129,Calc_time!$W$558:$BK$564,6,FALSE)</f>
        <v>399299.27258222201</v>
      </c>
      <c r="S135" s="1052">
        <f ca="1">HLOOKUP(S$129,Calc_time!$W$558:$BK$564,6,FALSE)</f>
        <v>393117.27514484222</v>
      </c>
      <c r="T135" s="1052">
        <f ca="1">HLOOKUP(T$129,Calc_time!$W$558:$BK$564,6,FALSE)</f>
        <v>384352.07782429288</v>
      </c>
      <c r="U135" s="1052">
        <f ca="1">HLOOKUP(U$129,Calc_time!$W$558:$BK$564,6,FALSE)</f>
        <v>371983.31348280882</v>
      </c>
      <c r="V135" s="1052">
        <f ca="1">HLOOKUP(V$129,Calc_time!$W$558:$BK$564,6,FALSE)</f>
        <v>354979.62452624249</v>
      </c>
      <c r="W135" s="1052">
        <f ca="1">HLOOKUP(W$129,Calc_time!$W$558:$BK$564,6,FALSE)</f>
        <v>332599.27497968415</v>
      </c>
      <c r="X135" s="1052">
        <f ca="1">HLOOKUP(X$129,Calc_time!$W$558:$BK$564,6,FALSE)</f>
        <v>304701.15531623614</v>
      </c>
      <c r="Y135" s="1052">
        <f ca="1">HLOOKUP(Y$129,Calc_time!$W$558:$BK$564,6,FALSE)</f>
        <v>271793.39936433273</v>
      </c>
      <c r="Z135" s="1052">
        <f ca="1">HLOOKUP(Z$129,Calc_time!$W$558:$BK$564,6,FALSE)</f>
        <v>234785.05638072296</v>
      </c>
      <c r="AA135" s="1052">
        <f ca="1">HLOOKUP(AA$129,Calc_time!$W$558:$BK$564,6,FALSE)</f>
        <v>194965.36902821073</v>
      </c>
      <c r="AB135" s="1052">
        <f ca="1">HLOOKUP(AB$129,Calc_time!$W$558:$BK$564,6,FALSE)</f>
        <v>154475.72228858725</v>
      </c>
      <c r="AC135" s="1052">
        <f ca="1">HLOOKUP(AC$129,Calc_time!$W$558:$BK$564,6,FALSE)</f>
        <v>116373.24095807532</v>
      </c>
      <c r="AD135" s="1052">
        <f ca="1">HLOOKUP(AD$129,Calc_time!$W$558:$BK$564,6,FALSE)</f>
        <v>83587.663465933903</v>
      </c>
      <c r="AE135" s="1052">
        <f ca="1">HLOOKUP(AE$129,Calc_time!$W$558:$BK$564,6,FALSE)</f>
        <v>57697.904338920045</v>
      </c>
      <c r="AF135" s="1052">
        <f ca="1">HLOOKUP(AF$129,Calc_time!$W$558:$BK$564,6,FALSE)</f>
        <v>38662.50869023877</v>
      </c>
      <c r="AG135" s="1052">
        <f ca="1">HLOOKUP(AG$129,Calc_time!$W$558:$BK$564,6,FALSE)</f>
        <v>25399.35264986354</v>
      </c>
      <c r="AH135" s="1052">
        <f ca="1">HLOOKUP(AH$129,Calc_time!$W$558:$BK$564,6,FALSE)</f>
        <v>16501.02941844429</v>
      </c>
      <c r="AI135" s="1052">
        <f ca="1">HLOOKUP(AI$129,Calc_time!$W$558:$BK$564,6,FALSE)</f>
        <v>10680.778990907162</v>
      </c>
      <c r="AJ135" s="1052">
        <f ca="1">HLOOKUP(AJ$129,Calc_time!$W$558:$BK$564,6,FALSE)</f>
        <v>6936.1321126175435</v>
      </c>
      <c r="AK135" s="1052">
        <f ca="1">HLOOKUP(AK$129,Calc_time!$W$558:$BK$564,6,FALSE)</f>
        <v>4551.8967682905513</v>
      </c>
      <c r="AL135" s="1052">
        <f ca="1">HLOOKUP(AL$129,Calc_time!$W$558:$BK$564,6,FALSE)</f>
        <v>3043.5323499164538</v>
      </c>
      <c r="AM135" s="1052">
        <f ca="1">HLOOKUP(AM$129,Calc_time!$W$558:$BK$564,6,FALSE)</f>
        <v>2092.8365197019862</v>
      </c>
      <c r="AN135" s="1052">
        <f ca="1">HLOOKUP(AN$129,Calc_time!$W$558:$BK$564,6,FALSE)</f>
        <v>1494.7753821054168</v>
      </c>
      <c r="AO135" s="1052">
        <f ca="1">HLOOKUP(AO$129,Calc_time!$W$558:$BK$564,6,FALSE)</f>
        <v>1118.7609159064859</v>
      </c>
      <c r="AP135" s="1052">
        <f ca="1">HLOOKUP(AP$129,Calc_time!$W$558:$BK$564,6,FALSE)</f>
        <v>882.20745002156752</v>
      </c>
      <c r="AQ135" s="1052">
        <f ca="1">HLOOKUP(AQ$129,Calc_time!$W$558:$BK$564,6,FALSE)</f>
        <v>733.11001904396608</v>
      </c>
      <c r="AR135" s="1052">
        <f ca="1">HLOOKUP(AR$129,Calc_time!$W$558:$BK$564,6,FALSE)</f>
        <v>638.80421366002895</v>
      </c>
      <c r="AS135" s="1052">
        <f ca="1">HLOOKUP(AS$129,Calc_time!$W$558:$BK$564,6,FALSE)</f>
        <v>578.80402372774586</v>
      </c>
      <c r="AT135" s="947"/>
      <c r="AU135" s="947"/>
      <c r="AV135" s="947"/>
      <c r="AW135" s="947"/>
      <c r="AX135" s="947"/>
      <c r="AY135" s="947"/>
      <c r="AZ135" s="947"/>
      <c r="BA135" s="947"/>
      <c r="BB135" s="947"/>
      <c r="BC135" s="947"/>
    </row>
    <row r="136" spans="1:55">
      <c r="AT136" s="947"/>
      <c r="AU136" s="947"/>
      <c r="AV136" s="947"/>
      <c r="AW136" s="947"/>
      <c r="AX136" s="947"/>
      <c r="AY136" s="947"/>
      <c r="AZ136" s="947"/>
      <c r="BA136" s="947"/>
      <c r="BB136" s="947"/>
      <c r="BC136" s="947"/>
    </row>
    <row r="137" spans="1:55">
      <c r="AT137" s="947"/>
      <c r="AU137" s="947"/>
      <c r="AV137" s="947"/>
      <c r="AW137" s="947"/>
      <c r="AX137" s="947"/>
      <c r="AY137" s="947"/>
      <c r="AZ137" s="947"/>
      <c r="BA137" s="947"/>
      <c r="BB137" s="947"/>
      <c r="BC137" s="947"/>
    </row>
  </sheetData>
  <mergeCells count="1">
    <mergeCell ref="G4:M13"/>
  </mergeCells>
  <conditionalFormatting sqref="E56:AS56 E65:AS65 E74:AS74">
    <cfRule type="containsText" dxfId="27" priority="1" operator="containsText" text="+">
      <formula>NOT(ISERROR(SEARCH(("+"),(E56))))</formula>
    </cfRule>
  </conditionalFormatting>
  <conditionalFormatting sqref="E56:AS57 E65:AS65 E74:AS74">
    <cfRule type="containsText" dxfId="26" priority="2" operator="containsText" text="-">
      <formula>NOT(ISERROR(SEARCH(("-"),(E56))))</formula>
    </cfRule>
  </conditionalFormatting>
  <conditionalFormatting sqref="G4:H13">
    <cfRule type="expression" dxfId="25" priority="3">
      <formula>E4&gt;0</formula>
    </cfRule>
  </conditionalFormatting>
  <conditionalFormatting sqref="G4:H13">
    <cfRule type="expression" dxfId="24" priority="4">
      <formula>E4&lt;0</formula>
    </cfRule>
  </conditionalFormatting>
  <conditionalFormatting sqref="E56:AS56 E65:AS65 E74:AS74">
    <cfRule type="cellIs" dxfId="23" priority="5" operator="equal">
      <formula>"*"</formula>
    </cfRule>
  </conditionalFormatting>
  <pageMargins left="0.7" right="0.7" top="0.75" bottom="0.75" header="0" footer="0"/>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Q999"/>
  <sheetViews>
    <sheetView workbookViewId="0">
      <selection activeCell="A16" sqref="A16"/>
    </sheetView>
  </sheetViews>
  <sheetFormatPr defaultColWidth="14.42578125" defaultRowHeight="15" customHeight="1"/>
  <cols>
    <col min="1" max="1" width="51.140625" customWidth="1"/>
  </cols>
  <sheetData>
    <row r="1" spans="1:43">
      <c r="A1" s="64" t="s">
        <v>181</v>
      </c>
      <c r="B1">
        <f ca="1">'3. Results'!E76</f>
        <v>2018</v>
      </c>
      <c r="C1">
        <f ca="1">B1+1</f>
        <v>2019</v>
      </c>
      <c r="D1">
        <f t="shared" ref="D1:AQ1" ca="1" si="0">IF(C1&gt;$B$1+39,"",C1+1)</f>
        <v>2020</v>
      </c>
      <c r="E1">
        <f t="shared" ca="1" si="0"/>
        <v>2021</v>
      </c>
      <c r="F1">
        <f t="shared" ca="1" si="0"/>
        <v>2022</v>
      </c>
      <c r="G1">
        <f t="shared" ca="1" si="0"/>
        <v>2023</v>
      </c>
      <c r="H1">
        <f t="shared" ca="1" si="0"/>
        <v>2024</v>
      </c>
      <c r="I1">
        <f t="shared" ca="1" si="0"/>
        <v>2025</v>
      </c>
      <c r="J1">
        <f t="shared" ca="1" si="0"/>
        <v>2026</v>
      </c>
      <c r="K1">
        <f t="shared" ca="1" si="0"/>
        <v>2027</v>
      </c>
      <c r="L1">
        <f t="shared" ca="1" si="0"/>
        <v>2028</v>
      </c>
      <c r="M1">
        <f t="shared" ca="1" si="0"/>
        <v>2029</v>
      </c>
      <c r="N1">
        <f t="shared" ca="1" si="0"/>
        <v>2030</v>
      </c>
      <c r="O1">
        <f t="shared" ca="1" si="0"/>
        <v>2031</v>
      </c>
      <c r="P1">
        <f t="shared" ca="1" si="0"/>
        <v>2032</v>
      </c>
      <c r="Q1">
        <f t="shared" ca="1" si="0"/>
        <v>2033</v>
      </c>
      <c r="R1">
        <f t="shared" ca="1" si="0"/>
        <v>2034</v>
      </c>
      <c r="S1">
        <f t="shared" ca="1" si="0"/>
        <v>2035</v>
      </c>
      <c r="T1">
        <f t="shared" ca="1" si="0"/>
        <v>2036</v>
      </c>
      <c r="U1">
        <f t="shared" ca="1" si="0"/>
        <v>2037</v>
      </c>
      <c r="V1">
        <f t="shared" ca="1" si="0"/>
        <v>2038</v>
      </c>
      <c r="W1">
        <f t="shared" ca="1" si="0"/>
        <v>2039</v>
      </c>
      <c r="X1">
        <f t="shared" ca="1" si="0"/>
        <v>2040</v>
      </c>
      <c r="Y1">
        <f t="shared" ca="1" si="0"/>
        <v>2041</v>
      </c>
      <c r="Z1">
        <f t="shared" ca="1" si="0"/>
        <v>2042</v>
      </c>
      <c r="AA1">
        <f t="shared" ca="1" si="0"/>
        <v>2043</v>
      </c>
      <c r="AB1">
        <f t="shared" ca="1" si="0"/>
        <v>2044</v>
      </c>
      <c r="AC1">
        <f t="shared" ca="1" si="0"/>
        <v>2045</v>
      </c>
      <c r="AD1">
        <f t="shared" ca="1" si="0"/>
        <v>2046</v>
      </c>
      <c r="AE1">
        <f t="shared" ca="1" si="0"/>
        <v>2047</v>
      </c>
      <c r="AF1">
        <f t="shared" ca="1" si="0"/>
        <v>2048</v>
      </c>
      <c r="AG1">
        <f t="shared" ca="1" si="0"/>
        <v>2049</v>
      </c>
      <c r="AH1">
        <f t="shared" ca="1" si="0"/>
        <v>2050</v>
      </c>
      <c r="AI1">
        <f t="shared" ca="1" si="0"/>
        <v>2051</v>
      </c>
      <c r="AJ1">
        <f t="shared" ca="1" si="0"/>
        <v>2052</v>
      </c>
      <c r="AK1">
        <f t="shared" ca="1" si="0"/>
        <v>2053</v>
      </c>
      <c r="AL1">
        <f t="shared" ca="1" si="0"/>
        <v>2054</v>
      </c>
      <c r="AM1">
        <f t="shared" ca="1" si="0"/>
        <v>2055</v>
      </c>
      <c r="AN1">
        <f t="shared" ca="1" si="0"/>
        <v>2056</v>
      </c>
      <c r="AO1">
        <f t="shared" ca="1" si="0"/>
        <v>2057</v>
      </c>
      <c r="AP1">
        <f t="shared" ca="1" si="0"/>
        <v>2058</v>
      </c>
      <c r="AQ1" t="str">
        <f t="shared" ca="1" si="0"/>
        <v/>
      </c>
    </row>
    <row r="2" spans="1:43">
      <c r="A2" s="13" t="str">
        <f>'3. Results'!C93</f>
        <v>Saving in efficient time usage</v>
      </c>
      <c r="B2" s="65">
        <f>'3. Results'!E93</f>
        <v>0</v>
      </c>
      <c r="C2" s="65">
        <f ca="1">'3. Results'!F93</f>
        <v>28640.725975355057</v>
      </c>
      <c r="D2" s="65">
        <f ca="1">'3. Results'!G93</f>
        <v>45059.868963304405</v>
      </c>
      <c r="E2" s="65">
        <f ca="1">'3. Results'!H93</f>
        <v>24864.471221217234</v>
      </c>
      <c r="F2" s="65">
        <f ca="1">'3. Results'!I93</f>
        <v>23582.771039269046</v>
      </c>
      <c r="G2" s="65">
        <f ca="1">'3. Results'!J93</f>
        <v>23515.684303977545</v>
      </c>
      <c r="H2" s="65">
        <f ca="1">'3. Results'!K93</f>
        <v>23443.703836591798</v>
      </c>
      <c r="I2" s="65">
        <f ca="1">'3. Results'!L93</f>
        <v>23373.476906102296</v>
      </c>
      <c r="J2" s="65">
        <f ca="1">'3. Results'!M93</f>
        <v>23314.791548652116</v>
      </c>
      <c r="K2" s="65">
        <f ca="1">'3. Results'!N93</f>
        <v>23278.057867938605</v>
      </c>
      <c r="L2" s="65">
        <f ca="1">'3. Results'!O93</f>
        <v>23275.406337689376</v>
      </c>
      <c r="M2" s="65">
        <f ca="1">'3. Results'!P93</f>
        <v>23322.649625500024</v>
      </c>
      <c r="N2" s="65">
        <f ca="1">'3. Results'!Q93</f>
        <v>23442.126528978319</v>
      </c>
      <c r="O2" s="65">
        <f ca="1">'3. Results'!R93</f>
        <v>23666.288301324021</v>
      </c>
      <c r="P2" s="65">
        <f ca="1">'3. Results'!S93</f>
        <v>24041.408659966768</v>
      </c>
      <c r="Q2" s="65">
        <f ca="1">'3. Results'!T93</f>
        <v>24629.589954119547</v>
      </c>
      <c r="R2" s="65">
        <f ca="1">'3. Results'!U93</f>
        <v>25504.874468749771</v>
      </c>
      <c r="S2" s="65">
        <f ca="1">'3. Results'!V93</f>
        <v>26736.207722016283</v>
      </c>
      <c r="T2" s="65">
        <f ca="1">'3. Results'!W93</f>
        <v>28349.746126571004</v>
      </c>
      <c r="U2" s="65">
        <f ca="1">'3. Results'!X93</f>
        <v>30273.853652308568</v>
      </c>
      <c r="V2" s="65">
        <f ca="1">'3. Results'!Y93</f>
        <v>32298.151350332329</v>
      </c>
      <c r="W2" s="65">
        <f ca="1">'3. Results'!AJ93</f>
        <v>34711.914151545425</v>
      </c>
      <c r="X2" s="65">
        <f ca="1">'3. Results'!AK93</f>
        <v>34662.539008660904</v>
      </c>
      <c r="Y2" s="65">
        <f ca="1">'3. Results'!AL93</f>
        <v>34631.351881380477</v>
      </c>
      <c r="Z2" s="65">
        <f ca="1">'3. Results'!AM93</f>
        <v>34611.79827733952</v>
      </c>
      <c r="AA2" s="65">
        <f ca="1">'3. Results'!AN93</f>
        <v>34599.582782050966</v>
      </c>
      <c r="AB2" s="65">
        <f ca="1">'3. Results'!AO93</f>
        <v>34591.956700941715</v>
      </c>
      <c r="AC2" s="65">
        <f ca="1">'3. Results'!AP93</f>
        <v>34587.185956707959</v>
      </c>
      <c r="AD2" s="65">
        <f ca="1">'3. Results'!AQ93</f>
        <v>34584.185899616044</v>
      </c>
      <c r="AE2" s="65">
        <f ca="1">'3. Results'!AR93</f>
        <v>34582.28157429069</v>
      </c>
      <c r="AF2" s="65">
        <f ca="1">'3. Results'!AS93</f>
        <v>34581.054254315663</v>
      </c>
      <c r="AG2" s="65">
        <f>'3. Results'!AT93</f>
        <v>0</v>
      </c>
      <c r="AH2" s="65">
        <f>'3. Results'!AU93</f>
        <v>0</v>
      </c>
      <c r="AI2" s="65">
        <f>'3. Results'!AV93</f>
        <v>0</v>
      </c>
      <c r="AJ2" s="65">
        <f>'3. Results'!AW93</f>
        <v>0</v>
      </c>
      <c r="AK2" s="65">
        <f>'3. Results'!AX93</f>
        <v>0</v>
      </c>
      <c r="AL2" s="65">
        <f>'3. Results'!AY93</f>
        <v>0</v>
      </c>
      <c r="AM2" s="65">
        <f>'3. Results'!AZ93</f>
        <v>0</v>
      </c>
      <c r="AN2" s="65">
        <f>'3. Results'!BA93</f>
        <v>0</v>
      </c>
      <c r="AO2" s="65">
        <f>'3. Results'!BB93</f>
        <v>0</v>
      </c>
      <c r="AP2" s="65">
        <f>'3. Results'!BC93</f>
        <v>0</v>
      </c>
    </row>
    <row r="3" spans="1:43">
      <c r="A3" s="13" t="str">
        <f>'3. Results'!C83</f>
        <v>Saving in storage costs</v>
      </c>
      <c r="B3" s="65">
        <f>'3. Results'!E83</f>
        <v>0</v>
      </c>
      <c r="C3" s="65">
        <f ca="1">'3. Results'!F83</f>
        <v>12480</v>
      </c>
      <c r="D3" s="65">
        <f ca="1">'3. Results'!G83</f>
        <v>18000</v>
      </c>
      <c r="E3" s="65">
        <f ca="1">'3. Results'!H83</f>
        <v>24960</v>
      </c>
      <c r="F3" s="65">
        <f ca="1">'3. Results'!I83</f>
        <v>33000.856539642133</v>
      </c>
      <c r="G3" s="65">
        <f ca="1">'3. Results'!J83</f>
        <v>38250.271810301812</v>
      </c>
      <c r="H3" s="65">
        <f ca="1">'3. Results'!K83</f>
        <v>44627.104247384552</v>
      </c>
      <c r="I3" s="65">
        <f ca="1">'3. Results'!L83</f>
        <v>52606.548121847467</v>
      </c>
      <c r="J3" s="65">
        <f ca="1">'3. Results'!M83</f>
        <v>62256.700584896913</v>
      </c>
      <c r="K3" s="65">
        <f ca="1">'3. Results'!N83</f>
        <v>73344.576775975729</v>
      </c>
      <c r="L3" s="65">
        <f ca="1">'3. Results'!O83</f>
        <v>87117.487230689847</v>
      </c>
      <c r="M3" s="65">
        <f ca="1">'3. Results'!P83</f>
        <v>103737.63486860058</v>
      </c>
      <c r="N3" s="65">
        <f ca="1">'3. Results'!Q83</f>
        <v>123782.93265638435</v>
      </c>
      <c r="O3" s="65">
        <f ca="1">'3. Results'!R83</f>
        <v>147948.99219612041</v>
      </c>
      <c r="P3" s="65">
        <f ca="1">'3. Results'!S83</f>
        <v>177073.07933276315</v>
      </c>
      <c r="Q3" s="65">
        <f ca="1">'3. Results'!T83</f>
        <v>212162.94609814297</v>
      </c>
      <c r="R3" s="65">
        <f ca="1">'3. Results'!U83</f>
        <v>254431.53158341633</v>
      </c>
      <c r="S3" s="65">
        <f ca="1">'3. Results'!V83</f>
        <v>305338.72637754621</v>
      </c>
      <c r="T3" s="65">
        <f ca="1">'3. Results'!W83</f>
        <v>366641.63838216482</v>
      </c>
      <c r="U3" s="65">
        <f ca="1">'3. Results'!X83</f>
        <v>440455.09048459376</v>
      </c>
      <c r="V3" s="65">
        <f ca="1">'3. Results'!Y83</f>
        <v>530123.54235889763</v>
      </c>
      <c r="W3" s="65">
        <f ca="1">'3. Results'!AJ83</f>
        <v>1407473.1961640723</v>
      </c>
      <c r="X3" s="65">
        <f ca="1">'3. Results'!AK83</f>
        <v>1283119.8093901402</v>
      </c>
      <c r="Y3" s="65">
        <f ca="1">'3. Results'!AL83</f>
        <v>1141800.7137580584</v>
      </c>
      <c r="Z3" s="65">
        <f ca="1">'3. Results'!AM83</f>
        <v>991359.50420256099</v>
      </c>
      <c r="AA3" s="65">
        <f ca="1">'3. Results'!AN83</f>
        <v>837753.64927514549</v>
      </c>
      <c r="AB3" s="65">
        <f ca="1">'3. Results'!AO83</f>
        <v>685521.50550539605</v>
      </c>
      <c r="AC3" s="65">
        <f ca="1">'3. Results'!AP83</f>
        <v>538145.71868768614</v>
      </c>
      <c r="AD3" s="65">
        <f ca="1">'3. Results'!AQ83</f>
        <v>398337.8726006737</v>
      </c>
      <c r="AE3" s="65">
        <f ca="1">'3. Results'!AR83</f>
        <v>268263.69828318432</v>
      </c>
      <c r="AF3" s="65">
        <f ca="1">'3. Results'!AS83</f>
        <v>149723.92831729399</v>
      </c>
      <c r="AG3" s="65">
        <f>'3. Results'!AT83</f>
        <v>0</v>
      </c>
      <c r="AH3" s="65">
        <f>'3. Results'!AU83</f>
        <v>0</v>
      </c>
      <c r="AI3" s="65">
        <f>'3. Results'!AV83</f>
        <v>0</v>
      </c>
      <c r="AJ3" s="65">
        <f>'3. Results'!AW83</f>
        <v>0</v>
      </c>
      <c r="AK3" s="65">
        <f>'3. Results'!AX83</f>
        <v>0</v>
      </c>
      <c r="AL3" s="65">
        <f>'3. Results'!AY83</f>
        <v>0</v>
      </c>
      <c r="AM3" s="65">
        <f>'3. Results'!AZ83</f>
        <v>0</v>
      </c>
      <c r="AN3" s="65">
        <f>'3. Results'!BA83</f>
        <v>0</v>
      </c>
      <c r="AO3" s="65">
        <f>'3. Results'!BB83</f>
        <v>0</v>
      </c>
      <c r="AP3" s="65">
        <f>'3. Results'!BC83</f>
        <v>0</v>
      </c>
    </row>
    <row r="4" spans="1:43">
      <c r="A4" s="13" t="str">
        <f>'3. Results'!C84</f>
        <v>Time saved thanks to less retractions of published works</v>
      </c>
      <c r="B4" s="65">
        <f>'3. Results'!E84</f>
        <v>0</v>
      </c>
      <c r="C4" s="65">
        <f ca="1">'3. Results'!F84</f>
        <v>0</v>
      </c>
      <c r="D4" s="65">
        <f ca="1">'3. Results'!G84</f>
        <v>0</v>
      </c>
      <c r="E4" s="65">
        <f ca="1">'3. Results'!H84</f>
        <v>0</v>
      </c>
      <c r="F4" s="65">
        <f ca="1">'3. Results'!I84</f>
        <v>0</v>
      </c>
      <c r="G4" s="65">
        <f ca="1">'3. Results'!J84</f>
        <v>0</v>
      </c>
      <c r="H4" s="65">
        <f ca="1">'3. Results'!K84</f>
        <v>0</v>
      </c>
      <c r="I4" s="65">
        <f ca="1">'3. Results'!L84</f>
        <v>0</v>
      </c>
      <c r="J4" s="65">
        <f ca="1">'3. Results'!M84</f>
        <v>0</v>
      </c>
      <c r="K4" s="65">
        <f ca="1">'3. Results'!N84</f>
        <v>0</v>
      </c>
      <c r="L4" s="65">
        <f ca="1">'3. Results'!O84</f>
        <v>0</v>
      </c>
      <c r="M4" s="65">
        <f ca="1">'3. Results'!P84</f>
        <v>0</v>
      </c>
      <c r="N4" s="65">
        <f ca="1">'3. Results'!Q84</f>
        <v>0</v>
      </c>
      <c r="O4" s="65">
        <f ca="1">'3. Results'!R84</f>
        <v>0</v>
      </c>
      <c r="P4" s="65">
        <f ca="1">'3. Results'!S84</f>
        <v>0</v>
      </c>
      <c r="Q4" s="65">
        <f ca="1">'3. Results'!T84</f>
        <v>0</v>
      </c>
      <c r="R4" s="65">
        <f ca="1">'3. Results'!U84</f>
        <v>0</v>
      </c>
      <c r="S4" s="65">
        <f ca="1">'3. Results'!V84</f>
        <v>0</v>
      </c>
      <c r="T4" s="65">
        <f ca="1">'3. Results'!W84</f>
        <v>0</v>
      </c>
      <c r="U4" s="65">
        <f ca="1">'3. Results'!X84</f>
        <v>0</v>
      </c>
      <c r="V4" s="65">
        <f ca="1">'3. Results'!Y84</f>
        <v>0</v>
      </c>
      <c r="W4" s="65">
        <f ca="1">'3. Results'!AJ84</f>
        <v>0</v>
      </c>
      <c r="X4" s="65">
        <f ca="1">'3. Results'!AK84</f>
        <v>0</v>
      </c>
      <c r="Y4" s="65">
        <f ca="1">'3. Results'!AL84</f>
        <v>0</v>
      </c>
      <c r="Z4" s="65">
        <f ca="1">'3. Results'!AM84</f>
        <v>0</v>
      </c>
      <c r="AA4" s="65">
        <f ca="1">'3. Results'!AN84</f>
        <v>0</v>
      </c>
      <c r="AB4" s="65">
        <f ca="1">'3. Results'!AO84</f>
        <v>0</v>
      </c>
      <c r="AC4" s="65">
        <f ca="1">'3. Results'!AP84</f>
        <v>0</v>
      </c>
      <c r="AD4" s="65">
        <f ca="1">'3. Results'!AQ84</f>
        <v>0</v>
      </c>
      <c r="AE4" s="65">
        <f ca="1">'3. Results'!AR84</f>
        <v>0</v>
      </c>
      <c r="AF4" s="65">
        <f ca="1">'3. Results'!AS84</f>
        <v>0</v>
      </c>
      <c r="AG4" s="65">
        <f>'3. Results'!AT84</f>
        <v>0</v>
      </c>
      <c r="AH4" s="65">
        <f>'3. Results'!AU84</f>
        <v>0</v>
      </c>
      <c r="AI4" s="65">
        <f>'3. Results'!AV84</f>
        <v>0</v>
      </c>
      <c r="AJ4" s="65">
        <f>'3. Results'!AW84</f>
        <v>0</v>
      </c>
      <c r="AK4" s="65">
        <f>'3. Results'!AX84</f>
        <v>0</v>
      </c>
      <c r="AL4" s="65">
        <f>'3. Results'!AY84</f>
        <v>0</v>
      </c>
      <c r="AM4" s="65">
        <f>'3. Results'!AZ84</f>
        <v>0</v>
      </c>
      <c r="AN4" s="65">
        <f>'3. Results'!BA84</f>
        <v>0</v>
      </c>
      <c r="AO4" s="65">
        <f>'3. Results'!BB84</f>
        <v>0</v>
      </c>
      <c r="AP4" s="65">
        <f>'3. Results'!BC84</f>
        <v>0</v>
      </c>
    </row>
    <row r="5" spans="1:43">
      <c r="A5" s="13" t="str">
        <f>'3. Results'!C86</f>
        <v>Licensing saving to access studies</v>
      </c>
      <c r="B5" s="65">
        <f>'3. Results'!E86</f>
        <v>0</v>
      </c>
      <c r="C5" s="65">
        <f ca="1">'3. Results'!F86</f>
        <v>429.99029345751427</v>
      </c>
      <c r="D5" s="65">
        <f ca="1">'3. Results'!G86</f>
        <v>875.05085972231655</v>
      </c>
      <c r="E5" s="65">
        <f ca="1">'3. Results'!H86</f>
        <v>1335.1882795718436</v>
      </c>
      <c r="F5" s="65">
        <f ca="1">'3. Results'!I86</f>
        <v>1807.6079673913346</v>
      </c>
      <c r="G5" s="65">
        <f ca="1">'3. Results'!J86</f>
        <v>2295.8414516989387</v>
      </c>
      <c r="H5" s="65">
        <f ca="1">'3. Results'!K86</f>
        <v>2798.3372309518122</v>
      </c>
      <c r="I5" s="65">
        <f ca="1">'3. Results'!L86</f>
        <v>3314.8592364558467</v>
      </c>
      <c r="J5" s="65">
        <f ca="1">'3. Results'!M86</f>
        <v>3845.1102329185187</v>
      </c>
      <c r="K5" s="65">
        <f ca="1">'3. Results'!N86</f>
        <v>4388.7302479297277</v>
      </c>
      <c r="L5" s="65">
        <f ca="1">'3. Results'!O86</f>
        <v>4945.2954917435682</v>
      </c>
      <c r="M5" s="65">
        <f ca="1">'3. Results'!P86</f>
        <v>5514.3178180380191</v>
      </c>
      <c r="N5" s="65">
        <f ca="1">'3. Results'!Q86</f>
        <v>6095.2447707953997</v>
      </c>
      <c r="O5" s="65">
        <f ca="1">'3. Results'!R86</f>
        <v>6687.4602553614259</v>
      </c>
      <c r="P5" s="65">
        <f ca="1">'3. Results'!S86</f>
        <v>7290.2858631601875</v>
      </c>
      <c r="Q5" s="65">
        <f ca="1">'3. Results'!T86</f>
        <v>7902.9828695813458</v>
      </c>
      <c r="R5" s="65">
        <f ca="1">'3. Results'!U86</f>
        <v>8524.7549133907069</v>
      </c>
      <c r="S5" s="65">
        <f ca="1">'3. Results'!V86</f>
        <v>9154.7513538827916</v>
      </c>
      <c r="T5" s="65">
        <f ca="1">'3. Results'!W86</f>
        <v>9792.0712891848016</v>
      </c>
      <c r="U5" s="65">
        <f ca="1">'3. Results'!X86</f>
        <v>10435.768205975834</v>
      </c>
      <c r="V5" s="65">
        <f ca="1">'3. Results'!Y86</f>
        <v>11084.855217777211</v>
      </c>
      <c r="W5" s="65">
        <f ca="1">'3. Results'!AJ86</f>
        <v>18277.008442441671</v>
      </c>
      <c r="X5" s="65">
        <f ca="1">'3. Results'!AK86</f>
        <v>18907.945273330264</v>
      </c>
      <c r="Y5" s="65">
        <f ca="1">'3. Results'!AL86</f>
        <v>19530.764749999893</v>
      </c>
      <c r="Z5" s="65">
        <f ca="1">'3. Results'!AM86</f>
        <v>20144.609887152194</v>
      </c>
      <c r="AA5" s="65">
        <f ca="1">'3. Results'!AN86</f>
        <v>20748.677524789655</v>
      </c>
      <c r="AB5" s="65">
        <f ca="1">'3. Results'!AO86</f>
        <v>21342.221766979288</v>
      </c>
      <c r="AC5" s="65">
        <f ca="1">'3. Results'!AP86</f>
        <v>21924.556744198751</v>
      </c>
      <c r="AD5" s="65">
        <f ca="1">'3. Results'!AQ86</f>
        <v>22495.058693954375</v>
      </c>
      <c r="AE5" s="65">
        <f ca="1">'3. Results'!AR86</f>
        <v>23053.167366592144</v>
      </c>
      <c r="AF5" s="65">
        <f ca="1">'3. Results'!AS86</f>
        <v>23598.38677451924</v>
      </c>
      <c r="AG5" s="65">
        <f>'3. Results'!AT86</f>
        <v>0</v>
      </c>
      <c r="AH5" s="65">
        <f>'3. Results'!AU86</f>
        <v>0</v>
      </c>
      <c r="AI5" s="65">
        <f>'3. Results'!AV86</f>
        <v>0</v>
      </c>
      <c r="AJ5" s="65">
        <f>'3. Results'!AW86</f>
        <v>0</v>
      </c>
      <c r="AK5" s="65">
        <f>'3. Results'!AX86</f>
        <v>0</v>
      </c>
      <c r="AL5" s="65">
        <f>'3. Results'!AY86</f>
        <v>0</v>
      </c>
      <c r="AM5" s="65">
        <f>'3. Results'!AZ86</f>
        <v>0</v>
      </c>
      <c r="AN5" s="65">
        <f>'3. Results'!BA86</f>
        <v>0</v>
      </c>
      <c r="AO5" s="65">
        <f>'3. Results'!BB86</f>
        <v>0</v>
      </c>
      <c r="AP5" s="65">
        <f>'3. Results'!BC86</f>
        <v>0</v>
      </c>
    </row>
    <row r="6" spans="1:43">
      <c r="A6" s="84" t="str">
        <f>'3. Results'!B80</f>
        <v>Cost Savings &amp; Avoidance</v>
      </c>
      <c r="B6" s="85">
        <f>SUM(B2:B5)</f>
        <v>0</v>
      </c>
      <c r="C6" s="85">
        <f ca="1">SUM(C2:C5)</f>
        <v>41550.716268812575</v>
      </c>
      <c r="D6" s="85">
        <f ca="1">SUM(D2:D5)</f>
        <v>63934.919823026721</v>
      </c>
      <c r="E6" s="85">
        <f ca="1">SUM(E2:E5)</f>
        <v>51159.659500789072</v>
      </c>
      <c r="F6" s="85">
        <f ca="1">SUM(F2:F5)</f>
        <v>58391.235546302516</v>
      </c>
      <c r="G6" s="85">
        <f ca="1">SUM(G2:G5)</f>
        <v>64061.79756597829</v>
      </c>
      <c r="H6" s="85">
        <f ca="1">SUM(H2:H5)</f>
        <v>70869.145314928173</v>
      </c>
      <c r="I6" s="85">
        <f ca="1">SUM(I2:I5)</f>
        <v>79294.884264405613</v>
      </c>
      <c r="J6" s="85">
        <f ca="1">SUM(J2:J5)</f>
        <v>89416.602366467559</v>
      </c>
      <c r="K6" s="85">
        <f ca="1">SUM(K2:K5)</f>
        <v>101011.36489184406</v>
      </c>
      <c r="L6" s="85">
        <f ca="1">SUM(L2:L5)</f>
        <v>115338.18906012279</v>
      </c>
      <c r="M6" s="85">
        <f ca="1">SUM(M2:M5)</f>
        <v>132574.60231213862</v>
      </c>
      <c r="N6" s="85">
        <f ca="1">SUM(N2:N5)</f>
        <v>153320.30395615805</v>
      </c>
      <c r="O6" s="85">
        <f ca="1">SUM(O2:O5)</f>
        <v>178302.74075280587</v>
      </c>
      <c r="P6" s="85">
        <f ca="1">SUM(P2:P5)</f>
        <v>208404.77385589012</v>
      </c>
      <c r="Q6" s="85">
        <f ca="1">SUM(Q2:Q5)</f>
        <v>244695.51892184388</v>
      </c>
      <c r="R6" s="85">
        <f ca="1">SUM(R2:R5)</f>
        <v>288461.16096555686</v>
      </c>
      <c r="S6" s="85">
        <f ca="1">SUM(S2:S5)</f>
        <v>341229.68545344524</v>
      </c>
      <c r="T6" s="85">
        <f ca="1">SUM(T2:T5)</f>
        <v>404783.45579792064</v>
      </c>
      <c r="U6" s="85">
        <f ca="1">SUM(U2:U5)</f>
        <v>481164.71234287816</v>
      </c>
      <c r="V6" s="85">
        <f ca="1">SUM(V2:V5)</f>
        <v>573506.54892700713</v>
      </c>
      <c r="W6" s="85">
        <f ca="1">SUM(W2:W5)</f>
        <v>1460462.1187580593</v>
      </c>
      <c r="X6" s="85">
        <f ca="1">SUM(X2:X5)</f>
        <v>1336690.2936721314</v>
      </c>
      <c r="Y6" s="85">
        <f ca="1">SUM(Y2:Y5)</f>
        <v>1195962.8303894387</v>
      </c>
      <c r="Z6" s="85">
        <f ca="1">SUM(Z2:Z5)</f>
        <v>1046115.9123670527</v>
      </c>
      <c r="AA6" s="85">
        <f ca="1">SUM(AA2:AA5)</f>
        <v>893101.90958198614</v>
      </c>
      <c r="AB6" s="85">
        <f ca="1">SUM(AB2:AB5)</f>
        <v>741455.68397331703</v>
      </c>
      <c r="AC6" s="85">
        <f ca="1">SUM(AC2:AC5)</f>
        <v>594657.46138859284</v>
      </c>
      <c r="AD6" s="85">
        <f ca="1">SUM(AD2:AD5)</f>
        <v>455417.11719424411</v>
      </c>
      <c r="AE6" s="85">
        <f ca="1">SUM(AE2:AE5)</f>
        <v>325899.14722406719</v>
      </c>
      <c r="AF6" s="85">
        <f ca="1">SUM(AF2:AF5)</f>
        <v>207903.36934612889</v>
      </c>
      <c r="AG6" s="85">
        <f>SUM(AG2:AG5)</f>
        <v>0</v>
      </c>
      <c r="AH6" s="85">
        <f>SUM(AH2:AH5)</f>
        <v>0</v>
      </c>
      <c r="AI6" s="85">
        <f>SUM(AI2:AI5)</f>
        <v>0</v>
      </c>
      <c r="AJ6" s="85">
        <f>SUM(AJ2:AJ5)</f>
        <v>0</v>
      </c>
      <c r="AK6" s="85">
        <f>SUM(AK2:AK5)</f>
        <v>0</v>
      </c>
      <c r="AL6" s="85">
        <f>SUM(AL2:AL5)</f>
        <v>0</v>
      </c>
      <c r="AM6" s="85">
        <f>SUM(AM2:AM5)</f>
        <v>0</v>
      </c>
      <c r="AN6" s="85">
        <f>SUM(AN2:AN5)</f>
        <v>0</v>
      </c>
      <c r="AO6" s="85">
        <f>SUM(AO2:AO5)</f>
        <v>0</v>
      </c>
      <c r="AP6" s="85">
        <f>SUM(AP2:AP5)</f>
        <v>0</v>
      </c>
    </row>
    <row r="7" spans="1:43">
      <c r="A7" s="86" t="str">
        <f>'3. Results'!B78</f>
        <v>Direct benefits of using FAIR</v>
      </c>
      <c r="B7" s="87">
        <f ca="1">'3. Results'!E78</f>
        <v>0</v>
      </c>
      <c r="C7" s="87">
        <f ca="1">'3. Results'!F78</f>
        <v>35408.920741678689</v>
      </c>
      <c r="D7" s="87">
        <f ca="1">'3. Results'!G78</f>
        <v>41464.449620549465</v>
      </c>
      <c r="E7" s="87">
        <f ca="1">'3. Results'!H78</f>
        <v>48920.850694513836</v>
      </c>
      <c r="F7" s="87">
        <f ca="1">'3. Results'!I78</f>
        <v>57380.156824477555</v>
      </c>
      <c r="G7" s="87">
        <f ca="1">'3. Results'!J78</f>
        <v>63030.959411936186</v>
      </c>
      <c r="H7" s="87">
        <f ca="1">'3. Results'!K78</f>
        <v>69775.865274034906</v>
      </c>
      <c r="I7" s="87">
        <f ca="1">'3. Results'!L78</f>
        <v>78100.443317129175</v>
      </c>
      <c r="J7" s="87">
        <f ca="1">'3. Results'!M78</f>
        <v>88083.670403592085</v>
      </c>
      <c r="K7" s="87">
        <f ca="1">'3. Results'!N78</f>
        <v>99501.223360676493</v>
      </c>
      <c r="L7" s="87">
        <f ca="1">'3. Results'!O78</f>
        <v>113604.41823965954</v>
      </c>
      <c r="M7" s="87">
        <f ca="1">'3. Results'!P78</f>
        <v>130552.82351964631</v>
      </c>
      <c r="N7" s="87">
        <f ca="1">'3. Results'!Q78</f>
        <v>150913.41045127535</v>
      </c>
      <c r="O7" s="87">
        <f ca="1">'3. Results'!R78</f>
        <v>175360.94234571161</v>
      </c>
      <c r="P7" s="87">
        <f ca="1">'3. Results'!S78</f>
        <v>204700.43431510753</v>
      </c>
      <c r="Q7" s="87">
        <f ca="1">'3. Results'!T78</f>
        <v>239895.42955812864</v>
      </c>
      <c r="R7" s="87">
        <f ca="1">'3. Results'!U78</f>
        <v>282105.18518370023</v>
      </c>
      <c r="S7" s="87">
        <f ca="1">'3. Results'!V78</f>
        <v>332734.95816069347</v>
      </c>
      <c r="T7" s="87">
        <f ca="1">'3. Results'!W78</f>
        <v>393501.82266579295</v>
      </c>
      <c r="U7" s="87">
        <f ca="1">'3. Results'!X78</f>
        <v>466511.16074120696</v>
      </c>
      <c r="V7" s="87">
        <f ca="1">'3. Results'!Y78</f>
        <v>555131.14467821911</v>
      </c>
      <c r="W7" s="87">
        <f ca="1">'3. Results'!AJ78</f>
        <v>1426108.4595423816</v>
      </c>
      <c r="X7" s="87">
        <f ca="1">'3. Results'!AK78</f>
        <v>1302263.4541991418</v>
      </c>
      <c r="Y7" s="87">
        <f ca="1">'3. Results'!AL78</f>
        <v>1161489.4861827379</v>
      </c>
      <c r="Z7" s="87">
        <f ca="1">'3. Results'!AM78</f>
        <v>1011613.0290385904</v>
      </c>
      <c r="AA7" s="87">
        <f ca="1">'3. Results'!AN78</f>
        <v>858580.26088158076</v>
      </c>
      <c r="AB7" s="87">
        <f ca="1">'3. Results'!AO78</f>
        <v>706922.10692507541</v>
      </c>
      <c r="AC7" s="87">
        <f ca="1">'3. Results'!AP78</f>
        <v>560116.29435738898</v>
      </c>
      <c r="AD7" s="87">
        <f ca="1">'3. Results'!AQ78</f>
        <v>420871.11401886895</v>
      </c>
      <c r="AE7" s="87">
        <f ca="1">'3. Results'!AR78</f>
        <v>291350.05721708218</v>
      </c>
      <c r="AF7" s="87">
        <f ca="1">'3. Results'!AS78</f>
        <v>173352.30491461142</v>
      </c>
      <c r="AG7" s="87">
        <f>'3. Results'!AT78</f>
        <v>0</v>
      </c>
      <c r="AH7" s="87">
        <f>'3. Results'!AU78</f>
        <v>0</v>
      </c>
      <c r="AI7" s="87">
        <f>'3. Results'!AV78</f>
        <v>0</v>
      </c>
      <c r="AJ7" s="87">
        <f>'3. Results'!AW78</f>
        <v>0</v>
      </c>
      <c r="AK7" s="87">
        <f>'3. Results'!AX78</f>
        <v>0</v>
      </c>
      <c r="AL7" s="87">
        <f>'3. Results'!AY78</f>
        <v>0</v>
      </c>
      <c r="AM7" s="87">
        <f>'3. Results'!AZ78</f>
        <v>0</v>
      </c>
      <c r="AN7" s="87">
        <f>'3. Results'!BA78</f>
        <v>0</v>
      </c>
      <c r="AO7" s="87">
        <f>'3. Results'!BB78</f>
        <v>0</v>
      </c>
      <c r="AP7" s="87">
        <f>'3. Results'!BC78</f>
        <v>0</v>
      </c>
    </row>
    <row r="8" spans="1:43">
      <c r="A8" s="13" t="str">
        <f>'3. Results'!C107</f>
        <v>Total operational cost in EUR of time spent to become FAIR</v>
      </c>
      <c r="B8" s="65">
        <f>'3. Results'!E107</f>
        <v>0</v>
      </c>
      <c r="C8" s="65">
        <f ca="1">'3. Results'!F107</f>
        <v>-11049.783716466141</v>
      </c>
      <c r="D8" s="65">
        <f ca="1">'3. Results'!G107</f>
        <v>-10853.514632245749</v>
      </c>
      <c r="E8" s="65">
        <f ca="1">'3. Results'!H107</f>
        <v>-7641.3902010870597</v>
      </c>
      <c r="F8" s="65">
        <f ca="1">'3. Results'!I107</f>
        <v>-7627.1230355420921</v>
      </c>
      <c r="G8" s="65">
        <f ca="1">'3. Results'!J107</f>
        <v>-7613.6508354422185</v>
      </c>
      <c r="H8" s="65">
        <f ca="1">'3. Results'!K107</f>
        <v>-7600.040527740437</v>
      </c>
      <c r="I8" s="65">
        <f ca="1">'3. Results'!L107</f>
        <v>-7586.298274306062</v>
      </c>
      <c r="J8" s="65">
        <f ca="1">'3. Results'!M107</f>
        <v>-7572.4305169747022</v>
      </c>
      <c r="K8" s="65">
        <f ca="1">'3. Results'!N107</f>
        <v>-7558.4439678019771</v>
      </c>
      <c r="L8" s="65">
        <f ca="1">'3. Results'!O107</f>
        <v>-7544.345598134616</v>
      </c>
      <c r="M8" s="65">
        <f ca="1">'3. Results'!P107</f>
        <v>-7530.1426265240298</v>
      </c>
      <c r="N8" s="65">
        <f ca="1">'3. Results'!Q107</f>
        <v>-7515.8425055159769</v>
      </c>
      <c r="O8" s="65">
        <f ca="1">'3. Results'!R107</f>
        <v>-7501.452907358318</v>
      </c>
      <c r="P8" s="65">
        <f ca="1">'3. Results'!S107</f>
        <v>-7486.9817086772382</v>
      </c>
      <c r="Q8" s="65">
        <f ca="1">'3. Results'!T107</f>
        <v>-7472.436974180393</v>
      </c>
      <c r="R8" s="65">
        <f ca="1">'3. Results'!U107</f>
        <v>-7457.826939453209</v>
      </c>
      <c r="S8" s="65">
        <f ca="1">'3. Results'!V107</f>
        <v>-7443.1599929219738</v>
      </c>
      <c r="T8" s="65">
        <f ca="1">'3. Results'!W107</f>
        <v>-7428.4446570642031</v>
      </c>
      <c r="U8" s="65">
        <f ca="1">'3. Results'!X107</f>
        <v>-7413.6895689530847</v>
      </c>
      <c r="V8" s="65">
        <f ca="1">'3. Results'!Y107</f>
        <v>-7398.9034602284173</v>
      </c>
      <c r="W8" s="65">
        <f ca="1">'3. Results'!AJ107</f>
        <v>-7236.7380450622386</v>
      </c>
      <c r="X8" s="65">
        <f ca="1">'3. Results'!AK107</f>
        <v>-7222.2665970630933</v>
      </c>
      <c r="Y8" s="65">
        <f ca="1">'3. Results'!AL107</f>
        <v>-7207.8767239638655</v>
      </c>
      <c r="Z8" s="65">
        <f ca="1">'3. Results'!AM107</f>
        <v>-7193.5763030217458</v>
      </c>
      <c r="AA8" s="65">
        <f ca="1">'3. Results'!AN107</f>
        <v>-7179.3730071664322</v>
      </c>
      <c r="AB8" s="65">
        <f ca="1">'3. Results'!AO107</f>
        <v>-7165.2742896731525</v>
      </c>
      <c r="AC8" s="65">
        <f ca="1">'3. Results'!AP107</f>
        <v>-7151.2873698670028</v>
      </c>
      <c r="AD8" s="65">
        <f ca="1">'3. Results'!AQ107</f>
        <v>-7137.4192199090667</v>
      </c>
      <c r="AE8" s="65">
        <f ca="1">'3. Results'!AR107</f>
        <v>-7123.676552706318</v>
      </c>
      <c r="AF8" s="65">
        <f ca="1">'3. Results'!AS107</f>
        <v>-7110.0658109789656</v>
      </c>
      <c r="AG8" s="65">
        <f>'3. Results'!AT107</f>
        <v>0</v>
      </c>
      <c r="AH8" s="65">
        <f>'3. Results'!AU107</f>
        <v>0</v>
      </c>
      <c r="AI8" s="65">
        <f>'3. Results'!AV107</f>
        <v>0</v>
      </c>
      <c r="AJ8" s="65">
        <f>'3. Results'!AW107</f>
        <v>0</v>
      </c>
      <c r="AK8" s="65">
        <f>'3. Results'!AX107</f>
        <v>0</v>
      </c>
      <c r="AL8" s="65">
        <f>'3. Results'!AY107</f>
        <v>0</v>
      </c>
      <c r="AM8" s="65">
        <f>'3. Results'!AZ107</f>
        <v>0</v>
      </c>
      <c r="AN8" s="65">
        <f>'3. Results'!BA107</f>
        <v>0</v>
      </c>
      <c r="AO8" s="65">
        <f>'3. Results'!BB107</f>
        <v>0</v>
      </c>
      <c r="AP8" s="65">
        <f>'3. Results'!BC107</f>
        <v>0</v>
      </c>
    </row>
    <row r="9" spans="1:43">
      <c r="A9" s="13" t="str">
        <f>'3. Results'!C108</f>
        <v>Software maintenance costs</v>
      </c>
      <c r="B9" s="65">
        <f ca="1">'3. Results'!E108</f>
        <v>-0.49999999999979222</v>
      </c>
      <c r="C9" s="65">
        <f ca="1">'3. Results'!F108</f>
        <v>-221.79215509421206</v>
      </c>
      <c r="D9" s="65">
        <f ca="1">'3. Results'!G108</f>
        <v>-4778.2078449057872</v>
      </c>
      <c r="E9" s="65">
        <f ca="1">'3. Results'!H108</f>
        <v>-4999.5000000000009</v>
      </c>
      <c r="F9" s="65">
        <f ca="1">'3. Results'!I108</f>
        <v>-5000</v>
      </c>
      <c r="G9" s="65">
        <f ca="1">'3. Results'!J108</f>
        <v>-5000</v>
      </c>
      <c r="H9" s="65">
        <f ca="1">'3. Results'!K108</f>
        <v>-5000</v>
      </c>
      <c r="I9" s="65">
        <f ca="1">'3. Results'!L108</f>
        <v>-5000</v>
      </c>
      <c r="J9" s="65">
        <f ca="1">'3. Results'!M108</f>
        <v>-5000</v>
      </c>
      <c r="K9" s="65">
        <f ca="1">'3. Results'!N108</f>
        <v>-5000</v>
      </c>
      <c r="L9" s="65">
        <f ca="1">'3. Results'!O108</f>
        <v>-5000</v>
      </c>
      <c r="M9" s="65">
        <f ca="1">'3. Results'!P108</f>
        <v>-5000</v>
      </c>
      <c r="N9" s="65">
        <f ca="1">'3. Results'!Q108</f>
        <v>-5000</v>
      </c>
      <c r="O9" s="65">
        <f ca="1">'3. Results'!R108</f>
        <v>-5000</v>
      </c>
      <c r="P9" s="65">
        <f ca="1">'3. Results'!S108</f>
        <v>-5000</v>
      </c>
      <c r="Q9" s="65">
        <f ca="1">'3. Results'!T108</f>
        <v>-5000</v>
      </c>
      <c r="R9" s="65">
        <f ca="1">'3. Results'!U108</f>
        <v>-5000</v>
      </c>
      <c r="S9" s="65">
        <f ca="1">'3. Results'!V108</f>
        <v>-5000</v>
      </c>
      <c r="T9" s="65">
        <f ca="1">'3. Results'!W108</f>
        <v>-5000</v>
      </c>
      <c r="U9" s="65">
        <f ca="1">'3. Results'!X108</f>
        <v>-5000</v>
      </c>
      <c r="V9" s="65">
        <f ca="1">'3. Results'!Y108</f>
        <v>-5000</v>
      </c>
      <c r="W9" s="65">
        <f ca="1">'3. Results'!AJ108</f>
        <v>-5000</v>
      </c>
      <c r="X9" s="65">
        <f ca="1">'3. Results'!AK108</f>
        <v>-5000</v>
      </c>
      <c r="Y9" s="65">
        <f ca="1">'3. Results'!AL108</f>
        <v>-5000</v>
      </c>
      <c r="Z9" s="65">
        <f ca="1">'3. Results'!AM108</f>
        <v>-5000</v>
      </c>
      <c r="AA9" s="65">
        <f ca="1">'3. Results'!AN108</f>
        <v>-5000</v>
      </c>
      <c r="AB9" s="65">
        <f ca="1">'3. Results'!AO108</f>
        <v>-5000</v>
      </c>
      <c r="AC9" s="65">
        <f ca="1">'3. Results'!AP108</f>
        <v>-5000</v>
      </c>
      <c r="AD9" s="65">
        <f ca="1">'3. Results'!AQ108</f>
        <v>-5000</v>
      </c>
      <c r="AE9" s="65">
        <f ca="1">'3. Results'!AR108</f>
        <v>-5000</v>
      </c>
      <c r="AF9" s="65">
        <f ca="1">'3. Results'!AS108</f>
        <v>-5000</v>
      </c>
      <c r="AG9" s="65">
        <f>'3. Results'!AT108</f>
        <v>0</v>
      </c>
      <c r="AH9" s="65">
        <f>'3. Results'!AU108</f>
        <v>0</v>
      </c>
      <c r="AI9" s="65">
        <f>'3. Results'!AV108</f>
        <v>0</v>
      </c>
      <c r="AJ9" s="65">
        <f>'3. Results'!AW108</f>
        <v>0</v>
      </c>
      <c r="AK9" s="65">
        <f>'3. Results'!AX108</f>
        <v>0</v>
      </c>
      <c r="AL9" s="65">
        <f>'3. Results'!AY108</f>
        <v>0</v>
      </c>
      <c r="AM9" s="65">
        <f>'3. Results'!AZ108</f>
        <v>0</v>
      </c>
      <c r="AN9" s="65">
        <f>'3. Results'!BA108</f>
        <v>0</v>
      </c>
      <c r="AO9" s="65">
        <f>'3. Results'!BB108</f>
        <v>0</v>
      </c>
      <c r="AP9" s="65">
        <f>'3. Results'!BC108</f>
        <v>0</v>
      </c>
    </row>
    <row r="10" spans="1:43">
      <c r="A10" s="13" t="str">
        <f>'3. Results'!C109</f>
        <v>Data stewardship costs</v>
      </c>
      <c r="B10" s="65">
        <f ca="1">'3. Results'!E109</f>
        <v>-108150</v>
      </c>
      <c r="C10" s="65">
        <f ca="1">'3. Results'!F109</f>
        <v>-105000</v>
      </c>
      <c r="D10" s="65">
        <f ca="1">'3. Results'!G109</f>
        <v>-105000</v>
      </c>
      <c r="E10" s="65">
        <f ca="1">'3. Results'!H109</f>
        <v>-105000</v>
      </c>
      <c r="F10" s="65">
        <f ca="1">'3. Results'!I109</f>
        <v>-105000</v>
      </c>
      <c r="G10" s="65">
        <f ca="1">'3. Results'!J109</f>
        <v>-105000</v>
      </c>
      <c r="H10" s="65">
        <f ca="1">'3. Results'!K109</f>
        <v>-105000</v>
      </c>
      <c r="I10" s="65">
        <f ca="1">'3. Results'!L109</f>
        <v>-105000</v>
      </c>
      <c r="J10" s="65">
        <f ca="1">'3. Results'!M109</f>
        <v>-105000</v>
      </c>
      <c r="K10" s="65">
        <f ca="1">'3. Results'!N109</f>
        <v>-105000</v>
      </c>
      <c r="L10" s="65">
        <f ca="1">'3. Results'!O109</f>
        <v>-105000</v>
      </c>
      <c r="M10" s="65">
        <f ca="1">'3. Results'!P109</f>
        <v>-105000</v>
      </c>
      <c r="N10" s="65">
        <f ca="1">'3. Results'!Q109</f>
        <v>-105000</v>
      </c>
      <c r="O10" s="65">
        <f ca="1">'3. Results'!R109</f>
        <v>-105000</v>
      </c>
      <c r="P10" s="65">
        <f ca="1">'3. Results'!S109</f>
        <v>-105000</v>
      </c>
      <c r="Q10" s="65">
        <f ca="1">'3. Results'!T109</f>
        <v>-105000</v>
      </c>
      <c r="R10" s="65">
        <f ca="1">'3. Results'!U109</f>
        <v>-105000</v>
      </c>
      <c r="S10" s="65">
        <f ca="1">'3. Results'!V109</f>
        <v>-105000</v>
      </c>
      <c r="T10" s="65">
        <f ca="1">'3. Results'!W109</f>
        <v>-105000</v>
      </c>
      <c r="U10" s="65">
        <f ca="1">'3. Results'!X109</f>
        <v>-105000</v>
      </c>
      <c r="V10" s="65">
        <f ca="1">'3. Results'!Y109</f>
        <v>-105000</v>
      </c>
      <c r="W10" s="65">
        <f ca="1">'3. Results'!AJ109</f>
        <v>-105000</v>
      </c>
      <c r="X10" s="65">
        <f ca="1">'3. Results'!AK109</f>
        <v>-105000</v>
      </c>
      <c r="Y10" s="65">
        <f ca="1">'3. Results'!AL109</f>
        <v>-105000</v>
      </c>
      <c r="Z10" s="65">
        <f ca="1">'3. Results'!AM109</f>
        <v>-105000</v>
      </c>
      <c r="AA10" s="65">
        <f ca="1">'3. Results'!AN109</f>
        <v>-105000</v>
      </c>
      <c r="AB10" s="65">
        <f ca="1">'3. Results'!AO109</f>
        <v>-105000</v>
      </c>
      <c r="AC10" s="65">
        <f ca="1">'3. Results'!AP109</f>
        <v>-105000</v>
      </c>
      <c r="AD10" s="65">
        <f ca="1">'3. Results'!AQ109</f>
        <v>-105000</v>
      </c>
      <c r="AE10" s="65">
        <f ca="1">'3. Results'!AR109</f>
        <v>-105000</v>
      </c>
      <c r="AF10" s="65">
        <f ca="1">'3. Results'!AS109</f>
        <v>-105000</v>
      </c>
      <c r="AG10" s="65">
        <f>'3. Results'!AT109</f>
        <v>0</v>
      </c>
      <c r="AH10" s="65">
        <f>'3. Results'!AU109</f>
        <v>0</v>
      </c>
      <c r="AI10" s="65">
        <f>'3. Results'!AV109</f>
        <v>0</v>
      </c>
      <c r="AJ10" s="65">
        <f>'3. Results'!AW109</f>
        <v>0</v>
      </c>
      <c r="AK10" s="65">
        <f>'3. Results'!AX109</f>
        <v>0</v>
      </c>
      <c r="AL10" s="65">
        <f>'3. Results'!AY109</f>
        <v>0</v>
      </c>
      <c r="AM10" s="65">
        <f>'3. Results'!AZ109</f>
        <v>0</v>
      </c>
      <c r="AN10" s="65">
        <f>'3. Results'!BA109</f>
        <v>0</v>
      </c>
      <c r="AO10" s="65">
        <f>'3. Results'!BB109</f>
        <v>0</v>
      </c>
      <c r="AP10" s="65">
        <f>'3. Results'!BC109</f>
        <v>0</v>
      </c>
    </row>
    <row r="11" spans="1:43">
      <c r="A11" s="65" t="str">
        <f>'3. Results'!C115</f>
        <v>Operational cost (Data Policies)</v>
      </c>
      <c r="B11" s="65">
        <f ca="1">'3. Results'!E115</f>
        <v>-21911.058474175385</v>
      </c>
      <c r="C11" s="65">
        <f>'3. Results'!F115</f>
        <v>0</v>
      </c>
      <c r="D11" s="65">
        <f>'3. Results'!G115</f>
        <v>0</v>
      </c>
      <c r="E11" s="65">
        <f>'3. Results'!H115</f>
        <v>0</v>
      </c>
      <c r="F11" s="65">
        <f>'3. Results'!I115</f>
        <v>0</v>
      </c>
      <c r="G11" s="65">
        <f>'3. Results'!J115</f>
        <v>0</v>
      </c>
      <c r="H11" s="65">
        <f>'3. Results'!K115</f>
        <v>0</v>
      </c>
      <c r="I11" s="65">
        <f>'3. Results'!L115</f>
        <v>0</v>
      </c>
      <c r="J11" s="65">
        <f>'3. Results'!M115</f>
        <v>0</v>
      </c>
      <c r="K11" s="65">
        <f>'3. Results'!N115</f>
        <v>0</v>
      </c>
      <c r="L11" s="65">
        <f>'3. Results'!O115</f>
        <v>0</v>
      </c>
      <c r="M11" s="65">
        <f>'3. Results'!P115</f>
        <v>0</v>
      </c>
      <c r="N11" s="65">
        <f>'3. Results'!Q115</f>
        <v>0</v>
      </c>
      <c r="O11" s="65">
        <f>'3. Results'!R115</f>
        <v>0</v>
      </c>
      <c r="P11" s="65">
        <f>'3. Results'!S115</f>
        <v>0</v>
      </c>
      <c r="Q11" s="65">
        <f>'3. Results'!T115</f>
        <v>0</v>
      </c>
      <c r="R11" s="65">
        <f>'3. Results'!U115</f>
        <v>0</v>
      </c>
      <c r="S11" s="65">
        <f>'3. Results'!V115</f>
        <v>0</v>
      </c>
      <c r="T11" s="65">
        <f>'3. Results'!W115</f>
        <v>0</v>
      </c>
      <c r="U11" s="65">
        <f>'3. Results'!X115</f>
        <v>0</v>
      </c>
      <c r="V11" s="65">
        <f>'3. Results'!Y115</f>
        <v>0</v>
      </c>
      <c r="W11" s="65">
        <f>'3. Results'!AJ115</f>
        <v>0</v>
      </c>
      <c r="X11" s="65">
        <f>'3. Results'!AK115</f>
        <v>0</v>
      </c>
      <c r="Y11" s="65">
        <f>'3. Results'!AL115</f>
        <v>0</v>
      </c>
      <c r="Z11" s="65">
        <f>'3. Results'!AM115</f>
        <v>0</v>
      </c>
      <c r="AA11" s="65">
        <f>'3. Results'!AN115</f>
        <v>0</v>
      </c>
      <c r="AB11" s="65">
        <f>'3. Results'!AO115</f>
        <v>0</v>
      </c>
      <c r="AC11" s="65">
        <f>'3. Results'!AP115</f>
        <v>0</v>
      </c>
      <c r="AD11" s="65">
        <f>'3. Results'!AQ115</f>
        <v>0</v>
      </c>
      <c r="AE11" s="65">
        <f>'3. Results'!AR115</f>
        <v>0</v>
      </c>
      <c r="AF11" s="65">
        <f>'3. Results'!AS115</f>
        <v>0</v>
      </c>
      <c r="AG11" s="65">
        <f>'3. Results'!AT115</f>
        <v>0</v>
      </c>
      <c r="AH11" s="65">
        <f>'3. Results'!AU115</f>
        <v>0</v>
      </c>
      <c r="AI11" s="65">
        <f>'3. Results'!AV115</f>
        <v>0</v>
      </c>
      <c r="AJ11" s="65">
        <f>'3. Results'!AW115</f>
        <v>0</v>
      </c>
      <c r="AK11" s="65">
        <f>'3. Results'!AX115</f>
        <v>0</v>
      </c>
      <c r="AL11" s="65">
        <f>'3. Results'!AY115</f>
        <v>0</v>
      </c>
      <c r="AM11" s="65">
        <f>'3. Results'!AZ115</f>
        <v>0</v>
      </c>
      <c r="AN11" s="65">
        <f>'3. Results'!BA115</f>
        <v>0</v>
      </c>
      <c r="AO11" s="65">
        <f>'3. Results'!BB115</f>
        <v>0</v>
      </c>
      <c r="AP11" s="65">
        <f>'3. Results'!BC115</f>
        <v>0</v>
      </c>
    </row>
    <row r="12" spans="1:43">
      <c r="A12" s="13" t="str">
        <f>'3. Results'!C112</f>
        <v>Cost faced due to the identification of grant duplication</v>
      </c>
      <c r="B12" s="65">
        <f ca="1">'3. Results'!E112</f>
        <v>-0.42322879856558532</v>
      </c>
      <c r="C12" s="65">
        <f ca="1">'3. Results'!F112</f>
        <v>-0.67072985767734694</v>
      </c>
      <c r="D12" s="65">
        <f ca="1">'3. Results'!G112</f>
        <v>-1.0629313445581827</v>
      </c>
      <c r="E12" s="65">
        <f ca="1">'3. Results'!H112</f>
        <v>-1.6843768055552137</v>
      </c>
      <c r="F12" s="65">
        <f ca="1">'3. Results'!I112</f>
        <v>-2.6689227280614123</v>
      </c>
      <c r="G12" s="65">
        <f ca="1">'3. Results'!J112</f>
        <v>-4.2283767411350066</v>
      </c>
      <c r="H12" s="65">
        <f ca="1">'3. Results'!K112</f>
        <v>-6.6975783082493718</v>
      </c>
      <c r="I12" s="65">
        <f ca="1">'3. Results'!L112</f>
        <v>-10.605077357583918</v>
      </c>
      <c r="J12" s="65">
        <f ca="1">'3. Results'!M112</f>
        <v>-16.783233706699001</v>
      </c>
      <c r="K12" s="65">
        <f ca="1">'3. Results'!N112</f>
        <v>-26.537948370736554</v>
      </c>
      <c r="L12" s="65">
        <f ca="1">'3. Results'!O112</f>
        <v>-41.905916044311319</v>
      </c>
      <c r="M12" s="65">
        <f ca="1">'3. Results'!P112</f>
        <v>-66.033652896633342</v>
      </c>
      <c r="N12" s="65">
        <f ca="1">'3. Results'!Q112</f>
        <v>-103.70935493788973</v>
      </c>
      <c r="O12" s="65">
        <f ca="1">'3. Results'!R112</f>
        <v>-162.04496499999721</v>
      </c>
      <c r="P12" s="65">
        <f ca="1">'3. Results'!S112</f>
        <v>-251.19737233651458</v>
      </c>
      <c r="Q12" s="65">
        <f ca="1">'3. Results'!T112</f>
        <v>-384.76219816490425</v>
      </c>
      <c r="R12" s="65">
        <f ca="1">'3. Results'!U112</f>
        <v>-579.01614744535357</v>
      </c>
      <c r="S12" s="65">
        <f ca="1">'3. Results'!V112</f>
        <v>-849.68436068208848</v>
      </c>
      <c r="T12" s="65">
        <f ca="1">'3. Results'!W112</f>
        <v>-1205.1409808752894</v>
      </c>
      <c r="U12" s="65">
        <f ca="1">'3. Results'!X112</f>
        <v>-1637.3214079075162</v>
      </c>
      <c r="V12" s="65">
        <f ca="1">'3. Results'!Y112</f>
        <v>-2116.1439928283621</v>
      </c>
      <c r="W12" s="65">
        <f ca="1">'3. Results'!AJ112</f>
        <v>-4205.7500372851237</v>
      </c>
      <c r="X12" s="65">
        <f ca="1">'3. Results'!AK112</f>
        <v>-4215.5047519491527</v>
      </c>
      <c r="Y12" s="65">
        <f ca="1">'3. Results'!AL112</f>
        <v>-4221.682908298264</v>
      </c>
      <c r="Z12" s="65">
        <f ca="1">'3. Results'!AM112</f>
        <v>-4225.5904073475949</v>
      </c>
      <c r="AA12" s="65">
        <f ca="1">'3. Results'!AN112</f>
        <v>-4228.0596089147066</v>
      </c>
      <c r="AB12" s="65">
        <f ca="1">'3. Results'!AO112</f>
        <v>-4229.6190629277789</v>
      </c>
      <c r="AC12" s="65">
        <f ca="1">'3. Results'!AP112</f>
        <v>-4230.6036088502842</v>
      </c>
      <c r="AD12" s="65">
        <f ca="1">'3. Results'!AQ112</f>
        <v>-4231.2250543112805</v>
      </c>
      <c r="AE12" s="65">
        <f ca="1">'3. Results'!AR112</f>
        <v>-4231.6172557981618</v>
      </c>
      <c r="AF12" s="65">
        <f ca="1">'3. Results'!AS112</f>
        <v>-4231.8647568572733</v>
      </c>
      <c r="AG12" s="65">
        <f>'3. Results'!AT112</f>
        <v>0</v>
      </c>
      <c r="AH12" s="65">
        <f>'3. Results'!AU112</f>
        <v>0</v>
      </c>
      <c r="AI12" s="65">
        <f>'3. Results'!AV112</f>
        <v>0</v>
      </c>
      <c r="AJ12" s="65">
        <f>'3. Results'!AW112</f>
        <v>0</v>
      </c>
      <c r="AK12" s="65">
        <f>'3. Results'!AX112</f>
        <v>0</v>
      </c>
      <c r="AL12" s="65">
        <f>'3. Results'!AY112</f>
        <v>0</v>
      </c>
      <c r="AM12" s="65">
        <f>'3. Results'!AZ112</f>
        <v>0</v>
      </c>
      <c r="AN12" s="65">
        <f>'3. Results'!BA112</f>
        <v>0</v>
      </c>
      <c r="AO12" s="65">
        <f>'3. Results'!BB112</f>
        <v>0</v>
      </c>
      <c r="AP12" s="65">
        <f>'3. Results'!BC112</f>
        <v>0</v>
      </c>
    </row>
    <row r="13" spans="1:43">
      <c r="A13" s="13" t="str">
        <f>'3. Results'!C111</f>
        <v>Decreasing revenue from licensing fees and royalties</v>
      </c>
      <c r="B13" s="65">
        <f ca="1">'3. Results'!E111</f>
        <v>-799.99999999996783</v>
      </c>
      <c r="C13" s="65">
        <f ca="1">'3. Results'!F111</f>
        <v>-3581.134057101272</v>
      </c>
      <c r="D13" s="65">
        <f ca="1">'3. Results'!G111</f>
        <v>-3986.3659113993276</v>
      </c>
      <c r="E13" s="65">
        <f ca="1">'3. Results'!H111</f>
        <v>-3999.6000000000004</v>
      </c>
      <c r="F13" s="65">
        <f ca="1">'3. Results'!I111</f>
        <v>-4000</v>
      </c>
      <c r="G13" s="65">
        <f ca="1">'3. Results'!J111</f>
        <v>-4000</v>
      </c>
      <c r="H13" s="65">
        <f ca="1">'3. Results'!K111</f>
        <v>-4000</v>
      </c>
      <c r="I13" s="65">
        <f ca="1">'3. Results'!L111</f>
        <v>-4000</v>
      </c>
      <c r="J13" s="65">
        <f ca="1">'3. Results'!M111</f>
        <v>-4000</v>
      </c>
      <c r="K13" s="65">
        <f ca="1">'3. Results'!N111</f>
        <v>-4000</v>
      </c>
      <c r="L13" s="65">
        <f ca="1">'3. Results'!O111</f>
        <v>-4000</v>
      </c>
      <c r="M13" s="65">
        <f ca="1">'3. Results'!P111</f>
        <v>-4000</v>
      </c>
      <c r="N13" s="65">
        <f ca="1">'3. Results'!Q111</f>
        <v>-4000</v>
      </c>
      <c r="O13" s="65">
        <f ca="1">'3. Results'!R111</f>
        <v>-4000</v>
      </c>
      <c r="P13" s="65">
        <f ca="1">'3. Results'!S111</f>
        <v>-4000</v>
      </c>
      <c r="Q13" s="65">
        <f ca="1">'3. Results'!T111</f>
        <v>-4000</v>
      </c>
      <c r="R13" s="65">
        <f ca="1">'3. Results'!U111</f>
        <v>-4000</v>
      </c>
      <c r="S13" s="65">
        <f ca="1">'3. Results'!V111</f>
        <v>-4000</v>
      </c>
      <c r="T13" s="65">
        <f ca="1">'3. Results'!W111</f>
        <v>-4000</v>
      </c>
      <c r="U13" s="65">
        <f ca="1">'3. Results'!X111</f>
        <v>-4000</v>
      </c>
      <c r="V13" s="65">
        <f ca="1">'3. Results'!Y111</f>
        <v>-4000</v>
      </c>
      <c r="W13" s="65">
        <f ca="1">'3. Results'!AJ111</f>
        <v>-4000</v>
      </c>
      <c r="X13" s="65">
        <f ca="1">'3. Results'!AK111</f>
        <v>-4000</v>
      </c>
      <c r="Y13" s="65">
        <f ca="1">'3. Results'!AL111</f>
        <v>-4000</v>
      </c>
      <c r="Z13" s="65">
        <f ca="1">'3. Results'!AM111</f>
        <v>-4000</v>
      </c>
      <c r="AA13" s="65">
        <f ca="1">'3. Results'!AN111</f>
        <v>-4000</v>
      </c>
      <c r="AB13" s="65">
        <f ca="1">'3. Results'!AO111</f>
        <v>-4000</v>
      </c>
      <c r="AC13" s="65">
        <f ca="1">'3. Results'!AP111</f>
        <v>-4000</v>
      </c>
      <c r="AD13" s="65">
        <f ca="1">'3. Results'!AQ111</f>
        <v>-4000</v>
      </c>
      <c r="AE13" s="65">
        <f ca="1">'3. Results'!AR111</f>
        <v>-4000</v>
      </c>
      <c r="AF13" s="65">
        <f ca="1">'3. Results'!AS111</f>
        <v>-4000</v>
      </c>
      <c r="AG13" s="65">
        <f>'3. Results'!AT111</f>
        <v>0</v>
      </c>
      <c r="AH13" s="65">
        <f>'3. Results'!AU111</f>
        <v>0</v>
      </c>
      <c r="AI13" s="65">
        <f>'3. Results'!AV111</f>
        <v>0</v>
      </c>
      <c r="AJ13" s="65">
        <f>'3. Results'!AW111</f>
        <v>0</v>
      </c>
      <c r="AK13" s="65">
        <f>'3. Results'!AX111</f>
        <v>0</v>
      </c>
      <c r="AL13" s="65">
        <f>'3. Results'!AY111</f>
        <v>0</v>
      </c>
      <c r="AM13" s="65">
        <f>'3. Results'!AZ111</f>
        <v>0</v>
      </c>
      <c r="AN13" s="65">
        <f>'3. Results'!BA111</f>
        <v>0</v>
      </c>
      <c r="AO13" s="65">
        <f>'3. Results'!BB111</f>
        <v>0</v>
      </c>
      <c r="AP13" s="65">
        <f>'3. Results'!BC111</f>
        <v>0</v>
      </c>
    </row>
    <row r="14" spans="1:43">
      <c r="A14" s="13" t="str">
        <f>'3. Results'!C113</f>
        <v>Cost of storage due to increased retention</v>
      </c>
      <c r="B14" s="65">
        <f ca="1">'3. Results'!E113</f>
        <v>0</v>
      </c>
      <c r="C14" s="65">
        <f ca="1">'3. Results'!F113</f>
        <v>0</v>
      </c>
      <c r="D14" s="65">
        <f ca="1">'3. Results'!G113</f>
        <v>0</v>
      </c>
      <c r="E14" s="65">
        <f ca="1">'3. Results'!H113</f>
        <v>0</v>
      </c>
      <c r="F14" s="65">
        <f ca="1">'3. Results'!I113</f>
        <v>0</v>
      </c>
      <c r="G14" s="65">
        <f ca="1">'3. Results'!J113</f>
        <v>-712.11858988290442</v>
      </c>
      <c r="H14" s="65">
        <f ca="1">'3. Results'!K113</f>
        <v>-1541.7114854578285</v>
      </c>
      <c r="I14" s="65">
        <f ca="1">'3. Results'!L113</f>
        <v>-2472.4079077515726</v>
      </c>
      <c r="J14" s="65">
        <f ca="1">'3. Results'!M113</f>
        <v>-3568.4502761860895</v>
      </c>
      <c r="K14" s="65">
        <f ca="1">'3. Results'!N113</f>
        <v>-4959.6240688025646</v>
      </c>
      <c r="L14" s="65">
        <f ca="1">'3. Results'!O113</f>
        <v>-6547.4896410929287</v>
      </c>
      <c r="M14" s="65">
        <f ca="1">'3. Results'!P113</f>
        <v>-8436.7141396896441</v>
      </c>
      <c r="N14" s="65">
        <f ca="1">'3. Results'!Q113</f>
        <v>-10689.466263747017</v>
      </c>
      <c r="O14" s="65">
        <f ca="1">'3. Results'!R113</f>
        <v>-13380.538148710722</v>
      </c>
      <c r="P14" s="65">
        <f ca="1">'3. Results'!S113</f>
        <v>-16599.916090622792</v>
      </c>
      <c r="Q14" s="65">
        <f ca="1">'3. Results'!T113</f>
        <v>-20455.874505721782</v>
      </c>
      <c r="R14" s="65">
        <f ca="1">'3. Results'!U113</f>
        <v>-25078.699633390774</v>
      </c>
      <c r="S14" s="65">
        <f ca="1">'3. Results'!V113</f>
        <v>-30625.171170526461</v>
      </c>
      <c r="T14" s="65">
        <f ca="1">'3. Results'!W113</f>
        <v>-37283.956118470538</v>
      </c>
      <c r="U14" s="65">
        <f ca="1">'3. Results'!X113</f>
        <v>-45282.100528050098</v>
      </c>
      <c r="V14" s="65">
        <f ca="1">'3. Results'!Y113</f>
        <v>-54493.28785395564</v>
      </c>
      <c r="W14" s="65">
        <f ca="1">'3. Results'!AJ113</f>
        <v>-420198.06446775072</v>
      </c>
      <c r="X14" s="65">
        <f ca="1">'3. Results'!AK113</f>
        <v>-480256.38215456123</v>
      </c>
      <c r="Y14" s="65">
        <f ca="1">'3. Results'!AL113</f>
        <v>-539565.01302475878</v>
      </c>
      <c r="Z14" s="65">
        <f ca="1">'3. Results'!AM113</f>
        <v>-596699.91307259502</v>
      </c>
      <c r="AA14" s="65">
        <f ca="1">'3. Results'!AN113</f>
        <v>-650589.8754509557</v>
      </c>
      <c r="AB14" s="65">
        <f ca="1">'3. Results'!AO113</f>
        <v>-700419.73893090268</v>
      </c>
      <c r="AC14" s="65">
        <f ca="1">'3. Results'!AP113</f>
        <v>-745553.8368111708</v>
      </c>
      <c r="AD14" s="65">
        <f ca="1">'3. Results'!AQ113</f>
        <v>-785474.540444955</v>
      </c>
      <c r="AE14" s="65">
        <f ca="1">'3. Results'!AR113</f>
        <v>-819731.84438166488</v>
      </c>
      <c r="AF14" s="65">
        <f ca="1">'3. Results'!AS113</f>
        <v>-847900.76144512556</v>
      </c>
      <c r="AG14" s="65">
        <f>'3. Results'!AT113</f>
        <v>0</v>
      </c>
      <c r="AH14" s="65">
        <f>'3. Results'!AU113</f>
        <v>0</v>
      </c>
      <c r="AI14" s="65">
        <f>'3. Results'!AV113</f>
        <v>0</v>
      </c>
      <c r="AJ14" s="65">
        <f>'3. Results'!AW113</f>
        <v>0</v>
      </c>
      <c r="AK14" s="65">
        <f>'3. Results'!AX113</f>
        <v>0</v>
      </c>
      <c r="AL14" s="65">
        <f>'3. Results'!AY113</f>
        <v>0</v>
      </c>
      <c r="AM14" s="65">
        <f>'3. Results'!AZ113</f>
        <v>0</v>
      </c>
      <c r="AN14" s="65">
        <f>'3. Results'!BA113</f>
        <v>0</v>
      </c>
      <c r="AO14" s="65">
        <f>'3. Results'!BB113</f>
        <v>0</v>
      </c>
      <c r="AP14" s="65">
        <f>'3. Results'!BC113</f>
        <v>0</v>
      </c>
    </row>
    <row r="15" spans="1:43">
      <c r="A15" s="13" t="str">
        <f>'3. Results'!C114</f>
        <v>Additional cost because of the reduced period between two innovation cycles of the basic IT infrastructure</v>
      </c>
      <c r="B15" s="65">
        <f ca="1">'3. Results'!E114</f>
        <v>-0.66666666666639007</v>
      </c>
      <c r="C15" s="65">
        <f ca="1">'3. Results'!F114</f>
        <v>-295.72287345894961</v>
      </c>
      <c r="D15" s="65">
        <f ca="1">'3. Results'!G114</f>
        <v>-6370.9437932077208</v>
      </c>
      <c r="E15" s="65">
        <f ca="1">'3. Results'!H114</f>
        <v>-6666.0000000000055</v>
      </c>
      <c r="F15" s="65">
        <f ca="1">'3. Results'!I114</f>
        <v>-6666.6666666666715</v>
      </c>
      <c r="G15" s="65">
        <f ca="1">'3. Results'!J114</f>
        <v>-6666.6666666666715</v>
      </c>
      <c r="H15" s="65">
        <f ca="1">'3. Results'!K114</f>
        <v>-6666.6666666666715</v>
      </c>
      <c r="I15" s="65">
        <f ca="1">'3. Results'!L114</f>
        <v>-6666.6666666666715</v>
      </c>
      <c r="J15" s="65">
        <f ca="1">'3. Results'!M114</f>
        <v>-6666.6666666666715</v>
      </c>
      <c r="K15" s="65">
        <f ca="1">'3. Results'!N114</f>
        <v>-6666.6666666666715</v>
      </c>
      <c r="L15" s="65">
        <f ca="1">'3. Results'!O114</f>
        <v>-6666.6666666666715</v>
      </c>
      <c r="M15" s="65">
        <f ca="1">'3. Results'!P114</f>
        <v>-6666.6666666666715</v>
      </c>
      <c r="N15" s="65">
        <f ca="1">'3. Results'!Q114</f>
        <v>-6666.6666666666715</v>
      </c>
      <c r="O15" s="65">
        <f ca="1">'3. Results'!R114</f>
        <v>-6666.6666666666715</v>
      </c>
      <c r="P15" s="65">
        <f ca="1">'3. Results'!S114</f>
        <v>-6666.6666666666715</v>
      </c>
      <c r="Q15" s="65">
        <f ca="1">'3. Results'!T114</f>
        <v>-6666.6666666666715</v>
      </c>
      <c r="R15" s="65">
        <f ca="1">'3. Results'!U114</f>
        <v>-6666.6666666666715</v>
      </c>
      <c r="S15" s="65">
        <f ca="1">'3. Results'!V114</f>
        <v>-6666.6666666666715</v>
      </c>
      <c r="T15" s="65">
        <f ca="1">'3. Results'!W114</f>
        <v>-6666.6666666666715</v>
      </c>
      <c r="U15" s="65">
        <f ca="1">'3. Results'!X114</f>
        <v>-6666.6666666666715</v>
      </c>
      <c r="V15" s="65">
        <f ca="1">'3. Results'!Y114</f>
        <v>-6666.6666666666715</v>
      </c>
      <c r="W15" s="65">
        <f ca="1">'3. Results'!AJ114</f>
        <v>-6666.6666666666715</v>
      </c>
      <c r="X15" s="65">
        <f ca="1">'3. Results'!AK114</f>
        <v>-6666.6666666666715</v>
      </c>
      <c r="Y15" s="65">
        <f ca="1">'3. Results'!AL114</f>
        <v>-6666.6666666666715</v>
      </c>
      <c r="Z15" s="65">
        <f ca="1">'3. Results'!AM114</f>
        <v>-6666.6666666666715</v>
      </c>
      <c r="AA15" s="65">
        <f ca="1">'3. Results'!AN114</f>
        <v>-6666.6666666666715</v>
      </c>
      <c r="AB15" s="65">
        <f ca="1">'3. Results'!AO114</f>
        <v>-6666.6666666666715</v>
      </c>
      <c r="AC15" s="65">
        <f ca="1">'3. Results'!AP114</f>
        <v>-6666.6666666666715</v>
      </c>
      <c r="AD15" s="65">
        <f ca="1">'3. Results'!AQ114</f>
        <v>-6666.6666666666715</v>
      </c>
      <c r="AE15" s="65">
        <f ca="1">'3. Results'!AR114</f>
        <v>-6666.6666666666715</v>
      </c>
      <c r="AF15" s="65">
        <f ca="1">'3. Results'!AS114</f>
        <v>-6666.6666666666715</v>
      </c>
      <c r="AG15" s="65">
        <f>'3. Results'!AT114</f>
        <v>0</v>
      </c>
      <c r="AH15" s="65">
        <f>'3. Results'!AU114</f>
        <v>0</v>
      </c>
      <c r="AI15" s="65">
        <f>'3. Results'!AV114</f>
        <v>0</v>
      </c>
      <c r="AJ15" s="65">
        <f>'3. Results'!AW114</f>
        <v>0</v>
      </c>
      <c r="AK15" s="65">
        <f>'3. Results'!AX114</f>
        <v>0</v>
      </c>
      <c r="AL15" s="65">
        <f>'3. Results'!AY114</f>
        <v>0</v>
      </c>
      <c r="AM15" s="65">
        <f>'3. Results'!AZ114</f>
        <v>0</v>
      </c>
      <c r="AN15" s="65">
        <f>'3. Results'!BA114</f>
        <v>0</v>
      </c>
      <c r="AO15" s="65">
        <f>'3. Results'!BB114</f>
        <v>0</v>
      </c>
      <c r="AP15" s="65">
        <f>'3. Results'!BC114</f>
        <v>0</v>
      </c>
    </row>
    <row r="16" spans="1:43">
      <c r="A16" s="13" t="str">
        <f>'3. Results'!C103</f>
        <v>Marketing and raising awareness costs</v>
      </c>
      <c r="B16" s="65">
        <f ca="1">'3. Results'!E103</f>
        <v>-5000</v>
      </c>
      <c r="C16" s="65">
        <f ca="1">'3. Results'!F103</f>
        <v>-5000</v>
      </c>
      <c r="D16" s="65">
        <f ca="1">'3. Results'!G103</f>
        <v>-5000</v>
      </c>
      <c r="E16" s="65">
        <f ca="1">'3. Results'!H103</f>
        <v>-5000</v>
      </c>
      <c r="F16" s="65">
        <f ca="1">'3. Results'!I103</f>
        <v>0</v>
      </c>
      <c r="G16" s="65">
        <f ca="1">'3. Results'!J103</f>
        <v>0</v>
      </c>
      <c r="H16" s="65">
        <f ca="1">'3. Results'!K103</f>
        <v>0</v>
      </c>
      <c r="I16" s="65">
        <f ca="1">'3. Results'!L103</f>
        <v>0</v>
      </c>
      <c r="J16" s="65">
        <f ca="1">'3. Results'!M103</f>
        <v>0</v>
      </c>
      <c r="K16" s="65">
        <f ca="1">'3. Results'!N103</f>
        <v>0</v>
      </c>
      <c r="L16" s="65">
        <f ca="1">'3. Results'!O103</f>
        <v>0</v>
      </c>
      <c r="M16" s="65">
        <f ca="1">'3. Results'!P103</f>
        <v>0</v>
      </c>
      <c r="N16" s="65">
        <f ca="1">'3. Results'!Q103</f>
        <v>0</v>
      </c>
      <c r="O16" s="65">
        <f ca="1">'3. Results'!R103</f>
        <v>0</v>
      </c>
      <c r="P16" s="65">
        <f ca="1">'3. Results'!S103</f>
        <v>0</v>
      </c>
      <c r="Q16" s="65">
        <f ca="1">'3. Results'!T103</f>
        <v>0</v>
      </c>
      <c r="R16" s="65">
        <f ca="1">'3. Results'!U103</f>
        <v>0</v>
      </c>
      <c r="S16" s="65">
        <f ca="1">'3. Results'!V103</f>
        <v>0</v>
      </c>
      <c r="T16" s="65">
        <f ca="1">'3. Results'!W103</f>
        <v>0</v>
      </c>
      <c r="U16" s="65">
        <f ca="1">'3. Results'!X103</f>
        <v>0</v>
      </c>
      <c r="V16" s="65">
        <f ca="1">'3. Results'!Y103</f>
        <v>0</v>
      </c>
      <c r="W16" s="65">
        <f ca="1">'3. Results'!AJ103</f>
        <v>0</v>
      </c>
      <c r="X16" s="65">
        <f ca="1">'3. Results'!AK103</f>
        <v>0</v>
      </c>
      <c r="Y16" s="65">
        <f ca="1">'3. Results'!AL103</f>
        <v>0</v>
      </c>
      <c r="Z16" s="65">
        <f ca="1">'3. Results'!AM103</f>
        <v>0</v>
      </c>
      <c r="AA16" s="65">
        <f ca="1">'3. Results'!AN103</f>
        <v>0</v>
      </c>
      <c r="AB16" s="65">
        <f ca="1">'3. Results'!AO103</f>
        <v>0</v>
      </c>
      <c r="AC16" s="65">
        <f ca="1">'3. Results'!AP103</f>
        <v>0</v>
      </c>
      <c r="AD16" s="65">
        <f ca="1">'3. Results'!AQ103</f>
        <v>0</v>
      </c>
      <c r="AE16" s="65">
        <f ca="1">'3. Results'!AR103</f>
        <v>0</v>
      </c>
      <c r="AF16" s="65">
        <f ca="1">'3. Results'!AS103</f>
        <v>0</v>
      </c>
      <c r="AG16" s="65">
        <f>'3. Results'!AT103</f>
        <v>0</v>
      </c>
      <c r="AH16" s="65">
        <f>'3. Results'!AU103</f>
        <v>0</v>
      </c>
      <c r="AI16" s="65">
        <f>'3. Results'!AV103</f>
        <v>0</v>
      </c>
      <c r="AJ16" s="65">
        <f>'3. Results'!AW103</f>
        <v>0</v>
      </c>
      <c r="AK16" s="65">
        <f>'3. Results'!AX103</f>
        <v>0</v>
      </c>
      <c r="AL16" s="65">
        <f>'3. Results'!AY103</f>
        <v>0</v>
      </c>
      <c r="AM16" s="65">
        <f>'3. Results'!AZ103</f>
        <v>0</v>
      </c>
      <c r="AN16" s="65">
        <f>'3. Results'!BA103</f>
        <v>0</v>
      </c>
      <c r="AO16" s="65">
        <f>'3. Results'!BB103</f>
        <v>0</v>
      </c>
      <c r="AP16" s="65">
        <f>'3. Results'!BC103</f>
        <v>0</v>
      </c>
    </row>
    <row r="17" spans="1:42">
      <c r="A17" s="84" t="str">
        <f>'3. Results'!C105</f>
        <v xml:space="preserve">Operational costs </v>
      </c>
      <c r="B17" s="85">
        <f ca="1">SUM(B8:B15)</f>
        <v>-130862.64836964059</v>
      </c>
      <c r="C17" s="85">
        <f t="shared" ref="C17:AP17" ca="1" si="1">SUM(C8:C15)</f>
        <v>-120149.10353197825</v>
      </c>
      <c r="D17" s="85">
        <f t="shared" ca="1" si="1"/>
        <v>-130990.09511310315</v>
      </c>
      <c r="E17" s="85">
        <f t="shared" ca="1" si="1"/>
        <v>-128308.17457789263</v>
      </c>
      <c r="F17" s="85">
        <f t="shared" ca="1" si="1"/>
        <v>-128296.45862493681</v>
      </c>
      <c r="G17" s="85">
        <f t="shared" ca="1" si="1"/>
        <v>-128996.66446873291</v>
      </c>
      <c r="H17" s="85">
        <f t="shared" ca="1" si="1"/>
        <v>-129815.11625817318</v>
      </c>
      <c r="I17" s="85">
        <f t="shared" ca="1" si="1"/>
        <v>-130735.97792608189</v>
      </c>
      <c r="J17" s="85">
        <f t="shared" ca="1" si="1"/>
        <v>-131824.33069353417</v>
      </c>
      <c r="K17" s="85">
        <f t="shared" ca="1" si="1"/>
        <v>-133211.27265164198</v>
      </c>
      <c r="L17" s="85">
        <f t="shared" ca="1" si="1"/>
        <v>-134800.40782193851</v>
      </c>
      <c r="M17" s="85">
        <f t="shared" ca="1" si="1"/>
        <v>-136699.55708577699</v>
      </c>
      <c r="N17" s="85">
        <f t="shared" ca="1" si="1"/>
        <v>-138975.68479086756</v>
      </c>
      <c r="O17" s="85">
        <f t="shared" ca="1" si="1"/>
        <v>-141710.70268773573</v>
      </c>
      <c r="P17" s="85">
        <f t="shared" ca="1" si="1"/>
        <v>-145004.76183830324</v>
      </c>
      <c r="Q17" s="85">
        <f t="shared" ca="1" si="1"/>
        <v>-148979.74034473376</v>
      </c>
      <c r="R17" s="85">
        <f t="shared" ca="1" si="1"/>
        <v>-153782.209386956</v>
      </c>
      <c r="S17" s="85">
        <f t="shared" ca="1" si="1"/>
        <v>-159584.68219079723</v>
      </c>
      <c r="T17" s="85">
        <f t="shared" ca="1" si="1"/>
        <v>-166584.20842307672</v>
      </c>
      <c r="U17" s="85">
        <f t="shared" ca="1" si="1"/>
        <v>-174999.77817157737</v>
      </c>
      <c r="V17" s="85">
        <f t="shared" ca="1" si="1"/>
        <v>-184675.00197367911</v>
      </c>
      <c r="W17" s="85">
        <f t="shared" ca="1" si="1"/>
        <v>-552307.21921676467</v>
      </c>
      <c r="X17" s="85">
        <f t="shared" ca="1" si="1"/>
        <v>-612360.82017024013</v>
      </c>
      <c r="Y17" s="85">
        <f t="shared" ca="1" si="1"/>
        <v>-671661.23932368751</v>
      </c>
      <c r="Z17" s="85">
        <f t="shared" ca="1" si="1"/>
        <v>-728785.74644963106</v>
      </c>
      <c r="AA17" s="85">
        <f t="shared" ca="1" si="1"/>
        <v>-782663.97473370342</v>
      </c>
      <c r="AB17" s="85">
        <f t="shared" ca="1" si="1"/>
        <v>-832481.29895017028</v>
      </c>
      <c r="AC17" s="85">
        <f t="shared" ca="1" si="1"/>
        <v>-877602.39445655467</v>
      </c>
      <c r="AD17" s="85">
        <f t="shared" ca="1" si="1"/>
        <v>-917509.85138584196</v>
      </c>
      <c r="AE17" s="85">
        <f t="shared" ca="1" si="1"/>
        <v>-951753.80485683598</v>
      </c>
      <c r="AF17" s="85">
        <f t="shared" ca="1" si="1"/>
        <v>-979909.35867962847</v>
      </c>
      <c r="AG17" s="85">
        <f t="shared" si="1"/>
        <v>0</v>
      </c>
      <c r="AH17" s="85">
        <f t="shared" si="1"/>
        <v>0</v>
      </c>
      <c r="AI17" s="85">
        <f t="shared" si="1"/>
        <v>0</v>
      </c>
      <c r="AJ17" s="85">
        <f t="shared" si="1"/>
        <v>0</v>
      </c>
      <c r="AK17" s="85">
        <f t="shared" si="1"/>
        <v>0</v>
      </c>
      <c r="AL17" s="85">
        <f t="shared" si="1"/>
        <v>0</v>
      </c>
      <c r="AM17" s="85">
        <f t="shared" si="1"/>
        <v>0</v>
      </c>
      <c r="AN17" s="85">
        <f t="shared" si="1"/>
        <v>0</v>
      </c>
      <c r="AO17" s="85">
        <f t="shared" si="1"/>
        <v>0</v>
      </c>
      <c r="AP17" s="85">
        <f t="shared" si="1"/>
        <v>0</v>
      </c>
    </row>
    <row r="18" spans="1:42" s="1089" customFormat="1">
      <c r="A18" s="84" t="str">
        <f>'3. Results'!C101</f>
        <v>Operational costs when implementing FAIR</v>
      </c>
      <c r="B18" s="85">
        <f ca="1">B16</f>
        <v>-5000</v>
      </c>
      <c r="C18" s="85">
        <f t="shared" ref="C18:AP18" ca="1" si="2">C16</f>
        <v>-5000</v>
      </c>
      <c r="D18" s="85">
        <f t="shared" ca="1" si="2"/>
        <v>-5000</v>
      </c>
      <c r="E18" s="85">
        <f t="shared" ca="1" si="2"/>
        <v>-5000</v>
      </c>
      <c r="F18" s="85">
        <f t="shared" ca="1" si="2"/>
        <v>0</v>
      </c>
      <c r="G18" s="85">
        <f t="shared" ca="1" si="2"/>
        <v>0</v>
      </c>
      <c r="H18" s="85">
        <f t="shared" ca="1" si="2"/>
        <v>0</v>
      </c>
      <c r="I18" s="85">
        <f t="shared" ca="1" si="2"/>
        <v>0</v>
      </c>
      <c r="J18" s="85">
        <f t="shared" ca="1" si="2"/>
        <v>0</v>
      </c>
      <c r="K18" s="85">
        <f t="shared" ca="1" si="2"/>
        <v>0</v>
      </c>
      <c r="L18" s="85">
        <f t="shared" ca="1" si="2"/>
        <v>0</v>
      </c>
      <c r="M18" s="85">
        <f t="shared" ca="1" si="2"/>
        <v>0</v>
      </c>
      <c r="N18" s="85">
        <f t="shared" ca="1" si="2"/>
        <v>0</v>
      </c>
      <c r="O18" s="85">
        <f t="shared" ca="1" si="2"/>
        <v>0</v>
      </c>
      <c r="P18" s="85">
        <f t="shared" ca="1" si="2"/>
        <v>0</v>
      </c>
      <c r="Q18" s="85">
        <f t="shared" ca="1" si="2"/>
        <v>0</v>
      </c>
      <c r="R18" s="85">
        <f t="shared" ca="1" si="2"/>
        <v>0</v>
      </c>
      <c r="S18" s="85">
        <f t="shared" ca="1" si="2"/>
        <v>0</v>
      </c>
      <c r="T18" s="85">
        <f t="shared" ca="1" si="2"/>
        <v>0</v>
      </c>
      <c r="U18" s="85">
        <f t="shared" ca="1" si="2"/>
        <v>0</v>
      </c>
      <c r="V18" s="85">
        <f t="shared" ca="1" si="2"/>
        <v>0</v>
      </c>
      <c r="W18" s="85">
        <f t="shared" ca="1" si="2"/>
        <v>0</v>
      </c>
      <c r="X18" s="85">
        <f t="shared" ca="1" si="2"/>
        <v>0</v>
      </c>
      <c r="Y18" s="85">
        <f t="shared" ca="1" si="2"/>
        <v>0</v>
      </c>
      <c r="Z18" s="85">
        <f t="shared" ca="1" si="2"/>
        <v>0</v>
      </c>
      <c r="AA18" s="85">
        <f t="shared" ca="1" si="2"/>
        <v>0</v>
      </c>
      <c r="AB18" s="85">
        <f t="shared" ca="1" si="2"/>
        <v>0</v>
      </c>
      <c r="AC18" s="85">
        <f t="shared" ca="1" si="2"/>
        <v>0</v>
      </c>
      <c r="AD18" s="85">
        <f t="shared" ca="1" si="2"/>
        <v>0</v>
      </c>
      <c r="AE18" s="85">
        <f t="shared" ca="1" si="2"/>
        <v>0</v>
      </c>
      <c r="AF18" s="85">
        <f t="shared" ca="1" si="2"/>
        <v>0</v>
      </c>
      <c r="AG18" s="85">
        <f t="shared" si="2"/>
        <v>0</v>
      </c>
      <c r="AH18" s="85">
        <f t="shared" si="2"/>
        <v>0</v>
      </c>
      <c r="AI18" s="85">
        <f t="shared" si="2"/>
        <v>0</v>
      </c>
      <c r="AJ18" s="85">
        <f t="shared" si="2"/>
        <v>0</v>
      </c>
      <c r="AK18" s="85">
        <f t="shared" si="2"/>
        <v>0</v>
      </c>
      <c r="AL18" s="85">
        <f t="shared" si="2"/>
        <v>0</v>
      </c>
      <c r="AM18" s="85">
        <f t="shared" si="2"/>
        <v>0</v>
      </c>
      <c r="AN18" s="85">
        <f t="shared" si="2"/>
        <v>0</v>
      </c>
      <c r="AO18" s="85">
        <f t="shared" si="2"/>
        <v>0</v>
      </c>
      <c r="AP18" s="85">
        <f t="shared" si="2"/>
        <v>0</v>
      </c>
    </row>
    <row r="19" spans="1:42">
      <c r="A19" s="13" t="str">
        <f>'3. Results'!C121</f>
        <v>Cost faced due to non-open import/export formats</v>
      </c>
      <c r="B19" s="65">
        <f>'3. Results'!E121</f>
        <v>-5000</v>
      </c>
      <c r="C19" s="65">
        <f>'3. Results'!F121</f>
        <v>0</v>
      </c>
      <c r="D19" s="65">
        <f>'3. Results'!G121</f>
        <v>0</v>
      </c>
      <c r="E19" s="65">
        <f>'3. Results'!H121</f>
        <v>0</v>
      </c>
      <c r="F19" s="65">
        <f>'3. Results'!I121</f>
        <v>0</v>
      </c>
      <c r="G19" s="65">
        <f>'3. Results'!J121</f>
        <v>0</v>
      </c>
      <c r="H19" s="65">
        <f>'3. Results'!K121</f>
        <v>0</v>
      </c>
      <c r="I19" s="65">
        <f>'3. Results'!L121</f>
        <v>0</v>
      </c>
      <c r="J19" s="65">
        <f>'3. Results'!M121</f>
        <v>0</v>
      </c>
      <c r="K19" s="65">
        <f>'3. Results'!N121</f>
        <v>0</v>
      </c>
      <c r="L19" s="65">
        <f>'3. Results'!O121</f>
        <v>0</v>
      </c>
      <c r="M19" s="65">
        <f>'3. Results'!P121</f>
        <v>0</v>
      </c>
      <c r="N19" s="65">
        <f>'3. Results'!Q121</f>
        <v>0</v>
      </c>
      <c r="O19" s="65">
        <f>'3. Results'!R121</f>
        <v>0</v>
      </c>
      <c r="P19" s="65">
        <f>'3. Results'!S121</f>
        <v>0</v>
      </c>
      <c r="Q19" s="65">
        <f>'3. Results'!T121</f>
        <v>0</v>
      </c>
      <c r="R19" s="65">
        <f>'3. Results'!U121</f>
        <v>0</v>
      </c>
      <c r="S19" s="65">
        <f>'3. Results'!V121</f>
        <v>0</v>
      </c>
      <c r="T19" s="65">
        <f>'3. Results'!W121</f>
        <v>0</v>
      </c>
      <c r="U19" s="65">
        <f>'3. Results'!X121</f>
        <v>0</v>
      </c>
      <c r="V19" s="65">
        <f>'3. Results'!Y121</f>
        <v>0</v>
      </c>
      <c r="W19" s="65">
        <f>'3. Results'!AJ121</f>
        <v>0</v>
      </c>
      <c r="X19" s="65">
        <f>'3. Results'!AK121</f>
        <v>0</v>
      </c>
      <c r="Y19" s="65">
        <f>'3. Results'!AL121</f>
        <v>0</v>
      </c>
      <c r="Z19" s="65">
        <f>'3. Results'!AM121</f>
        <v>0</v>
      </c>
      <c r="AA19" s="65">
        <f>'3. Results'!AN121</f>
        <v>0</v>
      </c>
      <c r="AB19" s="65">
        <f>'3. Results'!AO121</f>
        <v>0</v>
      </c>
      <c r="AC19" s="65">
        <f>'3. Results'!AP121</f>
        <v>0</v>
      </c>
      <c r="AD19" s="65">
        <f>'3. Results'!AQ121</f>
        <v>0</v>
      </c>
      <c r="AE19" s="65">
        <f>'3. Results'!AR121</f>
        <v>0</v>
      </c>
      <c r="AF19" s="65">
        <f>'3. Results'!AS121</f>
        <v>0</v>
      </c>
      <c r="AG19" s="65">
        <f>'3. Results'!AT121</f>
        <v>0</v>
      </c>
      <c r="AH19" s="65">
        <f>'3. Results'!AU121</f>
        <v>0</v>
      </c>
      <c r="AI19" s="65">
        <f>'3. Results'!AV121</f>
        <v>0</v>
      </c>
      <c r="AJ19" s="65">
        <f>'3. Results'!AW121</f>
        <v>0</v>
      </c>
      <c r="AK19" s="65">
        <f>'3. Results'!AX121</f>
        <v>0</v>
      </c>
      <c r="AL19" s="65">
        <f>'3. Results'!AY121</f>
        <v>0</v>
      </c>
      <c r="AM19" s="65">
        <f>'3. Results'!AZ121</f>
        <v>0</v>
      </c>
      <c r="AN19" s="65">
        <f>'3. Results'!BA121</f>
        <v>0</v>
      </c>
      <c r="AO19" s="65">
        <f>'3. Results'!BB121</f>
        <v>0</v>
      </c>
      <c r="AP19" s="65">
        <f>'3. Results'!BC121</f>
        <v>0</v>
      </c>
    </row>
    <row r="20" spans="1:42">
      <c r="A20" s="13" t="str">
        <f>'3. Results'!C122</f>
        <v>Investment cost (Data Policies)</v>
      </c>
      <c r="B20" s="65">
        <f ca="1">'3. Results'!E122</f>
        <v>-27543.175422526154</v>
      </c>
      <c r="C20" s="65">
        <f>'3. Results'!F122</f>
        <v>0</v>
      </c>
      <c r="D20" s="65">
        <f>'3. Results'!G122</f>
        <v>0</v>
      </c>
      <c r="E20" s="65">
        <f>'3. Results'!H122</f>
        <v>0</v>
      </c>
      <c r="F20" s="65">
        <f>'3. Results'!I122</f>
        <v>0</v>
      </c>
      <c r="G20" s="65">
        <f>'3. Results'!J122</f>
        <v>0</v>
      </c>
      <c r="H20" s="65">
        <f>'3. Results'!K122</f>
        <v>0</v>
      </c>
      <c r="I20" s="65">
        <f>'3. Results'!L122</f>
        <v>0</v>
      </c>
      <c r="J20" s="65">
        <f>'3. Results'!M122</f>
        <v>0</v>
      </c>
      <c r="K20" s="65">
        <f>'3. Results'!N122</f>
        <v>0</v>
      </c>
      <c r="L20" s="65">
        <f>'3. Results'!O122</f>
        <v>0</v>
      </c>
      <c r="M20">
        <f>'3. Results'!P122</f>
        <v>0</v>
      </c>
      <c r="N20">
        <f>'3. Results'!Q122</f>
        <v>0</v>
      </c>
      <c r="O20">
        <f>'3. Results'!R122</f>
        <v>0</v>
      </c>
      <c r="P20">
        <f>'3. Results'!S122</f>
        <v>0</v>
      </c>
      <c r="Q20">
        <f>'3. Results'!T122</f>
        <v>0</v>
      </c>
      <c r="R20">
        <f>'3. Results'!U122</f>
        <v>0</v>
      </c>
      <c r="S20">
        <f>'3. Results'!V122</f>
        <v>0</v>
      </c>
      <c r="T20">
        <f>'3. Results'!W122</f>
        <v>0</v>
      </c>
      <c r="U20">
        <f>'3. Results'!X122</f>
        <v>0</v>
      </c>
      <c r="V20">
        <f>'3. Results'!Y122</f>
        <v>0</v>
      </c>
      <c r="W20" s="1089">
        <f>'3. Results'!AJ122</f>
        <v>0</v>
      </c>
      <c r="X20" s="1089">
        <f>'3. Results'!AK122</f>
        <v>0</v>
      </c>
      <c r="Y20" s="1089">
        <f>'3. Results'!AL122</f>
        <v>0</v>
      </c>
      <c r="Z20" s="1089">
        <f>'3. Results'!AM122</f>
        <v>0</v>
      </c>
      <c r="AA20" s="1089">
        <f>'3. Results'!AN122</f>
        <v>0</v>
      </c>
      <c r="AB20" s="1089">
        <f>'3. Results'!AO122</f>
        <v>0</v>
      </c>
      <c r="AC20" s="1089">
        <f>'3. Results'!AP122</f>
        <v>0</v>
      </c>
      <c r="AD20" s="1089">
        <f>'3. Results'!AQ122</f>
        <v>0</v>
      </c>
      <c r="AE20" s="1089">
        <f>'3. Results'!AR122</f>
        <v>0</v>
      </c>
      <c r="AF20" s="1089">
        <f>'3. Results'!AS122</f>
        <v>0</v>
      </c>
      <c r="AG20" s="1089">
        <f>'3. Results'!AT122</f>
        <v>0</v>
      </c>
      <c r="AH20" s="1089">
        <f>'3. Results'!AU122</f>
        <v>0</v>
      </c>
      <c r="AI20" s="1089">
        <f>'3. Results'!AV122</f>
        <v>0</v>
      </c>
      <c r="AJ20" s="1089">
        <f>'3. Results'!AW122</f>
        <v>0</v>
      </c>
      <c r="AK20" s="1089">
        <f>'3. Results'!AX122</f>
        <v>0</v>
      </c>
      <c r="AL20" s="1089">
        <f>'3. Results'!AY122</f>
        <v>0</v>
      </c>
      <c r="AM20" s="1089">
        <f>'3. Results'!AZ122</f>
        <v>0</v>
      </c>
      <c r="AN20" s="1089">
        <f>'3. Results'!BA122</f>
        <v>0</v>
      </c>
      <c r="AO20" s="1089">
        <f>'3. Results'!BB122</f>
        <v>0</v>
      </c>
      <c r="AP20" s="1089">
        <f>'3. Results'!BC122</f>
        <v>0</v>
      </c>
    </row>
    <row r="21" spans="1:42">
      <c r="A21" s="13" t="str">
        <f>'3. Results'!C123</f>
        <v>Project Management costs</v>
      </c>
      <c r="B21" s="65">
        <f ca="1">'3. Results'!E123</f>
        <v>-26391.165241351599</v>
      </c>
      <c r="C21" s="65">
        <f>'3. Results'!F123</f>
        <v>0</v>
      </c>
      <c r="D21" s="65">
        <f>'3. Results'!G123</f>
        <v>0</v>
      </c>
      <c r="E21" s="65">
        <f>'3. Results'!H123</f>
        <v>0</v>
      </c>
      <c r="F21" s="65">
        <f>'3. Results'!I123</f>
        <v>0</v>
      </c>
      <c r="G21" s="65">
        <f>'3. Results'!J123</f>
        <v>0</v>
      </c>
      <c r="H21" s="65">
        <f>'3. Results'!K123</f>
        <v>0</v>
      </c>
      <c r="I21" s="65">
        <f>'3. Results'!L123</f>
        <v>0</v>
      </c>
      <c r="J21" s="65">
        <f>'3. Results'!M123</f>
        <v>0</v>
      </c>
      <c r="K21" s="65">
        <f>'3. Results'!N123</f>
        <v>0</v>
      </c>
      <c r="L21" s="65">
        <f>'3. Results'!O123</f>
        <v>0</v>
      </c>
      <c r="M21">
        <f>'3. Results'!P123</f>
        <v>0</v>
      </c>
      <c r="N21">
        <f>'3. Results'!Q123</f>
        <v>0</v>
      </c>
      <c r="O21">
        <f>'3. Results'!R123</f>
        <v>0</v>
      </c>
      <c r="P21">
        <f>'3. Results'!S123</f>
        <v>0</v>
      </c>
      <c r="Q21">
        <f>'3. Results'!T123</f>
        <v>0</v>
      </c>
      <c r="R21">
        <f>'3. Results'!U123</f>
        <v>0</v>
      </c>
      <c r="S21">
        <f>'3. Results'!V123</f>
        <v>0</v>
      </c>
      <c r="T21">
        <f>'3. Results'!W123</f>
        <v>0</v>
      </c>
      <c r="U21">
        <f>'3. Results'!X123</f>
        <v>0</v>
      </c>
      <c r="V21">
        <f>'3. Results'!Y123</f>
        <v>0</v>
      </c>
      <c r="W21" s="1089">
        <f>'3. Results'!AJ123</f>
        <v>0</v>
      </c>
      <c r="X21" s="1089">
        <f>'3. Results'!AK123</f>
        <v>0</v>
      </c>
      <c r="Y21" s="1089">
        <f>'3. Results'!AL123</f>
        <v>0</v>
      </c>
      <c r="Z21" s="1089">
        <f>'3. Results'!AM123</f>
        <v>0</v>
      </c>
      <c r="AA21" s="1089">
        <f>'3. Results'!AN123</f>
        <v>0</v>
      </c>
      <c r="AB21" s="1089">
        <f>'3. Results'!AO123</f>
        <v>0</v>
      </c>
      <c r="AC21" s="1089">
        <f>'3. Results'!AP123</f>
        <v>0</v>
      </c>
      <c r="AD21" s="1089">
        <f>'3. Results'!AQ123</f>
        <v>0</v>
      </c>
      <c r="AE21" s="1089">
        <f>'3. Results'!AR123</f>
        <v>0</v>
      </c>
      <c r="AF21" s="1089">
        <f>'3. Results'!AS123</f>
        <v>0</v>
      </c>
      <c r="AG21" s="1089">
        <f>'3. Results'!AT123</f>
        <v>0</v>
      </c>
      <c r="AH21" s="1089">
        <f>'3. Results'!AU123</f>
        <v>0</v>
      </c>
      <c r="AI21" s="1089">
        <f>'3. Results'!AV123</f>
        <v>0</v>
      </c>
      <c r="AJ21" s="1089">
        <f>'3. Results'!AW123</f>
        <v>0</v>
      </c>
      <c r="AK21" s="1089">
        <f>'3. Results'!AX123</f>
        <v>0</v>
      </c>
      <c r="AL21" s="1089">
        <f>'3. Results'!AY123</f>
        <v>0</v>
      </c>
      <c r="AM21" s="1089">
        <f>'3. Results'!AZ123</f>
        <v>0</v>
      </c>
      <c r="AN21" s="1089">
        <f>'3. Results'!BA123</f>
        <v>0</v>
      </c>
      <c r="AO21" s="1089">
        <f>'3. Results'!BB123</f>
        <v>0</v>
      </c>
      <c r="AP21" s="1089">
        <f>'3. Results'!BC123</f>
        <v>0</v>
      </c>
    </row>
    <row r="22" spans="1:42">
      <c r="A22" s="13" t="str">
        <f>'3. Results'!C124</f>
        <v>Total investment cost in EUR of time spent to become FAIR</v>
      </c>
      <c r="B22" s="65">
        <f ca="1">'3. Results'!E124</f>
        <v>-1405.8893101152692</v>
      </c>
      <c r="C22" s="65">
        <f>'3. Results'!F124</f>
        <v>0</v>
      </c>
      <c r="D22" s="65">
        <f>'3. Results'!G124</f>
        <v>0</v>
      </c>
      <c r="E22" s="65">
        <f>'3. Results'!H124</f>
        <v>0</v>
      </c>
      <c r="F22" s="65">
        <f>'3. Results'!I124</f>
        <v>0</v>
      </c>
      <c r="G22" s="65">
        <f>'3. Results'!J124</f>
        <v>0</v>
      </c>
      <c r="H22" s="65">
        <f>'3. Results'!K124</f>
        <v>0</v>
      </c>
      <c r="I22" s="65">
        <f>'3. Results'!L124</f>
        <v>0</v>
      </c>
      <c r="J22" s="65">
        <f>'3. Results'!M124</f>
        <v>0</v>
      </c>
      <c r="K22" s="65">
        <f>'3. Results'!N124</f>
        <v>0</v>
      </c>
      <c r="L22" s="65">
        <f>'3. Results'!O124</f>
        <v>0</v>
      </c>
      <c r="M22">
        <f>'3. Results'!P124</f>
        <v>0</v>
      </c>
      <c r="N22">
        <f>'3. Results'!Q124</f>
        <v>0</v>
      </c>
      <c r="O22">
        <f>'3. Results'!R124</f>
        <v>0</v>
      </c>
      <c r="P22">
        <f>'3. Results'!S124</f>
        <v>0</v>
      </c>
      <c r="Q22">
        <f>'3. Results'!T124</f>
        <v>0</v>
      </c>
      <c r="R22">
        <f>'3. Results'!U124</f>
        <v>0</v>
      </c>
      <c r="S22">
        <f>'3. Results'!V124</f>
        <v>0</v>
      </c>
      <c r="T22">
        <f>'3. Results'!W124</f>
        <v>0</v>
      </c>
      <c r="U22">
        <f>'3. Results'!X124</f>
        <v>0</v>
      </c>
      <c r="V22">
        <f>'3. Results'!Y124</f>
        <v>0</v>
      </c>
      <c r="W22" s="1089">
        <f>'3. Results'!AJ124</f>
        <v>0</v>
      </c>
      <c r="X22" s="1089">
        <f>'3. Results'!AK124</f>
        <v>0</v>
      </c>
      <c r="Y22" s="1089">
        <f>'3. Results'!AL124</f>
        <v>0</v>
      </c>
      <c r="Z22" s="1089">
        <f>'3. Results'!AM124</f>
        <v>0</v>
      </c>
      <c r="AA22" s="1089">
        <f>'3. Results'!AN124</f>
        <v>0</v>
      </c>
      <c r="AB22" s="1089">
        <f>'3. Results'!AO124</f>
        <v>0</v>
      </c>
      <c r="AC22" s="1089">
        <f>'3. Results'!AP124</f>
        <v>0</v>
      </c>
      <c r="AD22" s="1089">
        <f>'3. Results'!AQ124</f>
        <v>0</v>
      </c>
      <c r="AE22" s="1089">
        <f>'3. Results'!AR124</f>
        <v>0</v>
      </c>
      <c r="AF22" s="1089">
        <f>'3. Results'!AS124</f>
        <v>0</v>
      </c>
      <c r="AG22" s="1089">
        <f>'3. Results'!AT124</f>
        <v>0</v>
      </c>
      <c r="AH22" s="1089">
        <f>'3. Results'!AU124</f>
        <v>0</v>
      </c>
      <c r="AI22" s="1089">
        <f>'3. Results'!AV124</f>
        <v>0</v>
      </c>
      <c r="AJ22" s="1089">
        <f>'3. Results'!AW124</f>
        <v>0</v>
      </c>
      <c r="AK22" s="1089">
        <f>'3. Results'!AX124</f>
        <v>0</v>
      </c>
      <c r="AL22" s="1089">
        <f>'3. Results'!AY124</f>
        <v>0</v>
      </c>
      <c r="AM22" s="1089">
        <f>'3. Results'!AZ124</f>
        <v>0</v>
      </c>
      <c r="AN22" s="1089">
        <f>'3. Results'!BA124</f>
        <v>0</v>
      </c>
      <c r="AO22" s="1089">
        <f>'3. Results'!BB124</f>
        <v>0</v>
      </c>
      <c r="AP22" s="1089">
        <f>'3. Results'!BC124</f>
        <v>0</v>
      </c>
    </row>
    <row r="23" spans="1:42">
      <c r="A23" s="84" t="str">
        <f>'3. Results'!C119</f>
        <v>Implementation costs</v>
      </c>
      <c r="B23" s="85">
        <f t="shared" ref="B23:V23" ca="1" si="3">SUM(B19:B22)</f>
        <v>-60340.229973993024</v>
      </c>
      <c r="C23" s="85">
        <f t="shared" si="3"/>
        <v>0</v>
      </c>
      <c r="D23" s="85">
        <f t="shared" si="3"/>
        <v>0</v>
      </c>
      <c r="E23" s="85">
        <f t="shared" si="3"/>
        <v>0</v>
      </c>
      <c r="F23" s="85">
        <f t="shared" si="3"/>
        <v>0</v>
      </c>
      <c r="G23" s="85">
        <f t="shared" si="3"/>
        <v>0</v>
      </c>
      <c r="H23" s="85">
        <f t="shared" si="3"/>
        <v>0</v>
      </c>
      <c r="I23" s="85">
        <f t="shared" si="3"/>
        <v>0</v>
      </c>
      <c r="J23" s="85">
        <f t="shared" si="3"/>
        <v>0</v>
      </c>
      <c r="K23" s="85">
        <f t="shared" si="3"/>
        <v>0</v>
      </c>
      <c r="L23" s="85">
        <f t="shared" si="3"/>
        <v>0</v>
      </c>
      <c r="M23" s="85">
        <f t="shared" si="3"/>
        <v>0</v>
      </c>
      <c r="N23" s="85">
        <f t="shared" si="3"/>
        <v>0</v>
      </c>
      <c r="O23" s="85">
        <f t="shared" si="3"/>
        <v>0</v>
      </c>
      <c r="P23" s="85">
        <f t="shared" si="3"/>
        <v>0</v>
      </c>
      <c r="Q23" s="85">
        <f t="shared" si="3"/>
        <v>0</v>
      </c>
      <c r="R23" s="85">
        <f t="shared" si="3"/>
        <v>0</v>
      </c>
      <c r="S23" s="85">
        <f t="shared" si="3"/>
        <v>0</v>
      </c>
      <c r="T23" s="85">
        <f t="shared" si="3"/>
        <v>0</v>
      </c>
      <c r="U23" s="85">
        <f t="shared" si="3"/>
        <v>0</v>
      </c>
      <c r="V23" s="85">
        <f t="shared" si="3"/>
        <v>0</v>
      </c>
      <c r="W23" s="85">
        <f t="shared" ref="W23:AP23" si="4">SUM(W19:W22)</f>
        <v>0</v>
      </c>
      <c r="X23" s="85">
        <f t="shared" si="4"/>
        <v>0</v>
      </c>
      <c r="Y23" s="85">
        <f t="shared" si="4"/>
        <v>0</v>
      </c>
      <c r="Z23" s="85">
        <f t="shared" si="4"/>
        <v>0</v>
      </c>
      <c r="AA23" s="85">
        <f t="shared" si="4"/>
        <v>0</v>
      </c>
      <c r="AB23" s="85">
        <f t="shared" si="4"/>
        <v>0</v>
      </c>
      <c r="AC23" s="85">
        <f t="shared" si="4"/>
        <v>0</v>
      </c>
      <c r="AD23" s="85">
        <f t="shared" si="4"/>
        <v>0</v>
      </c>
      <c r="AE23" s="85">
        <f t="shared" si="4"/>
        <v>0</v>
      </c>
      <c r="AF23" s="85">
        <f t="shared" si="4"/>
        <v>0</v>
      </c>
      <c r="AG23" s="85">
        <f t="shared" si="4"/>
        <v>0</v>
      </c>
      <c r="AH23" s="85">
        <f t="shared" si="4"/>
        <v>0</v>
      </c>
      <c r="AI23" s="85">
        <f t="shared" si="4"/>
        <v>0</v>
      </c>
      <c r="AJ23" s="85">
        <f t="shared" si="4"/>
        <v>0</v>
      </c>
      <c r="AK23" s="85">
        <f t="shared" si="4"/>
        <v>0</v>
      </c>
      <c r="AL23" s="85">
        <f t="shared" si="4"/>
        <v>0</v>
      </c>
      <c r="AM23" s="85">
        <f t="shared" si="4"/>
        <v>0</v>
      </c>
      <c r="AN23" s="85">
        <f t="shared" si="4"/>
        <v>0</v>
      </c>
      <c r="AO23" s="85">
        <f t="shared" si="4"/>
        <v>0</v>
      </c>
      <c r="AP23" s="85">
        <f t="shared" si="4"/>
        <v>0</v>
      </c>
    </row>
    <row r="24" spans="1:42">
      <c r="A24" s="86" t="str">
        <f>'3. Results'!B97</f>
        <v>Direct costs of implementing FAIR</v>
      </c>
      <c r="B24" s="87">
        <f ca="1">'3. Results'!E97</f>
        <v>-196202.92834363363</v>
      </c>
      <c r="C24" s="87">
        <f ca="1">'3. Results'!F97</f>
        <v>-125171.28274748767</v>
      </c>
      <c r="D24" s="87">
        <f ca="1">'3. Results'!G97</f>
        <v>-136467.91589759372</v>
      </c>
      <c r="E24" s="87">
        <f ca="1">'3. Results'!H97</f>
        <v>-133808.12457789262</v>
      </c>
      <c r="F24" s="87">
        <f ca="1">'3. Results'!I97</f>
        <v>-128796.45862493681</v>
      </c>
      <c r="G24" s="87">
        <f ca="1">'3. Results'!J97</f>
        <v>-129496.66446873291</v>
      </c>
      <c r="H24" s="87">
        <f ca="1">'3. Results'!K97</f>
        <v>-130315.11625817318</v>
      </c>
      <c r="I24" s="87">
        <f ca="1">'3. Results'!L97</f>
        <v>-131235.97792608189</v>
      </c>
      <c r="J24" s="87">
        <f ca="1">'3. Results'!M97</f>
        <v>-132324.33069353417</v>
      </c>
      <c r="K24" s="87">
        <f ca="1">'3. Results'!N97</f>
        <v>-133711.27265164198</v>
      </c>
      <c r="L24" s="87">
        <f ca="1">'3. Results'!O97</f>
        <v>-135300.40782193851</v>
      </c>
      <c r="M24" s="87">
        <f ca="1">'3. Results'!P97</f>
        <v>-137199.55708577699</v>
      </c>
      <c r="N24" s="87">
        <f ca="1">'3. Results'!Q97</f>
        <v>-139475.68479086756</v>
      </c>
      <c r="O24" s="87">
        <f ca="1">'3. Results'!R97</f>
        <v>-142210.70268773573</v>
      </c>
      <c r="P24" s="87">
        <f ca="1">'3. Results'!S97</f>
        <v>-145504.76183830324</v>
      </c>
      <c r="Q24" s="87">
        <f ca="1">'3. Results'!T97</f>
        <v>-149479.74034473376</v>
      </c>
      <c r="R24" s="87">
        <f ca="1">'3. Results'!U97</f>
        <v>-154282.209386956</v>
      </c>
      <c r="S24" s="87">
        <f ca="1">'3. Results'!V97</f>
        <v>-160084.68219079723</v>
      </c>
      <c r="T24" s="87">
        <f ca="1">'3. Results'!W97</f>
        <v>-167084.20842307672</v>
      </c>
      <c r="U24" s="87">
        <f ca="1">'3. Results'!X97</f>
        <v>-175499.77817157737</v>
      </c>
      <c r="V24" s="87">
        <f ca="1">'3. Results'!Y97</f>
        <v>-185175.00197367911</v>
      </c>
      <c r="W24" s="87">
        <f ca="1">'3. Results'!AJ97</f>
        <v>-552807.21921676467</v>
      </c>
      <c r="X24" s="87">
        <f ca="1">'3. Results'!AK97</f>
        <v>-612860.82017024013</v>
      </c>
      <c r="Y24" s="87">
        <f ca="1">'3. Results'!AL97</f>
        <v>-672161.23932368751</v>
      </c>
      <c r="Z24" s="87">
        <f ca="1">'3. Results'!AM97</f>
        <v>-729285.74644963106</v>
      </c>
      <c r="AA24" s="87">
        <f ca="1">'3. Results'!AN97</f>
        <v>-783163.97473370342</v>
      </c>
      <c r="AB24" s="87">
        <f ca="1">'3. Results'!AO97</f>
        <v>-832981.29895017028</v>
      </c>
      <c r="AC24" s="87">
        <f ca="1">'3. Results'!AP97</f>
        <v>-878102.39445655467</v>
      </c>
      <c r="AD24" s="87">
        <f ca="1">'3. Results'!AQ97</f>
        <v>-918009.85138584196</v>
      </c>
      <c r="AE24" s="87">
        <f ca="1">'3. Results'!AR97</f>
        <v>-952253.80485683598</v>
      </c>
      <c r="AF24" s="87">
        <f ca="1">'3. Results'!AS97</f>
        <v>-980409.35867962847</v>
      </c>
      <c r="AG24" s="87">
        <f>'3. Results'!AT97</f>
        <v>0</v>
      </c>
      <c r="AH24" s="87">
        <f>'3. Results'!AU97</f>
        <v>0</v>
      </c>
      <c r="AI24" s="87">
        <f>'3. Results'!AV97</f>
        <v>0</v>
      </c>
      <c r="AJ24" s="87">
        <f>'3. Results'!AW97</f>
        <v>0</v>
      </c>
      <c r="AK24" s="87">
        <f>'3. Results'!AX97</f>
        <v>0</v>
      </c>
      <c r="AL24" s="87">
        <f>'3. Results'!AY97</f>
        <v>0</v>
      </c>
      <c r="AM24" s="87">
        <f>'3. Results'!AZ97</f>
        <v>0</v>
      </c>
      <c r="AN24" s="87">
        <f>'3. Results'!BA97</f>
        <v>0</v>
      </c>
      <c r="AO24" s="87">
        <f>'3. Results'!BB97</f>
        <v>0</v>
      </c>
      <c r="AP24" s="87">
        <f>'3. Results'!BC97</f>
        <v>0</v>
      </c>
    </row>
    <row r="25" spans="1:42">
      <c r="A25" s="104" t="str">
        <f>'3. Results'!B49</f>
        <v>Benefits/Costs (Net Cash Flow)</v>
      </c>
      <c r="B25" s="104">
        <f ca="1">'3. Results'!E49</f>
        <v>-199577.61871114414</v>
      </c>
      <c r="C25" s="104">
        <f ca="1">'3. Results'!F49</f>
        <v>-93187.44330296063</v>
      </c>
      <c r="D25" s="104">
        <f ca="1">'3. Results'!G49</f>
        <v>-100640.62818486095</v>
      </c>
      <c r="E25" s="104">
        <f ca="1">'3. Results'!H49</f>
        <v>-91848.687303096871</v>
      </c>
      <c r="F25" s="104">
        <f ca="1">'3. Results'!I49</f>
        <v>-78405.875028939423</v>
      </c>
      <c r="G25" s="104">
        <f ca="1">'3. Results'!J49</f>
        <v>-74346.258050262477</v>
      </c>
      <c r="H25" s="104">
        <f ca="1">'3. Results'!K49</f>
        <v>-68993.597685336455</v>
      </c>
      <c r="I25" s="104">
        <f ca="1">'3. Results'!L49</f>
        <v>-61697.426997962764</v>
      </c>
      <c r="J25" s="104">
        <f ca="1">'3. Results'!M49</f>
        <v>-52337.605372254002</v>
      </c>
      <c r="K25" s="104">
        <f ca="1">'3. Results'!N49</f>
        <v>-41234.069426700378</v>
      </c>
      <c r="L25" s="104">
        <f ca="1">'3. Results'!O49</f>
        <v>-26643.557445556788</v>
      </c>
      <c r="M25" s="104">
        <f ca="1">'3. Results'!P49</f>
        <v>-8316.3214538065513</v>
      </c>
      <c r="N25" s="104">
        <f ca="1">'3. Results'!Q49</f>
        <v>14580.516974276958</v>
      </c>
      <c r="O25" s="104">
        <f ca="1">'3. Results'!R49</f>
        <v>43055.651929385247</v>
      </c>
      <c r="P25" s="104">
        <f ca="1">'3. Results'!S49</f>
        <v>78332.809885124807</v>
      </c>
      <c r="Q25" s="104">
        <f ca="1">'3. Results'!T49</f>
        <v>121901.14749090534</v>
      </c>
      <c r="R25" s="104">
        <f ca="1">'3. Results'!U49</f>
        <v>175583.28515114394</v>
      </c>
      <c r="S25" s="104">
        <f ca="1">'3. Results'!V49</f>
        <v>241630.51141030467</v>
      </c>
      <c r="T25" s="104">
        <f ca="1">'3. Results'!W49</f>
        <v>322853.0963681346</v>
      </c>
      <c r="U25" s="104">
        <f ca="1">'3. Results'!X49</f>
        <v>422780.52334898477</v>
      </c>
      <c r="V25" s="104">
        <f ca="1">'3. Results'!Y49</f>
        <v>547602.58332462516</v>
      </c>
      <c r="W25" s="104">
        <f ca="1">'3. Results'!AJ49</f>
        <v>1587420.8133476693</v>
      </c>
      <c r="X25" s="104">
        <f ca="1">'3. Results'!AK49</f>
        <v>1276765.6250157079</v>
      </c>
      <c r="Y25" s="104">
        <f ca="1">'3. Results'!AL49</f>
        <v>923312.63634720561</v>
      </c>
      <c r="Z25" s="104">
        <f ca="1">'3. Results'!AM49</f>
        <v>542764.69518571696</v>
      </c>
      <c r="AA25" s="104">
        <f ca="1">'3. Results'!AN49</f>
        <v>147718.24330868488</v>
      </c>
      <c r="AB25" s="104">
        <f ca="1">'3. Results'!AO49</f>
        <v>-251567.05251802801</v>
      </c>
      <c r="AC25" s="104">
        <f ca="1">'3. Results'!AP49</f>
        <v>-646543.31908190087</v>
      </c>
      <c r="AD25" s="104">
        <f ca="1">'3. Results'!AQ49</f>
        <v>-1029857.9994428484</v>
      </c>
      <c r="AE25" s="104">
        <f ca="1">'3. Results'!AR49</f>
        <v>-1394916.4828830441</v>
      </c>
      <c r="AF25" s="104">
        <f ca="1">'3. Results'!AS49</f>
        <v>-1735499.4445009124</v>
      </c>
      <c r="AG25" s="104">
        <f>'3. Results'!AT49</f>
        <v>0</v>
      </c>
      <c r="AH25" s="104">
        <f>'3. Results'!AU49</f>
        <v>0</v>
      </c>
      <c r="AI25" s="104">
        <f>'3. Results'!AV49</f>
        <v>0</v>
      </c>
      <c r="AJ25" s="104">
        <f>'3. Results'!AW49</f>
        <v>0</v>
      </c>
      <c r="AK25" s="104">
        <f>'3. Results'!AX49</f>
        <v>0</v>
      </c>
      <c r="AL25" s="104">
        <f>'3. Results'!AY49</f>
        <v>0</v>
      </c>
      <c r="AM25" s="104">
        <f>'3. Results'!AZ49</f>
        <v>0</v>
      </c>
      <c r="AN25" s="104">
        <f ca="1">'3. Results'!BA49</f>
        <v>2052</v>
      </c>
      <c r="AO25" s="104">
        <f>'3. Results'!BB49</f>
        <v>0</v>
      </c>
      <c r="AP25" s="104">
        <f>'3. Results'!BC49</f>
        <v>0</v>
      </c>
    </row>
    <row r="26" spans="1:42">
      <c r="A26" s="105" t="str">
        <f>'3. Results'!C53</f>
        <v>Cumulative Net Benefits (Cumulative Net Cash Flow)</v>
      </c>
      <c r="B26" s="106">
        <f ca="1">'3. Results'!E53</f>
        <v>-199577.61871114414</v>
      </c>
      <c r="C26" s="106">
        <f ca="1">'3. Results'!F53</f>
        <v>-292765.0620141048</v>
      </c>
      <c r="D26" s="106">
        <f ca="1">'3. Results'!G53</f>
        <v>-393405.69019896572</v>
      </c>
      <c r="E26" s="106">
        <f ca="1">'3. Results'!H53</f>
        <v>-485254.37750206259</v>
      </c>
      <c r="F26" s="106">
        <f ca="1">'3. Results'!I53</f>
        <v>-563660.25253100204</v>
      </c>
      <c r="G26" s="106">
        <f ca="1">'3. Results'!J53</f>
        <v>-638006.51058126451</v>
      </c>
      <c r="H26" s="106">
        <f ca="1">'3. Results'!K53</f>
        <v>-707000.10826660099</v>
      </c>
      <c r="I26" s="106">
        <f ca="1">'3. Results'!L53</f>
        <v>-768697.53526456375</v>
      </c>
      <c r="J26" s="106">
        <f ca="1">'3. Results'!M53</f>
        <v>-821035.14063681778</v>
      </c>
      <c r="K26" s="106">
        <f ca="1">'3. Results'!N53</f>
        <v>-862269.21006351814</v>
      </c>
      <c r="L26" s="106">
        <f ca="1">'3. Results'!O53</f>
        <v>-888912.76750907488</v>
      </c>
      <c r="M26" s="107">
        <f ca="1">'3. Results'!P53</f>
        <v>-897229.08896288148</v>
      </c>
      <c r="N26" s="107">
        <f ca="1">'3. Results'!Q53</f>
        <v>-882648.5719886045</v>
      </c>
      <c r="O26" s="107">
        <f ca="1">'3. Results'!R53</f>
        <v>-839592.92005921924</v>
      </c>
      <c r="P26" s="107">
        <f ca="1">'3. Results'!S53</f>
        <v>-761260.11017409444</v>
      </c>
      <c r="Q26" s="107">
        <f ca="1">'3. Results'!T53</f>
        <v>-639358.96268318908</v>
      </c>
      <c r="R26" s="107">
        <f ca="1">'3. Results'!U53</f>
        <v>-463775.67753204517</v>
      </c>
      <c r="S26" s="107">
        <f ca="1">'3. Results'!V53</f>
        <v>-222145.16612174051</v>
      </c>
      <c r="T26" s="107">
        <f ca="1">'3. Results'!W53</f>
        <v>100707.9302463941</v>
      </c>
      <c r="U26" s="107">
        <f ca="1">'3. Results'!X53</f>
        <v>523488.4535953789</v>
      </c>
      <c r="V26" s="107">
        <f ca="1">'3. Results'!Y53</f>
        <v>1071091.0369200041</v>
      </c>
      <c r="W26" s="107">
        <f ca="1">'3. Results'!AJ53</f>
        <v>19165685.278341442</v>
      </c>
      <c r="X26" s="107">
        <f ca="1">'3. Results'!AK53</f>
        <v>20442450.903357152</v>
      </c>
      <c r="Y26" s="107">
        <f ca="1">'3. Results'!AL53</f>
        <v>21365763.539704356</v>
      </c>
      <c r="Z26" s="107">
        <f ca="1">'3. Results'!AM53</f>
        <v>21908528.234890074</v>
      </c>
      <c r="AA26" s="107">
        <f ca="1">'3. Results'!AN53</f>
        <v>22056246.478198759</v>
      </c>
      <c r="AB26" s="107">
        <f ca="1">'3. Results'!AO53</f>
        <v>21804679.42568073</v>
      </c>
      <c r="AC26" s="107">
        <f ca="1">'3. Results'!AP53</f>
        <v>21158136.106598828</v>
      </c>
      <c r="AD26" s="107">
        <f ca="1">'3. Results'!AQ53</f>
        <v>20128278.107155979</v>
      </c>
      <c r="AE26" s="107">
        <f ca="1">'3. Results'!AR53</f>
        <v>18733361.624272935</v>
      </c>
      <c r="AF26" s="107">
        <f ca="1">'3. Results'!AS53</f>
        <v>16997862.179772023</v>
      </c>
      <c r="AG26" s="107">
        <f>'3. Results'!AT53</f>
        <v>0</v>
      </c>
      <c r="AH26" s="107">
        <f>'3. Results'!AU53</f>
        <v>0</v>
      </c>
      <c r="AI26" s="107">
        <f>'3. Results'!AV53</f>
        <v>0</v>
      </c>
      <c r="AJ26" s="107">
        <f>'3. Results'!AW53</f>
        <v>0</v>
      </c>
      <c r="AK26" s="107">
        <f>'3. Results'!AX53</f>
        <v>0</v>
      </c>
      <c r="AL26" s="107">
        <f>'3. Results'!AY53</f>
        <v>0</v>
      </c>
      <c r="AM26" s="107">
        <f>'3. Results'!AZ53</f>
        <v>0</v>
      </c>
      <c r="AN26" s="107">
        <f ca="1">'3. Results'!BA53</f>
        <v>2056</v>
      </c>
      <c r="AO26" s="107">
        <f>'3. Results'!BB53</f>
        <v>0</v>
      </c>
      <c r="AP26" s="107">
        <f>'3. Results'!BC53</f>
        <v>0</v>
      </c>
    </row>
    <row r="27" spans="1:42">
      <c r="A27" s="13" t="str">
        <f>'3. Results'!C47</f>
        <v>Projected inflation</v>
      </c>
      <c r="B27" s="88">
        <f ca="1">'3. Results'!E47</f>
        <v>1.72E-2</v>
      </c>
      <c r="C27" s="88">
        <f ca="1">'3. Results'!F47</f>
        <v>1.89E-2</v>
      </c>
      <c r="D27" s="88">
        <f ca="1">'3. Results'!G47</f>
        <v>1.9400000000000001E-2</v>
      </c>
      <c r="E27" s="88">
        <f ca="1">'3. Results'!H47</f>
        <v>1.9900000000000001E-2</v>
      </c>
      <c r="F27" s="88">
        <f ca="1">'3. Results'!I47</f>
        <v>1.8849999999999999E-2</v>
      </c>
      <c r="G27" s="88">
        <f ca="1">'3. Results'!J47</f>
        <v>1.8849999999999999E-2</v>
      </c>
      <c r="H27" s="88">
        <f ca="1">'3. Results'!K47</f>
        <v>1.8849999999999999E-2</v>
      </c>
      <c r="I27" s="88">
        <f ca="1">'3. Results'!L47</f>
        <v>1.8849999999999999E-2</v>
      </c>
      <c r="J27" s="88">
        <f ca="1">'3. Results'!M47</f>
        <v>1.8849999999999999E-2</v>
      </c>
      <c r="K27" s="88">
        <f ca="1">'3. Results'!N47</f>
        <v>1.8849999999999999E-2</v>
      </c>
      <c r="L27" s="88">
        <f ca="1">'3. Results'!O47</f>
        <v>1.8849999999999999E-2</v>
      </c>
      <c r="M27">
        <f ca="1">'3. Results'!P47</f>
        <v>1.8849999999999999E-2</v>
      </c>
      <c r="N27">
        <f ca="1">'3. Results'!Q47</f>
        <v>1.8849999999999999E-2</v>
      </c>
      <c r="O27">
        <f ca="1">'3. Results'!R47</f>
        <v>1.8849999999999999E-2</v>
      </c>
      <c r="P27">
        <f ca="1">'3. Results'!S47</f>
        <v>1.8849999999999999E-2</v>
      </c>
      <c r="Q27">
        <f ca="1">'3. Results'!T47</f>
        <v>1.8849999999999999E-2</v>
      </c>
      <c r="R27">
        <f ca="1">'3. Results'!U47</f>
        <v>1.8849999999999999E-2</v>
      </c>
      <c r="S27">
        <f ca="1">'3. Results'!V47</f>
        <v>1.8849999999999999E-2</v>
      </c>
      <c r="T27">
        <f ca="1">'3. Results'!W47</f>
        <v>1.8849999999999999E-2</v>
      </c>
      <c r="U27">
        <f ca="1">'3. Results'!X47</f>
        <v>1.8849999999999999E-2</v>
      </c>
      <c r="V27">
        <f ca="1">'3. Results'!Y47</f>
        <v>1.8849999999999999E-2</v>
      </c>
      <c r="W27" s="1089">
        <f ca="1">'3. Results'!AJ47</f>
        <v>1.8849999999999999E-2</v>
      </c>
      <c r="X27" s="1089">
        <f ca="1">'3. Results'!AK47</f>
        <v>1.8849999999999999E-2</v>
      </c>
      <c r="Y27" s="1089">
        <f ca="1">'3. Results'!AL47</f>
        <v>1.8849999999999999E-2</v>
      </c>
      <c r="Z27" s="1089">
        <f ca="1">'3. Results'!AM47</f>
        <v>1.8849999999999999E-2</v>
      </c>
      <c r="AA27" s="1089">
        <f ca="1">'3. Results'!AN47</f>
        <v>1.8849999999999999E-2</v>
      </c>
      <c r="AB27" s="1089">
        <f ca="1">'3. Results'!AO47</f>
        <v>1.8849999999999999E-2</v>
      </c>
      <c r="AC27" s="1089">
        <f ca="1">'3. Results'!AP47</f>
        <v>1.8849999999999999E-2</v>
      </c>
      <c r="AD27" s="1089">
        <f ca="1">'3. Results'!AQ47</f>
        <v>1.8849999999999999E-2</v>
      </c>
      <c r="AE27" s="1089">
        <f ca="1">'3. Results'!AR47</f>
        <v>1.8849999999999999E-2</v>
      </c>
      <c r="AF27" s="1089">
        <f ca="1">'3. Results'!AS47</f>
        <v>1.8849999999999999E-2</v>
      </c>
      <c r="AG27" s="1089">
        <f>'3. Results'!AT47</f>
        <v>0</v>
      </c>
      <c r="AH27" s="1089">
        <f>'3. Results'!AU47</f>
        <v>0</v>
      </c>
      <c r="AI27" s="1089">
        <f>'3. Results'!AV47</f>
        <v>0</v>
      </c>
      <c r="AJ27" s="1089">
        <f>'3. Results'!AW47</f>
        <v>0</v>
      </c>
      <c r="AK27" s="1089">
        <f>'3. Results'!AX47</f>
        <v>0</v>
      </c>
      <c r="AL27" s="1089">
        <f>'3. Results'!AY47</f>
        <v>0</v>
      </c>
      <c r="AM27" s="1089">
        <f>'3. Results'!AZ47</f>
        <v>0</v>
      </c>
      <c r="AN27" s="1089">
        <f ca="1">'3. Results'!BA47</f>
        <v>2050</v>
      </c>
      <c r="AO27" s="1089">
        <f>'3. Results'!BB47</f>
        <v>0</v>
      </c>
      <c r="AP27" s="1089">
        <f>'3. Results'!BC47</f>
        <v>0</v>
      </c>
    </row>
    <row r="28" spans="1:42">
      <c r="A28" s="13" t="str">
        <f>'3. Results'!C54</f>
        <v>Present Value</v>
      </c>
      <c r="B28" s="65">
        <f ca="1">'3. Results'!E54</f>
        <v>-190073.92258204203</v>
      </c>
      <c r="C28" s="65">
        <f ca="1">'3. Results'!F54</f>
        <v>-84523.758097923477</v>
      </c>
      <c r="D28" s="65">
        <f ca="1">'3. Results'!G54</f>
        <v>-86937.158565909456</v>
      </c>
      <c r="E28" s="65">
        <f ca="1">'3. Results'!H54</f>
        <v>-75564.142350643509</v>
      </c>
      <c r="F28" s="65">
        <f ca="1">'3. Results'!I54</f>
        <v>-61433.054690029981</v>
      </c>
      <c r="G28" s="65">
        <f ca="1">'3. Results'!J54</f>
        <v>-55478.322439425683</v>
      </c>
      <c r="H28" s="65">
        <f ca="1">'3. Results'!K54</f>
        <v>-49032.461773477378</v>
      </c>
      <c r="I28" s="65">
        <f ca="1">'3. Results'!L54</f>
        <v>-41759.24712811262</v>
      </c>
      <c r="J28" s="65">
        <f ca="1">'3. Results'!M54</f>
        <v>-33737.287076443419</v>
      </c>
      <c r="K28" s="65">
        <f ca="1">'3. Results'!N54</f>
        <v>-25314.141718471183</v>
      </c>
      <c r="L28" s="65">
        <f ca="1">'3. Results'!O54</f>
        <v>-15577.936226001799</v>
      </c>
      <c r="M28">
        <f ca="1">'3. Results'!P54</f>
        <v>-4630.8389670722881</v>
      </c>
      <c r="N28">
        <f ca="1">'3. Results'!Q54</f>
        <v>7732.3594549052013</v>
      </c>
      <c r="O28">
        <f ca="1">'3. Results'!R54</f>
        <v>21746.029984862169</v>
      </c>
      <c r="P28">
        <f ca="1">'3. Results'!S54</f>
        <v>37679.4208962544</v>
      </c>
      <c r="Q28">
        <f ca="1">'3. Results'!T54</f>
        <v>55844.320209556805</v>
      </c>
      <c r="R28">
        <f ca="1">'3. Results'!U54</f>
        <v>76606.405711276719</v>
      </c>
      <c r="S28">
        <f ca="1">'3. Results'!V54</f>
        <v>100402.46833717465</v>
      </c>
      <c r="T28">
        <f ca="1">'3. Results'!W54</f>
        <v>127763.93336083993</v>
      </c>
      <c r="U28">
        <f ca="1">'3. Results'!X54</f>
        <v>159341.53281377544</v>
      </c>
      <c r="V28">
        <f ca="1">'3. Results'!Y54</f>
        <v>196557.76614203543</v>
      </c>
      <c r="W28" s="1089">
        <f ca="1">'3. Results'!AJ54</f>
        <v>333145.92084860842</v>
      </c>
      <c r="X28" s="1089">
        <f ca="1">'3. Results'!AK54</f>
        <v>255190.38794742382</v>
      </c>
      <c r="Y28" s="1089">
        <f ca="1">'3. Results'!AL54</f>
        <v>175756.99187867649</v>
      </c>
      <c r="Z28" s="1089">
        <f ca="1">'3. Results'!AM54</f>
        <v>98397.966469523191</v>
      </c>
      <c r="AA28" s="1089">
        <f ca="1">'3. Results'!AN54</f>
        <v>25504.64998210753</v>
      </c>
      <c r="AB28" s="1089">
        <f ca="1">'3. Results'!AO54</f>
        <v>-41366.587515918422</v>
      </c>
      <c r="AC28" s="1089">
        <f ca="1">'3. Results'!AP54</f>
        <v>-101252.15230248153</v>
      </c>
      <c r="AD28" s="1089">
        <f ca="1">'3. Results'!AQ54</f>
        <v>-153601.22631342144</v>
      </c>
      <c r="AE28" s="1089">
        <f ca="1">'3. Results'!AR54</f>
        <v>-198141.86356302581</v>
      </c>
      <c r="AF28" s="1089">
        <f ca="1">'3. Results'!AS54</f>
        <v>-234781.14545322405</v>
      </c>
      <c r="AG28" s="1089">
        <f>'3. Results'!AT54</f>
        <v>0</v>
      </c>
      <c r="AH28" s="1089">
        <f>'3. Results'!AU54</f>
        <v>0</v>
      </c>
      <c r="AI28" s="1089">
        <f>'3. Results'!AV54</f>
        <v>0</v>
      </c>
      <c r="AJ28" s="1089">
        <f>'3. Results'!AW54</f>
        <v>0</v>
      </c>
      <c r="AK28" s="1089">
        <f>'3. Results'!AX54</f>
        <v>0</v>
      </c>
      <c r="AL28" s="1089">
        <f>'3. Results'!AY54</f>
        <v>0</v>
      </c>
      <c r="AM28" s="1089">
        <f>'3. Results'!AZ54</f>
        <v>0</v>
      </c>
      <c r="AN28" s="1089">
        <f ca="1">'3. Results'!BA54</f>
        <v>2057</v>
      </c>
      <c r="AO28" s="1089">
        <f>'3. Results'!BB54</f>
        <v>0</v>
      </c>
      <c r="AP28" s="1089">
        <f>'3. Results'!BC54</f>
        <v>0</v>
      </c>
    </row>
    <row r="29" spans="1:42">
      <c r="A29" s="13" t="str">
        <f>'3. Results'!C55</f>
        <v>Cumulative Present Value</v>
      </c>
      <c r="B29" s="65">
        <f ca="1">'3. Results'!E55</f>
        <v>-190073.92258204203</v>
      </c>
      <c r="C29" s="65">
        <f ca="1">'3. Results'!F55</f>
        <v>-274597.68067996553</v>
      </c>
      <c r="D29" s="65">
        <f ca="1">'3. Results'!G55</f>
        <v>-361534.83924587502</v>
      </c>
      <c r="E29" s="65">
        <f ca="1">'3. Results'!H55</f>
        <v>-437098.98159651854</v>
      </c>
      <c r="F29" s="65">
        <f ca="1">'3. Results'!I55</f>
        <v>-498532.03628654854</v>
      </c>
      <c r="G29" s="65">
        <f ca="1">'3. Results'!J55</f>
        <v>-554010.35872597422</v>
      </c>
      <c r="H29" s="65">
        <f ca="1">'3. Results'!K55</f>
        <v>-603042.8204994516</v>
      </c>
      <c r="I29" s="65">
        <f ca="1">'3. Results'!L55</f>
        <v>-644802.06762756419</v>
      </c>
      <c r="J29" s="65">
        <f ca="1">'3. Results'!M55</f>
        <v>-678539.35470400762</v>
      </c>
      <c r="K29" s="65">
        <f ca="1">'3. Results'!N55</f>
        <v>-703853.49642247881</v>
      </c>
      <c r="L29" s="65">
        <f ca="1">'3. Results'!O55</f>
        <v>-719431.43264848064</v>
      </c>
      <c r="M29" s="65">
        <f ca="1">'3. Results'!P55</f>
        <v>-724062.27161555295</v>
      </c>
      <c r="N29" s="65">
        <f ca="1">'3. Results'!Q55</f>
        <v>-716329.9121606478</v>
      </c>
      <c r="O29" s="65">
        <f ca="1">'3. Results'!R55</f>
        <v>-694583.88217578561</v>
      </c>
      <c r="P29" s="65">
        <f ca="1">'3. Results'!S55</f>
        <v>-656904.46127953124</v>
      </c>
      <c r="Q29" s="65">
        <f ca="1">'3. Results'!T55</f>
        <v>-601060.1410699744</v>
      </c>
      <c r="R29" s="65">
        <f ca="1">'3. Results'!U55</f>
        <v>-524453.73535869771</v>
      </c>
      <c r="S29" s="65">
        <f ca="1">'3. Results'!V55</f>
        <v>-424051.26702152309</v>
      </c>
      <c r="T29" s="65">
        <f ca="1">'3. Results'!W55</f>
        <v>-296287.33366068313</v>
      </c>
      <c r="U29" s="65">
        <f ca="1">'3. Results'!X55</f>
        <v>-136945.80084690769</v>
      </c>
      <c r="V29" s="65">
        <f ca="1">'3. Results'!Y55</f>
        <v>59611.965295127739</v>
      </c>
      <c r="W29" s="65">
        <f ca="1">'3. Results'!AJ55</f>
        <v>4779067.9818448042</v>
      </c>
      <c r="X29" s="65">
        <f ca="1">'3. Results'!AK55</f>
        <v>5034258.3697922276</v>
      </c>
      <c r="Y29" s="65">
        <f ca="1">'3. Results'!AL55</f>
        <v>5210015.3616709039</v>
      </c>
      <c r="Z29" s="65">
        <f ca="1">'3. Results'!AM55</f>
        <v>5308413.3281404274</v>
      </c>
      <c r="AA29" s="65">
        <f ca="1">'3. Results'!AN55</f>
        <v>5333917.9781225352</v>
      </c>
      <c r="AB29" s="65">
        <f ca="1">'3. Results'!AO55</f>
        <v>5292551.3906066166</v>
      </c>
      <c r="AC29" s="65">
        <f ca="1">'3. Results'!AP55</f>
        <v>5191299.2383041354</v>
      </c>
      <c r="AD29" s="65">
        <f ca="1">'3. Results'!AQ55</f>
        <v>5037698.0119907139</v>
      </c>
      <c r="AE29" s="65">
        <f ca="1">'3. Results'!AR55</f>
        <v>4839556.1484276885</v>
      </c>
      <c r="AF29" s="65">
        <f ca="1">'3. Results'!AS55</f>
        <v>4604775.0029744646</v>
      </c>
      <c r="AG29" s="65">
        <f>'3. Results'!AT55</f>
        <v>0</v>
      </c>
      <c r="AH29" s="65">
        <f>'3. Results'!AU55</f>
        <v>0</v>
      </c>
      <c r="AI29" s="65">
        <f>'3. Results'!AV55</f>
        <v>0</v>
      </c>
      <c r="AJ29" s="65">
        <f>'3. Results'!AW55</f>
        <v>0</v>
      </c>
      <c r="AK29" s="65">
        <f>'3. Results'!AX55</f>
        <v>0</v>
      </c>
      <c r="AL29" s="65">
        <f>'3. Results'!AY55</f>
        <v>0</v>
      </c>
      <c r="AM29" s="65">
        <f>'3. Results'!AZ55</f>
        <v>0</v>
      </c>
      <c r="AN29" s="65">
        <f ca="1">'3. Results'!BA55</f>
        <v>2058</v>
      </c>
      <c r="AO29" s="65">
        <f>'3. Results'!BB55</f>
        <v>0</v>
      </c>
      <c r="AP29" s="65">
        <f>'3. Results'!BC55</f>
        <v>0</v>
      </c>
    </row>
    <row r="30" spans="1:42">
      <c r="A30" s="13"/>
    </row>
    <row r="31" spans="1:42">
      <c r="A31" s="13"/>
    </row>
    <row r="32" spans="1:42">
      <c r="A32" s="13"/>
    </row>
    <row r="33" spans="1:1">
      <c r="A33" s="13"/>
    </row>
    <row r="34" spans="1:1">
      <c r="A34" s="13"/>
    </row>
    <row r="35" spans="1:1">
      <c r="A35" s="13"/>
    </row>
    <row r="36" spans="1:1">
      <c r="A36" s="13"/>
    </row>
    <row r="37" spans="1:1">
      <c r="A37" s="13"/>
    </row>
    <row r="38" spans="1:1">
      <c r="A38" s="13"/>
    </row>
    <row r="39" spans="1:1">
      <c r="A39" s="13"/>
    </row>
    <row r="40" spans="1:1">
      <c r="A40" s="13"/>
    </row>
    <row r="41" spans="1:1">
      <c r="A41" s="13"/>
    </row>
    <row r="42" spans="1:1">
      <c r="A42" s="13"/>
    </row>
    <row r="43" spans="1:1">
      <c r="A43" s="13"/>
    </row>
    <row r="44" spans="1:1">
      <c r="A44" s="13"/>
    </row>
    <row r="45" spans="1:1">
      <c r="A45" s="13"/>
    </row>
    <row r="46" spans="1:1">
      <c r="A46" s="13"/>
    </row>
    <row r="47" spans="1:1">
      <c r="A47" s="13"/>
    </row>
    <row r="48" spans="1:1">
      <c r="A48" s="13"/>
    </row>
    <row r="49" spans="1:1">
      <c r="A49" s="13"/>
    </row>
    <row r="50" spans="1:1">
      <c r="A50" s="13"/>
    </row>
    <row r="51" spans="1:1">
      <c r="A51" s="13"/>
    </row>
    <row r="52" spans="1:1">
      <c r="A52" s="13"/>
    </row>
    <row r="53" spans="1:1">
      <c r="A53" s="13"/>
    </row>
    <row r="54" spans="1:1">
      <c r="A54" s="13"/>
    </row>
    <row r="55" spans="1:1">
      <c r="A55" s="13"/>
    </row>
    <row r="56" spans="1:1">
      <c r="A56" s="13"/>
    </row>
    <row r="57" spans="1:1">
      <c r="A57" s="13"/>
    </row>
    <row r="58" spans="1:1">
      <c r="A58" s="13"/>
    </row>
    <row r="59" spans="1:1">
      <c r="A59" s="13"/>
    </row>
    <row r="60" spans="1:1">
      <c r="A60" s="13"/>
    </row>
    <row r="61" spans="1:1">
      <c r="A61" s="13"/>
    </row>
    <row r="62" spans="1:1">
      <c r="A62" s="13"/>
    </row>
    <row r="63" spans="1:1">
      <c r="A63" s="13"/>
    </row>
    <row r="64" spans="1:1">
      <c r="A64" s="13"/>
    </row>
    <row r="65" spans="1:1">
      <c r="A65" s="13"/>
    </row>
    <row r="66" spans="1:1">
      <c r="A66" s="13"/>
    </row>
    <row r="67" spans="1:1">
      <c r="A67" s="13"/>
    </row>
    <row r="68" spans="1:1">
      <c r="A68" s="13"/>
    </row>
    <row r="69" spans="1:1">
      <c r="A69" s="13"/>
    </row>
    <row r="70" spans="1:1">
      <c r="A70" s="13"/>
    </row>
    <row r="71" spans="1:1">
      <c r="A71" s="13"/>
    </row>
    <row r="72" spans="1:1">
      <c r="A72" s="13"/>
    </row>
    <row r="73" spans="1:1">
      <c r="A73" s="13"/>
    </row>
    <row r="74" spans="1:1">
      <c r="A74" s="13"/>
    </row>
    <row r="75" spans="1:1">
      <c r="A75" s="13"/>
    </row>
    <row r="76" spans="1:1">
      <c r="A76" s="13"/>
    </row>
    <row r="77" spans="1:1">
      <c r="A77" s="13"/>
    </row>
    <row r="78" spans="1:1">
      <c r="A78" s="13"/>
    </row>
    <row r="79" spans="1:1">
      <c r="A79" s="13"/>
    </row>
    <row r="80" spans="1:1">
      <c r="A80" s="13"/>
    </row>
    <row r="81" spans="1:1">
      <c r="A81" s="13"/>
    </row>
    <row r="82" spans="1:1">
      <c r="A82" s="13"/>
    </row>
    <row r="83" spans="1:1">
      <c r="A83" s="13"/>
    </row>
    <row r="84" spans="1:1">
      <c r="A84" s="13"/>
    </row>
    <row r="85" spans="1:1">
      <c r="A85" s="13"/>
    </row>
    <row r="86" spans="1:1">
      <c r="A86" s="13"/>
    </row>
    <row r="87" spans="1:1">
      <c r="A87" s="13"/>
    </row>
    <row r="88" spans="1:1">
      <c r="A88" s="13"/>
    </row>
    <row r="89" spans="1:1">
      <c r="A89" s="13"/>
    </row>
    <row r="90" spans="1:1">
      <c r="A90" s="13"/>
    </row>
    <row r="91" spans="1:1">
      <c r="A91" s="13"/>
    </row>
    <row r="92" spans="1:1">
      <c r="A92" s="13"/>
    </row>
    <row r="93" spans="1:1">
      <c r="A93" s="13"/>
    </row>
    <row r="94" spans="1:1">
      <c r="A94" s="13"/>
    </row>
    <row r="95" spans="1:1">
      <c r="A95" s="13"/>
    </row>
    <row r="96" spans="1:1">
      <c r="A96" s="13"/>
    </row>
    <row r="97" spans="1:1">
      <c r="A97" s="13"/>
    </row>
    <row r="98" spans="1:1">
      <c r="A98" s="13"/>
    </row>
    <row r="99" spans="1:1">
      <c r="A99" s="13"/>
    </row>
    <row r="100" spans="1:1">
      <c r="A100" s="13"/>
    </row>
    <row r="101" spans="1:1">
      <c r="A101" s="13"/>
    </row>
    <row r="102" spans="1:1">
      <c r="A102" s="13"/>
    </row>
    <row r="103" spans="1:1">
      <c r="A103" s="13"/>
    </row>
    <row r="104" spans="1:1">
      <c r="A104" s="13"/>
    </row>
    <row r="105" spans="1:1">
      <c r="A105" s="13"/>
    </row>
    <row r="106" spans="1:1">
      <c r="A106" s="13"/>
    </row>
    <row r="107" spans="1:1">
      <c r="A107" s="13"/>
    </row>
    <row r="108" spans="1:1">
      <c r="A108" s="13"/>
    </row>
    <row r="109" spans="1:1">
      <c r="A109" s="13"/>
    </row>
    <row r="110" spans="1:1">
      <c r="A110" s="13"/>
    </row>
    <row r="111" spans="1:1">
      <c r="A111" s="13"/>
    </row>
    <row r="112" spans="1:1">
      <c r="A112" s="13"/>
    </row>
    <row r="113" spans="1:1">
      <c r="A113" s="13"/>
    </row>
    <row r="114" spans="1:1">
      <c r="A114" s="13"/>
    </row>
    <row r="115" spans="1:1">
      <c r="A115" s="13"/>
    </row>
    <row r="116" spans="1:1">
      <c r="A116" s="13"/>
    </row>
    <row r="117" spans="1:1">
      <c r="A117" s="13"/>
    </row>
    <row r="118" spans="1:1">
      <c r="A118" s="13"/>
    </row>
    <row r="119" spans="1:1">
      <c r="A119" s="13"/>
    </row>
    <row r="120" spans="1:1">
      <c r="A120" s="13"/>
    </row>
    <row r="121" spans="1:1">
      <c r="A121" s="13"/>
    </row>
    <row r="122" spans="1:1">
      <c r="A122" s="13"/>
    </row>
    <row r="123" spans="1:1">
      <c r="A123" s="13"/>
    </row>
    <row r="124" spans="1:1">
      <c r="A124" s="13"/>
    </row>
    <row r="125" spans="1:1">
      <c r="A125" s="13"/>
    </row>
    <row r="126" spans="1:1">
      <c r="A126" s="13"/>
    </row>
    <row r="127" spans="1:1">
      <c r="A127" s="13"/>
    </row>
    <row r="128" spans="1:1">
      <c r="A128" s="13"/>
    </row>
    <row r="129" spans="1:1">
      <c r="A129" s="13"/>
    </row>
    <row r="130" spans="1:1">
      <c r="A130" s="13"/>
    </row>
    <row r="131" spans="1:1">
      <c r="A131" s="13"/>
    </row>
    <row r="132" spans="1:1">
      <c r="A132" s="13"/>
    </row>
    <row r="133" spans="1:1">
      <c r="A133" s="13"/>
    </row>
    <row r="134" spans="1:1">
      <c r="A134" s="13"/>
    </row>
    <row r="135" spans="1:1">
      <c r="A135" s="13"/>
    </row>
    <row r="136" spans="1:1">
      <c r="A136" s="13"/>
    </row>
    <row r="137" spans="1:1">
      <c r="A137" s="13"/>
    </row>
    <row r="138" spans="1:1">
      <c r="A138" s="13"/>
    </row>
    <row r="139" spans="1:1">
      <c r="A139" s="13"/>
    </row>
    <row r="140" spans="1:1">
      <c r="A140" s="13"/>
    </row>
    <row r="141" spans="1:1">
      <c r="A141" s="13"/>
    </row>
    <row r="142" spans="1:1">
      <c r="A142" s="13"/>
    </row>
    <row r="143" spans="1:1">
      <c r="A143" s="13"/>
    </row>
    <row r="144" spans="1:1">
      <c r="A144" s="13"/>
    </row>
    <row r="145" spans="1:1">
      <c r="A145" s="13"/>
    </row>
    <row r="146" spans="1:1">
      <c r="A146" s="13"/>
    </row>
    <row r="147" spans="1:1">
      <c r="A147" s="13"/>
    </row>
    <row r="148" spans="1:1">
      <c r="A148" s="13"/>
    </row>
    <row r="149" spans="1:1">
      <c r="A149" s="13"/>
    </row>
    <row r="150" spans="1:1">
      <c r="A150" s="13"/>
    </row>
    <row r="151" spans="1:1">
      <c r="A151" s="13"/>
    </row>
    <row r="152" spans="1:1">
      <c r="A152" s="13"/>
    </row>
    <row r="153" spans="1:1">
      <c r="A153" s="13"/>
    </row>
    <row r="154" spans="1:1">
      <c r="A154" s="13"/>
    </row>
    <row r="155" spans="1:1">
      <c r="A155" s="13"/>
    </row>
    <row r="156" spans="1:1">
      <c r="A156" s="13"/>
    </row>
    <row r="157" spans="1:1">
      <c r="A157" s="13"/>
    </row>
    <row r="158" spans="1:1">
      <c r="A158" s="13"/>
    </row>
    <row r="159" spans="1:1">
      <c r="A159" s="13"/>
    </row>
    <row r="160" spans="1:1">
      <c r="A160" s="13"/>
    </row>
    <row r="161" spans="1:1">
      <c r="A161" s="13"/>
    </row>
    <row r="162" spans="1:1">
      <c r="A162" s="13"/>
    </row>
    <row r="163" spans="1:1">
      <c r="A163" s="13"/>
    </row>
    <row r="164" spans="1:1">
      <c r="A164" s="13"/>
    </row>
    <row r="165" spans="1:1">
      <c r="A165" s="13"/>
    </row>
    <row r="166" spans="1:1">
      <c r="A166" s="13"/>
    </row>
    <row r="167" spans="1:1">
      <c r="A167" s="13"/>
    </row>
    <row r="168" spans="1:1">
      <c r="A168" s="13"/>
    </row>
    <row r="169" spans="1:1">
      <c r="A169" s="13"/>
    </row>
    <row r="170" spans="1:1">
      <c r="A170" s="13"/>
    </row>
    <row r="171" spans="1:1">
      <c r="A171" s="13"/>
    </row>
    <row r="172" spans="1:1">
      <c r="A172" s="13"/>
    </row>
    <row r="173" spans="1:1">
      <c r="A173" s="13"/>
    </row>
    <row r="174" spans="1:1">
      <c r="A174" s="13"/>
    </row>
    <row r="175" spans="1:1">
      <c r="A175" s="13"/>
    </row>
    <row r="176" spans="1:1">
      <c r="A176" s="13"/>
    </row>
    <row r="177" spans="1:1">
      <c r="A177" s="13"/>
    </row>
    <row r="178" spans="1:1">
      <c r="A178" s="13"/>
    </row>
    <row r="179" spans="1:1">
      <c r="A179" s="13"/>
    </row>
    <row r="180" spans="1:1">
      <c r="A180" s="13"/>
    </row>
    <row r="181" spans="1:1">
      <c r="A181" s="13"/>
    </row>
    <row r="182" spans="1:1">
      <c r="A182" s="13"/>
    </row>
    <row r="183" spans="1:1">
      <c r="A183" s="13"/>
    </row>
    <row r="184" spans="1:1">
      <c r="A184" s="13"/>
    </row>
    <row r="185" spans="1:1">
      <c r="A185" s="13"/>
    </row>
    <row r="186" spans="1:1">
      <c r="A186" s="13"/>
    </row>
    <row r="187" spans="1:1">
      <c r="A187" s="13"/>
    </row>
    <row r="188" spans="1:1">
      <c r="A188" s="13"/>
    </row>
    <row r="189" spans="1:1">
      <c r="A189" s="13"/>
    </row>
    <row r="190" spans="1:1">
      <c r="A190" s="13"/>
    </row>
    <row r="191" spans="1:1">
      <c r="A191" s="13"/>
    </row>
    <row r="192" spans="1:1">
      <c r="A192" s="13"/>
    </row>
    <row r="193" spans="1:1">
      <c r="A193" s="13"/>
    </row>
    <row r="194" spans="1:1">
      <c r="A194" s="13"/>
    </row>
    <row r="195" spans="1:1">
      <c r="A195" s="13"/>
    </row>
    <row r="196" spans="1:1">
      <c r="A196" s="13"/>
    </row>
    <row r="197" spans="1:1">
      <c r="A197" s="13"/>
    </row>
    <row r="198" spans="1:1">
      <c r="A198" s="13"/>
    </row>
    <row r="199" spans="1:1">
      <c r="A199" s="13"/>
    </row>
    <row r="200" spans="1:1">
      <c r="A200" s="13"/>
    </row>
    <row r="201" spans="1:1">
      <c r="A201" s="13"/>
    </row>
    <row r="202" spans="1:1">
      <c r="A202" s="13"/>
    </row>
    <row r="203" spans="1:1">
      <c r="A203" s="13"/>
    </row>
    <row r="204" spans="1:1">
      <c r="A204" s="13"/>
    </row>
    <row r="205" spans="1:1">
      <c r="A205" s="13"/>
    </row>
    <row r="206" spans="1:1">
      <c r="A206" s="13"/>
    </row>
    <row r="207" spans="1:1">
      <c r="A207" s="13"/>
    </row>
    <row r="208" spans="1:1">
      <c r="A208" s="13"/>
    </row>
    <row r="209" spans="1:1">
      <c r="A209" s="13"/>
    </row>
    <row r="210" spans="1:1">
      <c r="A210" s="13"/>
    </row>
    <row r="211" spans="1:1">
      <c r="A211" s="13"/>
    </row>
    <row r="212" spans="1:1">
      <c r="A212" s="13"/>
    </row>
    <row r="213" spans="1:1">
      <c r="A213" s="13"/>
    </row>
    <row r="214" spans="1:1">
      <c r="A214" s="13"/>
    </row>
    <row r="215" spans="1:1">
      <c r="A215" s="13"/>
    </row>
    <row r="216" spans="1:1">
      <c r="A216" s="13"/>
    </row>
    <row r="217" spans="1:1">
      <c r="A217" s="13"/>
    </row>
    <row r="218" spans="1:1">
      <c r="A218" s="13"/>
    </row>
    <row r="219" spans="1:1">
      <c r="A219" s="13"/>
    </row>
    <row r="220" spans="1:1">
      <c r="A220" s="13"/>
    </row>
    <row r="221" spans="1:1">
      <c r="A221" s="13"/>
    </row>
    <row r="222" spans="1:1">
      <c r="A222" s="13"/>
    </row>
    <row r="223" spans="1:1">
      <c r="A223" s="13"/>
    </row>
    <row r="224" spans="1:1">
      <c r="A224" s="13"/>
    </row>
    <row r="225" spans="1:1">
      <c r="A225" s="13"/>
    </row>
    <row r="226" spans="1:1">
      <c r="A226" s="13"/>
    </row>
    <row r="227" spans="1:1">
      <c r="A227" s="13"/>
    </row>
    <row r="228" spans="1:1">
      <c r="A228" s="13"/>
    </row>
    <row r="229" spans="1:1">
      <c r="A229" s="13"/>
    </row>
    <row r="230" spans="1:1">
      <c r="A230" s="13"/>
    </row>
    <row r="231" spans="1:1">
      <c r="A231" s="13"/>
    </row>
    <row r="232" spans="1:1">
      <c r="A232" s="13"/>
    </row>
    <row r="233" spans="1:1">
      <c r="A233" s="13"/>
    </row>
    <row r="234" spans="1:1">
      <c r="A234" s="13"/>
    </row>
    <row r="235" spans="1:1">
      <c r="A235" s="13"/>
    </row>
    <row r="236" spans="1:1">
      <c r="A236" s="13"/>
    </row>
    <row r="237" spans="1:1">
      <c r="A237" s="13"/>
    </row>
    <row r="238" spans="1:1">
      <c r="A238" s="13"/>
    </row>
    <row r="239" spans="1:1">
      <c r="A239" s="13"/>
    </row>
    <row r="240" spans="1:1">
      <c r="A240" s="13"/>
    </row>
    <row r="241" spans="1:1">
      <c r="A241" s="13"/>
    </row>
    <row r="242" spans="1:1">
      <c r="A242" s="13"/>
    </row>
    <row r="243" spans="1:1">
      <c r="A243" s="13"/>
    </row>
    <row r="244" spans="1:1">
      <c r="A244" s="13"/>
    </row>
    <row r="245" spans="1:1">
      <c r="A245" s="13"/>
    </row>
    <row r="246" spans="1:1">
      <c r="A246" s="13"/>
    </row>
    <row r="247" spans="1:1">
      <c r="A247" s="13"/>
    </row>
    <row r="248" spans="1:1">
      <c r="A248" s="13"/>
    </row>
    <row r="249" spans="1:1">
      <c r="A249" s="13"/>
    </row>
    <row r="250" spans="1:1">
      <c r="A250" s="13"/>
    </row>
    <row r="251" spans="1:1">
      <c r="A251" s="13"/>
    </row>
    <row r="252" spans="1:1">
      <c r="A252" s="13"/>
    </row>
    <row r="253" spans="1:1">
      <c r="A253" s="13"/>
    </row>
    <row r="254" spans="1:1">
      <c r="A254" s="13"/>
    </row>
    <row r="255" spans="1:1">
      <c r="A255" s="13"/>
    </row>
    <row r="256" spans="1:1">
      <c r="A256" s="13"/>
    </row>
    <row r="257" spans="1:1">
      <c r="A257" s="13"/>
    </row>
    <row r="258" spans="1:1">
      <c r="A258" s="13"/>
    </row>
    <row r="259" spans="1:1">
      <c r="A259" s="13"/>
    </row>
    <row r="260" spans="1:1">
      <c r="A260" s="13"/>
    </row>
    <row r="261" spans="1:1">
      <c r="A261" s="13"/>
    </row>
    <row r="262" spans="1:1">
      <c r="A262" s="13"/>
    </row>
    <row r="263" spans="1:1">
      <c r="A263" s="13"/>
    </row>
    <row r="264" spans="1:1">
      <c r="A264" s="13"/>
    </row>
    <row r="265" spans="1:1">
      <c r="A265" s="13"/>
    </row>
    <row r="266" spans="1:1">
      <c r="A266" s="13"/>
    </row>
    <row r="267" spans="1:1">
      <c r="A267" s="13"/>
    </row>
    <row r="268" spans="1:1">
      <c r="A268" s="13"/>
    </row>
    <row r="269" spans="1:1">
      <c r="A269" s="13"/>
    </row>
    <row r="270" spans="1:1">
      <c r="A270" s="13"/>
    </row>
    <row r="271" spans="1:1">
      <c r="A271" s="13"/>
    </row>
    <row r="272" spans="1:1">
      <c r="A272" s="13"/>
    </row>
    <row r="273" spans="1:1">
      <c r="A273" s="13"/>
    </row>
    <row r="274" spans="1:1">
      <c r="A274" s="13"/>
    </row>
    <row r="275" spans="1:1">
      <c r="A275" s="13"/>
    </row>
    <row r="276" spans="1:1">
      <c r="A276" s="13"/>
    </row>
    <row r="277" spans="1:1">
      <c r="A277" s="13"/>
    </row>
    <row r="278" spans="1:1">
      <c r="A278" s="13"/>
    </row>
    <row r="279" spans="1:1">
      <c r="A279" s="13"/>
    </row>
    <row r="280" spans="1:1">
      <c r="A280" s="13"/>
    </row>
    <row r="281" spans="1:1">
      <c r="A281" s="13"/>
    </row>
    <row r="282" spans="1:1">
      <c r="A282" s="13"/>
    </row>
    <row r="283" spans="1:1">
      <c r="A283" s="13"/>
    </row>
    <row r="284" spans="1:1">
      <c r="A284" s="13"/>
    </row>
    <row r="285" spans="1:1">
      <c r="A285" s="13"/>
    </row>
    <row r="286" spans="1:1">
      <c r="A286" s="13"/>
    </row>
    <row r="287" spans="1:1">
      <c r="A287" s="13"/>
    </row>
    <row r="288" spans="1:1">
      <c r="A288" s="13"/>
    </row>
    <row r="289" spans="1:1">
      <c r="A289" s="13"/>
    </row>
    <row r="290" spans="1:1">
      <c r="A290" s="13"/>
    </row>
    <row r="291" spans="1:1">
      <c r="A291" s="13"/>
    </row>
    <row r="292" spans="1:1">
      <c r="A292" s="13"/>
    </row>
    <row r="293" spans="1:1">
      <c r="A293" s="13"/>
    </row>
    <row r="294" spans="1:1">
      <c r="A294" s="13"/>
    </row>
    <row r="295" spans="1:1">
      <c r="A295" s="13"/>
    </row>
    <row r="296" spans="1:1">
      <c r="A296" s="13"/>
    </row>
    <row r="297" spans="1:1">
      <c r="A297" s="13"/>
    </row>
    <row r="298" spans="1:1">
      <c r="A298" s="13"/>
    </row>
    <row r="299" spans="1:1">
      <c r="A299" s="13"/>
    </row>
    <row r="300" spans="1:1">
      <c r="A300" s="13"/>
    </row>
    <row r="301" spans="1:1">
      <c r="A301" s="13"/>
    </row>
    <row r="302" spans="1:1">
      <c r="A302" s="13"/>
    </row>
    <row r="303" spans="1:1">
      <c r="A303" s="13"/>
    </row>
    <row r="304" spans="1:1">
      <c r="A304" s="13"/>
    </row>
    <row r="305" spans="1:1">
      <c r="A305" s="13"/>
    </row>
    <row r="306" spans="1:1">
      <c r="A306" s="13"/>
    </row>
    <row r="307" spans="1:1">
      <c r="A307" s="13"/>
    </row>
    <row r="308" spans="1:1">
      <c r="A308" s="13"/>
    </row>
    <row r="309" spans="1:1">
      <c r="A309" s="13"/>
    </row>
    <row r="310" spans="1:1">
      <c r="A310" s="13"/>
    </row>
    <row r="311" spans="1:1">
      <c r="A311" s="13"/>
    </row>
    <row r="312" spans="1:1">
      <c r="A312" s="13"/>
    </row>
    <row r="313" spans="1:1">
      <c r="A313" s="13"/>
    </row>
    <row r="314" spans="1:1">
      <c r="A314" s="13"/>
    </row>
    <row r="315" spans="1:1">
      <c r="A315" s="13"/>
    </row>
    <row r="316" spans="1:1">
      <c r="A316" s="13"/>
    </row>
    <row r="317" spans="1:1">
      <c r="A317" s="13"/>
    </row>
    <row r="318" spans="1:1">
      <c r="A318" s="13"/>
    </row>
    <row r="319" spans="1:1">
      <c r="A319" s="13"/>
    </row>
    <row r="320" spans="1:1">
      <c r="A320" s="13"/>
    </row>
    <row r="321" spans="1:1">
      <c r="A321" s="13"/>
    </row>
    <row r="322" spans="1:1">
      <c r="A322" s="13"/>
    </row>
    <row r="323" spans="1:1">
      <c r="A323" s="13"/>
    </row>
    <row r="324" spans="1:1">
      <c r="A324" s="13"/>
    </row>
    <row r="325" spans="1:1">
      <c r="A325" s="13"/>
    </row>
    <row r="326" spans="1:1">
      <c r="A326" s="13"/>
    </row>
    <row r="327" spans="1:1">
      <c r="A327" s="13"/>
    </row>
    <row r="328" spans="1:1">
      <c r="A328" s="13"/>
    </row>
    <row r="329" spans="1:1">
      <c r="A329" s="13"/>
    </row>
    <row r="330" spans="1:1">
      <c r="A330" s="13"/>
    </row>
    <row r="331" spans="1:1">
      <c r="A331" s="13"/>
    </row>
    <row r="332" spans="1:1">
      <c r="A332" s="13"/>
    </row>
    <row r="333" spans="1:1">
      <c r="A333" s="13"/>
    </row>
    <row r="334" spans="1:1">
      <c r="A334" s="13"/>
    </row>
    <row r="335" spans="1:1">
      <c r="A335" s="13"/>
    </row>
    <row r="336" spans="1:1">
      <c r="A336" s="13"/>
    </row>
    <row r="337" spans="1:1">
      <c r="A337" s="13"/>
    </row>
    <row r="338" spans="1:1">
      <c r="A338" s="13"/>
    </row>
    <row r="339" spans="1:1">
      <c r="A339" s="13"/>
    </row>
    <row r="340" spans="1:1">
      <c r="A340" s="13"/>
    </row>
    <row r="341" spans="1:1">
      <c r="A341" s="13"/>
    </row>
    <row r="342" spans="1:1">
      <c r="A342" s="13"/>
    </row>
    <row r="343" spans="1:1">
      <c r="A343" s="13"/>
    </row>
    <row r="344" spans="1:1">
      <c r="A344" s="13"/>
    </row>
    <row r="345" spans="1:1">
      <c r="A345" s="13"/>
    </row>
    <row r="346" spans="1:1">
      <c r="A346" s="13"/>
    </row>
    <row r="347" spans="1:1">
      <c r="A347" s="13"/>
    </row>
    <row r="348" spans="1:1">
      <c r="A348" s="13"/>
    </row>
    <row r="349" spans="1:1">
      <c r="A349" s="13"/>
    </row>
    <row r="350" spans="1:1">
      <c r="A350" s="13"/>
    </row>
    <row r="351" spans="1:1">
      <c r="A351" s="13"/>
    </row>
    <row r="352" spans="1:1">
      <c r="A352" s="13"/>
    </row>
    <row r="353" spans="1:1">
      <c r="A353" s="13"/>
    </row>
    <row r="354" spans="1:1">
      <c r="A354" s="13"/>
    </row>
    <row r="355" spans="1:1">
      <c r="A355" s="13"/>
    </row>
    <row r="356" spans="1:1">
      <c r="A356" s="13"/>
    </row>
    <row r="357" spans="1:1">
      <c r="A357" s="13"/>
    </row>
    <row r="358" spans="1:1">
      <c r="A358" s="13"/>
    </row>
    <row r="359" spans="1:1">
      <c r="A359" s="13"/>
    </row>
    <row r="360" spans="1:1">
      <c r="A360" s="13"/>
    </row>
    <row r="361" spans="1:1">
      <c r="A361" s="13"/>
    </row>
    <row r="362" spans="1:1">
      <c r="A362" s="13"/>
    </row>
    <row r="363" spans="1:1">
      <c r="A363" s="13"/>
    </row>
    <row r="364" spans="1:1">
      <c r="A364" s="13"/>
    </row>
    <row r="365" spans="1:1">
      <c r="A365" s="13"/>
    </row>
    <row r="366" spans="1:1">
      <c r="A366" s="13"/>
    </row>
    <row r="367" spans="1:1">
      <c r="A367" s="13"/>
    </row>
    <row r="368" spans="1:1">
      <c r="A368" s="13"/>
    </row>
    <row r="369" spans="1:1">
      <c r="A369" s="13"/>
    </row>
    <row r="370" spans="1:1">
      <c r="A370" s="13"/>
    </row>
    <row r="371" spans="1:1">
      <c r="A371" s="13"/>
    </row>
    <row r="372" spans="1:1">
      <c r="A372" s="13"/>
    </row>
    <row r="373" spans="1:1">
      <c r="A373" s="13"/>
    </row>
    <row r="374" spans="1:1">
      <c r="A374" s="13"/>
    </row>
    <row r="375" spans="1:1">
      <c r="A375" s="13"/>
    </row>
    <row r="376" spans="1:1">
      <c r="A376" s="13"/>
    </row>
    <row r="377" spans="1:1">
      <c r="A377" s="13"/>
    </row>
    <row r="378" spans="1:1">
      <c r="A378" s="13"/>
    </row>
    <row r="379" spans="1:1">
      <c r="A379" s="13"/>
    </row>
    <row r="380" spans="1:1">
      <c r="A380" s="13"/>
    </row>
    <row r="381" spans="1:1">
      <c r="A381" s="13"/>
    </row>
    <row r="382" spans="1:1">
      <c r="A382" s="13"/>
    </row>
    <row r="383" spans="1:1">
      <c r="A383" s="13"/>
    </row>
    <row r="384" spans="1:1">
      <c r="A384" s="13"/>
    </row>
    <row r="385" spans="1:1">
      <c r="A385" s="13"/>
    </row>
    <row r="386" spans="1:1">
      <c r="A386" s="13"/>
    </row>
    <row r="387" spans="1:1">
      <c r="A387" s="13"/>
    </row>
    <row r="388" spans="1:1">
      <c r="A388" s="13"/>
    </row>
    <row r="389" spans="1:1">
      <c r="A389" s="13"/>
    </row>
    <row r="390" spans="1:1">
      <c r="A390" s="13"/>
    </row>
    <row r="391" spans="1:1">
      <c r="A391" s="13"/>
    </row>
    <row r="392" spans="1:1">
      <c r="A392" s="13"/>
    </row>
    <row r="393" spans="1:1">
      <c r="A393" s="13"/>
    </row>
    <row r="394" spans="1:1">
      <c r="A394" s="13"/>
    </row>
    <row r="395" spans="1:1">
      <c r="A395" s="13"/>
    </row>
    <row r="396" spans="1:1">
      <c r="A396" s="13"/>
    </row>
    <row r="397" spans="1:1">
      <c r="A397" s="13"/>
    </row>
    <row r="398" spans="1:1">
      <c r="A398" s="13"/>
    </row>
    <row r="399" spans="1:1">
      <c r="A399" s="13"/>
    </row>
    <row r="400" spans="1:1">
      <c r="A400" s="13"/>
    </row>
    <row r="401" spans="1:1">
      <c r="A401" s="13"/>
    </row>
    <row r="402" spans="1:1">
      <c r="A402" s="13"/>
    </row>
    <row r="403" spans="1:1">
      <c r="A403" s="13"/>
    </row>
    <row r="404" spans="1:1">
      <c r="A404" s="13"/>
    </row>
    <row r="405" spans="1:1">
      <c r="A405" s="13"/>
    </row>
    <row r="406" spans="1:1">
      <c r="A406" s="13"/>
    </row>
    <row r="407" spans="1:1">
      <c r="A407" s="13"/>
    </row>
    <row r="408" spans="1:1">
      <c r="A408" s="13"/>
    </row>
    <row r="409" spans="1:1">
      <c r="A409" s="13"/>
    </row>
    <row r="410" spans="1:1">
      <c r="A410" s="13"/>
    </row>
    <row r="411" spans="1:1">
      <c r="A411" s="13"/>
    </row>
    <row r="412" spans="1:1">
      <c r="A412" s="13"/>
    </row>
    <row r="413" spans="1:1">
      <c r="A413" s="13"/>
    </row>
    <row r="414" spans="1:1">
      <c r="A414" s="13"/>
    </row>
    <row r="415" spans="1:1">
      <c r="A415" s="13"/>
    </row>
    <row r="416" spans="1:1">
      <c r="A416" s="13"/>
    </row>
    <row r="417" spans="1:1">
      <c r="A417" s="13"/>
    </row>
    <row r="418" spans="1:1">
      <c r="A418" s="13"/>
    </row>
    <row r="419" spans="1:1">
      <c r="A419" s="13"/>
    </row>
    <row r="420" spans="1:1">
      <c r="A420" s="13"/>
    </row>
    <row r="421" spans="1:1">
      <c r="A421" s="13"/>
    </row>
    <row r="422" spans="1:1">
      <c r="A422" s="13"/>
    </row>
    <row r="423" spans="1:1">
      <c r="A423" s="13"/>
    </row>
    <row r="424" spans="1:1">
      <c r="A424" s="13"/>
    </row>
    <row r="425" spans="1:1">
      <c r="A425" s="13"/>
    </row>
    <row r="426" spans="1:1">
      <c r="A426" s="13"/>
    </row>
    <row r="427" spans="1:1">
      <c r="A427" s="13"/>
    </row>
    <row r="428" spans="1:1">
      <c r="A428" s="13"/>
    </row>
    <row r="429" spans="1:1">
      <c r="A429" s="13"/>
    </row>
    <row r="430" spans="1:1">
      <c r="A430" s="13"/>
    </row>
    <row r="431" spans="1:1">
      <c r="A431" s="13"/>
    </row>
    <row r="432" spans="1:1">
      <c r="A432" s="13"/>
    </row>
    <row r="433" spans="1:1">
      <c r="A433" s="13"/>
    </row>
    <row r="434" spans="1:1">
      <c r="A434" s="13"/>
    </row>
    <row r="435" spans="1:1">
      <c r="A435" s="13"/>
    </row>
    <row r="436" spans="1:1">
      <c r="A436" s="13"/>
    </row>
    <row r="437" spans="1:1">
      <c r="A437" s="13"/>
    </row>
    <row r="438" spans="1:1">
      <c r="A438" s="13"/>
    </row>
    <row r="439" spans="1:1">
      <c r="A439" s="13"/>
    </row>
    <row r="440" spans="1:1">
      <c r="A440" s="13"/>
    </row>
    <row r="441" spans="1:1">
      <c r="A441" s="13"/>
    </row>
    <row r="442" spans="1:1">
      <c r="A442" s="13"/>
    </row>
    <row r="443" spans="1:1">
      <c r="A443" s="13"/>
    </row>
    <row r="444" spans="1:1">
      <c r="A444" s="13"/>
    </row>
    <row r="445" spans="1:1">
      <c r="A445" s="13"/>
    </row>
    <row r="446" spans="1:1">
      <c r="A446" s="13"/>
    </row>
    <row r="447" spans="1:1">
      <c r="A447" s="13"/>
    </row>
    <row r="448" spans="1:1">
      <c r="A448" s="13"/>
    </row>
    <row r="449" spans="1:1">
      <c r="A449" s="13"/>
    </row>
    <row r="450" spans="1:1">
      <c r="A450" s="13"/>
    </row>
    <row r="451" spans="1:1">
      <c r="A451" s="13"/>
    </row>
    <row r="452" spans="1:1">
      <c r="A452" s="13"/>
    </row>
    <row r="453" spans="1:1">
      <c r="A453" s="13"/>
    </row>
    <row r="454" spans="1:1">
      <c r="A454" s="13"/>
    </row>
    <row r="455" spans="1:1">
      <c r="A455" s="13"/>
    </row>
    <row r="456" spans="1:1">
      <c r="A456" s="13"/>
    </row>
    <row r="457" spans="1:1">
      <c r="A457" s="13"/>
    </row>
    <row r="458" spans="1:1">
      <c r="A458" s="13"/>
    </row>
    <row r="459" spans="1:1">
      <c r="A459" s="13"/>
    </row>
    <row r="460" spans="1:1">
      <c r="A460" s="13"/>
    </row>
    <row r="461" spans="1:1">
      <c r="A461" s="13"/>
    </row>
    <row r="462" spans="1:1">
      <c r="A462" s="13"/>
    </row>
    <row r="463" spans="1:1">
      <c r="A463" s="13"/>
    </row>
    <row r="464" spans="1:1">
      <c r="A464" s="13"/>
    </row>
    <row r="465" spans="1:1">
      <c r="A465" s="13"/>
    </row>
    <row r="466" spans="1:1">
      <c r="A466" s="13"/>
    </row>
    <row r="467" spans="1:1">
      <c r="A467" s="13"/>
    </row>
    <row r="468" spans="1:1">
      <c r="A468" s="13"/>
    </row>
    <row r="469" spans="1:1">
      <c r="A469" s="13"/>
    </row>
    <row r="470" spans="1:1">
      <c r="A470" s="13"/>
    </row>
    <row r="471" spans="1:1">
      <c r="A471" s="13"/>
    </row>
    <row r="472" spans="1:1">
      <c r="A472" s="13"/>
    </row>
    <row r="473" spans="1:1">
      <c r="A473" s="13"/>
    </row>
    <row r="474" spans="1:1">
      <c r="A474" s="13"/>
    </row>
    <row r="475" spans="1:1">
      <c r="A475" s="13"/>
    </row>
    <row r="476" spans="1:1">
      <c r="A476" s="13"/>
    </row>
    <row r="477" spans="1:1">
      <c r="A477" s="13"/>
    </row>
    <row r="478" spans="1:1">
      <c r="A478" s="13"/>
    </row>
    <row r="479" spans="1:1">
      <c r="A479" s="13"/>
    </row>
    <row r="480" spans="1:1">
      <c r="A480" s="13"/>
    </row>
    <row r="481" spans="1:1">
      <c r="A481" s="13"/>
    </row>
    <row r="482" spans="1:1">
      <c r="A482" s="13"/>
    </row>
    <row r="483" spans="1:1">
      <c r="A483" s="13"/>
    </row>
    <row r="484" spans="1:1">
      <c r="A484" s="13"/>
    </row>
    <row r="485" spans="1:1">
      <c r="A485" s="13"/>
    </row>
    <row r="486" spans="1:1">
      <c r="A486" s="13"/>
    </row>
    <row r="487" spans="1:1">
      <c r="A487" s="13"/>
    </row>
    <row r="488" spans="1:1">
      <c r="A488" s="13"/>
    </row>
    <row r="489" spans="1:1">
      <c r="A489" s="13"/>
    </row>
    <row r="490" spans="1:1">
      <c r="A490" s="13"/>
    </row>
    <row r="491" spans="1:1">
      <c r="A491" s="13"/>
    </row>
    <row r="492" spans="1:1">
      <c r="A492" s="13"/>
    </row>
    <row r="493" spans="1:1">
      <c r="A493" s="13"/>
    </row>
    <row r="494" spans="1:1">
      <c r="A494" s="13"/>
    </row>
    <row r="495" spans="1:1">
      <c r="A495" s="13"/>
    </row>
    <row r="496" spans="1:1">
      <c r="A496" s="13"/>
    </row>
    <row r="497" spans="1:1">
      <c r="A497" s="13"/>
    </row>
    <row r="498" spans="1:1">
      <c r="A498" s="13"/>
    </row>
    <row r="499" spans="1:1">
      <c r="A499" s="13"/>
    </row>
    <row r="500" spans="1:1">
      <c r="A500" s="13"/>
    </row>
    <row r="501" spans="1:1">
      <c r="A501" s="13"/>
    </row>
    <row r="502" spans="1:1">
      <c r="A502" s="13"/>
    </row>
    <row r="503" spans="1:1">
      <c r="A503" s="13"/>
    </row>
    <row r="504" spans="1:1">
      <c r="A504" s="13"/>
    </row>
    <row r="505" spans="1:1">
      <c r="A505" s="13"/>
    </row>
    <row r="506" spans="1:1">
      <c r="A506" s="13"/>
    </row>
    <row r="507" spans="1:1">
      <c r="A507" s="13"/>
    </row>
    <row r="508" spans="1:1">
      <c r="A508" s="13"/>
    </row>
    <row r="509" spans="1:1">
      <c r="A509" s="13"/>
    </row>
    <row r="510" spans="1:1">
      <c r="A510" s="13"/>
    </row>
    <row r="511" spans="1:1">
      <c r="A511" s="13"/>
    </row>
    <row r="512" spans="1:1">
      <c r="A512" s="13"/>
    </row>
    <row r="513" spans="1:1">
      <c r="A513" s="13"/>
    </row>
    <row r="514" spans="1:1">
      <c r="A514" s="13"/>
    </row>
    <row r="515" spans="1:1">
      <c r="A515" s="13"/>
    </row>
    <row r="516" spans="1:1">
      <c r="A516" s="13"/>
    </row>
    <row r="517" spans="1:1">
      <c r="A517" s="13"/>
    </row>
    <row r="518" spans="1:1">
      <c r="A518" s="13"/>
    </row>
    <row r="519" spans="1:1">
      <c r="A519" s="13"/>
    </row>
    <row r="520" spans="1:1">
      <c r="A520" s="13"/>
    </row>
    <row r="521" spans="1:1">
      <c r="A521" s="13"/>
    </row>
    <row r="522" spans="1:1">
      <c r="A522" s="13"/>
    </row>
    <row r="523" spans="1:1">
      <c r="A523" s="13"/>
    </row>
    <row r="524" spans="1:1">
      <c r="A524" s="13"/>
    </row>
    <row r="525" spans="1:1">
      <c r="A525" s="13"/>
    </row>
    <row r="526" spans="1:1">
      <c r="A526" s="13"/>
    </row>
    <row r="527" spans="1:1">
      <c r="A527" s="13"/>
    </row>
    <row r="528" spans="1:1">
      <c r="A528" s="13"/>
    </row>
    <row r="529" spans="1:1">
      <c r="A529" s="13"/>
    </row>
    <row r="530" spans="1:1">
      <c r="A530" s="13"/>
    </row>
    <row r="531" spans="1:1">
      <c r="A531" s="13"/>
    </row>
    <row r="532" spans="1:1">
      <c r="A532" s="13"/>
    </row>
    <row r="533" spans="1:1">
      <c r="A533" s="13"/>
    </row>
    <row r="534" spans="1:1">
      <c r="A534" s="13"/>
    </row>
    <row r="535" spans="1:1">
      <c r="A535" s="13"/>
    </row>
    <row r="536" spans="1:1">
      <c r="A536" s="13"/>
    </row>
    <row r="537" spans="1:1">
      <c r="A537" s="13"/>
    </row>
    <row r="538" spans="1:1">
      <c r="A538" s="13"/>
    </row>
    <row r="539" spans="1:1">
      <c r="A539" s="13"/>
    </row>
    <row r="540" spans="1:1">
      <c r="A540" s="13"/>
    </row>
    <row r="541" spans="1:1">
      <c r="A541" s="13"/>
    </row>
    <row r="542" spans="1:1">
      <c r="A542" s="13"/>
    </row>
    <row r="543" spans="1:1">
      <c r="A543" s="13"/>
    </row>
    <row r="544" spans="1:1">
      <c r="A544" s="13"/>
    </row>
    <row r="545" spans="1:1">
      <c r="A545" s="13"/>
    </row>
    <row r="546" spans="1:1">
      <c r="A546" s="13"/>
    </row>
    <row r="547" spans="1:1">
      <c r="A547" s="13"/>
    </row>
    <row r="548" spans="1:1">
      <c r="A548" s="13"/>
    </row>
    <row r="549" spans="1:1">
      <c r="A549" s="13"/>
    </row>
    <row r="550" spans="1:1">
      <c r="A550" s="13"/>
    </row>
    <row r="551" spans="1:1">
      <c r="A551" s="13"/>
    </row>
    <row r="552" spans="1:1">
      <c r="A552" s="13"/>
    </row>
    <row r="553" spans="1:1">
      <c r="A553" s="13"/>
    </row>
    <row r="554" spans="1:1">
      <c r="A554" s="13"/>
    </row>
    <row r="555" spans="1:1">
      <c r="A555" s="13"/>
    </row>
    <row r="556" spans="1:1">
      <c r="A556" s="13"/>
    </row>
    <row r="557" spans="1:1">
      <c r="A557" s="13"/>
    </row>
    <row r="558" spans="1:1">
      <c r="A558" s="13"/>
    </row>
    <row r="559" spans="1:1">
      <c r="A559" s="13"/>
    </row>
    <row r="560" spans="1:1">
      <c r="A560" s="13"/>
    </row>
    <row r="561" spans="1:1">
      <c r="A561" s="13"/>
    </row>
    <row r="562" spans="1:1">
      <c r="A562" s="13"/>
    </row>
    <row r="563" spans="1:1">
      <c r="A563" s="13"/>
    </row>
    <row r="564" spans="1:1">
      <c r="A564" s="13"/>
    </row>
    <row r="565" spans="1:1">
      <c r="A565" s="13"/>
    </row>
    <row r="566" spans="1:1">
      <c r="A566" s="13"/>
    </row>
    <row r="567" spans="1:1">
      <c r="A567" s="13"/>
    </row>
    <row r="568" spans="1:1">
      <c r="A568" s="13"/>
    </row>
    <row r="569" spans="1:1">
      <c r="A569" s="13"/>
    </row>
    <row r="570" spans="1:1">
      <c r="A570" s="13"/>
    </row>
    <row r="571" spans="1:1">
      <c r="A571" s="13"/>
    </row>
    <row r="572" spans="1:1">
      <c r="A572" s="13"/>
    </row>
    <row r="573" spans="1:1">
      <c r="A573" s="13"/>
    </row>
    <row r="574" spans="1:1">
      <c r="A574" s="13"/>
    </row>
    <row r="575" spans="1:1">
      <c r="A575" s="13"/>
    </row>
    <row r="576" spans="1:1">
      <c r="A576" s="13"/>
    </row>
    <row r="577" spans="1:1">
      <c r="A577" s="13"/>
    </row>
    <row r="578" spans="1:1">
      <c r="A578" s="13"/>
    </row>
    <row r="579" spans="1:1">
      <c r="A579" s="13"/>
    </row>
    <row r="580" spans="1:1">
      <c r="A580" s="13"/>
    </row>
    <row r="581" spans="1:1">
      <c r="A581" s="13"/>
    </row>
    <row r="582" spans="1:1">
      <c r="A582" s="13"/>
    </row>
    <row r="583" spans="1:1">
      <c r="A583" s="13"/>
    </row>
    <row r="584" spans="1:1">
      <c r="A584" s="13"/>
    </row>
    <row r="585" spans="1:1">
      <c r="A585" s="13"/>
    </row>
    <row r="586" spans="1:1">
      <c r="A586" s="13"/>
    </row>
    <row r="587" spans="1:1">
      <c r="A587" s="13"/>
    </row>
    <row r="588" spans="1:1">
      <c r="A588" s="13"/>
    </row>
    <row r="589" spans="1:1">
      <c r="A589" s="13"/>
    </row>
    <row r="590" spans="1:1">
      <c r="A590" s="13"/>
    </row>
    <row r="591" spans="1:1">
      <c r="A591" s="13"/>
    </row>
    <row r="592" spans="1:1">
      <c r="A592" s="13"/>
    </row>
    <row r="593" spans="1:1">
      <c r="A593" s="13"/>
    </row>
    <row r="594" spans="1:1">
      <c r="A594" s="13"/>
    </row>
    <row r="595" spans="1:1">
      <c r="A595" s="13"/>
    </row>
    <row r="596" spans="1:1">
      <c r="A596" s="13"/>
    </row>
    <row r="597" spans="1:1">
      <c r="A597" s="13"/>
    </row>
    <row r="598" spans="1:1">
      <c r="A598" s="13"/>
    </row>
    <row r="599" spans="1:1">
      <c r="A599" s="13"/>
    </row>
    <row r="600" spans="1:1">
      <c r="A600" s="13"/>
    </row>
    <row r="601" spans="1:1">
      <c r="A601" s="13"/>
    </row>
    <row r="602" spans="1:1">
      <c r="A602" s="13"/>
    </row>
    <row r="603" spans="1:1">
      <c r="A603" s="13"/>
    </row>
    <row r="604" spans="1:1">
      <c r="A604" s="13"/>
    </row>
    <row r="605" spans="1:1">
      <c r="A605" s="13"/>
    </row>
    <row r="606" spans="1:1">
      <c r="A606" s="13"/>
    </row>
    <row r="607" spans="1:1">
      <c r="A607" s="13"/>
    </row>
    <row r="608" spans="1:1">
      <c r="A608" s="13"/>
    </row>
    <row r="609" spans="1:1">
      <c r="A609" s="13"/>
    </row>
    <row r="610" spans="1:1">
      <c r="A610" s="13"/>
    </row>
    <row r="611" spans="1:1">
      <c r="A611" s="13"/>
    </row>
    <row r="612" spans="1:1">
      <c r="A612" s="13"/>
    </row>
    <row r="613" spans="1:1">
      <c r="A613" s="13"/>
    </row>
    <row r="614" spans="1:1">
      <c r="A614" s="13"/>
    </row>
    <row r="615" spans="1:1">
      <c r="A615" s="13"/>
    </row>
    <row r="616" spans="1:1">
      <c r="A616" s="13"/>
    </row>
    <row r="617" spans="1:1">
      <c r="A617" s="13"/>
    </row>
    <row r="618" spans="1:1">
      <c r="A618" s="13"/>
    </row>
    <row r="619" spans="1:1">
      <c r="A619" s="13"/>
    </row>
    <row r="620" spans="1:1">
      <c r="A620" s="13"/>
    </row>
    <row r="621" spans="1:1">
      <c r="A621" s="13"/>
    </row>
    <row r="622" spans="1:1">
      <c r="A622" s="13"/>
    </row>
    <row r="623" spans="1:1">
      <c r="A623" s="13"/>
    </row>
    <row r="624" spans="1:1">
      <c r="A624" s="13"/>
    </row>
    <row r="625" spans="1:1">
      <c r="A625" s="13"/>
    </row>
    <row r="626" spans="1:1">
      <c r="A626" s="13"/>
    </row>
    <row r="627" spans="1:1">
      <c r="A627" s="13"/>
    </row>
    <row r="628" spans="1:1">
      <c r="A628" s="13"/>
    </row>
    <row r="629" spans="1:1">
      <c r="A629" s="13"/>
    </row>
    <row r="630" spans="1:1">
      <c r="A630" s="13"/>
    </row>
    <row r="631" spans="1:1">
      <c r="A631" s="13"/>
    </row>
    <row r="632" spans="1:1">
      <c r="A632" s="13"/>
    </row>
    <row r="633" spans="1:1">
      <c r="A633" s="13"/>
    </row>
    <row r="634" spans="1:1">
      <c r="A634" s="13"/>
    </row>
    <row r="635" spans="1:1">
      <c r="A635" s="13"/>
    </row>
    <row r="636" spans="1:1">
      <c r="A636" s="13"/>
    </row>
    <row r="637" spans="1:1">
      <c r="A637" s="13"/>
    </row>
    <row r="638" spans="1:1">
      <c r="A638" s="13"/>
    </row>
    <row r="639" spans="1:1">
      <c r="A639" s="13"/>
    </row>
    <row r="640" spans="1:1">
      <c r="A640" s="13"/>
    </row>
    <row r="641" spans="1:1">
      <c r="A641" s="13"/>
    </row>
    <row r="642" spans="1:1">
      <c r="A642" s="13"/>
    </row>
    <row r="643" spans="1:1">
      <c r="A643" s="13"/>
    </row>
    <row r="644" spans="1:1">
      <c r="A644" s="13"/>
    </row>
    <row r="645" spans="1:1">
      <c r="A645" s="13"/>
    </row>
    <row r="646" spans="1:1">
      <c r="A646" s="13"/>
    </row>
    <row r="647" spans="1:1">
      <c r="A647" s="13"/>
    </row>
    <row r="648" spans="1:1">
      <c r="A648" s="13"/>
    </row>
    <row r="649" spans="1:1">
      <c r="A649" s="13"/>
    </row>
    <row r="650" spans="1:1">
      <c r="A650" s="13"/>
    </row>
    <row r="651" spans="1:1">
      <c r="A651" s="13"/>
    </row>
    <row r="652" spans="1:1">
      <c r="A652" s="13"/>
    </row>
    <row r="653" spans="1:1">
      <c r="A653" s="13"/>
    </row>
    <row r="654" spans="1:1">
      <c r="A654" s="13"/>
    </row>
    <row r="655" spans="1:1">
      <c r="A655" s="13"/>
    </row>
    <row r="656" spans="1:1">
      <c r="A656" s="13"/>
    </row>
    <row r="657" spans="1:1">
      <c r="A657" s="13"/>
    </row>
    <row r="658" spans="1:1">
      <c r="A658" s="13"/>
    </row>
    <row r="659" spans="1:1">
      <c r="A659" s="13"/>
    </row>
    <row r="660" spans="1:1">
      <c r="A660" s="13"/>
    </row>
    <row r="661" spans="1:1">
      <c r="A661" s="13"/>
    </row>
    <row r="662" spans="1:1">
      <c r="A662" s="13"/>
    </row>
    <row r="663" spans="1:1">
      <c r="A663" s="13"/>
    </row>
    <row r="664" spans="1:1">
      <c r="A664" s="13"/>
    </row>
    <row r="665" spans="1:1">
      <c r="A665" s="13"/>
    </row>
    <row r="666" spans="1:1">
      <c r="A666" s="13"/>
    </row>
    <row r="667" spans="1:1">
      <c r="A667" s="13"/>
    </row>
    <row r="668" spans="1:1">
      <c r="A668" s="13"/>
    </row>
    <row r="669" spans="1:1">
      <c r="A669" s="13"/>
    </row>
    <row r="670" spans="1:1">
      <c r="A670" s="13"/>
    </row>
    <row r="671" spans="1:1">
      <c r="A671" s="13"/>
    </row>
    <row r="672" spans="1:1">
      <c r="A672" s="13"/>
    </row>
    <row r="673" spans="1:1">
      <c r="A673" s="13"/>
    </row>
    <row r="674" spans="1:1">
      <c r="A674" s="13"/>
    </row>
    <row r="675" spans="1:1">
      <c r="A675" s="13"/>
    </row>
    <row r="676" spans="1:1">
      <c r="A676" s="13"/>
    </row>
    <row r="677" spans="1:1">
      <c r="A677" s="13"/>
    </row>
    <row r="678" spans="1:1">
      <c r="A678" s="13"/>
    </row>
    <row r="679" spans="1:1">
      <c r="A679" s="13"/>
    </row>
    <row r="680" spans="1:1">
      <c r="A680" s="13"/>
    </row>
    <row r="681" spans="1:1">
      <c r="A681" s="13"/>
    </row>
    <row r="682" spans="1:1">
      <c r="A682" s="13"/>
    </row>
    <row r="683" spans="1:1">
      <c r="A683" s="13"/>
    </row>
    <row r="684" spans="1:1">
      <c r="A684" s="13"/>
    </row>
    <row r="685" spans="1:1">
      <c r="A685" s="13"/>
    </row>
    <row r="686" spans="1:1">
      <c r="A686" s="13"/>
    </row>
    <row r="687" spans="1:1">
      <c r="A687" s="13"/>
    </row>
    <row r="688" spans="1:1">
      <c r="A688" s="13"/>
    </row>
    <row r="689" spans="1:1">
      <c r="A689" s="13"/>
    </row>
    <row r="690" spans="1:1">
      <c r="A690" s="13"/>
    </row>
    <row r="691" spans="1:1">
      <c r="A691" s="13"/>
    </row>
    <row r="692" spans="1:1">
      <c r="A692" s="13"/>
    </row>
    <row r="693" spans="1:1">
      <c r="A693" s="13"/>
    </row>
    <row r="694" spans="1:1">
      <c r="A694" s="13"/>
    </row>
    <row r="695" spans="1:1">
      <c r="A695" s="13"/>
    </row>
    <row r="696" spans="1:1">
      <c r="A696" s="13"/>
    </row>
    <row r="697" spans="1:1">
      <c r="A697" s="13"/>
    </row>
    <row r="698" spans="1:1">
      <c r="A698" s="13"/>
    </row>
    <row r="699" spans="1:1">
      <c r="A699" s="13"/>
    </row>
    <row r="700" spans="1:1">
      <c r="A700" s="13"/>
    </row>
    <row r="701" spans="1:1">
      <c r="A701" s="13"/>
    </row>
    <row r="702" spans="1:1">
      <c r="A702" s="13"/>
    </row>
    <row r="703" spans="1:1">
      <c r="A703" s="13"/>
    </row>
    <row r="704" spans="1:1">
      <c r="A704" s="13"/>
    </row>
    <row r="705" spans="1:1">
      <c r="A705" s="13"/>
    </row>
    <row r="706" spans="1:1">
      <c r="A706" s="13"/>
    </row>
    <row r="707" spans="1:1">
      <c r="A707" s="13"/>
    </row>
    <row r="708" spans="1:1">
      <c r="A708" s="13"/>
    </row>
    <row r="709" spans="1:1">
      <c r="A709" s="13"/>
    </row>
    <row r="710" spans="1:1">
      <c r="A710" s="13"/>
    </row>
    <row r="711" spans="1:1">
      <c r="A711" s="13"/>
    </row>
    <row r="712" spans="1:1">
      <c r="A712" s="13"/>
    </row>
    <row r="713" spans="1:1">
      <c r="A713" s="13"/>
    </row>
    <row r="714" spans="1:1">
      <c r="A714" s="13"/>
    </row>
    <row r="715" spans="1:1">
      <c r="A715" s="13"/>
    </row>
    <row r="716" spans="1:1">
      <c r="A716" s="13"/>
    </row>
    <row r="717" spans="1:1">
      <c r="A717" s="13"/>
    </row>
    <row r="718" spans="1:1">
      <c r="A718" s="13"/>
    </row>
    <row r="719" spans="1:1">
      <c r="A719" s="13"/>
    </row>
    <row r="720" spans="1:1">
      <c r="A720" s="13"/>
    </row>
    <row r="721" spans="1:1">
      <c r="A721" s="13"/>
    </row>
    <row r="722" spans="1:1">
      <c r="A722" s="13"/>
    </row>
    <row r="723" spans="1:1">
      <c r="A723" s="13"/>
    </row>
    <row r="724" spans="1:1">
      <c r="A724" s="13"/>
    </row>
    <row r="725" spans="1:1">
      <c r="A725" s="13"/>
    </row>
    <row r="726" spans="1:1">
      <c r="A726" s="13"/>
    </row>
    <row r="727" spans="1:1">
      <c r="A727" s="13"/>
    </row>
    <row r="728" spans="1:1">
      <c r="A728" s="13"/>
    </row>
    <row r="729" spans="1:1">
      <c r="A729" s="13"/>
    </row>
    <row r="730" spans="1:1">
      <c r="A730" s="13"/>
    </row>
    <row r="731" spans="1:1">
      <c r="A731" s="13"/>
    </row>
    <row r="732" spans="1:1">
      <c r="A732" s="13"/>
    </row>
    <row r="733" spans="1:1">
      <c r="A733" s="13"/>
    </row>
    <row r="734" spans="1:1">
      <c r="A734" s="13"/>
    </row>
    <row r="735" spans="1:1">
      <c r="A735" s="13"/>
    </row>
    <row r="736" spans="1:1">
      <c r="A736" s="13"/>
    </row>
    <row r="737" spans="1:1">
      <c r="A737" s="13"/>
    </row>
    <row r="738" spans="1:1">
      <c r="A738" s="13"/>
    </row>
    <row r="739" spans="1:1">
      <c r="A739" s="13"/>
    </row>
    <row r="740" spans="1:1">
      <c r="A740" s="13"/>
    </row>
    <row r="741" spans="1:1">
      <c r="A741" s="13"/>
    </row>
    <row r="742" spans="1:1">
      <c r="A742" s="13"/>
    </row>
    <row r="743" spans="1:1">
      <c r="A743" s="13"/>
    </row>
    <row r="744" spans="1:1">
      <c r="A744" s="13"/>
    </row>
    <row r="745" spans="1:1">
      <c r="A745" s="13"/>
    </row>
    <row r="746" spans="1:1">
      <c r="A746" s="13"/>
    </row>
    <row r="747" spans="1:1">
      <c r="A747" s="13"/>
    </row>
    <row r="748" spans="1:1">
      <c r="A748" s="13"/>
    </row>
    <row r="749" spans="1:1">
      <c r="A749" s="13"/>
    </row>
    <row r="750" spans="1:1">
      <c r="A750" s="13"/>
    </row>
    <row r="751" spans="1:1">
      <c r="A751" s="13"/>
    </row>
    <row r="752" spans="1:1">
      <c r="A752" s="13"/>
    </row>
    <row r="753" spans="1:1">
      <c r="A753" s="13"/>
    </row>
    <row r="754" spans="1:1">
      <c r="A754" s="13"/>
    </row>
    <row r="755" spans="1:1">
      <c r="A755" s="13"/>
    </row>
    <row r="756" spans="1:1">
      <c r="A756" s="13"/>
    </row>
    <row r="757" spans="1:1">
      <c r="A757" s="13"/>
    </row>
    <row r="758" spans="1:1">
      <c r="A758" s="13"/>
    </row>
    <row r="759" spans="1:1">
      <c r="A759" s="13"/>
    </row>
    <row r="760" spans="1:1">
      <c r="A760" s="13"/>
    </row>
    <row r="761" spans="1:1">
      <c r="A761" s="13"/>
    </row>
    <row r="762" spans="1:1">
      <c r="A762" s="13"/>
    </row>
    <row r="763" spans="1:1">
      <c r="A763" s="13"/>
    </row>
    <row r="764" spans="1:1">
      <c r="A764" s="13"/>
    </row>
    <row r="765" spans="1:1">
      <c r="A765" s="13"/>
    </row>
    <row r="766" spans="1:1">
      <c r="A766" s="13"/>
    </row>
    <row r="767" spans="1:1">
      <c r="A767" s="13"/>
    </row>
    <row r="768" spans="1:1">
      <c r="A768" s="13"/>
    </row>
    <row r="769" spans="1:1">
      <c r="A769" s="13"/>
    </row>
    <row r="770" spans="1:1">
      <c r="A770" s="13"/>
    </row>
    <row r="771" spans="1:1">
      <c r="A771" s="13"/>
    </row>
    <row r="772" spans="1:1">
      <c r="A772" s="13"/>
    </row>
    <row r="773" spans="1:1">
      <c r="A773" s="13"/>
    </row>
    <row r="774" spans="1:1">
      <c r="A774" s="13"/>
    </row>
    <row r="775" spans="1:1">
      <c r="A775" s="13"/>
    </row>
    <row r="776" spans="1:1">
      <c r="A776" s="13"/>
    </row>
    <row r="777" spans="1:1">
      <c r="A777" s="13"/>
    </row>
    <row r="778" spans="1:1">
      <c r="A778" s="13"/>
    </row>
    <row r="779" spans="1:1">
      <c r="A779" s="13"/>
    </row>
    <row r="780" spans="1:1">
      <c r="A780" s="13"/>
    </row>
    <row r="781" spans="1:1">
      <c r="A781" s="13"/>
    </row>
    <row r="782" spans="1:1">
      <c r="A782" s="13"/>
    </row>
    <row r="783" spans="1:1">
      <c r="A783" s="13"/>
    </row>
    <row r="784" spans="1:1">
      <c r="A784" s="13"/>
    </row>
    <row r="785" spans="1:1">
      <c r="A785" s="13"/>
    </row>
    <row r="786" spans="1:1">
      <c r="A786" s="13"/>
    </row>
    <row r="787" spans="1:1">
      <c r="A787" s="13"/>
    </row>
    <row r="788" spans="1:1">
      <c r="A788" s="13"/>
    </row>
    <row r="789" spans="1:1">
      <c r="A789" s="13"/>
    </row>
    <row r="790" spans="1:1">
      <c r="A790" s="13"/>
    </row>
    <row r="791" spans="1:1">
      <c r="A791" s="13"/>
    </row>
    <row r="792" spans="1:1">
      <c r="A792" s="13"/>
    </row>
    <row r="793" spans="1:1">
      <c r="A793" s="13"/>
    </row>
    <row r="794" spans="1:1">
      <c r="A794" s="13"/>
    </row>
    <row r="795" spans="1:1">
      <c r="A795" s="13"/>
    </row>
    <row r="796" spans="1:1">
      <c r="A796" s="13"/>
    </row>
    <row r="797" spans="1:1">
      <c r="A797" s="13"/>
    </row>
    <row r="798" spans="1:1">
      <c r="A798" s="13"/>
    </row>
    <row r="799" spans="1:1">
      <c r="A799" s="13"/>
    </row>
    <row r="800" spans="1:1">
      <c r="A800" s="13"/>
    </row>
    <row r="801" spans="1:1">
      <c r="A801" s="13"/>
    </row>
    <row r="802" spans="1:1">
      <c r="A802" s="13"/>
    </row>
    <row r="803" spans="1:1">
      <c r="A803" s="13"/>
    </row>
    <row r="804" spans="1:1">
      <c r="A804" s="13"/>
    </row>
    <row r="805" spans="1:1">
      <c r="A805" s="13"/>
    </row>
    <row r="806" spans="1:1">
      <c r="A806" s="13"/>
    </row>
    <row r="807" spans="1:1">
      <c r="A807" s="13"/>
    </row>
    <row r="808" spans="1:1">
      <c r="A808" s="13"/>
    </row>
    <row r="809" spans="1:1">
      <c r="A809" s="13"/>
    </row>
    <row r="810" spans="1:1">
      <c r="A810" s="13"/>
    </row>
    <row r="811" spans="1:1">
      <c r="A811" s="13"/>
    </row>
    <row r="812" spans="1:1">
      <c r="A812" s="13"/>
    </row>
    <row r="813" spans="1:1">
      <c r="A813" s="13"/>
    </row>
    <row r="814" spans="1:1">
      <c r="A814" s="13"/>
    </row>
    <row r="815" spans="1:1">
      <c r="A815" s="13"/>
    </row>
    <row r="816" spans="1:1">
      <c r="A816" s="13"/>
    </row>
    <row r="817" spans="1:1">
      <c r="A817" s="13"/>
    </row>
    <row r="818" spans="1:1">
      <c r="A818" s="13"/>
    </row>
    <row r="819" spans="1:1">
      <c r="A819" s="13"/>
    </row>
    <row r="820" spans="1:1">
      <c r="A820" s="13"/>
    </row>
    <row r="821" spans="1:1">
      <c r="A821" s="13"/>
    </row>
    <row r="822" spans="1:1">
      <c r="A822" s="13"/>
    </row>
    <row r="823" spans="1:1">
      <c r="A823" s="13"/>
    </row>
    <row r="824" spans="1:1">
      <c r="A824" s="13"/>
    </row>
    <row r="825" spans="1:1">
      <c r="A825" s="13"/>
    </row>
    <row r="826" spans="1:1">
      <c r="A826" s="13"/>
    </row>
    <row r="827" spans="1:1">
      <c r="A827" s="13"/>
    </row>
    <row r="828" spans="1:1">
      <c r="A828" s="13"/>
    </row>
    <row r="829" spans="1:1">
      <c r="A829" s="13"/>
    </row>
    <row r="830" spans="1:1">
      <c r="A830" s="13"/>
    </row>
    <row r="831" spans="1:1">
      <c r="A831" s="13"/>
    </row>
    <row r="832" spans="1:1">
      <c r="A832" s="13"/>
    </row>
    <row r="833" spans="1:1">
      <c r="A833" s="13"/>
    </row>
    <row r="834" spans="1:1">
      <c r="A834" s="13"/>
    </row>
    <row r="835" spans="1:1">
      <c r="A835" s="13"/>
    </row>
    <row r="836" spans="1:1">
      <c r="A836" s="13"/>
    </row>
    <row r="837" spans="1:1">
      <c r="A837" s="13"/>
    </row>
    <row r="838" spans="1:1">
      <c r="A838" s="13"/>
    </row>
    <row r="839" spans="1:1">
      <c r="A839" s="13"/>
    </row>
    <row r="840" spans="1:1">
      <c r="A840" s="13"/>
    </row>
    <row r="841" spans="1:1">
      <c r="A841" s="13"/>
    </row>
    <row r="842" spans="1:1">
      <c r="A842" s="13"/>
    </row>
    <row r="843" spans="1:1">
      <c r="A843" s="13"/>
    </row>
    <row r="844" spans="1:1">
      <c r="A844" s="13"/>
    </row>
    <row r="845" spans="1:1">
      <c r="A845" s="13"/>
    </row>
    <row r="846" spans="1:1">
      <c r="A846" s="13"/>
    </row>
    <row r="847" spans="1:1">
      <c r="A847" s="13"/>
    </row>
    <row r="848" spans="1:1">
      <c r="A848" s="13"/>
    </row>
    <row r="849" spans="1:1">
      <c r="A849" s="13"/>
    </row>
    <row r="850" spans="1:1">
      <c r="A850" s="13"/>
    </row>
    <row r="851" spans="1:1">
      <c r="A851" s="13"/>
    </row>
    <row r="852" spans="1:1">
      <c r="A852" s="13"/>
    </row>
    <row r="853" spans="1:1">
      <c r="A853" s="13"/>
    </row>
    <row r="854" spans="1:1">
      <c r="A854" s="13"/>
    </row>
    <row r="855" spans="1:1">
      <c r="A855" s="13"/>
    </row>
    <row r="856" spans="1:1">
      <c r="A856" s="13"/>
    </row>
    <row r="857" spans="1:1">
      <c r="A857" s="13"/>
    </row>
    <row r="858" spans="1:1">
      <c r="A858" s="13"/>
    </row>
    <row r="859" spans="1:1">
      <c r="A859" s="13"/>
    </row>
    <row r="860" spans="1:1">
      <c r="A860" s="13"/>
    </row>
    <row r="861" spans="1:1">
      <c r="A861" s="13"/>
    </row>
    <row r="862" spans="1:1">
      <c r="A862" s="13"/>
    </row>
    <row r="863" spans="1:1">
      <c r="A863" s="13"/>
    </row>
    <row r="864" spans="1:1">
      <c r="A864" s="13"/>
    </row>
    <row r="865" spans="1:1">
      <c r="A865" s="13"/>
    </row>
    <row r="866" spans="1:1">
      <c r="A866" s="13"/>
    </row>
    <row r="867" spans="1:1">
      <c r="A867" s="13"/>
    </row>
    <row r="868" spans="1:1">
      <c r="A868" s="13"/>
    </row>
    <row r="869" spans="1:1">
      <c r="A869" s="13"/>
    </row>
    <row r="870" spans="1:1">
      <c r="A870" s="13"/>
    </row>
    <row r="871" spans="1:1">
      <c r="A871" s="13"/>
    </row>
    <row r="872" spans="1:1">
      <c r="A872" s="13"/>
    </row>
    <row r="873" spans="1:1">
      <c r="A873" s="13"/>
    </row>
    <row r="874" spans="1:1">
      <c r="A874" s="13"/>
    </row>
    <row r="875" spans="1:1">
      <c r="A875" s="13"/>
    </row>
    <row r="876" spans="1:1">
      <c r="A876" s="13"/>
    </row>
    <row r="877" spans="1:1">
      <c r="A877" s="13"/>
    </row>
    <row r="878" spans="1:1">
      <c r="A878" s="13"/>
    </row>
    <row r="879" spans="1:1">
      <c r="A879" s="13"/>
    </row>
    <row r="880" spans="1:1">
      <c r="A880" s="13"/>
    </row>
    <row r="881" spans="1:1">
      <c r="A881" s="13"/>
    </row>
    <row r="882" spans="1:1">
      <c r="A882" s="13"/>
    </row>
    <row r="883" spans="1:1">
      <c r="A883" s="13"/>
    </row>
    <row r="884" spans="1:1">
      <c r="A884" s="13"/>
    </row>
    <row r="885" spans="1:1">
      <c r="A885" s="13"/>
    </row>
    <row r="886" spans="1:1">
      <c r="A886" s="13"/>
    </row>
    <row r="887" spans="1:1">
      <c r="A887" s="13"/>
    </row>
    <row r="888" spans="1:1">
      <c r="A888" s="13"/>
    </row>
    <row r="889" spans="1:1">
      <c r="A889" s="13"/>
    </row>
    <row r="890" spans="1:1">
      <c r="A890" s="13"/>
    </row>
    <row r="891" spans="1:1">
      <c r="A891" s="13"/>
    </row>
    <row r="892" spans="1:1">
      <c r="A892" s="13"/>
    </row>
    <row r="893" spans="1:1">
      <c r="A893" s="13"/>
    </row>
    <row r="894" spans="1:1">
      <c r="A894" s="13"/>
    </row>
    <row r="895" spans="1:1">
      <c r="A895" s="13"/>
    </row>
    <row r="896" spans="1:1">
      <c r="A896" s="13"/>
    </row>
    <row r="897" spans="1:1">
      <c r="A897" s="13"/>
    </row>
    <row r="898" spans="1:1">
      <c r="A898" s="13"/>
    </row>
    <row r="899" spans="1:1">
      <c r="A899" s="13"/>
    </row>
    <row r="900" spans="1:1">
      <c r="A900" s="13"/>
    </row>
    <row r="901" spans="1:1">
      <c r="A901" s="13"/>
    </row>
    <row r="902" spans="1:1">
      <c r="A902" s="13"/>
    </row>
    <row r="903" spans="1:1">
      <c r="A903" s="13"/>
    </row>
    <row r="904" spans="1:1">
      <c r="A904" s="13"/>
    </row>
    <row r="905" spans="1:1">
      <c r="A905" s="13"/>
    </row>
    <row r="906" spans="1:1">
      <c r="A906" s="13"/>
    </row>
    <row r="907" spans="1:1">
      <c r="A907" s="13"/>
    </row>
    <row r="908" spans="1:1">
      <c r="A908" s="13"/>
    </row>
    <row r="909" spans="1:1">
      <c r="A909" s="13"/>
    </row>
    <row r="910" spans="1:1">
      <c r="A910" s="13"/>
    </row>
    <row r="911" spans="1:1">
      <c r="A911" s="13"/>
    </row>
    <row r="912" spans="1:1">
      <c r="A912" s="13"/>
    </row>
    <row r="913" spans="1:1">
      <c r="A913" s="13"/>
    </row>
    <row r="914" spans="1:1">
      <c r="A914" s="13"/>
    </row>
    <row r="915" spans="1:1">
      <c r="A915" s="13"/>
    </row>
    <row r="916" spans="1:1">
      <c r="A916" s="13"/>
    </row>
    <row r="917" spans="1:1">
      <c r="A917" s="13"/>
    </row>
    <row r="918" spans="1:1">
      <c r="A918" s="13"/>
    </row>
    <row r="919" spans="1:1">
      <c r="A919" s="13"/>
    </row>
    <row r="920" spans="1:1">
      <c r="A920" s="13"/>
    </row>
    <row r="921" spans="1:1">
      <c r="A921" s="13"/>
    </row>
    <row r="922" spans="1:1">
      <c r="A922" s="13"/>
    </row>
    <row r="923" spans="1:1">
      <c r="A923" s="13"/>
    </row>
    <row r="924" spans="1:1">
      <c r="A924" s="13"/>
    </row>
    <row r="925" spans="1:1">
      <c r="A925" s="13"/>
    </row>
    <row r="926" spans="1:1">
      <c r="A926" s="13"/>
    </row>
    <row r="927" spans="1:1">
      <c r="A927" s="13"/>
    </row>
    <row r="928" spans="1:1">
      <c r="A928" s="13"/>
    </row>
    <row r="929" spans="1:1">
      <c r="A929" s="13"/>
    </row>
    <row r="930" spans="1:1">
      <c r="A930" s="13"/>
    </row>
    <row r="931" spans="1:1">
      <c r="A931" s="13"/>
    </row>
    <row r="932" spans="1:1">
      <c r="A932" s="13"/>
    </row>
    <row r="933" spans="1:1">
      <c r="A933" s="13"/>
    </row>
    <row r="934" spans="1:1">
      <c r="A934" s="13"/>
    </row>
    <row r="935" spans="1:1">
      <c r="A935" s="13"/>
    </row>
    <row r="936" spans="1:1">
      <c r="A936" s="13"/>
    </row>
    <row r="937" spans="1:1">
      <c r="A937" s="13"/>
    </row>
    <row r="938" spans="1:1">
      <c r="A938" s="13"/>
    </row>
    <row r="939" spans="1:1">
      <c r="A939" s="13"/>
    </row>
    <row r="940" spans="1:1">
      <c r="A940" s="13"/>
    </row>
    <row r="941" spans="1:1">
      <c r="A941" s="13"/>
    </row>
    <row r="942" spans="1:1">
      <c r="A942" s="13"/>
    </row>
    <row r="943" spans="1:1">
      <c r="A943" s="13"/>
    </row>
    <row r="944" spans="1:1">
      <c r="A944" s="13"/>
    </row>
    <row r="945" spans="1:1">
      <c r="A945" s="13"/>
    </row>
    <row r="946" spans="1:1">
      <c r="A946" s="13"/>
    </row>
    <row r="947" spans="1:1">
      <c r="A947" s="13"/>
    </row>
    <row r="948" spans="1:1">
      <c r="A948" s="13"/>
    </row>
    <row r="949" spans="1:1">
      <c r="A949" s="13"/>
    </row>
    <row r="950" spans="1:1">
      <c r="A950" s="13"/>
    </row>
    <row r="951" spans="1:1">
      <c r="A951" s="13"/>
    </row>
    <row r="952" spans="1:1">
      <c r="A952" s="13"/>
    </row>
    <row r="953" spans="1:1">
      <c r="A953" s="13"/>
    </row>
    <row r="954" spans="1:1">
      <c r="A954" s="13"/>
    </row>
    <row r="955" spans="1:1">
      <c r="A955" s="13"/>
    </row>
    <row r="956" spans="1:1">
      <c r="A956" s="13"/>
    </row>
    <row r="957" spans="1:1">
      <c r="A957" s="13"/>
    </row>
    <row r="958" spans="1:1">
      <c r="A958" s="13"/>
    </row>
    <row r="959" spans="1:1">
      <c r="A959" s="13"/>
    </row>
    <row r="960" spans="1:1">
      <c r="A960" s="13"/>
    </row>
    <row r="961" spans="1:1">
      <c r="A961" s="13"/>
    </row>
    <row r="962" spans="1:1">
      <c r="A962" s="13"/>
    </row>
    <row r="963" spans="1:1">
      <c r="A963" s="13"/>
    </row>
    <row r="964" spans="1:1">
      <c r="A964" s="13"/>
    </row>
    <row r="965" spans="1:1">
      <c r="A965" s="13"/>
    </row>
    <row r="966" spans="1:1">
      <c r="A966" s="13"/>
    </row>
    <row r="967" spans="1:1">
      <c r="A967" s="13"/>
    </row>
    <row r="968" spans="1:1">
      <c r="A968" s="13"/>
    </row>
    <row r="969" spans="1:1">
      <c r="A969" s="13"/>
    </row>
    <row r="970" spans="1:1">
      <c r="A970" s="13"/>
    </row>
    <row r="971" spans="1:1">
      <c r="A971" s="13"/>
    </row>
    <row r="972" spans="1:1">
      <c r="A972" s="13"/>
    </row>
    <row r="973" spans="1:1">
      <c r="A973" s="13"/>
    </row>
    <row r="974" spans="1:1">
      <c r="A974" s="13"/>
    </row>
    <row r="975" spans="1:1">
      <c r="A975" s="13"/>
    </row>
    <row r="976" spans="1:1">
      <c r="A976" s="13"/>
    </row>
    <row r="977" spans="1:1">
      <c r="A977" s="13"/>
    </row>
    <row r="978" spans="1:1">
      <c r="A978" s="13"/>
    </row>
    <row r="979" spans="1:1">
      <c r="A979" s="13"/>
    </row>
    <row r="980" spans="1:1">
      <c r="A980" s="13"/>
    </row>
    <row r="981" spans="1:1">
      <c r="A981" s="13"/>
    </row>
    <row r="982" spans="1:1">
      <c r="A982" s="13"/>
    </row>
    <row r="983" spans="1:1">
      <c r="A983" s="13"/>
    </row>
    <row r="984" spans="1:1">
      <c r="A984" s="13"/>
    </row>
    <row r="985" spans="1:1">
      <c r="A985" s="13"/>
    </row>
    <row r="986" spans="1:1">
      <c r="A986" s="13"/>
    </row>
    <row r="987" spans="1:1">
      <c r="A987" s="13"/>
    </row>
    <row r="988" spans="1:1">
      <c r="A988" s="13"/>
    </row>
    <row r="989" spans="1:1">
      <c r="A989" s="13"/>
    </row>
    <row r="990" spans="1:1">
      <c r="A990" s="13"/>
    </row>
    <row r="991" spans="1:1">
      <c r="A991" s="13"/>
    </row>
    <row r="992" spans="1:1">
      <c r="A992" s="13"/>
    </row>
    <row r="993" spans="1:1">
      <c r="A993" s="13"/>
    </row>
    <row r="994" spans="1:1">
      <c r="A994" s="13"/>
    </row>
    <row r="995" spans="1:1">
      <c r="A995" s="13"/>
    </row>
    <row r="996" spans="1:1">
      <c r="A996" s="13"/>
    </row>
    <row r="997" spans="1:1">
      <c r="A997" s="13"/>
    </row>
    <row r="998" spans="1:1">
      <c r="A998" s="13"/>
    </row>
    <row r="999" spans="1:1">
      <c r="A999" s="13"/>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D43"/>
  <sheetViews>
    <sheetView topLeftCell="R1" workbookViewId="0">
      <selection activeCell="U18" sqref="U18"/>
    </sheetView>
  </sheetViews>
  <sheetFormatPr defaultColWidth="14.42578125" defaultRowHeight="15" customHeight="1"/>
  <cols>
    <col min="19" max="19" width="17" bestFit="1" customWidth="1"/>
    <col min="20" max="20" width="40.28515625" bestFit="1" customWidth="1"/>
    <col min="28" max="28" width="14.42578125" style="1095"/>
  </cols>
  <sheetData>
    <row r="1" spans="1:30">
      <c r="A1" t="str">
        <f t="array" ref="A1:AD43">TRANSPOSE(Results_data_timeseries!A1:AQ29)</f>
        <v>Year</v>
      </c>
      <c r="B1" t="str">
        <v>Saving in efficient time usage</v>
      </c>
      <c r="C1" t="str">
        <v>Saving in storage costs</v>
      </c>
      <c r="D1" t="str">
        <v>Time saved thanks to less retractions of published works</v>
      </c>
      <c r="E1" t="str">
        <v>Licensing saving to access studies</v>
      </c>
      <c r="F1" t="str">
        <v>Cost Savings &amp; Avoidance</v>
      </c>
      <c r="G1" t="str">
        <v>Direct benefits of using FAIR</v>
      </c>
      <c r="H1" t="str">
        <v>Total operational cost in EUR of time spent to become FAIR</v>
      </c>
      <c r="I1" t="str">
        <v>Software maintenance costs</v>
      </c>
      <c r="J1" t="str">
        <v>Data stewardship costs</v>
      </c>
      <c r="K1" t="str">
        <v>Operational cost (Data Policies)</v>
      </c>
      <c r="L1" t="str">
        <v>Cost faced due to the identification of grant duplication</v>
      </c>
      <c r="M1" t="str">
        <v>Decreasing revenue from licensing fees and royalties</v>
      </c>
      <c r="N1" t="str">
        <v>Cost of storage due to increased retention</v>
      </c>
      <c r="O1" t="str">
        <v>Additional cost because of the reduced period between two innovation cycles of the basic IT infrastructure</v>
      </c>
      <c r="P1" t="str">
        <v>Marketing and raising awareness costs</v>
      </c>
      <c r="Q1" t="str">
        <v xml:space="preserve">Operational costs </v>
      </c>
      <c r="R1" t="str">
        <v>Operational costs when implementing FAIR</v>
      </c>
      <c r="S1" t="str">
        <v>Cost faced due to non-open import/export formats</v>
      </c>
      <c r="T1" t="str">
        <v>Investment cost (Data Policies)</v>
      </c>
      <c r="U1" t="str">
        <v>Project Management costs</v>
      </c>
      <c r="V1" t="str">
        <v>Total investment cost in EUR of time spent to become FAIR</v>
      </c>
      <c r="W1" t="str">
        <v>Implementation costs</v>
      </c>
      <c r="X1" t="str">
        <v>Direct costs of implementing FAIR</v>
      </c>
      <c r="Y1" t="str">
        <v>Benefits/Costs (Net Cash Flow)</v>
      </c>
      <c r="Z1" t="str">
        <v>Cumulative Net Benefits (Cumulative Net Cash Flow)</v>
      </c>
      <c r="AA1" t="str">
        <v>Projected inflation</v>
      </c>
      <c r="AB1" s="1095" t="str">
        <v>Present Value</v>
      </c>
      <c r="AC1" t="str">
        <v>Cumulative Present Value</v>
      </c>
      <c r="AD1" t="e">
        <v>#N/A</v>
      </c>
    </row>
    <row r="2" spans="1:30">
      <c r="A2">
        <f ca="1"/>
        <v>2018</v>
      </c>
      <c r="B2" s="65">
        <v>0</v>
      </c>
      <c r="C2" s="65">
        <v>0</v>
      </c>
      <c r="D2" s="65">
        <v>0</v>
      </c>
      <c r="E2" s="65">
        <v>0</v>
      </c>
      <c r="F2" s="65">
        <v>0</v>
      </c>
      <c r="G2" s="65">
        <f ca="1"/>
        <v>0</v>
      </c>
      <c r="H2" s="65">
        <v>0</v>
      </c>
      <c r="I2" s="65">
        <f ca="1"/>
        <v>-0.49999999999979222</v>
      </c>
      <c r="J2" s="65">
        <f ca="1"/>
        <v>-108150</v>
      </c>
      <c r="K2" s="65">
        <f ca="1"/>
        <v>-21911.058474175385</v>
      </c>
      <c r="L2" s="65">
        <f ca="1"/>
        <v>-0.42322879856558532</v>
      </c>
      <c r="M2" s="65">
        <f ca="1"/>
        <v>-799.99999999996783</v>
      </c>
      <c r="N2" s="65">
        <f ca="1"/>
        <v>0</v>
      </c>
      <c r="O2" s="65">
        <f ca="1"/>
        <v>-0.66666666666639007</v>
      </c>
      <c r="P2" s="65">
        <f ca="1"/>
        <v>-5000</v>
      </c>
      <c r="Q2" s="65">
        <f ca="1"/>
        <v>-130862.64836964059</v>
      </c>
      <c r="R2" s="65">
        <f ca="1"/>
        <v>-5000</v>
      </c>
      <c r="S2" s="65">
        <v>-5000</v>
      </c>
      <c r="T2" s="65">
        <f ca="1"/>
        <v>-27543.175422526154</v>
      </c>
      <c r="U2" s="65">
        <f ca="1"/>
        <v>-26391.165241351599</v>
      </c>
      <c r="V2" s="65">
        <f ca="1"/>
        <v>-1405.8893101152692</v>
      </c>
      <c r="W2" s="65">
        <f ca="1"/>
        <v>-60340.229973993024</v>
      </c>
      <c r="X2" s="65">
        <f ca="1"/>
        <v>-196202.92834363363</v>
      </c>
      <c r="Y2" s="65">
        <f ca="1"/>
        <v>-199577.61871114414</v>
      </c>
      <c r="Z2" s="65">
        <f ca="1"/>
        <v>-199577.61871114414</v>
      </c>
      <c r="AA2" s="65">
        <f ca="1"/>
        <v>1.72E-2</v>
      </c>
      <c r="AB2" s="1096">
        <f ca="1"/>
        <v>-190073.92258204203</v>
      </c>
      <c r="AC2" s="65">
        <f ca="1"/>
        <v>-190073.92258204203</v>
      </c>
      <c r="AD2" s="65" t="e">
        <v>#N/A</v>
      </c>
    </row>
    <row r="3" spans="1:30">
      <c r="A3">
        <f ca="1"/>
        <v>2019</v>
      </c>
      <c r="B3" s="65">
        <f ca="1"/>
        <v>28640.725975355057</v>
      </c>
      <c r="C3" s="65">
        <f ca="1"/>
        <v>12480</v>
      </c>
      <c r="D3" s="65">
        <f ca="1"/>
        <v>0</v>
      </c>
      <c r="E3" s="65">
        <f ca="1"/>
        <v>429.99029345751427</v>
      </c>
      <c r="F3" s="65">
        <f ca="1"/>
        <v>41550.716268812575</v>
      </c>
      <c r="G3" s="65">
        <f ca="1"/>
        <v>35408.920741678689</v>
      </c>
      <c r="H3" s="65">
        <f ca="1"/>
        <v>-11049.783716466141</v>
      </c>
      <c r="I3" s="65">
        <f ca="1"/>
        <v>-221.79215509421206</v>
      </c>
      <c r="J3" s="65">
        <f ca="1"/>
        <v>-105000</v>
      </c>
      <c r="K3" s="65">
        <v>0</v>
      </c>
      <c r="L3" s="65">
        <f ca="1"/>
        <v>-0.67072985767734694</v>
      </c>
      <c r="M3">
        <f ca="1"/>
        <v>-3581.134057101272</v>
      </c>
      <c r="N3" s="65">
        <f ca="1"/>
        <v>0</v>
      </c>
      <c r="O3" s="65">
        <f ca="1"/>
        <v>-295.72287345894961</v>
      </c>
      <c r="P3" s="65">
        <f ca="1"/>
        <v>-5000</v>
      </c>
      <c r="Q3" s="65">
        <f ca="1"/>
        <v>-120149.10353197825</v>
      </c>
      <c r="R3" s="65">
        <f ca="1"/>
        <v>-5000</v>
      </c>
      <c r="S3">
        <v>0</v>
      </c>
      <c r="T3" s="65">
        <v>0</v>
      </c>
      <c r="U3" s="65">
        <v>0</v>
      </c>
      <c r="V3" s="65">
        <v>0</v>
      </c>
      <c r="W3" s="65">
        <v>0</v>
      </c>
      <c r="X3" s="65">
        <f ca="1"/>
        <v>-125171.28274748767</v>
      </c>
      <c r="Y3" s="65">
        <f ca="1"/>
        <v>-93187.44330296063</v>
      </c>
      <c r="Z3" s="65">
        <f ca="1"/>
        <v>-292765.0620141048</v>
      </c>
      <c r="AA3" s="65">
        <f ca="1"/>
        <v>1.89E-2</v>
      </c>
      <c r="AB3" s="1096">
        <f ca="1"/>
        <v>-84523.758097923477</v>
      </c>
      <c r="AC3" s="65">
        <f ca="1"/>
        <v>-274597.68067996553</v>
      </c>
      <c r="AD3" s="65" t="e">
        <v>#N/A</v>
      </c>
    </row>
    <row r="4" spans="1:30">
      <c r="A4">
        <f ca="1"/>
        <v>2020</v>
      </c>
      <c r="B4" s="65">
        <f ca="1"/>
        <v>45059.868963304405</v>
      </c>
      <c r="C4" s="65">
        <f ca="1"/>
        <v>18000</v>
      </c>
      <c r="D4" s="65">
        <f ca="1"/>
        <v>0</v>
      </c>
      <c r="E4" s="65">
        <f ca="1"/>
        <v>875.05085972231655</v>
      </c>
      <c r="F4" s="65">
        <f ca="1"/>
        <v>63934.919823026721</v>
      </c>
      <c r="G4" s="65">
        <f ca="1"/>
        <v>41464.449620549465</v>
      </c>
      <c r="H4" s="65">
        <f ca="1"/>
        <v>-10853.514632245749</v>
      </c>
      <c r="I4" s="65">
        <f ca="1"/>
        <v>-4778.2078449057872</v>
      </c>
      <c r="J4" s="65">
        <f ca="1"/>
        <v>-105000</v>
      </c>
      <c r="K4" s="65">
        <v>0</v>
      </c>
      <c r="L4" s="65">
        <f ca="1"/>
        <v>-1.0629313445581827</v>
      </c>
      <c r="M4">
        <f ca="1"/>
        <v>-3986.3659113993276</v>
      </c>
      <c r="N4" s="65">
        <f ca="1"/>
        <v>0</v>
      </c>
      <c r="O4" s="65">
        <f ca="1"/>
        <v>-6370.9437932077208</v>
      </c>
      <c r="P4" s="65">
        <f ca="1"/>
        <v>-5000</v>
      </c>
      <c r="Q4" s="65">
        <f ca="1"/>
        <v>-130990.09511310315</v>
      </c>
      <c r="R4" s="65">
        <f ca="1"/>
        <v>-5000</v>
      </c>
      <c r="S4">
        <v>0</v>
      </c>
      <c r="T4" s="65">
        <v>0</v>
      </c>
      <c r="U4" s="65">
        <v>0</v>
      </c>
      <c r="V4" s="65">
        <v>0</v>
      </c>
      <c r="W4" s="65">
        <v>0</v>
      </c>
      <c r="X4" s="65">
        <f ca="1"/>
        <v>-136467.91589759372</v>
      </c>
      <c r="Y4" s="65">
        <f ca="1"/>
        <v>-100640.62818486095</v>
      </c>
      <c r="Z4" s="65">
        <f ca="1"/>
        <v>-393405.69019896572</v>
      </c>
      <c r="AA4" s="65">
        <f ca="1"/>
        <v>1.9400000000000001E-2</v>
      </c>
      <c r="AB4" s="1096">
        <f ca="1"/>
        <v>-86937.158565909456</v>
      </c>
      <c r="AC4" s="65">
        <f ca="1"/>
        <v>-361534.83924587502</v>
      </c>
      <c r="AD4" s="65" t="e">
        <v>#N/A</v>
      </c>
    </row>
    <row r="5" spans="1:30">
      <c r="A5">
        <f ca="1"/>
        <v>2021</v>
      </c>
      <c r="B5" s="65">
        <f ca="1"/>
        <v>24864.471221217234</v>
      </c>
      <c r="C5" s="65">
        <f ca="1"/>
        <v>24960</v>
      </c>
      <c r="D5" s="65">
        <f ca="1"/>
        <v>0</v>
      </c>
      <c r="E5" s="65">
        <f ca="1"/>
        <v>1335.1882795718436</v>
      </c>
      <c r="F5" s="65">
        <f ca="1"/>
        <v>51159.659500789072</v>
      </c>
      <c r="G5" s="65">
        <f ca="1"/>
        <v>48920.850694513836</v>
      </c>
      <c r="H5" s="65">
        <f ca="1"/>
        <v>-7641.3902010870597</v>
      </c>
      <c r="I5" s="65">
        <f ca="1"/>
        <v>-4999.5000000000009</v>
      </c>
      <c r="J5" s="65">
        <f ca="1"/>
        <v>-105000</v>
      </c>
      <c r="K5" s="65">
        <v>0</v>
      </c>
      <c r="L5" s="65">
        <f ca="1"/>
        <v>-1.6843768055552137</v>
      </c>
      <c r="M5">
        <f ca="1"/>
        <v>-3999.6000000000004</v>
      </c>
      <c r="N5" s="65">
        <f ca="1"/>
        <v>0</v>
      </c>
      <c r="O5" s="65">
        <f ca="1"/>
        <v>-6666.0000000000055</v>
      </c>
      <c r="P5" s="65">
        <f ca="1"/>
        <v>-5000</v>
      </c>
      <c r="Q5" s="65">
        <f ca="1"/>
        <v>-128308.17457789263</v>
      </c>
      <c r="R5" s="65">
        <f ca="1"/>
        <v>-5000</v>
      </c>
      <c r="S5">
        <v>0</v>
      </c>
      <c r="T5" s="65">
        <v>0</v>
      </c>
      <c r="U5" s="65">
        <v>0</v>
      </c>
      <c r="V5" s="65">
        <v>0</v>
      </c>
      <c r="W5" s="65">
        <v>0</v>
      </c>
      <c r="X5" s="65">
        <f ca="1"/>
        <v>-133808.12457789262</v>
      </c>
      <c r="Y5" s="65">
        <f ca="1"/>
        <v>-91848.687303096871</v>
      </c>
      <c r="Z5" s="65">
        <f ca="1"/>
        <v>-485254.37750206259</v>
      </c>
      <c r="AA5" s="65">
        <f ca="1"/>
        <v>1.9900000000000001E-2</v>
      </c>
      <c r="AB5" s="1096">
        <f ca="1"/>
        <v>-75564.142350643509</v>
      </c>
      <c r="AC5" s="65">
        <f ca="1"/>
        <v>-437098.98159651854</v>
      </c>
      <c r="AD5" s="65" t="e">
        <v>#N/A</v>
      </c>
    </row>
    <row r="6" spans="1:30">
      <c r="A6">
        <f ca="1"/>
        <v>2022</v>
      </c>
      <c r="B6" s="65">
        <f ca="1"/>
        <v>23582.771039269046</v>
      </c>
      <c r="C6" s="65">
        <f ca="1"/>
        <v>33000.856539642133</v>
      </c>
      <c r="D6" s="65">
        <f ca="1"/>
        <v>0</v>
      </c>
      <c r="E6" s="65">
        <f ca="1"/>
        <v>1807.6079673913346</v>
      </c>
      <c r="F6" s="65">
        <f ca="1"/>
        <v>58391.235546302516</v>
      </c>
      <c r="G6" s="65">
        <f ca="1"/>
        <v>57380.156824477555</v>
      </c>
      <c r="H6" s="65">
        <f ca="1"/>
        <v>-7627.1230355420921</v>
      </c>
      <c r="I6" s="65">
        <f ca="1"/>
        <v>-5000</v>
      </c>
      <c r="J6" s="65">
        <f ca="1"/>
        <v>-105000</v>
      </c>
      <c r="K6" s="65">
        <v>0</v>
      </c>
      <c r="L6" s="65">
        <f ca="1"/>
        <v>-2.6689227280614123</v>
      </c>
      <c r="M6">
        <f ca="1"/>
        <v>-4000</v>
      </c>
      <c r="N6" s="65">
        <f ca="1"/>
        <v>0</v>
      </c>
      <c r="O6" s="65">
        <f ca="1"/>
        <v>-6666.6666666666715</v>
      </c>
      <c r="P6" s="65">
        <f ca="1"/>
        <v>0</v>
      </c>
      <c r="Q6" s="65">
        <f ca="1"/>
        <v>-128296.45862493681</v>
      </c>
      <c r="R6" s="65">
        <f ca="1"/>
        <v>0</v>
      </c>
      <c r="S6">
        <v>0</v>
      </c>
      <c r="T6" s="65">
        <v>0</v>
      </c>
      <c r="U6" s="65">
        <v>0</v>
      </c>
      <c r="V6" s="65">
        <v>0</v>
      </c>
      <c r="W6" s="65">
        <v>0</v>
      </c>
      <c r="X6" s="65">
        <f ca="1"/>
        <v>-128796.45862493681</v>
      </c>
      <c r="Y6" s="65">
        <f ca="1"/>
        <v>-78405.875028939423</v>
      </c>
      <c r="Z6" s="65">
        <f ca="1"/>
        <v>-563660.25253100204</v>
      </c>
      <c r="AA6" s="65">
        <f ca="1"/>
        <v>1.8849999999999999E-2</v>
      </c>
      <c r="AB6" s="1096">
        <f ca="1"/>
        <v>-61433.054690029981</v>
      </c>
      <c r="AC6" s="65">
        <f ca="1"/>
        <v>-498532.03628654854</v>
      </c>
      <c r="AD6" s="65" t="e">
        <v>#N/A</v>
      </c>
    </row>
    <row r="7" spans="1:30">
      <c r="A7">
        <f ca="1"/>
        <v>2023</v>
      </c>
      <c r="B7" s="65">
        <f ca="1"/>
        <v>23515.684303977545</v>
      </c>
      <c r="C7" s="65">
        <f ca="1"/>
        <v>38250.271810301812</v>
      </c>
      <c r="D7" s="65">
        <f ca="1"/>
        <v>0</v>
      </c>
      <c r="E7" s="65">
        <f ca="1"/>
        <v>2295.8414516989387</v>
      </c>
      <c r="F7" s="65">
        <f ca="1"/>
        <v>64061.79756597829</v>
      </c>
      <c r="G7" s="65">
        <f ca="1"/>
        <v>63030.959411936186</v>
      </c>
      <c r="H7" s="65">
        <f ca="1"/>
        <v>-7613.6508354422185</v>
      </c>
      <c r="I7" s="65">
        <f ca="1"/>
        <v>-5000</v>
      </c>
      <c r="J7" s="65">
        <f ca="1"/>
        <v>-105000</v>
      </c>
      <c r="K7" s="65">
        <v>0</v>
      </c>
      <c r="L7" s="65">
        <f ca="1"/>
        <v>-4.2283767411350066</v>
      </c>
      <c r="M7">
        <f ca="1"/>
        <v>-4000</v>
      </c>
      <c r="N7" s="65">
        <f ca="1"/>
        <v>-712.11858988290442</v>
      </c>
      <c r="O7" s="65">
        <f ca="1"/>
        <v>-6666.6666666666715</v>
      </c>
      <c r="P7" s="65">
        <f ca="1"/>
        <v>0</v>
      </c>
      <c r="Q7" s="65">
        <f ca="1"/>
        <v>-128996.66446873291</v>
      </c>
      <c r="R7" s="65">
        <f ca="1"/>
        <v>0</v>
      </c>
      <c r="S7">
        <v>0</v>
      </c>
      <c r="T7" s="65">
        <v>0</v>
      </c>
      <c r="U7" s="65">
        <v>0</v>
      </c>
      <c r="V7" s="65">
        <v>0</v>
      </c>
      <c r="W7" s="65">
        <v>0</v>
      </c>
      <c r="X7" s="65">
        <f ca="1"/>
        <v>-129496.66446873291</v>
      </c>
      <c r="Y7" s="65">
        <f ca="1"/>
        <v>-74346.258050262477</v>
      </c>
      <c r="Z7" s="65">
        <f ca="1"/>
        <v>-638006.51058126451</v>
      </c>
      <c r="AA7" s="65">
        <f ca="1"/>
        <v>1.8849999999999999E-2</v>
      </c>
      <c r="AB7" s="1096">
        <f ca="1"/>
        <v>-55478.322439425683</v>
      </c>
      <c r="AC7" s="65">
        <f ca="1"/>
        <v>-554010.35872597422</v>
      </c>
      <c r="AD7" s="65" t="e">
        <v>#N/A</v>
      </c>
    </row>
    <row r="8" spans="1:30">
      <c r="A8">
        <f ca="1"/>
        <v>2024</v>
      </c>
      <c r="B8" s="65">
        <f ca="1"/>
        <v>23443.703836591798</v>
      </c>
      <c r="C8" s="65">
        <f ca="1"/>
        <v>44627.104247384552</v>
      </c>
      <c r="D8" s="65">
        <f ca="1"/>
        <v>0</v>
      </c>
      <c r="E8" s="65">
        <f ca="1"/>
        <v>2798.3372309518122</v>
      </c>
      <c r="F8" s="65">
        <f ca="1"/>
        <v>70869.145314928173</v>
      </c>
      <c r="G8" s="65">
        <f ca="1"/>
        <v>69775.865274034906</v>
      </c>
      <c r="H8" s="65">
        <f ca="1"/>
        <v>-7600.040527740437</v>
      </c>
      <c r="I8" s="65">
        <f ca="1"/>
        <v>-5000</v>
      </c>
      <c r="J8" s="65">
        <f ca="1"/>
        <v>-105000</v>
      </c>
      <c r="K8" s="65">
        <v>0</v>
      </c>
      <c r="L8" s="65">
        <f ca="1"/>
        <v>-6.6975783082493718</v>
      </c>
      <c r="M8">
        <f ca="1"/>
        <v>-4000</v>
      </c>
      <c r="N8" s="65">
        <f ca="1"/>
        <v>-1541.7114854578285</v>
      </c>
      <c r="O8" s="65">
        <f ca="1"/>
        <v>-6666.6666666666715</v>
      </c>
      <c r="P8" s="65">
        <f ca="1"/>
        <v>0</v>
      </c>
      <c r="Q8" s="65">
        <f ca="1"/>
        <v>-129815.11625817318</v>
      </c>
      <c r="R8" s="65">
        <f ca="1"/>
        <v>0</v>
      </c>
      <c r="S8">
        <v>0</v>
      </c>
      <c r="T8" s="65">
        <v>0</v>
      </c>
      <c r="U8" s="65">
        <v>0</v>
      </c>
      <c r="V8" s="65">
        <v>0</v>
      </c>
      <c r="W8" s="65">
        <v>0</v>
      </c>
      <c r="X8" s="65">
        <f ca="1"/>
        <v>-130315.11625817318</v>
      </c>
      <c r="Y8" s="65">
        <f ca="1"/>
        <v>-68993.597685336455</v>
      </c>
      <c r="Z8" s="65">
        <f ca="1"/>
        <v>-707000.10826660099</v>
      </c>
      <c r="AA8" s="65">
        <f ca="1"/>
        <v>1.8849999999999999E-2</v>
      </c>
      <c r="AB8" s="1096">
        <f ca="1"/>
        <v>-49032.461773477378</v>
      </c>
      <c r="AC8" s="65">
        <f ca="1"/>
        <v>-603042.8204994516</v>
      </c>
      <c r="AD8" s="65" t="e">
        <v>#N/A</v>
      </c>
    </row>
    <row r="9" spans="1:30">
      <c r="A9">
        <f ca="1"/>
        <v>2025</v>
      </c>
      <c r="B9" s="65">
        <f ca="1"/>
        <v>23373.476906102296</v>
      </c>
      <c r="C9" s="65">
        <f ca="1"/>
        <v>52606.548121847467</v>
      </c>
      <c r="D9" s="65">
        <f ca="1"/>
        <v>0</v>
      </c>
      <c r="E9" s="65">
        <f ca="1"/>
        <v>3314.8592364558467</v>
      </c>
      <c r="F9" s="65">
        <f ca="1"/>
        <v>79294.884264405613</v>
      </c>
      <c r="G9" s="65">
        <f ca="1"/>
        <v>78100.443317129175</v>
      </c>
      <c r="H9" s="65">
        <f ca="1"/>
        <v>-7586.298274306062</v>
      </c>
      <c r="I9" s="65">
        <f ca="1"/>
        <v>-5000</v>
      </c>
      <c r="J9" s="65">
        <f ca="1"/>
        <v>-105000</v>
      </c>
      <c r="K9" s="65">
        <v>0</v>
      </c>
      <c r="L9" s="65">
        <f ca="1"/>
        <v>-10.605077357583918</v>
      </c>
      <c r="M9">
        <f ca="1"/>
        <v>-4000</v>
      </c>
      <c r="N9" s="65">
        <f ca="1"/>
        <v>-2472.4079077515726</v>
      </c>
      <c r="O9" s="65">
        <f ca="1"/>
        <v>-6666.6666666666715</v>
      </c>
      <c r="P9" s="65">
        <f ca="1"/>
        <v>0</v>
      </c>
      <c r="Q9" s="65">
        <f ca="1"/>
        <v>-130735.97792608189</v>
      </c>
      <c r="R9" s="65">
        <f ca="1"/>
        <v>0</v>
      </c>
      <c r="S9">
        <v>0</v>
      </c>
      <c r="T9" s="65">
        <v>0</v>
      </c>
      <c r="U9" s="65">
        <v>0</v>
      </c>
      <c r="V9" s="65">
        <v>0</v>
      </c>
      <c r="W9" s="65">
        <v>0</v>
      </c>
      <c r="X9" s="65">
        <f ca="1"/>
        <v>-131235.97792608189</v>
      </c>
      <c r="Y9" s="65">
        <f ca="1"/>
        <v>-61697.426997962764</v>
      </c>
      <c r="Z9" s="65">
        <f ca="1"/>
        <v>-768697.53526456375</v>
      </c>
      <c r="AA9" s="65">
        <f ca="1"/>
        <v>1.8849999999999999E-2</v>
      </c>
      <c r="AB9" s="1096">
        <f ca="1"/>
        <v>-41759.24712811262</v>
      </c>
      <c r="AC9" s="65">
        <f ca="1"/>
        <v>-644802.06762756419</v>
      </c>
      <c r="AD9" s="65" t="e">
        <v>#N/A</v>
      </c>
    </row>
    <row r="10" spans="1:30">
      <c r="A10">
        <f ca="1"/>
        <v>2026</v>
      </c>
      <c r="B10" s="65">
        <f ca="1"/>
        <v>23314.791548652116</v>
      </c>
      <c r="C10" s="65">
        <f ca="1"/>
        <v>62256.700584896913</v>
      </c>
      <c r="D10" s="65">
        <f ca="1"/>
        <v>0</v>
      </c>
      <c r="E10" s="65">
        <f ca="1"/>
        <v>3845.1102329185187</v>
      </c>
      <c r="F10" s="65">
        <f ca="1"/>
        <v>89416.602366467559</v>
      </c>
      <c r="G10" s="65">
        <f ca="1"/>
        <v>88083.670403592085</v>
      </c>
      <c r="H10" s="65">
        <f ca="1"/>
        <v>-7572.4305169747022</v>
      </c>
      <c r="I10" s="65">
        <f ca="1"/>
        <v>-5000</v>
      </c>
      <c r="J10" s="65">
        <f ca="1"/>
        <v>-105000</v>
      </c>
      <c r="K10" s="65">
        <v>0</v>
      </c>
      <c r="L10" s="65">
        <f ca="1"/>
        <v>-16.783233706699001</v>
      </c>
      <c r="M10">
        <f ca="1"/>
        <v>-4000</v>
      </c>
      <c r="N10" s="65">
        <f ca="1"/>
        <v>-3568.4502761860895</v>
      </c>
      <c r="O10" s="65">
        <f ca="1"/>
        <v>-6666.6666666666715</v>
      </c>
      <c r="P10" s="65">
        <f ca="1"/>
        <v>0</v>
      </c>
      <c r="Q10" s="65">
        <f ca="1"/>
        <v>-131824.33069353417</v>
      </c>
      <c r="R10" s="65">
        <f ca="1"/>
        <v>0</v>
      </c>
      <c r="S10">
        <v>0</v>
      </c>
      <c r="T10" s="65">
        <v>0</v>
      </c>
      <c r="U10" s="65">
        <v>0</v>
      </c>
      <c r="V10" s="65">
        <v>0</v>
      </c>
      <c r="W10" s="65">
        <v>0</v>
      </c>
      <c r="X10" s="65">
        <f ca="1"/>
        <v>-132324.33069353417</v>
      </c>
      <c r="Y10" s="65">
        <f ca="1"/>
        <v>-52337.605372254002</v>
      </c>
      <c r="Z10" s="65">
        <f ca="1"/>
        <v>-821035.14063681778</v>
      </c>
      <c r="AA10" s="65">
        <f ca="1"/>
        <v>1.8849999999999999E-2</v>
      </c>
      <c r="AB10" s="1096">
        <f ca="1"/>
        <v>-33737.287076443419</v>
      </c>
      <c r="AC10" s="65">
        <f ca="1"/>
        <v>-678539.35470400762</v>
      </c>
      <c r="AD10" s="65" t="e">
        <v>#N/A</v>
      </c>
    </row>
    <row r="11" spans="1:30">
      <c r="A11">
        <f ca="1"/>
        <v>2027</v>
      </c>
      <c r="B11" s="65">
        <f ca="1"/>
        <v>23278.057867938605</v>
      </c>
      <c r="C11" s="65">
        <f ca="1"/>
        <v>73344.576775975729</v>
      </c>
      <c r="D11" s="65">
        <f ca="1"/>
        <v>0</v>
      </c>
      <c r="E11" s="65">
        <f ca="1"/>
        <v>4388.7302479297277</v>
      </c>
      <c r="F11" s="65">
        <f ca="1"/>
        <v>101011.36489184406</v>
      </c>
      <c r="G11" s="65">
        <f ca="1"/>
        <v>99501.223360676493</v>
      </c>
      <c r="H11" s="65">
        <f ca="1"/>
        <v>-7558.4439678019771</v>
      </c>
      <c r="I11" s="65">
        <f ca="1"/>
        <v>-5000</v>
      </c>
      <c r="J11" s="65">
        <f ca="1"/>
        <v>-105000</v>
      </c>
      <c r="K11" s="65">
        <v>0</v>
      </c>
      <c r="L11" s="65">
        <f ca="1"/>
        <v>-26.537948370736554</v>
      </c>
      <c r="M11">
        <f ca="1"/>
        <v>-4000</v>
      </c>
      <c r="N11" s="65">
        <f ca="1"/>
        <v>-4959.6240688025646</v>
      </c>
      <c r="O11" s="65">
        <f ca="1"/>
        <v>-6666.6666666666715</v>
      </c>
      <c r="P11" s="65">
        <f ca="1"/>
        <v>0</v>
      </c>
      <c r="Q11" s="65">
        <f ca="1"/>
        <v>-133211.27265164198</v>
      </c>
      <c r="R11" s="65">
        <f ca="1"/>
        <v>0</v>
      </c>
      <c r="S11">
        <v>0</v>
      </c>
      <c r="T11" s="65">
        <v>0</v>
      </c>
      <c r="U11" s="65">
        <v>0</v>
      </c>
      <c r="V11" s="65">
        <v>0</v>
      </c>
      <c r="W11" s="65">
        <v>0</v>
      </c>
      <c r="X11" s="65">
        <f ca="1"/>
        <v>-133711.27265164198</v>
      </c>
      <c r="Y11" s="65">
        <f ca="1"/>
        <v>-41234.069426700378</v>
      </c>
      <c r="Z11" s="65">
        <f ca="1"/>
        <v>-862269.21006351814</v>
      </c>
      <c r="AA11" s="65">
        <f ca="1"/>
        <v>1.8849999999999999E-2</v>
      </c>
      <c r="AB11" s="1096">
        <f ca="1"/>
        <v>-25314.141718471183</v>
      </c>
      <c r="AC11" s="65">
        <f ca="1"/>
        <v>-703853.49642247881</v>
      </c>
      <c r="AD11" s="65" t="e">
        <v>#N/A</v>
      </c>
    </row>
    <row r="12" spans="1:30">
      <c r="A12">
        <f ca="1"/>
        <v>2028</v>
      </c>
      <c r="B12" s="65">
        <f ca="1"/>
        <v>23275.406337689376</v>
      </c>
      <c r="C12" s="65">
        <f ca="1"/>
        <v>87117.487230689847</v>
      </c>
      <c r="D12" s="65">
        <f ca="1"/>
        <v>0</v>
      </c>
      <c r="E12" s="65">
        <f ca="1"/>
        <v>4945.2954917435682</v>
      </c>
      <c r="F12" s="65">
        <f ca="1"/>
        <v>115338.18906012279</v>
      </c>
      <c r="G12" s="65">
        <f ca="1"/>
        <v>113604.41823965954</v>
      </c>
      <c r="H12" s="65">
        <f ca="1"/>
        <v>-7544.345598134616</v>
      </c>
      <c r="I12" s="65">
        <f ca="1"/>
        <v>-5000</v>
      </c>
      <c r="J12" s="65">
        <f ca="1"/>
        <v>-105000</v>
      </c>
      <c r="K12" s="65">
        <v>0</v>
      </c>
      <c r="L12" s="65">
        <f ca="1"/>
        <v>-41.905916044311319</v>
      </c>
      <c r="M12">
        <f ca="1"/>
        <v>-4000</v>
      </c>
      <c r="N12" s="65">
        <f ca="1"/>
        <v>-6547.4896410929287</v>
      </c>
      <c r="O12" s="65">
        <f ca="1"/>
        <v>-6666.6666666666715</v>
      </c>
      <c r="P12" s="65">
        <f ca="1"/>
        <v>0</v>
      </c>
      <c r="Q12" s="65">
        <f ca="1"/>
        <v>-134800.40782193851</v>
      </c>
      <c r="R12" s="65">
        <f ca="1"/>
        <v>0</v>
      </c>
      <c r="S12">
        <v>0</v>
      </c>
      <c r="T12" s="65">
        <v>0</v>
      </c>
      <c r="U12" s="65">
        <v>0</v>
      </c>
      <c r="V12" s="65">
        <v>0</v>
      </c>
      <c r="W12" s="65">
        <v>0</v>
      </c>
      <c r="X12" s="65">
        <f ca="1"/>
        <v>-135300.40782193851</v>
      </c>
      <c r="Y12" s="65">
        <f ca="1"/>
        <v>-26643.557445556788</v>
      </c>
      <c r="Z12" s="65">
        <f ca="1"/>
        <v>-888912.76750907488</v>
      </c>
      <c r="AA12" s="65">
        <f ca="1"/>
        <v>1.8849999999999999E-2</v>
      </c>
      <c r="AB12" s="1096">
        <f ca="1"/>
        <v>-15577.936226001799</v>
      </c>
      <c r="AC12" s="65">
        <f ca="1"/>
        <v>-719431.43264848064</v>
      </c>
      <c r="AD12" s="65" t="e">
        <v>#N/A</v>
      </c>
    </row>
    <row r="13" spans="1:30">
      <c r="A13">
        <f ca="1"/>
        <v>2029</v>
      </c>
      <c r="B13" s="65">
        <f ca="1"/>
        <v>23322.649625500024</v>
      </c>
      <c r="C13" s="65">
        <f ca="1"/>
        <v>103737.63486860058</v>
      </c>
      <c r="D13" s="65">
        <f ca="1"/>
        <v>0</v>
      </c>
      <c r="E13" s="65">
        <f ca="1"/>
        <v>5514.3178180380191</v>
      </c>
      <c r="F13" s="65">
        <f ca="1"/>
        <v>132574.60231213862</v>
      </c>
      <c r="G13" s="65">
        <f ca="1"/>
        <v>130552.82351964631</v>
      </c>
      <c r="H13" s="65">
        <f ca="1"/>
        <v>-7530.1426265240298</v>
      </c>
      <c r="I13" s="65">
        <f ca="1"/>
        <v>-5000</v>
      </c>
      <c r="J13" s="65">
        <f ca="1"/>
        <v>-105000</v>
      </c>
      <c r="K13" s="65">
        <v>0</v>
      </c>
      <c r="L13" s="65">
        <f ca="1"/>
        <v>-66.033652896633342</v>
      </c>
      <c r="M13">
        <f ca="1"/>
        <v>-4000</v>
      </c>
      <c r="N13" s="65">
        <f ca="1"/>
        <v>-8436.7141396896441</v>
      </c>
      <c r="O13" s="65">
        <f ca="1"/>
        <v>-6666.6666666666715</v>
      </c>
      <c r="P13" s="65">
        <f ca="1"/>
        <v>0</v>
      </c>
      <c r="Q13" s="65">
        <f ca="1"/>
        <v>-136699.55708577699</v>
      </c>
      <c r="R13" s="65">
        <f ca="1"/>
        <v>0</v>
      </c>
      <c r="S13">
        <v>0</v>
      </c>
      <c r="T13" s="65">
        <v>0</v>
      </c>
      <c r="U13">
        <v>0</v>
      </c>
      <c r="V13">
        <v>0</v>
      </c>
      <c r="W13">
        <v>0</v>
      </c>
      <c r="X13" s="65">
        <f ca="1"/>
        <v>-137199.55708577699</v>
      </c>
      <c r="Y13" s="65">
        <f ca="1"/>
        <v>-8316.3214538065513</v>
      </c>
      <c r="Z13" s="65">
        <f ca="1"/>
        <v>-897229.08896288148</v>
      </c>
      <c r="AA13">
        <f ca="1"/>
        <v>1.8849999999999999E-2</v>
      </c>
      <c r="AB13" s="1095">
        <f ca="1"/>
        <v>-4630.8389670722881</v>
      </c>
      <c r="AC13">
        <f ca="1"/>
        <v>-724062.27161555295</v>
      </c>
      <c r="AD13" s="65" t="e">
        <v>#N/A</v>
      </c>
    </row>
    <row r="14" spans="1:30">
      <c r="A14">
        <f ca="1"/>
        <v>2030</v>
      </c>
      <c r="B14" s="65">
        <f ca="1"/>
        <v>23442.126528978319</v>
      </c>
      <c r="C14" s="65">
        <f ca="1"/>
        <v>123782.93265638435</v>
      </c>
      <c r="D14" s="65">
        <f ca="1"/>
        <v>0</v>
      </c>
      <c r="E14" s="65">
        <f ca="1"/>
        <v>6095.2447707953997</v>
      </c>
      <c r="F14" s="65">
        <f ca="1"/>
        <v>153320.30395615805</v>
      </c>
      <c r="G14" s="65">
        <f ca="1"/>
        <v>150913.41045127535</v>
      </c>
      <c r="H14" s="65">
        <f ca="1"/>
        <v>-7515.8425055159769</v>
      </c>
      <c r="I14" s="65">
        <f ca="1"/>
        <v>-5000</v>
      </c>
      <c r="J14" s="65">
        <f ca="1"/>
        <v>-105000</v>
      </c>
      <c r="K14" s="65">
        <v>0</v>
      </c>
      <c r="L14" s="65">
        <f ca="1"/>
        <v>-103.70935493788973</v>
      </c>
      <c r="M14">
        <f ca="1"/>
        <v>-4000</v>
      </c>
      <c r="N14" s="65">
        <f ca="1"/>
        <v>-10689.466263747017</v>
      </c>
      <c r="O14" s="65">
        <f ca="1"/>
        <v>-6666.6666666666715</v>
      </c>
      <c r="P14" s="65">
        <f ca="1"/>
        <v>0</v>
      </c>
      <c r="Q14" s="65">
        <f ca="1"/>
        <v>-138975.68479086756</v>
      </c>
      <c r="R14" s="65">
        <f ca="1"/>
        <v>0</v>
      </c>
      <c r="S14">
        <v>0</v>
      </c>
      <c r="T14" s="65">
        <v>0</v>
      </c>
      <c r="U14">
        <v>0</v>
      </c>
      <c r="V14">
        <v>0</v>
      </c>
      <c r="W14">
        <v>0</v>
      </c>
      <c r="X14" s="65">
        <f ca="1"/>
        <v>-139475.68479086756</v>
      </c>
      <c r="Y14" s="65">
        <f ca="1"/>
        <v>14580.516974276958</v>
      </c>
      <c r="Z14" s="65">
        <f ca="1"/>
        <v>-882648.5719886045</v>
      </c>
      <c r="AA14">
        <f ca="1"/>
        <v>1.8849999999999999E-2</v>
      </c>
      <c r="AB14" s="1095">
        <f ca="1"/>
        <v>7732.3594549052013</v>
      </c>
      <c r="AC14">
        <f ca="1"/>
        <v>-716329.9121606478</v>
      </c>
      <c r="AD14" s="65" t="e">
        <v>#N/A</v>
      </c>
    </row>
    <row r="15" spans="1:30">
      <c r="A15">
        <f ca="1"/>
        <v>2031</v>
      </c>
      <c r="B15" s="65">
        <f ca="1"/>
        <v>23666.288301324021</v>
      </c>
      <c r="C15" s="65">
        <f ca="1"/>
        <v>147948.99219612041</v>
      </c>
      <c r="D15" s="65">
        <f ca="1"/>
        <v>0</v>
      </c>
      <c r="E15" s="65">
        <f ca="1"/>
        <v>6687.4602553614259</v>
      </c>
      <c r="F15" s="65">
        <f ca="1"/>
        <v>178302.74075280587</v>
      </c>
      <c r="G15" s="65">
        <f ca="1"/>
        <v>175360.94234571161</v>
      </c>
      <c r="H15" s="65">
        <f ca="1"/>
        <v>-7501.452907358318</v>
      </c>
      <c r="I15" s="65">
        <f ca="1"/>
        <v>-5000</v>
      </c>
      <c r="J15" s="65">
        <f ca="1"/>
        <v>-105000</v>
      </c>
      <c r="K15" s="65">
        <v>0</v>
      </c>
      <c r="L15" s="65">
        <f ca="1"/>
        <v>-162.04496499999721</v>
      </c>
      <c r="M15">
        <f ca="1"/>
        <v>-4000</v>
      </c>
      <c r="N15" s="65">
        <f ca="1"/>
        <v>-13380.538148710722</v>
      </c>
      <c r="O15" s="65">
        <f ca="1"/>
        <v>-6666.6666666666715</v>
      </c>
      <c r="P15" s="65">
        <f ca="1"/>
        <v>0</v>
      </c>
      <c r="Q15" s="65">
        <f ca="1"/>
        <v>-141710.70268773573</v>
      </c>
      <c r="R15" s="65">
        <f ca="1"/>
        <v>0</v>
      </c>
      <c r="S15">
        <v>0</v>
      </c>
      <c r="T15" s="65">
        <v>0</v>
      </c>
      <c r="U15">
        <v>0</v>
      </c>
      <c r="V15">
        <v>0</v>
      </c>
      <c r="W15">
        <v>0</v>
      </c>
      <c r="X15" s="65">
        <f ca="1"/>
        <v>-142210.70268773573</v>
      </c>
      <c r="Y15" s="65">
        <f ca="1"/>
        <v>43055.651929385247</v>
      </c>
      <c r="Z15" s="65">
        <f ca="1"/>
        <v>-839592.92005921924</v>
      </c>
      <c r="AA15">
        <f ca="1"/>
        <v>1.8849999999999999E-2</v>
      </c>
      <c r="AB15" s="1095">
        <f ca="1"/>
        <v>21746.029984862169</v>
      </c>
      <c r="AC15">
        <f ca="1"/>
        <v>-694583.88217578561</v>
      </c>
      <c r="AD15" s="65" t="e">
        <v>#N/A</v>
      </c>
    </row>
    <row r="16" spans="1:30">
      <c r="A16">
        <f ca="1"/>
        <v>2032</v>
      </c>
      <c r="B16" s="65">
        <f ca="1"/>
        <v>24041.408659966768</v>
      </c>
      <c r="C16" s="65">
        <f ca="1"/>
        <v>177073.07933276315</v>
      </c>
      <c r="D16" s="65">
        <f ca="1"/>
        <v>0</v>
      </c>
      <c r="E16" s="65">
        <f ca="1"/>
        <v>7290.2858631601875</v>
      </c>
      <c r="F16" s="65">
        <f ca="1"/>
        <v>208404.77385589012</v>
      </c>
      <c r="G16" s="65">
        <f ca="1"/>
        <v>204700.43431510753</v>
      </c>
      <c r="H16" s="65">
        <f ca="1"/>
        <v>-7486.9817086772382</v>
      </c>
      <c r="I16" s="65">
        <f ca="1"/>
        <v>-5000</v>
      </c>
      <c r="J16" s="65">
        <f ca="1"/>
        <v>-105000</v>
      </c>
      <c r="K16" s="65">
        <v>0</v>
      </c>
      <c r="L16" s="65">
        <f ca="1"/>
        <v>-251.19737233651458</v>
      </c>
      <c r="M16">
        <f ca="1"/>
        <v>-4000</v>
      </c>
      <c r="N16" s="65">
        <f ca="1"/>
        <v>-16599.916090622792</v>
      </c>
      <c r="O16" s="65">
        <f ca="1"/>
        <v>-6666.6666666666715</v>
      </c>
      <c r="P16" s="65">
        <f ca="1"/>
        <v>0</v>
      </c>
      <c r="Q16" s="65">
        <f ca="1"/>
        <v>-145004.76183830324</v>
      </c>
      <c r="R16" s="65">
        <f ca="1"/>
        <v>0</v>
      </c>
      <c r="S16">
        <v>0</v>
      </c>
      <c r="T16" s="65">
        <v>0</v>
      </c>
      <c r="U16">
        <v>0</v>
      </c>
      <c r="V16">
        <v>0</v>
      </c>
      <c r="W16">
        <v>0</v>
      </c>
      <c r="X16" s="65">
        <f ca="1"/>
        <v>-145504.76183830324</v>
      </c>
      <c r="Y16" s="65">
        <f ca="1"/>
        <v>78332.809885124807</v>
      </c>
      <c r="Z16" s="65">
        <f ca="1"/>
        <v>-761260.11017409444</v>
      </c>
      <c r="AA16">
        <f ca="1"/>
        <v>1.8849999999999999E-2</v>
      </c>
      <c r="AB16" s="1095">
        <f ca="1"/>
        <v>37679.4208962544</v>
      </c>
      <c r="AC16">
        <f ca="1"/>
        <v>-656904.46127953124</v>
      </c>
      <c r="AD16" s="65" t="e">
        <v>#N/A</v>
      </c>
    </row>
    <row r="17" spans="1:30">
      <c r="A17">
        <f ca="1"/>
        <v>2033</v>
      </c>
      <c r="B17" s="65">
        <f ca="1"/>
        <v>24629.589954119547</v>
      </c>
      <c r="C17" s="65">
        <f ca="1"/>
        <v>212162.94609814297</v>
      </c>
      <c r="D17" s="65">
        <f ca="1"/>
        <v>0</v>
      </c>
      <c r="E17" s="65">
        <f ca="1"/>
        <v>7902.9828695813458</v>
      </c>
      <c r="F17" s="65">
        <f ca="1"/>
        <v>244695.51892184388</v>
      </c>
      <c r="G17" s="65">
        <f ca="1"/>
        <v>239895.42955812864</v>
      </c>
      <c r="H17" s="65">
        <f ca="1"/>
        <v>-7472.436974180393</v>
      </c>
      <c r="I17" s="65">
        <f ca="1"/>
        <v>-5000</v>
      </c>
      <c r="J17" s="65">
        <f ca="1"/>
        <v>-105000</v>
      </c>
      <c r="K17" s="65">
        <v>0</v>
      </c>
      <c r="L17" s="65">
        <f ca="1"/>
        <v>-384.76219816490425</v>
      </c>
      <c r="M17">
        <f ca="1"/>
        <v>-4000</v>
      </c>
      <c r="N17" s="65">
        <f ca="1"/>
        <v>-20455.874505721782</v>
      </c>
      <c r="O17" s="65">
        <f ca="1"/>
        <v>-6666.6666666666715</v>
      </c>
      <c r="P17" s="65">
        <f ca="1"/>
        <v>0</v>
      </c>
      <c r="Q17" s="65">
        <f ca="1"/>
        <v>-148979.74034473376</v>
      </c>
      <c r="R17" s="65">
        <f ca="1"/>
        <v>0</v>
      </c>
      <c r="S17">
        <v>0</v>
      </c>
      <c r="T17" s="65">
        <v>0</v>
      </c>
      <c r="U17">
        <v>0</v>
      </c>
      <c r="V17">
        <v>0</v>
      </c>
      <c r="W17">
        <v>0</v>
      </c>
      <c r="X17" s="65">
        <f ca="1"/>
        <v>-149479.74034473376</v>
      </c>
      <c r="Y17" s="65">
        <f ca="1"/>
        <v>121901.14749090534</v>
      </c>
      <c r="Z17" s="65">
        <f ca="1"/>
        <v>-639358.96268318908</v>
      </c>
      <c r="AA17">
        <f ca="1"/>
        <v>1.8849999999999999E-2</v>
      </c>
      <c r="AB17" s="1095">
        <f ca="1"/>
        <v>55844.320209556805</v>
      </c>
      <c r="AC17">
        <f ca="1"/>
        <v>-601060.1410699744</v>
      </c>
      <c r="AD17" s="65" t="e">
        <v>#N/A</v>
      </c>
    </row>
    <row r="18" spans="1:30">
      <c r="A18">
        <f ca="1"/>
        <v>2034</v>
      </c>
      <c r="B18" s="65">
        <f ca="1"/>
        <v>25504.874468749771</v>
      </c>
      <c r="C18" s="65">
        <f ca="1"/>
        <v>254431.53158341633</v>
      </c>
      <c r="D18" s="65">
        <f ca="1"/>
        <v>0</v>
      </c>
      <c r="E18" s="65">
        <f ca="1"/>
        <v>8524.7549133907069</v>
      </c>
      <c r="F18" s="65">
        <f ca="1"/>
        <v>288461.16096555686</v>
      </c>
      <c r="G18" s="65">
        <f ca="1"/>
        <v>282105.18518370023</v>
      </c>
      <c r="H18" s="65">
        <f ca="1"/>
        <v>-7457.826939453209</v>
      </c>
      <c r="I18" s="65">
        <f ca="1"/>
        <v>-5000</v>
      </c>
      <c r="J18" s="65">
        <f ca="1"/>
        <v>-105000</v>
      </c>
      <c r="K18" s="65">
        <v>0</v>
      </c>
      <c r="L18" s="65">
        <f ca="1"/>
        <v>-579.01614744535357</v>
      </c>
      <c r="M18">
        <f ca="1"/>
        <v>-4000</v>
      </c>
      <c r="N18" s="65">
        <f ca="1"/>
        <v>-25078.699633390774</v>
      </c>
      <c r="O18" s="65">
        <f ca="1"/>
        <v>-6666.6666666666715</v>
      </c>
      <c r="P18" s="65">
        <f ca="1"/>
        <v>0</v>
      </c>
      <c r="Q18" s="65">
        <f ca="1"/>
        <v>-153782.209386956</v>
      </c>
      <c r="R18" s="65">
        <f ca="1"/>
        <v>0</v>
      </c>
      <c r="S18">
        <v>0</v>
      </c>
      <c r="T18" s="65">
        <v>0</v>
      </c>
      <c r="U18">
        <v>0</v>
      </c>
      <c r="V18">
        <v>0</v>
      </c>
      <c r="W18">
        <v>0</v>
      </c>
      <c r="X18" s="65">
        <f ca="1"/>
        <v>-154282.209386956</v>
      </c>
      <c r="Y18" s="65">
        <f ca="1"/>
        <v>175583.28515114394</v>
      </c>
      <c r="Z18" s="65">
        <f ca="1"/>
        <v>-463775.67753204517</v>
      </c>
      <c r="AA18">
        <f ca="1"/>
        <v>1.8849999999999999E-2</v>
      </c>
      <c r="AB18" s="1095">
        <f ca="1"/>
        <v>76606.405711276719</v>
      </c>
      <c r="AC18">
        <f ca="1"/>
        <v>-524453.73535869771</v>
      </c>
      <c r="AD18" s="65" t="e">
        <v>#N/A</v>
      </c>
    </row>
    <row r="19" spans="1:30">
      <c r="A19">
        <f ca="1"/>
        <v>2035</v>
      </c>
      <c r="B19" s="65">
        <f ca="1"/>
        <v>26736.207722016283</v>
      </c>
      <c r="C19" s="65">
        <f ca="1"/>
        <v>305338.72637754621</v>
      </c>
      <c r="D19" s="65">
        <f ca="1"/>
        <v>0</v>
      </c>
      <c r="E19" s="65">
        <f ca="1"/>
        <v>9154.7513538827916</v>
      </c>
      <c r="F19" s="65">
        <f ca="1"/>
        <v>341229.68545344524</v>
      </c>
      <c r="G19" s="65">
        <f ca="1"/>
        <v>332734.95816069347</v>
      </c>
      <c r="H19" s="65">
        <f ca="1"/>
        <v>-7443.1599929219738</v>
      </c>
      <c r="I19" s="65">
        <f ca="1"/>
        <v>-5000</v>
      </c>
      <c r="J19" s="65">
        <f ca="1"/>
        <v>-105000</v>
      </c>
      <c r="K19" s="65">
        <v>0</v>
      </c>
      <c r="L19" s="65">
        <f ca="1"/>
        <v>-849.68436068208848</v>
      </c>
      <c r="M19">
        <f ca="1"/>
        <v>-4000</v>
      </c>
      <c r="N19" s="65">
        <f ca="1"/>
        <v>-30625.171170526461</v>
      </c>
      <c r="O19" s="65">
        <f ca="1"/>
        <v>-6666.6666666666715</v>
      </c>
      <c r="P19" s="65">
        <f ca="1"/>
        <v>0</v>
      </c>
      <c r="Q19" s="65">
        <f ca="1"/>
        <v>-159584.68219079723</v>
      </c>
      <c r="R19" s="65">
        <f ca="1"/>
        <v>0</v>
      </c>
      <c r="S19">
        <v>0</v>
      </c>
      <c r="T19" s="65">
        <v>0</v>
      </c>
      <c r="U19">
        <v>0</v>
      </c>
      <c r="V19">
        <v>0</v>
      </c>
      <c r="W19">
        <v>0</v>
      </c>
      <c r="X19" s="65">
        <f ca="1"/>
        <v>-160084.68219079723</v>
      </c>
      <c r="Y19" s="65">
        <f ca="1"/>
        <v>241630.51141030467</v>
      </c>
      <c r="Z19" s="65">
        <f ca="1"/>
        <v>-222145.16612174051</v>
      </c>
      <c r="AA19">
        <f ca="1"/>
        <v>1.8849999999999999E-2</v>
      </c>
      <c r="AB19" s="1095">
        <f ca="1"/>
        <v>100402.46833717465</v>
      </c>
      <c r="AC19">
        <f ca="1"/>
        <v>-424051.26702152309</v>
      </c>
      <c r="AD19" s="65" t="e">
        <v>#N/A</v>
      </c>
    </row>
    <row r="20" spans="1:30">
      <c r="A20">
        <f ca="1"/>
        <v>2036</v>
      </c>
      <c r="B20" s="65">
        <f ca="1"/>
        <v>28349.746126571004</v>
      </c>
      <c r="C20" s="65">
        <f ca="1"/>
        <v>366641.63838216482</v>
      </c>
      <c r="D20" s="65">
        <f ca="1"/>
        <v>0</v>
      </c>
      <c r="E20" s="65">
        <f ca="1"/>
        <v>9792.0712891848016</v>
      </c>
      <c r="F20" s="65">
        <f ca="1"/>
        <v>404783.45579792064</v>
      </c>
      <c r="G20" s="65">
        <f ca="1"/>
        <v>393501.82266579295</v>
      </c>
      <c r="H20" s="65">
        <f ca="1"/>
        <v>-7428.4446570642031</v>
      </c>
      <c r="I20" s="65">
        <f ca="1"/>
        <v>-5000</v>
      </c>
      <c r="J20" s="65">
        <f ca="1"/>
        <v>-105000</v>
      </c>
      <c r="K20" s="65">
        <v>0</v>
      </c>
      <c r="L20" s="65">
        <f ca="1"/>
        <v>-1205.1409808752894</v>
      </c>
      <c r="M20">
        <f ca="1"/>
        <v>-4000</v>
      </c>
      <c r="N20" s="65">
        <f ca="1"/>
        <v>-37283.956118470538</v>
      </c>
      <c r="O20" s="65">
        <f ca="1"/>
        <v>-6666.6666666666715</v>
      </c>
      <c r="P20" s="65">
        <f ca="1"/>
        <v>0</v>
      </c>
      <c r="Q20" s="65">
        <f ca="1"/>
        <v>-166584.20842307672</v>
      </c>
      <c r="R20" s="65">
        <f ca="1"/>
        <v>0</v>
      </c>
      <c r="S20">
        <v>0</v>
      </c>
      <c r="T20" s="65">
        <v>0</v>
      </c>
      <c r="U20">
        <v>0</v>
      </c>
      <c r="V20">
        <v>0</v>
      </c>
      <c r="W20">
        <v>0</v>
      </c>
      <c r="X20" s="65">
        <f ca="1"/>
        <v>-167084.20842307672</v>
      </c>
      <c r="Y20" s="65">
        <f ca="1"/>
        <v>322853.0963681346</v>
      </c>
      <c r="Z20" s="65">
        <f ca="1"/>
        <v>100707.9302463941</v>
      </c>
      <c r="AA20">
        <f ca="1"/>
        <v>1.8849999999999999E-2</v>
      </c>
      <c r="AB20" s="1095">
        <f ca="1"/>
        <v>127763.93336083993</v>
      </c>
      <c r="AC20">
        <f ca="1"/>
        <v>-296287.33366068313</v>
      </c>
      <c r="AD20" s="65" t="e">
        <v>#N/A</v>
      </c>
    </row>
    <row r="21" spans="1:30">
      <c r="A21">
        <f ca="1"/>
        <v>2037</v>
      </c>
      <c r="B21" s="65">
        <f ca="1"/>
        <v>30273.853652308568</v>
      </c>
      <c r="C21" s="65">
        <f ca="1"/>
        <v>440455.09048459376</v>
      </c>
      <c r="D21" s="65">
        <f ca="1"/>
        <v>0</v>
      </c>
      <c r="E21" s="65">
        <f ca="1"/>
        <v>10435.768205975834</v>
      </c>
      <c r="F21" s="65">
        <f ca="1"/>
        <v>481164.71234287816</v>
      </c>
      <c r="G21" s="65">
        <f ca="1"/>
        <v>466511.16074120696</v>
      </c>
      <c r="H21" s="65">
        <f ca="1"/>
        <v>-7413.6895689530847</v>
      </c>
      <c r="I21" s="65">
        <f ca="1"/>
        <v>-5000</v>
      </c>
      <c r="J21" s="65">
        <f ca="1"/>
        <v>-105000</v>
      </c>
      <c r="K21" s="65">
        <v>0</v>
      </c>
      <c r="L21" s="65">
        <f ca="1"/>
        <v>-1637.3214079075162</v>
      </c>
      <c r="M21">
        <f ca="1"/>
        <v>-4000</v>
      </c>
      <c r="N21" s="65">
        <f ca="1"/>
        <v>-45282.100528050098</v>
      </c>
      <c r="O21" s="65">
        <f ca="1"/>
        <v>-6666.6666666666715</v>
      </c>
      <c r="P21" s="65">
        <f ca="1"/>
        <v>0</v>
      </c>
      <c r="Q21" s="65">
        <f ca="1"/>
        <v>-174999.77817157737</v>
      </c>
      <c r="R21" s="65">
        <f ca="1"/>
        <v>0</v>
      </c>
      <c r="S21">
        <v>0</v>
      </c>
      <c r="T21" s="65">
        <v>0</v>
      </c>
      <c r="U21">
        <v>0</v>
      </c>
      <c r="V21">
        <v>0</v>
      </c>
      <c r="W21">
        <v>0</v>
      </c>
      <c r="X21" s="65">
        <f ca="1"/>
        <v>-175499.77817157737</v>
      </c>
      <c r="Y21" s="65">
        <f ca="1"/>
        <v>422780.52334898477</v>
      </c>
      <c r="Z21" s="65">
        <f ca="1"/>
        <v>523488.4535953789</v>
      </c>
      <c r="AA21">
        <f ca="1"/>
        <v>1.8849999999999999E-2</v>
      </c>
      <c r="AB21" s="1095">
        <f ca="1"/>
        <v>159341.53281377544</v>
      </c>
      <c r="AC21">
        <f ca="1"/>
        <v>-136945.80084690769</v>
      </c>
      <c r="AD21" s="65" t="e">
        <v>#N/A</v>
      </c>
    </row>
    <row r="22" spans="1:30">
      <c r="A22">
        <f ca="1"/>
        <v>2038</v>
      </c>
      <c r="B22" s="65">
        <f ca="1"/>
        <v>32298.151350332329</v>
      </c>
      <c r="C22" s="65">
        <f ca="1"/>
        <v>530123.54235889763</v>
      </c>
      <c r="D22" s="65">
        <f ca="1"/>
        <v>0</v>
      </c>
      <c r="E22" s="65">
        <f ca="1"/>
        <v>11084.855217777211</v>
      </c>
      <c r="F22" s="65">
        <f ca="1"/>
        <v>573506.54892700713</v>
      </c>
      <c r="G22" s="65">
        <f ca="1"/>
        <v>555131.14467821911</v>
      </c>
      <c r="H22" s="65">
        <f ca="1"/>
        <v>-7398.9034602284173</v>
      </c>
      <c r="I22" s="65">
        <f ca="1"/>
        <v>-5000</v>
      </c>
      <c r="J22" s="65">
        <f ca="1"/>
        <v>-105000</v>
      </c>
      <c r="K22" s="65">
        <v>0</v>
      </c>
      <c r="L22" s="65">
        <f ca="1"/>
        <v>-2116.1439928283621</v>
      </c>
      <c r="M22">
        <f ca="1"/>
        <v>-4000</v>
      </c>
      <c r="N22" s="65">
        <f ca="1"/>
        <v>-54493.28785395564</v>
      </c>
      <c r="O22" s="65">
        <f ca="1"/>
        <v>-6666.6666666666715</v>
      </c>
      <c r="P22" s="65">
        <f ca="1"/>
        <v>0</v>
      </c>
      <c r="Q22" s="65">
        <f ca="1"/>
        <v>-184675.00197367911</v>
      </c>
      <c r="R22" s="65">
        <f ca="1"/>
        <v>0</v>
      </c>
      <c r="S22">
        <v>0</v>
      </c>
      <c r="T22" s="65">
        <v>0</v>
      </c>
      <c r="U22">
        <v>0</v>
      </c>
      <c r="V22">
        <v>0</v>
      </c>
      <c r="W22">
        <v>0</v>
      </c>
      <c r="X22" s="65">
        <f ca="1"/>
        <v>-185175.00197367911</v>
      </c>
      <c r="Y22" s="65">
        <f ca="1"/>
        <v>547602.58332462516</v>
      </c>
      <c r="Z22" s="65">
        <f ca="1"/>
        <v>1071091.0369200041</v>
      </c>
      <c r="AA22">
        <f ca="1"/>
        <v>1.8849999999999999E-2</v>
      </c>
      <c r="AB22" s="1095">
        <f ca="1"/>
        <v>196557.76614203543</v>
      </c>
      <c r="AC22">
        <f ca="1"/>
        <v>59611.965295127739</v>
      </c>
      <c r="AD22" s="65" t="e">
        <v>#N/A</v>
      </c>
    </row>
    <row r="23" spans="1:30">
      <c r="A23">
        <f ca="1"/>
        <v>2039</v>
      </c>
      <c r="B23">
        <f ca="1"/>
        <v>34711.914151545425</v>
      </c>
      <c r="C23">
        <f ca="1"/>
        <v>1407473.1961640723</v>
      </c>
      <c r="D23">
        <f ca="1"/>
        <v>0</v>
      </c>
      <c r="E23">
        <f ca="1"/>
        <v>18277.008442441671</v>
      </c>
      <c r="F23">
        <f ca="1"/>
        <v>1460462.1187580593</v>
      </c>
      <c r="G23">
        <f ca="1"/>
        <v>1426108.4595423816</v>
      </c>
      <c r="H23">
        <f ca="1"/>
        <v>-7236.7380450622386</v>
      </c>
      <c r="I23">
        <f ca="1"/>
        <v>-5000</v>
      </c>
      <c r="J23">
        <f ca="1"/>
        <v>-105000</v>
      </c>
      <c r="K23">
        <v>0</v>
      </c>
      <c r="L23">
        <f ca="1"/>
        <v>-4205.7500372851237</v>
      </c>
      <c r="M23">
        <f ca="1"/>
        <v>-4000</v>
      </c>
      <c r="N23">
        <f ca="1"/>
        <v>-420198.06446775072</v>
      </c>
      <c r="O23">
        <f ca="1"/>
        <v>-6666.6666666666715</v>
      </c>
      <c r="P23">
        <f ca="1"/>
        <v>0</v>
      </c>
      <c r="Q23">
        <f ca="1"/>
        <v>-552307.21921676467</v>
      </c>
      <c r="R23">
        <f ca="1"/>
        <v>0</v>
      </c>
      <c r="S23">
        <v>0</v>
      </c>
      <c r="T23">
        <v>0</v>
      </c>
      <c r="U23">
        <v>0</v>
      </c>
      <c r="V23">
        <v>0</v>
      </c>
      <c r="W23">
        <v>0</v>
      </c>
      <c r="X23">
        <f ca="1"/>
        <v>-552807.21921676467</v>
      </c>
      <c r="Y23">
        <f ca="1"/>
        <v>1587420.8133476693</v>
      </c>
      <c r="Z23">
        <f ca="1"/>
        <v>19165685.278341442</v>
      </c>
      <c r="AA23">
        <f ca="1"/>
        <v>1.8849999999999999E-2</v>
      </c>
      <c r="AB23" s="1095">
        <f ca="1"/>
        <v>333145.92084860842</v>
      </c>
      <c r="AC23">
        <f ca="1"/>
        <v>4779067.9818448042</v>
      </c>
      <c r="AD23" t="e">
        <v>#N/A</v>
      </c>
    </row>
    <row r="24" spans="1:30">
      <c r="A24">
        <f ca="1"/>
        <v>2040</v>
      </c>
      <c r="B24">
        <f ca="1"/>
        <v>34662.539008660904</v>
      </c>
      <c r="C24">
        <f ca="1"/>
        <v>1283119.8093901402</v>
      </c>
      <c r="D24">
        <f ca="1"/>
        <v>0</v>
      </c>
      <c r="E24">
        <f ca="1"/>
        <v>18907.945273330264</v>
      </c>
      <c r="F24">
        <f ca="1"/>
        <v>1336690.2936721314</v>
      </c>
      <c r="G24">
        <f ca="1"/>
        <v>1302263.4541991418</v>
      </c>
      <c r="H24">
        <f ca="1"/>
        <v>-7222.2665970630933</v>
      </c>
      <c r="I24">
        <f ca="1"/>
        <v>-5000</v>
      </c>
      <c r="J24">
        <f ca="1"/>
        <v>-105000</v>
      </c>
      <c r="K24">
        <v>0</v>
      </c>
      <c r="L24">
        <f ca="1"/>
        <v>-4215.5047519491527</v>
      </c>
      <c r="M24">
        <f ca="1"/>
        <v>-4000</v>
      </c>
      <c r="N24">
        <f ca="1"/>
        <v>-480256.38215456123</v>
      </c>
      <c r="O24">
        <f ca="1"/>
        <v>-6666.6666666666715</v>
      </c>
      <c r="P24">
        <f ca="1"/>
        <v>0</v>
      </c>
      <c r="Q24">
        <f ca="1"/>
        <v>-612360.82017024013</v>
      </c>
      <c r="R24">
        <f ca="1"/>
        <v>0</v>
      </c>
      <c r="S24">
        <v>0</v>
      </c>
      <c r="T24">
        <v>0</v>
      </c>
      <c r="U24">
        <v>0</v>
      </c>
      <c r="V24">
        <v>0</v>
      </c>
      <c r="W24">
        <v>0</v>
      </c>
      <c r="X24">
        <f ca="1"/>
        <v>-612860.82017024013</v>
      </c>
      <c r="Y24">
        <f ca="1"/>
        <v>1276765.6250157079</v>
      </c>
      <c r="Z24">
        <f ca="1"/>
        <v>20442450.903357152</v>
      </c>
      <c r="AA24">
        <f ca="1"/>
        <v>1.8849999999999999E-2</v>
      </c>
      <c r="AB24" s="1095">
        <f ca="1"/>
        <v>255190.38794742382</v>
      </c>
      <c r="AC24">
        <f ca="1"/>
        <v>5034258.3697922276</v>
      </c>
      <c r="AD24" t="e">
        <v>#N/A</v>
      </c>
    </row>
    <row r="25" spans="1:30">
      <c r="A25">
        <f ca="1"/>
        <v>2041</v>
      </c>
      <c r="B25">
        <f ca="1"/>
        <v>34631.351881380477</v>
      </c>
      <c r="C25">
        <f ca="1"/>
        <v>1141800.7137580584</v>
      </c>
      <c r="D25">
        <f ca="1"/>
        <v>0</v>
      </c>
      <c r="E25">
        <f ca="1"/>
        <v>19530.764749999893</v>
      </c>
      <c r="F25">
        <f ca="1"/>
        <v>1195962.8303894387</v>
      </c>
      <c r="G25">
        <f ca="1"/>
        <v>1161489.4861827379</v>
      </c>
      <c r="H25">
        <f ca="1"/>
        <v>-7207.8767239638655</v>
      </c>
      <c r="I25">
        <f ca="1"/>
        <v>-5000</v>
      </c>
      <c r="J25">
        <f ca="1"/>
        <v>-105000</v>
      </c>
      <c r="K25">
        <v>0</v>
      </c>
      <c r="L25">
        <f ca="1"/>
        <v>-4221.682908298264</v>
      </c>
      <c r="M25">
        <f ca="1"/>
        <v>-4000</v>
      </c>
      <c r="N25">
        <f ca="1"/>
        <v>-539565.01302475878</v>
      </c>
      <c r="O25">
        <f ca="1"/>
        <v>-6666.6666666666715</v>
      </c>
      <c r="P25">
        <f ca="1"/>
        <v>0</v>
      </c>
      <c r="Q25">
        <f ca="1"/>
        <v>-671661.23932368751</v>
      </c>
      <c r="R25">
        <f ca="1"/>
        <v>0</v>
      </c>
      <c r="S25">
        <v>0</v>
      </c>
      <c r="T25">
        <v>0</v>
      </c>
      <c r="U25">
        <v>0</v>
      </c>
      <c r="V25">
        <v>0</v>
      </c>
      <c r="W25">
        <v>0</v>
      </c>
      <c r="X25">
        <f ca="1"/>
        <v>-672161.23932368751</v>
      </c>
      <c r="Y25">
        <f ca="1"/>
        <v>923312.63634720561</v>
      </c>
      <c r="Z25">
        <f ca="1"/>
        <v>21365763.539704356</v>
      </c>
      <c r="AA25">
        <f ca="1"/>
        <v>1.8849999999999999E-2</v>
      </c>
      <c r="AB25" s="1095">
        <f ca="1"/>
        <v>175756.99187867649</v>
      </c>
      <c r="AC25">
        <f ca="1"/>
        <v>5210015.3616709039</v>
      </c>
      <c r="AD25" t="e">
        <v>#N/A</v>
      </c>
    </row>
    <row r="26" spans="1:30">
      <c r="A26">
        <f ca="1"/>
        <v>2042</v>
      </c>
      <c r="B26">
        <f ca="1"/>
        <v>34611.79827733952</v>
      </c>
      <c r="C26">
        <f ca="1"/>
        <v>991359.50420256099</v>
      </c>
      <c r="D26">
        <f ca="1"/>
        <v>0</v>
      </c>
      <c r="E26">
        <f ca="1"/>
        <v>20144.609887152194</v>
      </c>
      <c r="F26">
        <f ca="1"/>
        <v>1046115.9123670527</v>
      </c>
      <c r="G26">
        <f ca="1"/>
        <v>1011613.0290385904</v>
      </c>
      <c r="H26">
        <f ca="1"/>
        <v>-7193.5763030217458</v>
      </c>
      <c r="I26">
        <f ca="1"/>
        <v>-5000</v>
      </c>
      <c r="J26">
        <f ca="1"/>
        <v>-105000</v>
      </c>
      <c r="K26">
        <v>0</v>
      </c>
      <c r="L26">
        <f ca="1"/>
        <v>-4225.5904073475949</v>
      </c>
      <c r="M26">
        <f ca="1"/>
        <v>-4000</v>
      </c>
      <c r="N26">
        <f ca="1"/>
        <v>-596699.91307259502</v>
      </c>
      <c r="O26">
        <f ca="1"/>
        <v>-6666.6666666666715</v>
      </c>
      <c r="P26">
        <f ca="1"/>
        <v>0</v>
      </c>
      <c r="Q26">
        <f ca="1"/>
        <v>-728785.74644963106</v>
      </c>
      <c r="R26">
        <f ca="1"/>
        <v>0</v>
      </c>
      <c r="S26">
        <v>0</v>
      </c>
      <c r="T26">
        <v>0</v>
      </c>
      <c r="U26">
        <v>0</v>
      </c>
      <c r="V26">
        <v>0</v>
      </c>
      <c r="W26">
        <v>0</v>
      </c>
      <c r="X26">
        <f ca="1"/>
        <v>-729285.74644963106</v>
      </c>
      <c r="Y26">
        <f ca="1"/>
        <v>542764.69518571696</v>
      </c>
      <c r="Z26">
        <f ca="1"/>
        <v>21908528.234890074</v>
      </c>
      <c r="AA26">
        <f ca="1"/>
        <v>1.8849999999999999E-2</v>
      </c>
      <c r="AB26" s="1095">
        <f ca="1"/>
        <v>98397.966469523191</v>
      </c>
      <c r="AC26">
        <f ca="1"/>
        <v>5308413.3281404274</v>
      </c>
      <c r="AD26" t="e">
        <v>#N/A</v>
      </c>
    </row>
    <row r="27" spans="1:30">
      <c r="A27">
        <f ca="1"/>
        <v>2043</v>
      </c>
      <c r="B27">
        <f ca="1"/>
        <v>34599.582782050966</v>
      </c>
      <c r="C27">
        <f ca="1"/>
        <v>837753.64927514549</v>
      </c>
      <c r="D27">
        <f ca="1"/>
        <v>0</v>
      </c>
      <c r="E27">
        <f ca="1"/>
        <v>20748.677524789655</v>
      </c>
      <c r="F27">
        <f ca="1"/>
        <v>893101.90958198614</v>
      </c>
      <c r="G27">
        <f ca="1"/>
        <v>858580.26088158076</v>
      </c>
      <c r="H27">
        <f ca="1"/>
        <v>-7179.3730071664322</v>
      </c>
      <c r="I27">
        <f ca="1"/>
        <v>-5000</v>
      </c>
      <c r="J27">
        <f ca="1"/>
        <v>-105000</v>
      </c>
      <c r="K27">
        <v>0</v>
      </c>
      <c r="L27">
        <f ca="1"/>
        <v>-4228.0596089147066</v>
      </c>
      <c r="M27">
        <f ca="1"/>
        <v>-4000</v>
      </c>
      <c r="N27">
        <f ca="1"/>
        <v>-650589.8754509557</v>
      </c>
      <c r="O27">
        <f ca="1"/>
        <v>-6666.6666666666715</v>
      </c>
      <c r="P27">
        <f ca="1"/>
        <v>0</v>
      </c>
      <c r="Q27">
        <f ca="1"/>
        <v>-782663.97473370342</v>
      </c>
      <c r="R27">
        <f ca="1"/>
        <v>0</v>
      </c>
      <c r="S27">
        <v>0</v>
      </c>
      <c r="T27">
        <v>0</v>
      </c>
      <c r="U27">
        <v>0</v>
      </c>
      <c r="V27">
        <v>0</v>
      </c>
      <c r="W27">
        <v>0</v>
      </c>
      <c r="X27">
        <f ca="1"/>
        <v>-783163.97473370342</v>
      </c>
      <c r="Y27">
        <f ca="1"/>
        <v>147718.24330868488</v>
      </c>
      <c r="Z27">
        <f ca="1"/>
        <v>22056246.478198759</v>
      </c>
      <c r="AA27">
        <f ca="1"/>
        <v>1.8849999999999999E-2</v>
      </c>
      <c r="AB27" s="1095">
        <f ca="1"/>
        <v>25504.64998210753</v>
      </c>
      <c r="AC27">
        <f ca="1"/>
        <v>5333917.9781225352</v>
      </c>
      <c r="AD27" t="e">
        <v>#N/A</v>
      </c>
    </row>
    <row r="28" spans="1:30">
      <c r="A28">
        <f ca="1"/>
        <v>2044</v>
      </c>
      <c r="B28">
        <f ca="1"/>
        <v>34591.956700941715</v>
      </c>
      <c r="C28">
        <f ca="1"/>
        <v>685521.50550539605</v>
      </c>
      <c r="D28">
        <f ca="1"/>
        <v>0</v>
      </c>
      <c r="E28">
        <f ca="1"/>
        <v>21342.221766979288</v>
      </c>
      <c r="F28">
        <f ca="1"/>
        <v>741455.68397331703</v>
      </c>
      <c r="G28">
        <f ca="1"/>
        <v>706922.10692507541</v>
      </c>
      <c r="H28">
        <f ca="1"/>
        <v>-7165.2742896731525</v>
      </c>
      <c r="I28">
        <f ca="1"/>
        <v>-5000</v>
      </c>
      <c r="J28">
        <f ca="1"/>
        <v>-105000</v>
      </c>
      <c r="K28">
        <v>0</v>
      </c>
      <c r="L28">
        <f ca="1"/>
        <v>-4229.6190629277789</v>
      </c>
      <c r="M28">
        <f ca="1"/>
        <v>-4000</v>
      </c>
      <c r="N28">
        <f ca="1"/>
        <v>-700419.73893090268</v>
      </c>
      <c r="O28">
        <f ca="1"/>
        <v>-6666.6666666666715</v>
      </c>
      <c r="P28">
        <f ca="1"/>
        <v>0</v>
      </c>
      <c r="Q28">
        <f ca="1"/>
        <v>-832481.29895017028</v>
      </c>
      <c r="R28">
        <f ca="1"/>
        <v>0</v>
      </c>
      <c r="S28">
        <v>0</v>
      </c>
      <c r="T28">
        <v>0</v>
      </c>
      <c r="U28">
        <v>0</v>
      </c>
      <c r="V28">
        <v>0</v>
      </c>
      <c r="W28">
        <v>0</v>
      </c>
      <c r="X28">
        <f ca="1"/>
        <v>-832981.29895017028</v>
      </c>
      <c r="Y28">
        <f ca="1"/>
        <v>-251567.05251802801</v>
      </c>
      <c r="Z28">
        <f ca="1"/>
        <v>21804679.42568073</v>
      </c>
      <c r="AA28">
        <f ca="1"/>
        <v>1.8849999999999999E-2</v>
      </c>
      <c r="AB28" s="1095">
        <f ca="1"/>
        <v>-41366.587515918422</v>
      </c>
      <c r="AC28">
        <f ca="1"/>
        <v>5292551.3906066166</v>
      </c>
      <c r="AD28" t="e">
        <v>#N/A</v>
      </c>
    </row>
    <row r="29" spans="1:30">
      <c r="A29">
        <f ca="1"/>
        <v>2045</v>
      </c>
      <c r="B29">
        <f ca="1"/>
        <v>34587.185956707959</v>
      </c>
      <c r="C29">
        <f ca="1"/>
        <v>538145.71868768614</v>
      </c>
      <c r="D29">
        <f ca="1"/>
        <v>0</v>
      </c>
      <c r="E29">
        <f ca="1"/>
        <v>21924.556744198751</v>
      </c>
      <c r="F29">
        <f ca="1"/>
        <v>594657.46138859284</v>
      </c>
      <c r="G29">
        <f ca="1"/>
        <v>560116.29435738898</v>
      </c>
      <c r="H29">
        <f ca="1"/>
        <v>-7151.2873698670028</v>
      </c>
      <c r="I29">
        <f ca="1"/>
        <v>-5000</v>
      </c>
      <c r="J29">
        <f ca="1"/>
        <v>-105000</v>
      </c>
      <c r="K29">
        <v>0</v>
      </c>
      <c r="L29">
        <f ca="1"/>
        <v>-4230.6036088502842</v>
      </c>
      <c r="M29">
        <f ca="1"/>
        <v>-4000</v>
      </c>
      <c r="N29">
        <f ca="1"/>
        <v>-745553.8368111708</v>
      </c>
      <c r="O29">
        <f ca="1"/>
        <v>-6666.6666666666715</v>
      </c>
      <c r="P29">
        <f ca="1"/>
        <v>0</v>
      </c>
      <c r="Q29">
        <f ca="1"/>
        <v>-877602.39445655467</v>
      </c>
      <c r="R29">
        <f ca="1"/>
        <v>0</v>
      </c>
      <c r="S29">
        <v>0</v>
      </c>
      <c r="T29">
        <v>0</v>
      </c>
      <c r="U29">
        <v>0</v>
      </c>
      <c r="V29">
        <v>0</v>
      </c>
      <c r="W29">
        <v>0</v>
      </c>
      <c r="X29">
        <f ca="1"/>
        <v>-878102.39445655467</v>
      </c>
      <c r="Y29">
        <f ca="1"/>
        <v>-646543.31908190087</v>
      </c>
      <c r="Z29">
        <f ca="1"/>
        <v>21158136.106598828</v>
      </c>
      <c r="AA29">
        <f ca="1"/>
        <v>1.8849999999999999E-2</v>
      </c>
      <c r="AB29" s="1095">
        <f ca="1"/>
        <v>-101252.15230248153</v>
      </c>
      <c r="AC29">
        <f ca="1"/>
        <v>5191299.2383041354</v>
      </c>
      <c r="AD29" t="e">
        <v>#N/A</v>
      </c>
    </row>
    <row r="30" spans="1:30">
      <c r="A30">
        <f ca="1"/>
        <v>2046</v>
      </c>
      <c r="B30">
        <f ca="1"/>
        <v>34584.185899616044</v>
      </c>
      <c r="C30">
        <f ca="1"/>
        <v>398337.8726006737</v>
      </c>
      <c r="D30">
        <f ca="1"/>
        <v>0</v>
      </c>
      <c r="E30">
        <f ca="1"/>
        <v>22495.058693954375</v>
      </c>
      <c r="F30">
        <f ca="1"/>
        <v>455417.11719424411</v>
      </c>
      <c r="G30">
        <f ca="1"/>
        <v>420871.11401886895</v>
      </c>
      <c r="H30">
        <f ca="1"/>
        <v>-7137.4192199090667</v>
      </c>
      <c r="I30">
        <f ca="1"/>
        <v>-5000</v>
      </c>
      <c r="J30">
        <f ca="1"/>
        <v>-105000</v>
      </c>
      <c r="K30">
        <v>0</v>
      </c>
      <c r="L30">
        <f ca="1"/>
        <v>-4231.2250543112805</v>
      </c>
      <c r="M30">
        <f ca="1"/>
        <v>-4000</v>
      </c>
      <c r="N30">
        <f ca="1"/>
        <v>-785474.540444955</v>
      </c>
      <c r="O30">
        <f ca="1"/>
        <v>-6666.6666666666715</v>
      </c>
      <c r="P30">
        <f ca="1"/>
        <v>0</v>
      </c>
      <c r="Q30">
        <f ca="1"/>
        <v>-917509.85138584196</v>
      </c>
      <c r="R30">
        <f ca="1"/>
        <v>0</v>
      </c>
      <c r="S30">
        <v>0</v>
      </c>
      <c r="T30">
        <v>0</v>
      </c>
      <c r="U30">
        <v>0</v>
      </c>
      <c r="V30">
        <v>0</v>
      </c>
      <c r="W30">
        <v>0</v>
      </c>
      <c r="X30">
        <f ca="1"/>
        <v>-918009.85138584196</v>
      </c>
      <c r="Y30">
        <f ca="1"/>
        <v>-1029857.9994428484</v>
      </c>
      <c r="Z30">
        <f ca="1"/>
        <v>20128278.107155979</v>
      </c>
      <c r="AA30">
        <f ca="1"/>
        <v>1.8849999999999999E-2</v>
      </c>
      <c r="AB30" s="1095">
        <f ca="1"/>
        <v>-153601.22631342144</v>
      </c>
      <c r="AC30">
        <f ca="1"/>
        <v>5037698.0119907139</v>
      </c>
      <c r="AD30" t="e">
        <v>#N/A</v>
      </c>
    </row>
    <row r="31" spans="1:30">
      <c r="A31">
        <f ca="1"/>
        <v>2047</v>
      </c>
      <c r="B31">
        <f ca="1"/>
        <v>34582.28157429069</v>
      </c>
      <c r="C31">
        <f ca="1"/>
        <v>268263.69828318432</v>
      </c>
      <c r="D31">
        <f ca="1"/>
        <v>0</v>
      </c>
      <c r="E31">
        <f ca="1"/>
        <v>23053.167366592144</v>
      </c>
      <c r="F31">
        <f ca="1"/>
        <v>325899.14722406719</v>
      </c>
      <c r="G31">
        <f ca="1"/>
        <v>291350.05721708218</v>
      </c>
      <c r="H31">
        <f ca="1"/>
        <v>-7123.676552706318</v>
      </c>
      <c r="I31">
        <f ca="1"/>
        <v>-5000</v>
      </c>
      <c r="J31">
        <f ca="1"/>
        <v>-105000</v>
      </c>
      <c r="K31">
        <v>0</v>
      </c>
      <c r="L31">
        <f ca="1"/>
        <v>-4231.6172557981618</v>
      </c>
      <c r="M31">
        <f ca="1"/>
        <v>-4000</v>
      </c>
      <c r="N31">
        <f ca="1"/>
        <v>-819731.84438166488</v>
      </c>
      <c r="O31">
        <f ca="1"/>
        <v>-6666.6666666666715</v>
      </c>
      <c r="P31">
        <f ca="1"/>
        <v>0</v>
      </c>
      <c r="Q31">
        <f ca="1"/>
        <v>-951753.80485683598</v>
      </c>
      <c r="R31">
        <f ca="1"/>
        <v>0</v>
      </c>
      <c r="S31">
        <v>0</v>
      </c>
      <c r="T31">
        <v>0</v>
      </c>
      <c r="U31">
        <v>0</v>
      </c>
      <c r="V31">
        <v>0</v>
      </c>
      <c r="W31">
        <v>0</v>
      </c>
      <c r="X31">
        <f ca="1"/>
        <v>-952253.80485683598</v>
      </c>
      <c r="Y31">
        <f ca="1"/>
        <v>-1394916.4828830441</v>
      </c>
      <c r="Z31">
        <f ca="1"/>
        <v>18733361.624272935</v>
      </c>
      <c r="AA31">
        <f ca="1"/>
        <v>1.8849999999999999E-2</v>
      </c>
      <c r="AB31" s="1095">
        <f ca="1"/>
        <v>-198141.86356302581</v>
      </c>
      <c r="AC31">
        <f ca="1"/>
        <v>4839556.1484276885</v>
      </c>
      <c r="AD31" t="e">
        <v>#N/A</v>
      </c>
    </row>
    <row r="32" spans="1:30">
      <c r="A32">
        <f ca="1"/>
        <v>2048</v>
      </c>
      <c r="B32">
        <f ca="1"/>
        <v>34581.054254315663</v>
      </c>
      <c r="C32">
        <f ca="1"/>
        <v>149723.92831729399</v>
      </c>
      <c r="D32">
        <f ca="1"/>
        <v>0</v>
      </c>
      <c r="E32">
        <f ca="1"/>
        <v>23598.38677451924</v>
      </c>
      <c r="F32">
        <f ca="1"/>
        <v>207903.36934612889</v>
      </c>
      <c r="G32">
        <f ca="1"/>
        <v>173352.30491461142</v>
      </c>
      <c r="H32">
        <f ca="1"/>
        <v>-7110.0658109789656</v>
      </c>
      <c r="I32">
        <f ca="1"/>
        <v>-5000</v>
      </c>
      <c r="J32">
        <f ca="1"/>
        <v>-105000</v>
      </c>
      <c r="K32">
        <v>0</v>
      </c>
      <c r="L32">
        <f ca="1"/>
        <v>-4231.8647568572733</v>
      </c>
      <c r="M32">
        <f ca="1"/>
        <v>-4000</v>
      </c>
      <c r="N32">
        <f ca="1"/>
        <v>-847900.76144512556</v>
      </c>
      <c r="O32">
        <f ca="1"/>
        <v>-6666.6666666666715</v>
      </c>
      <c r="P32">
        <f ca="1"/>
        <v>0</v>
      </c>
      <c r="Q32">
        <f ca="1"/>
        <v>-979909.35867962847</v>
      </c>
      <c r="R32">
        <f ca="1"/>
        <v>0</v>
      </c>
      <c r="S32">
        <v>0</v>
      </c>
      <c r="T32">
        <v>0</v>
      </c>
      <c r="U32">
        <v>0</v>
      </c>
      <c r="V32">
        <v>0</v>
      </c>
      <c r="W32">
        <v>0</v>
      </c>
      <c r="X32">
        <f ca="1"/>
        <v>-980409.35867962847</v>
      </c>
      <c r="Y32">
        <f ca="1"/>
        <v>-1735499.4445009124</v>
      </c>
      <c r="Z32">
        <f ca="1"/>
        <v>16997862.179772023</v>
      </c>
      <c r="AA32">
        <f ca="1"/>
        <v>1.8849999999999999E-2</v>
      </c>
      <c r="AB32" s="1095">
        <f ca="1"/>
        <v>-234781.14545322405</v>
      </c>
      <c r="AC32">
        <f ca="1"/>
        <v>4604775.0029744646</v>
      </c>
      <c r="AD32" t="e">
        <v>#N/A</v>
      </c>
    </row>
    <row r="33" spans="1:30">
      <c r="A33">
        <f ca="1"/>
        <v>2049</v>
      </c>
      <c r="B33">
        <v>0</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s="1095">
        <v>0</v>
      </c>
      <c r="AC33">
        <v>0</v>
      </c>
      <c r="AD33" t="e">
        <v>#N/A</v>
      </c>
    </row>
    <row r="34" spans="1:30">
      <c r="A34">
        <f ca="1"/>
        <v>2050</v>
      </c>
      <c r="B34">
        <v>0</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s="1095">
        <v>0</v>
      </c>
      <c r="AC34">
        <v>0</v>
      </c>
      <c r="AD34" t="e">
        <v>#N/A</v>
      </c>
    </row>
    <row r="35" spans="1:30">
      <c r="A35">
        <f ca="1"/>
        <v>2051</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s="1095">
        <v>0</v>
      </c>
      <c r="AC35">
        <v>0</v>
      </c>
      <c r="AD35" t="e">
        <v>#N/A</v>
      </c>
    </row>
    <row r="36" spans="1:30">
      <c r="A36">
        <f ca="1"/>
        <v>2052</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s="1095">
        <v>0</v>
      </c>
      <c r="AC36">
        <v>0</v>
      </c>
      <c r="AD36" t="e">
        <v>#N/A</v>
      </c>
    </row>
    <row r="37" spans="1:30">
      <c r="A37">
        <f ca="1"/>
        <v>2053</v>
      </c>
      <c r="B37">
        <v>0</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s="1095">
        <v>0</v>
      </c>
      <c r="AC37">
        <v>0</v>
      </c>
      <c r="AD37" t="e">
        <v>#N/A</v>
      </c>
    </row>
    <row r="38" spans="1:30">
      <c r="A38">
        <f ca="1"/>
        <v>2054</v>
      </c>
      <c r="B38">
        <v>0</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s="1095">
        <v>0</v>
      </c>
      <c r="AC38">
        <v>0</v>
      </c>
      <c r="AD38" t="e">
        <v>#N/A</v>
      </c>
    </row>
    <row r="39" spans="1:30">
      <c r="A39">
        <f ca="1"/>
        <v>2055</v>
      </c>
      <c r="B39">
        <v>0</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s="1095">
        <v>0</v>
      </c>
      <c r="AC39">
        <v>0</v>
      </c>
      <c r="AD39" t="e">
        <v>#N/A</v>
      </c>
    </row>
    <row r="40" spans="1:30">
      <c r="A40">
        <f ca="1"/>
        <v>2056</v>
      </c>
      <c r="B40">
        <v>0</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f ca="1"/>
        <v>2052</v>
      </c>
      <c r="Z40">
        <f ca="1"/>
        <v>2056</v>
      </c>
      <c r="AA40">
        <f ca="1"/>
        <v>2050</v>
      </c>
      <c r="AB40" s="1095">
        <f ca="1"/>
        <v>2057</v>
      </c>
      <c r="AC40">
        <f ca="1"/>
        <v>2058</v>
      </c>
      <c r="AD40" t="e">
        <v>#N/A</v>
      </c>
    </row>
    <row r="41" spans="1:30">
      <c r="A41">
        <f ca="1"/>
        <v>2057</v>
      </c>
      <c r="B41">
        <v>0</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s="1095">
        <v>0</v>
      </c>
      <c r="AC41">
        <v>0</v>
      </c>
      <c r="AD41" t="e">
        <v>#N/A</v>
      </c>
    </row>
    <row r="42" spans="1:30">
      <c r="A42">
        <f ca="1"/>
        <v>2058</v>
      </c>
      <c r="B42">
        <v>0</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s="1095">
        <v>0</v>
      </c>
      <c r="AC42">
        <v>0</v>
      </c>
      <c r="AD42" t="e">
        <v>#N/A</v>
      </c>
    </row>
    <row r="43" spans="1:30">
      <c r="A43" t="str">
        <f ca="1"/>
        <v/>
      </c>
      <c r="B43">
        <v>0</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s="1095">
        <v>0</v>
      </c>
      <c r="AC43">
        <v>0</v>
      </c>
      <c r="AD43" t="e">
        <v>#N/A</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10"/>
  <sheetViews>
    <sheetView workbookViewId="0">
      <selection activeCell="F6" sqref="F6"/>
    </sheetView>
  </sheetViews>
  <sheetFormatPr defaultColWidth="14.42578125" defaultRowHeight="15" customHeight="1"/>
  <cols>
    <col min="5" max="5" width="20.140625" customWidth="1"/>
    <col min="10" max="10" width="16" customWidth="1"/>
  </cols>
  <sheetData>
    <row r="1" spans="1:10">
      <c r="A1" s="63" t="s">
        <v>72</v>
      </c>
      <c r="B1" s="63" t="s">
        <v>541</v>
      </c>
      <c r="C1" s="63" t="s">
        <v>181</v>
      </c>
      <c r="D1" t="str">
        <f ca="1">'3. Results'!B4</f>
        <v>Net Present Value in 2018</v>
      </c>
      <c r="E1" t="str">
        <f>'3. Results'!C6</f>
        <v>Internal Rate of Return</v>
      </c>
      <c r="F1" s="90" t="str">
        <f>'3. Results'!C8</f>
        <v>Present Value of Total Benefits</v>
      </c>
      <c r="G1" t="str">
        <f>'3. Results'!C9</f>
        <v>Present Value of Total Costs</v>
      </c>
      <c r="H1" t="str">
        <f>'3. Results'!C11</f>
        <v>Discount Rate</v>
      </c>
      <c r="I1" t="str">
        <f>'3. Results'!C12</f>
        <v>Base Year</v>
      </c>
      <c r="J1" s="90" t="str">
        <f>'3. Results'!C13</f>
        <v>Number of period</v>
      </c>
    </row>
    <row r="2" spans="1:10">
      <c r="A2" s="63" t="s">
        <v>542</v>
      </c>
      <c r="B2" t="str">
        <f>'3. Results'!D4</f>
        <v>EUR (€)</v>
      </c>
      <c r="C2">
        <f ca="1">'3. Results'!E76</f>
        <v>2018</v>
      </c>
      <c r="D2" s="65">
        <f ca="1">'3. Results'!E4</f>
        <v>-437098.98159651842</v>
      </c>
      <c r="E2" s="91">
        <f ca="1">'3. Results'!E6</f>
        <v>5.5699723889252262E-2</v>
      </c>
      <c r="F2" s="65">
        <f ca="1">'3. Results'!E8</f>
        <v>486912.96566532057</v>
      </c>
      <c r="G2" s="65">
        <f ca="1">'3. Results'!E9</f>
        <v>-1153842.2751858574</v>
      </c>
      <c r="H2" s="92">
        <f>'3. Results'!E11</f>
        <v>0.05</v>
      </c>
      <c r="I2">
        <f ca="1">'3. Results'!E12</f>
        <v>2018</v>
      </c>
      <c r="J2">
        <f>'3. Results'!E13</f>
        <v>4</v>
      </c>
    </row>
    <row r="9" spans="1:10">
      <c r="D9" s="93"/>
      <c r="E9" s="94"/>
      <c r="F9" s="94"/>
      <c r="G9" s="94"/>
    </row>
    <row r="10" spans="1:10">
      <c r="D10" s="95"/>
      <c r="E10" s="96"/>
      <c r="F10" s="96"/>
      <c r="G10" s="96"/>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6666"/>
    <outlinePr summaryBelow="0" summaryRight="0"/>
  </sheetPr>
  <dimension ref="A1:BI970"/>
  <sheetViews>
    <sheetView topLeftCell="B1" workbookViewId="0">
      <pane ySplit="19" topLeftCell="A20" activePane="bottomLeft" state="frozen"/>
      <selection pane="bottomLeft" activeCell="E52" sqref="E52"/>
    </sheetView>
  </sheetViews>
  <sheetFormatPr defaultColWidth="14.42578125" defaultRowHeight="15" customHeight="1"/>
  <cols>
    <col min="1" max="1" width="14.42578125" style="1068"/>
    <col min="2" max="2" width="8" style="662" customWidth="1"/>
    <col min="3" max="3" width="15.85546875" style="662" customWidth="1"/>
    <col min="4" max="4" width="16.140625" style="662" customWidth="1"/>
    <col min="5" max="5" width="41.42578125" style="662" customWidth="1"/>
    <col min="6" max="6" width="38.42578125" style="662" customWidth="1"/>
    <col min="7" max="7" width="38.5703125" style="662" customWidth="1"/>
    <col min="8" max="8" width="104.5703125" style="662" customWidth="1"/>
    <col min="9" max="16384" width="14.42578125" style="662"/>
  </cols>
  <sheetData>
    <row r="1" spans="1:61" ht="47.45" customHeight="1">
      <c r="A1" s="1057" t="s">
        <v>191</v>
      </c>
      <c r="B1" s="1170" t="s">
        <v>1117</v>
      </c>
      <c r="C1" s="1170"/>
      <c r="D1" s="1170"/>
      <c r="E1" s="1053"/>
      <c r="F1" s="1053"/>
      <c r="G1" s="1054" t="s">
        <v>544</v>
      </c>
      <c r="H1" s="1054" t="s">
        <v>545</v>
      </c>
      <c r="I1" s="1055"/>
      <c r="J1" s="1053"/>
      <c r="K1" s="1053"/>
      <c r="L1" s="1053"/>
      <c r="M1" s="1053"/>
      <c r="N1" s="1053"/>
      <c r="O1" s="1053"/>
      <c r="P1" s="1056"/>
      <c r="Q1" s="1056"/>
      <c r="R1" s="1056"/>
      <c r="S1" s="1056"/>
      <c r="T1" s="1056"/>
      <c r="U1" s="1056"/>
      <c r="V1" s="1056"/>
      <c r="W1" s="1056"/>
      <c r="X1" s="1056"/>
      <c r="Y1" s="1056"/>
      <c r="Z1" s="1056"/>
      <c r="AA1" s="1056"/>
      <c r="AB1" s="1056"/>
      <c r="AC1" s="1056"/>
      <c r="AD1" s="1056"/>
      <c r="AE1" s="1056"/>
      <c r="AF1" s="1056"/>
      <c r="AG1" s="1056"/>
      <c r="AH1" s="1056"/>
      <c r="AI1" s="1056"/>
      <c r="AJ1" s="1056"/>
      <c r="AK1" s="1056"/>
      <c r="AL1" s="1056"/>
      <c r="AM1" s="1056"/>
      <c r="AN1" s="1056"/>
      <c r="AO1" s="1056"/>
      <c r="AP1" s="1056"/>
      <c r="AQ1" s="1056"/>
      <c r="AR1" s="1056"/>
      <c r="AS1" s="1056"/>
      <c r="AT1" s="1056"/>
      <c r="AU1" s="1056"/>
      <c r="AV1" s="1056"/>
      <c r="AW1" s="1056"/>
      <c r="AX1" s="1056"/>
      <c r="AY1" s="1056"/>
      <c r="AZ1" s="1056"/>
      <c r="BA1" s="1056"/>
      <c r="BB1" s="1056"/>
      <c r="BC1" s="1056"/>
      <c r="BD1" s="1056"/>
      <c r="BE1" s="1056"/>
      <c r="BF1" s="1056"/>
      <c r="BG1" s="1056"/>
      <c r="BH1" s="1056"/>
      <c r="BI1" s="1056"/>
    </row>
    <row r="2" spans="1:61" s="1092" customFormat="1" ht="15" hidden="1" customHeight="1">
      <c r="A2" s="1057"/>
      <c r="B2" s="1093"/>
      <c r="C2" s="1093"/>
      <c r="D2" s="1093"/>
      <c r="E2" s="1053"/>
      <c r="F2" s="1053"/>
      <c r="G2" s="1054"/>
      <c r="H2" s="1054"/>
      <c r="I2" s="1055"/>
      <c r="J2" s="696" t="s">
        <v>5</v>
      </c>
      <c r="K2" s="1053"/>
      <c r="L2" s="1053"/>
      <c r="M2" s="1053"/>
      <c r="N2" s="1053"/>
      <c r="O2" s="1053"/>
      <c r="P2" s="1056"/>
      <c r="Q2" s="1056"/>
      <c r="R2" s="1056"/>
      <c r="S2" s="1056"/>
      <c r="T2" s="1056"/>
      <c r="U2" s="1056"/>
      <c r="V2" s="1056"/>
      <c r="W2" s="1056"/>
      <c r="X2" s="1056"/>
      <c r="Y2" s="1056"/>
      <c r="Z2" s="1056"/>
      <c r="AA2" s="1056"/>
      <c r="AB2" s="1056"/>
      <c r="AC2" s="1056"/>
      <c r="AD2" s="1056"/>
      <c r="AE2" s="1056"/>
      <c r="AF2" s="1056"/>
      <c r="AG2" s="1056"/>
      <c r="AH2" s="1056"/>
      <c r="AI2" s="1056"/>
      <c r="AJ2" s="1056"/>
      <c r="AK2" s="1056"/>
      <c r="AL2" s="1056"/>
      <c r="AM2" s="1056"/>
      <c r="AN2" s="1056"/>
      <c r="AO2" s="1056"/>
      <c r="AP2" s="1056"/>
      <c r="AQ2" s="1056"/>
      <c r="AR2" s="1056"/>
      <c r="AS2" s="1056"/>
      <c r="AT2" s="1056"/>
      <c r="AU2" s="1056"/>
      <c r="AV2" s="1056"/>
      <c r="AW2" s="1056"/>
      <c r="AX2" s="1056"/>
      <c r="AY2" s="1056"/>
      <c r="AZ2" s="1056"/>
      <c r="BA2" s="1056"/>
      <c r="BB2" s="1056"/>
      <c r="BC2" s="1056"/>
      <c r="BD2" s="1056"/>
      <c r="BE2" s="1056"/>
      <c r="BF2" s="1056"/>
      <c r="BG2" s="1056"/>
      <c r="BH2" s="1056"/>
      <c r="BI2" s="1056"/>
    </row>
    <row r="3" spans="1:61" s="1092" customFormat="1" ht="15" hidden="1" customHeight="1">
      <c r="A3" s="1057"/>
      <c r="B3" s="1093"/>
      <c r="C3" s="1093"/>
      <c r="D3" s="1093"/>
      <c r="E3" s="1053"/>
      <c r="F3" s="1053"/>
      <c r="G3" s="1054"/>
      <c r="H3" s="1054"/>
      <c r="I3" s="1055"/>
      <c r="J3" s="1061" t="str">
        <f>'2.3 Input_Main_Questionnaire'!F27</f>
        <v>(Research) project development / project initiation</v>
      </c>
      <c r="K3" s="1053"/>
      <c r="L3" s="1053"/>
      <c r="M3" s="1053"/>
      <c r="N3" s="1053"/>
      <c r="O3" s="1053"/>
      <c r="P3" s="1056"/>
      <c r="Q3" s="1056"/>
      <c r="R3" s="1056"/>
      <c r="S3" s="1056"/>
      <c r="T3" s="1056"/>
      <c r="U3" s="1056"/>
      <c r="V3" s="1056"/>
      <c r="W3" s="1056"/>
      <c r="X3" s="1056"/>
      <c r="Y3" s="1056"/>
      <c r="Z3" s="1056"/>
      <c r="AA3" s="1056"/>
      <c r="AB3" s="1056"/>
      <c r="AC3" s="1056"/>
      <c r="AD3" s="1056"/>
      <c r="AE3" s="1056"/>
      <c r="AF3" s="1056"/>
      <c r="AG3" s="1056"/>
      <c r="AH3" s="1056"/>
      <c r="AI3" s="1056"/>
      <c r="AJ3" s="1056"/>
      <c r="AK3" s="1056"/>
      <c r="AL3" s="1056"/>
      <c r="AM3" s="1056"/>
      <c r="AN3" s="1056"/>
      <c r="AO3" s="1056"/>
      <c r="AP3" s="1056"/>
      <c r="AQ3" s="1056"/>
      <c r="AR3" s="1056"/>
      <c r="AS3" s="1056"/>
      <c r="AT3" s="1056"/>
      <c r="AU3" s="1056"/>
      <c r="AV3" s="1056"/>
      <c r="AW3" s="1056"/>
      <c r="AX3" s="1056"/>
      <c r="AY3" s="1056"/>
      <c r="AZ3" s="1056"/>
      <c r="BA3" s="1056"/>
      <c r="BB3" s="1056"/>
      <c r="BC3" s="1056"/>
      <c r="BD3" s="1056"/>
      <c r="BE3" s="1056"/>
      <c r="BF3" s="1056"/>
      <c r="BG3" s="1056"/>
      <c r="BH3" s="1056"/>
      <c r="BI3" s="1056"/>
    </row>
    <row r="4" spans="1:61" s="1092" customFormat="1" ht="15" hidden="1" customHeight="1">
      <c r="A4" s="1057"/>
      <c r="B4" s="1093"/>
      <c r="C4" s="1093"/>
      <c r="D4" s="1093"/>
      <c r="E4" s="1053"/>
      <c r="F4" s="1053"/>
      <c r="G4" s="1054"/>
      <c r="H4" s="1054"/>
      <c r="I4" s="1055"/>
      <c r="J4" s="1061" t="str">
        <f>'2.3 Input_Main_Questionnaire'!F28</f>
        <v>Planning of a project</v>
      </c>
      <c r="K4" s="1053"/>
      <c r="L4" s="1053"/>
      <c r="M4" s="1053"/>
      <c r="N4" s="1053"/>
      <c r="O4" s="1053"/>
      <c r="P4" s="1056"/>
      <c r="Q4" s="1056"/>
      <c r="R4" s="1056"/>
      <c r="S4" s="1056"/>
      <c r="T4" s="1056"/>
      <c r="U4" s="1056"/>
      <c r="V4" s="1056"/>
      <c r="W4" s="1056"/>
      <c r="X4" s="1056"/>
      <c r="Y4" s="1056"/>
      <c r="Z4" s="1056"/>
      <c r="AA4" s="1056"/>
      <c r="AB4" s="1056"/>
      <c r="AC4" s="1056"/>
      <c r="AD4" s="1056"/>
      <c r="AE4" s="1056"/>
      <c r="AF4" s="1056"/>
      <c r="AG4" s="1056"/>
      <c r="AH4" s="1056"/>
      <c r="AI4" s="1056"/>
      <c r="AJ4" s="1056"/>
      <c r="AK4" s="1056"/>
      <c r="AL4" s="1056"/>
      <c r="AM4" s="1056"/>
      <c r="AN4" s="1056"/>
      <c r="AO4" s="1056"/>
      <c r="AP4" s="1056"/>
      <c r="AQ4" s="1056"/>
      <c r="AR4" s="1056"/>
      <c r="AS4" s="1056"/>
      <c r="AT4" s="1056"/>
      <c r="AU4" s="1056"/>
      <c r="AV4" s="1056"/>
      <c r="AW4" s="1056"/>
      <c r="AX4" s="1056"/>
      <c r="AY4" s="1056"/>
      <c r="AZ4" s="1056"/>
      <c r="BA4" s="1056"/>
      <c r="BB4" s="1056"/>
      <c r="BC4" s="1056"/>
      <c r="BD4" s="1056"/>
      <c r="BE4" s="1056"/>
      <c r="BF4" s="1056"/>
      <c r="BG4" s="1056"/>
      <c r="BH4" s="1056"/>
      <c r="BI4" s="1056"/>
    </row>
    <row r="5" spans="1:61" s="1092" customFormat="1" ht="15" hidden="1" customHeight="1">
      <c r="A5" s="1057"/>
      <c r="B5" s="1093"/>
      <c r="C5" s="1093"/>
      <c r="D5" s="1093"/>
      <c r="E5" s="1053"/>
      <c r="F5" s="1053"/>
      <c r="G5" s="1054"/>
      <c r="H5" s="1054"/>
      <c r="I5" s="1055"/>
      <c r="J5" s="1061" t="str">
        <f>'2.3 Input_Main_Questionnaire'!F29</f>
        <v>Creation and collection of the data</v>
      </c>
      <c r="K5" s="1053"/>
      <c r="L5" s="1053"/>
      <c r="M5" s="1053"/>
      <c r="N5" s="1053"/>
      <c r="O5" s="1053"/>
      <c r="P5" s="1056"/>
      <c r="Q5" s="1056"/>
      <c r="R5" s="1056"/>
      <c r="S5" s="1056"/>
      <c r="T5" s="1056"/>
      <c r="U5" s="1056"/>
      <c r="V5" s="1056"/>
      <c r="W5" s="1056"/>
      <c r="X5" s="1056"/>
      <c r="Y5" s="1056"/>
      <c r="Z5" s="1056"/>
      <c r="AA5" s="1056"/>
      <c r="AB5" s="1056"/>
      <c r="AC5" s="1056"/>
      <c r="AD5" s="1056"/>
      <c r="AE5" s="1056"/>
      <c r="AF5" s="1056"/>
      <c r="AG5" s="1056"/>
      <c r="AH5" s="1056"/>
      <c r="AI5" s="1056"/>
      <c r="AJ5" s="1056"/>
      <c r="AK5" s="1056"/>
      <c r="AL5" s="1056"/>
      <c r="AM5" s="1056"/>
      <c r="AN5" s="1056"/>
      <c r="AO5" s="1056"/>
      <c r="AP5" s="1056"/>
      <c r="AQ5" s="1056"/>
      <c r="AR5" s="1056"/>
      <c r="AS5" s="1056"/>
      <c r="AT5" s="1056"/>
      <c r="AU5" s="1056"/>
      <c r="AV5" s="1056"/>
      <c r="AW5" s="1056"/>
      <c r="AX5" s="1056"/>
      <c r="AY5" s="1056"/>
      <c r="AZ5" s="1056"/>
      <c r="BA5" s="1056"/>
      <c r="BB5" s="1056"/>
      <c r="BC5" s="1056"/>
      <c r="BD5" s="1056"/>
      <c r="BE5" s="1056"/>
      <c r="BF5" s="1056"/>
      <c r="BG5" s="1056"/>
      <c r="BH5" s="1056"/>
      <c r="BI5" s="1056"/>
    </row>
    <row r="6" spans="1:61" s="1092" customFormat="1" ht="15" hidden="1" customHeight="1">
      <c r="A6" s="1057"/>
      <c r="B6" s="1093"/>
      <c r="C6" s="1093"/>
      <c r="D6" s="1093"/>
      <c r="E6" s="1053"/>
      <c r="F6" s="1053"/>
      <c r="G6" s="1054"/>
      <c r="H6" s="1054"/>
      <c r="I6" s="1055"/>
      <c r="J6" s="1061" t="str">
        <f>'2.3 Input_Main_Questionnaire'!F30</f>
        <v>Pre-processing and data cleansing</v>
      </c>
      <c r="K6" s="1053"/>
      <c r="L6" s="1053"/>
      <c r="M6" s="1053"/>
      <c r="N6" s="1053"/>
      <c r="O6" s="1053"/>
      <c r="P6" s="1056"/>
      <c r="Q6" s="1056"/>
      <c r="R6" s="1056"/>
      <c r="S6" s="1056"/>
      <c r="T6" s="1056"/>
      <c r="U6" s="1056"/>
      <c r="V6" s="1056"/>
      <c r="W6" s="1056"/>
      <c r="X6" s="1056"/>
      <c r="Y6" s="1056"/>
      <c r="Z6" s="1056"/>
      <c r="AA6" s="1056"/>
      <c r="AB6" s="1056"/>
      <c r="AC6" s="1056"/>
      <c r="AD6" s="1056"/>
      <c r="AE6" s="1056"/>
      <c r="AF6" s="1056"/>
      <c r="AG6" s="1056"/>
      <c r="AH6" s="1056"/>
      <c r="AI6" s="1056"/>
      <c r="AJ6" s="1056"/>
      <c r="AK6" s="1056"/>
      <c r="AL6" s="1056"/>
      <c r="AM6" s="1056"/>
      <c r="AN6" s="1056"/>
      <c r="AO6" s="1056"/>
      <c r="AP6" s="1056"/>
      <c r="AQ6" s="1056"/>
      <c r="AR6" s="1056"/>
      <c r="AS6" s="1056"/>
      <c r="AT6" s="1056"/>
      <c r="AU6" s="1056"/>
      <c r="AV6" s="1056"/>
      <c r="AW6" s="1056"/>
      <c r="AX6" s="1056"/>
      <c r="AY6" s="1056"/>
      <c r="AZ6" s="1056"/>
      <c r="BA6" s="1056"/>
      <c r="BB6" s="1056"/>
      <c r="BC6" s="1056"/>
      <c r="BD6" s="1056"/>
      <c r="BE6" s="1056"/>
      <c r="BF6" s="1056"/>
      <c r="BG6" s="1056"/>
      <c r="BH6" s="1056"/>
      <c r="BI6" s="1056"/>
    </row>
    <row r="7" spans="1:61" s="1092" customFormat="1" ht="15" hidden="1" customHeight="1">
      <c r="A7" s="1057"/>
      <c r="B7" s="1093"/>
      <c r="C7" s="1093"/>
      <c r="D7" s="1093"/>
      <c r="E7" s="1053"/>
      <c r="F7" s="1053"/>
      <c r="G7" s="1054"/>
      <c r="H7" s="1054"/>
      <c r="I7" s="1055"/>
      <c r="J7" s="1061" t="str">
        <f>'2.3 Input_Main_Questionnaire'!F31</f>
        <v>Integration of the data</v>
      </c>
      <c r="K7" s="1053"/>
      <c r="L7" s="1053"/>
      <c r="M7" s="1053"/>
      <c r="N7" s="1053"/>
      <c r="O7" s="1053"/>
      <c r="P7" s="1056"/>
      <c r="Q7" s="1056"/>
      <c r="R7" s="1056"/>
      <c r="S7" s="1056"/>
      <c r="T7" s="1056"/>
      <c r="U7" s="1056"/>
      <c r="V7" s="1056"/>
      <c r="W7" s="1056"/>
      <c r="X7" s="1056"/>
      <c r="Y7" s="1056"/>
      <c r="Z7" s="1056"/>
      <c r="AA7" s="1056"/>
      <c r="AB7" s="1056"/>
      <c r="AC7" s="1056"/>
      <c r="AD7" s="1056"/>
      <c r="AE7" s="1056"/>
      <c r="AF7" s="1056"/>
      <c r="AG7" s="1056"/>
      <c r="AH7" s="1056"/>
      <c r="AI7" s="1056"/>
      <c r="AJ7" s="1056"/>
      <c r="AK7" s="1056"/>
      <c r="AL7" s="1056"/>
      <c r="AM7" s="1056"/>
      <c r="AN7" s="1056"/>
      <c r="AO7" s="1056"/>
      <c r="AP7" s="1056"/>
      <c r="AQ7" s="1056"/>
      <c r="AR7" s="1056"/>
      <c r="AS7" s="1056"/>
      <c r="AT7" s="1056"/>
      <c r="AU7" s="1056"/>
      <c r="AV7" s="1056"/>
      <c r="AW7" s="1056"/>
      <c r="AX7" s="1056"/>
      <c r="AY7" s="1056"/>
      <c r="AZ7" s="1056"/>
      <c r="BA7" s="1056"/>
      <c r="BB7" s="1056"/>
      <c r="BC7" s="1056"/>
      <c r="BD7" s="1056"/>
      <c r="BE7" s="1056"/>
      <c r="BF7" s="1056"/>
      <c r="BG7" s="1056"/>
      <c r="BH7" s="1056"/>
      <c r="BI7" s="1056"/>
    </row>
    <row r="8" spans="1:61" s="1092" customFormat="1" ht="15" hidden="1" customHeight="1">
      <c r="A8" s="1057"/>
      <c r="B8" s="1093"/>
      <c r="C8" s="1093"/>
      <c r="D8" s="1093"/>
      <c r="E8" s="1053"/>
      <c r="F8" s="1053"/>
      <c r="G8" s="1054"/>
      <c r="H8" s="1054"/>
      <c r="I8" s="1055"/>
      <c r="J8" s="1061" t="str">
        <f>'2.3 Input_Main_Questionnaire'!F32</f>
        <v>Analysis of the data</v>
      </c>
      <c r="K8" s="1053"/>
      <c r="L8" s="1053"/>
      <c r="M8" s="1053"/>
      <c r="N8" s="1053"/>
      <c r="O8" s="1053"/>
      <c r="P8" s="1056"/>
      <c r="Q8" s="1056"/>
      <c r="R8" s="1056"/>
      <c r="S8" s="1056"/>
      <c r="T8" s="1056"/>
      <c r="U8" s="1056"/>
      <c r="V8" s="1056"/>
      <c r="W8" s="1056"/>
      <c r="X8" s="1056"/>
      <c r="Y8" s="1056"/>
      <c r="Z8" s="1056"/>
      <c r="AA8" s="1056"/>
      <c r="AB8" s="1056"/>
      <c r="AC8" s="1056"/>
      <c r="AD8" s="1056"/>
      <c r="AE8" s="1056"/>
      <c r="AF8" s="1056"/>
      <c r="AG8" s="1056"/>
      <c r="AH8" s="1056"/>
      <c r="AI8" s="1056"/>
      <c r="AJ8" s="1056"/>
      <c r="AK8" s="1056"/>
      <c r="AL8" s="1056"/>
      <c r="AM8" s="1056"/>
      <c r="AN8" s="1056"/>
      <c r="AO8" s="1056"/>
      <c r="AP8" s="1056"/>
      <c r="AQ8" s="1056"/>
      <c r="AR8" s="1056"/>
      <c r="AS8" s="1056"/>
      <c r="AT8" s="1056"/>
      <c r="AU8" s="1056"/>
      <c r="AV8" s="1056"/>
      <c r="AW8" s="1056"/>
      <c r="AX8" s="1056"/>
      <c r="AY8" s="1056"/>
      <c r="AZ8" s="1056"/>
      <c r="BA8" s="1056"/>
      <c r="BB8" s="1056"/>
      <c r="BC8" s="1056"/>
      <c r="BD8" s="1056"/>
      <c r="BE8" s="1056"/>
      <c r="BF8" s="1056"/>
      <c r="BG8" s="1056"/>
      <c r="BH8" s="1056"/>
      <c r="BI8" s="1056"/>
    </row>
    <row r="9" spans="1:61" s="1092" customFormat="1" ht="15" hidden="1" customHeight="1">
      <c r="A9" s="1057"/>
      <c r="B9" s="1093"/>
      <c r="C9" s="1093"/>
      <c r="D9" s="1093"/>
      <c r="E9" s="1053"/>
      <c r="F9" s="1053"/>
      <c r="G9" s="1054"/>
      <c r="H9" s="1054"/>
      <c r="I9" s="1055"/>
      <c r="J9" s="1061" t="str">
        <f>'2.3 Input_Main_Questionnaire'!F33</f>
        <v>Redaction of the report</v>
      </c>
      <c r="K9" s="1053"/>
      <c r="L9" s="1053"/>
      <c r="M9" s="1053"/>
      <c r="N9" s="1053"/>
      <c r="O9" s="1053"/>
      <c r="P9" s="1056"/>
      <c r="Q9" s="1056"/>
      <c r="R9" s="1056"/>
      <c r="S9" s="1056"/>
      <c r="T9" s="1056"/>
      <c r="U9" s="1056"/>
      <c r="V9" s="1056"/>
      <c r="W9" s="1056"/>
      <c r="X9" s="1056"/>
      <c r="Y9" s="1056"/>
      <c r="Z9" s="1056"/>
      <c r="AA9" s="1056"/>
      <c r="AB9" s="1056"/>
      <c r="AC9" s="1056"/>
      <c r="AD9" s="1056"/>
      <c r="AE9" s="1056"/>
      <c r="AF9" s="1056"/>
      <c r="AG9" s="1056"/>
      <c r="AH9" s="1056"/>
      <c r="AI9" s="1056"/>
      <c r="AJ9" s="1056"/>
      <c r="AK9" s="1056"/>
      <c r="AL9" s="1056"/>
      <c r="AM9" s="1056"/>
      <c r="AN9" s="1056"/>
      <c r="AO9" s="1056"/>
      <c r="AP9" s="1056"/>
      <c r="AQ9" s="1056"/>
      <c r="AR9" s="1056"/>
      <c r="AS9" s="1056"/>
      <c r="AT9" s="1056"/>
      <c r="AU9" s="1056"/>
      <c r="AV9" s="1056"/>
      <c r="AW9" s="1056"/>
      <c r="AX9" s="1056"/>
      <c r="AY9" s="1056"/>
      <c r="AZ9" s="1056"/>
      <c r="BA9" s="1056"/>
      <c r="BB9" s="1056"/>
      <c r="BC9" s="1056"/>
      <c r="BD9" s="1056"/>
      <c r="BE9" s="1056"/>
      <c r="BF9" s="1056"/>
      <c r="BG9" s="1056"/>
      <c r="BH9" s="1056"/>
      <c r="BI9" s="1056"/>
    </row>
    <row r="10" spans="1:61" s="1092" customFormat="1" ht="15" hidden="1" customHeight="1">
      <c r="A10" s="1057"/>
      <c r="B10" s="1093"/>
      <c r="C10" s="1093"/>
      <c r="D10" s="1093"/>
      <c r="E10" s="1053"/>
      <c r="F10" s="1053"/>
      <c r="G10" s="1054"/>
      <c r="H10" s="1054"/>
      <c r="I10" s="1055"/>
      <c r="J10" s="1061" t="str">
        <f>'2.3 Input_Main_Questionnaire'!F34</f>
        <v>Publication</v>
      </c>
      <c r="K10" s="1053"/>
      <c r="L10" s="1053"/>
      <c r="M10" s="1053"/>
      <c r="N10" s="1053"/>
      <c r="O10" s="1053"/>
      <c r="P10" s="1056"/>
      <c r="Q10" s="1056"/>
      <c r="R10" s="1056"/>
      <c r="S10" s="1056"/>
      <c r="T10" s="1056"/>
      <c r="U10" s="1056"/>
      <c r="V10" s="1056"/>
      <c r="W10" s="1056"/>
      <c r="X10" s="1056"/>
      <c r="Y10" s="1056"/>
      <c r="Z10" s="1056"/>
      <c r="AA10" s="1056"/>
      <c r="AB10" s="1056"/>
      <c r="AC10" s="1056"/>
      <c r="AD10" s="1056"/>
      <c r="AE10" s="1056"/>
      <c r="AF10" s="1056"/>
      <c r="AG10" s="1056"/>
      <c r="AH10" s="1056"/>
      <c r="AI10" s="1056"/>
      <c r="AJ10" s="1056"/>
      <c r="AK10" s="1056"/>
      <c r="AL10" s="1056"/>
      <c r="AM10" s="1056"/>
      <c r="AN10" s="1056"/>
      <c r="AO10" s="1056"/>
      <c r="AP10" s="1056"/>
      <c r="AQ10" s="1056"/>
      <c r="AR10" s="1056"/>
      <c r="AS10" s="1056"/>
      <c r="AT10" s="1056"/>
      <c r="AU10" s="1056"/>
      <c r="AV10" s="1056"/>
      <c r="AW10" s="1056"/>
      <c r="AX10" s="1056"/>
      <c r="AY10" s="1056"/>
      <c r="AZ10" s="1056"/>
      <c r="BA10" s="1056"/>
      <c r="BB10" s="1056"/>
      <c r="BC10" s="1056"/>
      <c r="BD10" s="1056"/>
      <c r="BE10" s="1056"/>
      <c r="BF10" s="1056"/>
      <c r="BG10" s="1056"/>
      <c r="BH10" s="1056"/>
      <c r="BI10" s="1056"/>
    </row>
    <row r="11" spans="1:61" s="1092" customFormat="1" ht="15" hidden="1" customHeight="1">
      <c r="A11" s="1057"/>
      <c r="B11" s="1093"/>
      <c r="C11" s="1093"/>
      <c r="D11" s="1093"/>
      <c r="E11" s="1053"/>
      <c r="F11" s="1053"/>
      <c r="G11" s="1054"/>
      <c r="H11" s="1054"/>
      <c r="I11" s="1055"/>
      <c r="J11" s="1061" t="str">
        <f>'2.3 Input_Main_Questionnaire'!F35</f>
        <v xml:space="preserve">Peer review </v>
      </c>
      <c r="K11" s="1053"/>
      <c r="L11" s="1053"/>
      <c r="M11" s="1053"/>
      <c r="N11" s="1053"/>
      <c r="O11" s="1053"/>
      <c r="P11" s="1056"/>
      <c r="Q11" s="1056"/>
      <c r="R11" s="1056"/>
      <c r="S11" s="1056"/>
      <c r="T11" s="1056"/>
      <c r="U11" s="1056"/>
      <c r="V11" s="1056"/>
      <c r="W11" s="1056"/>
      <c r="X11" s="1056"/>
      <c r="Y11" s="1056"/>
      <c r="Z11" s="1056"/>
      <c r="AA11" s="1056"/>
      <c r="AB11" s="1056"/>
      <c r="AC11" s="1056"/>
      <c r="AD11" s="1056"/>
      <c r="AE11" s="1056"/>
      <c r="AF11" s="1056"/>
      <c r="AG11" s="1056"/>
      <c r="AH11" s="1056"/>
      <c r="AI11" s="1056"/>
      <c r="AJ11" s="1056"/>
      <c r="AK11" s="1056"/>
      <c r="AL11" s="1056"/>
      <c r="AM11" s="1056"/>
      <c r="AN11" s="1056"/>
      <c r="AO11" s="1056"/>
      <c r="AP11" s="1056"/>
      <c r="AQ11" s="1056"/>
      <c r="AR11" s="1056"/>
      <c r="AS11" s="1056"/>
      <c r="AT11" s="1056"/>
      <c r="AU11" s="1056"/>
      <c r="AV11" s="1056"/>
      <c r="AW11" s="1056"/>
      <c r="AX11" s="1056"/>
      <c r="AY11" s="1056"/>
      <c r="AZ11" s="1056"/>
      <c r="BA11" s="1056"/>
      <c r="BB11" s="1056"/>
      <c r="BC11" s="1056"/>
      <c r="BD11" s="1056"/>
      <c r="BE11" s="1056"/>
      <c r="BF11" s="1056"/>
      <c r="BG11" s="1056"/>
      <c r="BH11" s="1056"/>
      <c r="BI11" s="1056"/>
    </row>
    <row r="12" spans="1:61" s="1092" customFormat="1" ht="15" hidden="1" customHeight="1">
      <c r="A12" s="1057"/>
      <c r="B12" s="1093"/>
      <c r="C12" s="1093"/>
      <c r="D12" s="1093"/>
      <c r="E12" s="1053"/>
      <c r="F12" s="1053"/>
      <c r="G12" s="1054"/>
      <c r="H12" s="1054"/>
      <c r="I12" s="1055"/>
      <c r="J12" s="1062" t="s">
        <v>466</v>
      </c>
      <c r="K12" s="1053"/>
      <c r="L12" s="1053"/>
      <c r="M12" s="1053"/>
      <c r="N12" s="1053"/>
      <c r="O12" s="1053"/>
      <c r="P12" s="1056"/>
      <c r="Q12" s="1056"/>
      <c r="R12" s="1056"/>
      <c r="S12" s="1056"/>
      <c r="T12" s="1056"/>
      <c r="U12" s="1056"/>
      <c r="V12" s="1056"/>
      <c r="W12" s="1056"/>
      <c r="X12" s="1056"/>
      <c r="Y12" s="1056"/>
      <c r="Z12" s="1056"/>
      <c r="AA12" s="1056"/>
      <c r="AB12" s="1056"/>
      <c r="AC12" s="1056"/>
      <c r="AD12" s="1056"/>
      <c r="AE12" s="1056"/>
      <c r="AF12" s="1056"/>
      <c r="AG12" s="1056"/>
      <c r="AH12" s="1056"/>
      <c r="AI12" s="1056"/>
      <c r="AJ12" s="1056"/>
      <c r="AK12" s="1056"/>
      <c r="AL12" s="1056"/>
      <c r="AM12" s="1056"/>
      <c r="AN12" s="1056"/>
      <c r="AO12" s="1056"/>
      <c r="AP12" s="1056"/>
      <c r="AQ12" s="1056"/>
      <c r="AR12" s="1056"/>
      <c r="AS12" s="1056"/>
      <c r="AT12" s="1056"/>
      <c r="AU12" s="1056"/>
      <c r="AV12" s="1056"/>
      <c r="AW12" s="1056"/>
      <c r="AX12" s="1056"/>
      <c r="AY12" s="1056"/>
      <c r="AZ12" s="1056"/>
      <c r="BA12" s="1056"/>
      <c r="BB12" s="1056"/>
      <c r="BC12" s="1056"/>
      <c r="BD12" s="1056"/>
      <c r="BE12" s="1056"/>
      <c r="BF12" s="1056"/>
      <c r="BG12" s="1056"/>
      <c r="BH12" s="1056"/>
      <c r="BI12" s="1056"/>
    </row>
    <row r="13" spans="1:61" s="1092" customFormat="1" ht="15" hidden="1" customHeight="1">
      <c r="A13" s="1057"/>
      <c r="B13" s="1093"/>
      <c r="C13" s="1093"/>
      <c r="D13" s="1093"/>
      <c r="E13" s="1053"/>
      <c r="F13" s="1053"/>
      <c r="G13" s="1054"/>
      <c r="H13" s="1054"/>
      <c r="I13" s="1055"/>
      <c r="J13" s="1061" t="s">
        <v>554</v>
      </c>
      <c r="K13" s="1053"/>
      <c r="L13" s="1053"/>
      <c r="M13" s="1053"/>
      <c r="N13" s="1053"/>
      <c r="O13" s="1053"/>
      <c r="P13" s="1056"/>
      <c r="Q13" s="1056"/>
      <c r="R13" s="1056"/>
      <c r="S13" s="1056"/>
      <c r="T13" s="1056"/>
      <c r="U13" s="1056"/>
      <c r="V13" s="1056"/>
      <c r="W13" s="1056"/>
      <c r="X13" s="1056"/>
      <c r="Y13" s="1056"/>
      <c r="Z13" s="1056"/>
      <c r="AA13" s="1056"/>
      <c r="AB13" s="1056"/>
      <c r="AC13" s="1056"/>
      <c r="AD13" s="1056"/>
      <c r="AE13" s="1056"/>
      <c r="AF13" s="1056"/>
      <c r="AG13" s="1056"/>
      <c r="AH13" s="1056"/>
      <c r="AI13" s="1056"/>
      <c r="AJ13" s="1056"/>
      <c r="AK13" s="1056"/>
      <c r="AL13" s="1056"/>
      <c r="AM13" s="1056"/>
      <c r="AN13" s="1056"/>
      <c r="AO13" s="1056"/>
      <c r="AP13" s="1056"/>
      <c r="AQ13" s="1056"/>
      <c r="AR13" s="1056"/>
      <c r="AS13" s="1056"/>
      <c r="AT13" s="1056"/>
      <c r="AU13" s="1056"/>
      <c r="AV13" s="1056"/>
      <c r="AW13" s="1056"/>
      <c r="AX13" s="1056"/>
      <c r="AY13" s="1056"/>
      <c r="AZ13" s="1056"/>
      <c r="BA13" s="1056"/>
      <c r="BB13" s="1056"/>
      <c r="BC13" s="1056"/>
      <c r="BD13" s="1056"/>
      <c r="BE13" s="1056"/>
      <c r="BF13" s="1056"/>
      <c r="BG13" s="1056"/>
      <c r="BH13" s="1056"/>
      <c r="BI13" s="1056"/>
    </row>
    <row r="14" spans="1:61" s="1092" customFormat="1" ht="15" hidden="1" customHeight="1">
      <c r="A14" s="1057"/>
      <c r="B14" s="1093"/>
      <c r="C14" s="1093"/>
      <c r="D14" s="1093"/>
      <c r="E14" s="1053"/>
      <c r="F14" s="1053"/>
      <c r="G14" s="1054"/>
      <c r="H14" s="1054"/>
      <c r="I14" s="1055"/>
      <c r="J14" s="1061" t="s">
        <v>555</v>
      </c>
      <c r="K14" s="1053"/>
      <c r="L14" s="1053"/>
      <c r="M14" s="1053"/>
      <c r="N14" s="1053"/>
      <c r="O14" s="1053"/>
      <c r="P14" s="1056"/>
      <c r="Q14" s="1056"/>
      <c r="R14" s="1056"/>
      <c r="S14" s="1056"/>
      <c r="T14" s="1056"/>
      <c r="U14" s="1056"/>
      <c r="V14" s="1056"/>
      <c r="W14" s="1056"/>
      <c r="X14" s="1056"/>
      <c r="Y14" s="1056"/>
      <c r="Z14" s="1056"/>
      <c r="AA14" s="1056"/>
      <c r="AB14" s="1056"/>
      <c r="AC14" s="1056"/>
      <c r="AD14" s="1056"/>
      <c r="AE14" s="1056"/>
      <c r="AF14" s="1056"/>
      <c r="AG14" s="1056"/>
      <c r="AH14" s="1056"/>
      <c r="AI14" s="1056"/>
      <c r="AJ14" s="1056"/>
      <c r="AK14" s="1056"/>
      <c r="AL14" s="1056"/>
      <c r="AM14" s="1056"/>
      <c r="AN14" s="1056"/>
      <c r="AO14" s="1056"/>
      <c r="AP14" s="1056"/>
      <c r="AQ14" s="1056"/>
      <c r="AR14" s="1056"/>
      <c r="AS14" s="1056"/>
      <c r="AT14" s="1056"/>
      <c r="AU14" s="1056"/>
      <c r="AV14" s="1056"/>
      <c r="AW14" s="1056"/>
      <c r="AX14" s="1056"/>
      <c r="AY14" s="1056"/>
      <c r="AZ14" s="1056"/>
      <c r="BA14" s="1056"/>
      <c r="BB14" s="1056"/>
      <c r="BC14" s="1056"/>
      <c r="BD14" s="1056"/>
      <c r="BE14" s="1056"/>
      <c r="BF14" s="1056"/>
      <c r="BG14" s="1056"/>
      <c r="BH14" s="1056"/>
      <c r="BI14" s="1056"/>
    </row>
    <row r="15" spans="1:61" s="1092" customFormat="1" ht="15" hidden="1" customHeight="1">
      <c r="A15" s="1057"/>
      <c r="B15" s="1093"/>
      <c r="C15" s="1093"/>
      <c r="D15" s="1093"/>
      <c r="E15" s="1053"/>
      <c r="F15" s="1053"/>
      <c r="G15" s="1054"/>
      <c r="H15" s="1054"/>
      <c r="I15" s="1055"/>
      <c r="J15" s="1061" t="s">
        <v>495</v>
      </c>
      <c r="K15" s="1053"/>
      <c r="L15" s="1053"/>
      <c r="M15" s="1053"/>
      <c r="N15" s="1053"/>
      <c r="O15" s="1053"/>
      <c r="P15" s="1056"/>
      <c r="Q15" s="1056"/>
      <c r="R15" s="1056"/>
      <c r="S15" s="1056"/>
      <c r="T15" s="1056"/>
      <c r="U15" s="1056"/>
      <c r="V15" s="1056"/>
      <c r="W15" s="1056"/>
      <c r="X15" s="1056"/>
      <c r="Y15" s="1056"/>
      <c r="Z15" s="1056"/>
      <c r="AA15" s="1056"/>
      <c r="AB15" s="1056"/>
      <c r="AC15" s="1056"/>
      <c r="AD15" s="1056"/>
      <c r="AE15" s="1056"/>
      <c r="AF15" s="1056"/>
      <c r="AG15" s="1056"/>
      <c r="AH15" s="1056"/>
      <c r="AI15" s="1056"/>
      <c r="AJ15" s="1056"/>
      <c r="AK15" s="1056"/>
      <c r="AL15" s="1056"/>
      <c r="AM15" s="1056"/>
      <c r="AN15" s="1056"/>
      <c r="AO15" s="1056"/>
      <c r="AP15" s="1056"/>
      <c r="AQ15" s="1056"/>
      <c r="AR15" s="1056"/>
      <c r="AS15" s="1056"/>
      <c r="AT15" s="1056"/>
      <c r="AU15" s="1056"/>
      <c r="AV15" s="1056"/>
      <c r="AW15" s="1056"/>
      <c r="AX15" s="1056"/>
      <c r="AY15" s="1056"/>
      <c r="AZ15" s="1056"/>
      <c r="BA15" s="1056"/>
      <c r="BB15" s="1056"/>
      <c r="BC15" s="1056"/>
      <c r="BD15" s="1056"/>
      <c r="BE15" s="1056"/>
      <c r="BF15" s="1056"/>
      <c r="BG15" s="1056"/>
      <c r="BH15" s="1056"/>
      <c r="BI15" s="1056"/>
    </row>
    <row r="16" spans="1:61" s="1092" customFormat="1" ht="15" hidden="1" customHeight="1">
      <c r="A16" s="1057"/>
      <c r="B16" s="1093"/>
      <c r="C16" s="1093"/>
      <c r="D16" s="1093"/>
      <c r="E16" s="1053"/>
      <c r="F16" s="1053"/>
      <c r="G16" s="1054"/>
      <c r="H16" s="1054"/>
      <c r="I16" s="1055"/>
      <c r="J16" s="1061" t="s">
        <v>556</v>
      </c>
      <c r="K16" s="1053"/>
      <c r="L16" s="1053"/>
      <c r="M16" s="1053"/>
      <c r="N16" s="1053"/>
      <c r="O16" s="1053"/>
      <c r="P16" s="1056"/>
      <c r="Q16" s="1056"/>
      <c r="R16" s="1056"/>
      <c r="S16" s="1056"/>
      <c r="T16" s="1056"/>
      <c r="U16" s="1056"/>
      <c r="V16" s="1056"/>
      <c r="W16" s="1056"/>
      <c r="X16" s="1056"/>
      <c r="Y16" s="1056"/>
      <c r="Z16" s="1056"/>
      <c r="AA16" s="1056"/>
      <c r="AB16" s="1056"/>
      <c r="AC16" s="1056"/>
      <c r="AD16" s="1056"/>
      <c r="AE16" s="1056"/>
      <c r="AF16" s="1056"/>
      <c r="AG16" s="1056"/>
      <c r="AH16" s="1056"/>
      <c r="AI16" s="1056"/>
      <c r="AJ16" s="1056"/>
      <c r="AK16" s="1056"/>
      <c r="AL16" s="1056"/>
      <c r="AM16" s="1056"/>
      <c r="AN16" s="1056"/>
      <c r="AO16" s="1056"/>
      <c r="AP16" s="1056"/>
      <c r="AQ16" s="1056"/>
      <c r="AR16" s="1056"/>
      <c r="AS16" s="1056"/>
      <c r="AT16" s="1056"/>
      <c r="AU16" s="1056"/>
      <c r="AV16" s="1056"/>
      <c r="AW16" s="1056"/>
      <c r="AX16" s="1056"/>
      <c r="AY16" s="1056"/>
      <c r="AZ16" s="1056"/>
      <c r="BA16" s="1056"/>
      <c r="BB16" s="1056"/>
      <c r="BC16" s="1056"/>
      <c r="BD16" s="1056"/>
      <c r="BE16" s="1056"/>
      <c r="BF16" s="1056"/>
      <c r="BG16" s="1056"/>
      <c r="BH16" s="1056"/>
      <c r="BI16" s="1056"/>
    </row>
    <row r="17" spans="1:61" s="1092" customFormat="1" ht="15" hidden="1" customHeight="1">
      <c r="A17" s="1057"/>
      <c r="B17" s="1093"/>
      <c r="C17" s="1093"/>
      <c r="D17" s="1093"/>
      <c r="E17" s="1053"/>
      <c r="F17" s="1053"/>
      <c r="G17" s="1054"/>
      <c r="H17" s="1054"/>
      <c r="I17" s="1055"/>
      <c r="J17" s="1061" t="s">
        <v>193</v>
      </c>
      <c r="K17" s="1053"/>
      <c r="L17" s="1053"/>
      <c r="M17" s="1053"/>
      <c r="N17" s="1053"/>
      <c r="O17" s="1053"/>
      <c r="P17" s="1056"/>
      <c r="Q17" s="1056"/>
      <c r="R17" s="1056"/>
      <c r="S17" s="1056"/>
      <c r="T17" s="1056"/>
      <c r="U17" s="1056"/>
      <c r="V17" s="1056"/>
      <c r="W17" s="1056"/>
      <c r="X17" s="1056"/>
      <c r="Y17" s="1056"/>
      <c r="Z17" s="1056"/>
      <c r="AA17" s="1056"/>
      <c r="AB17" s="1056"/>
      <c r="AC17" s="1056"/>
      <c r="AD17" s="1056"/>
      <c r="AE17" s="1056"/>
      <c r="AF17" s="1056"/>
      <c r="AG17" s="1056"/>
      <c r="AH17" s="1056"/>
      <c r="AI17" s="1056"/>
      <c r="AJ17" s="1056"/>
      <c r="AK17" s="1056"/>
      <c r="AL17" s="1056"/>
      <c r="AM17" s="1056"/>
      <c r="AN17" s="1056"/>
      <c r="AO17" s="1056"/>
      <c r="AP17" s="1056"/>
      <c r="AQ17" s="1056"/>
      <c r="AR17" s="1056"/>
      <c r="AS17" s="1056"/>
      <c r="AT17" s="1056"/>
      <c r="AU17" s="1056"/>
      <c r="AV17" s="1056"/>
      <c r="AW17" s="1056"/>
      <c r="AX17" s="1056"/>
      <c r="AY17" s="1056"/>
      <c r="AZ17" s="1056"/>
      <c r="BA17" s="1056"/>
      <c r="BB17" s="1056"/>
      <c r="BC17" s="1056"/>
      <c r="BD17" s="1056"/>
      <c r="BE17" s="1056"/>
      <c r="BF17" s="1056"/>
      <c r="BG17" s="1056"/>
      <c r="BH17" s="1056"/>
      <c r="BI17" s="1056"/>
    </row>
    <row r="18" spans="1:61" s="1092" customFormat="1" ht="15" hidden="1" customHeight="1">
      <c r="A18" s="1057"/>
      <c r="B18" s="1093"/>
      <c r="C18" s="1093"/>
      <c r="D18" s="1093"/>
      <c r="E18" s="1053"/>
      <c r="F18" s="1053"/>
      <c r="G18" s="1054"/>
      <c r="H18" s="1054"/>
      <c r="I18" s="1055"/>
      <c r="J18" s="696" t="s">
        <v>29</v>
      </c>
      <c r="K18" s="1053"/>
      <c r="L18" s="1053"/>
      <c r="M18" s="1053"/>
      <c r="N18" s="1053"/>
      <c r="O18" s="1053"/>
      <c r="P18" s="1056"/>
      <c r="Q18" s="1056"/>
      <c r="R18" s="1056"/>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056"/>
      <c r="AR18" s="1056"/>
      <c r="AS18" s="1056"/>
      <c r="AT18" s="1056"/>
      <c r="AU18" s="1056"/>
      <c r="AV18" s="1056"/>
      <c r="AW18" s="1056"/>
      <c r="AX18" s="1056"/>
      <c r="AY18" s="1056"/>
      <c r="AZ18" s="1056"/>
      <c r="BA18" s="1056"/>
      <c r="BB18" s="1056"/>
      <c r="BC18" s="1056"/>
      <c r="BD18" s="1056"/>
      <c r="BE18" s="1056"/>
      <c r="BF18" s="1056"/>
      <c r="BG18" s="1056"/>
      <c r="BH18" s="1056"/>
      <c r="BI18" s="1056"/>
    </row>
    <row r="19" spans="1:61" s="1066" customFormat="1" ht="51">
      <c r="A19" s="1067" t="s">
        <v>546</v>
      </c>
      <c r="B19" s="1067" t="s">
        <v>547</v>
      </c>
      <c r="C19" s="1067" t="s">
        <v>548</v>
      </c>
      <c r="D19" s="1067" t="s">
        <v>549</v>
      </c>
      <c r="E19" s="1067" t="s">
        <v>72</v>
      </c>
      <c r="F19" s="1067" t="s">
        <v>550</v>
      </c>
      <c r="G19" s="1067" t="s">
        <v>551</v>
      </c>
      <c r="H19" s="1067" t="s">
        <v>552</v>
      </c>
    </row>
    <row r="20" spans="1:61" ht="68.25" customHeight="1">
      <c r="A20" s="689" t="s">
        <v>235</v>
      </c>
      <c r="B20" s="1058" t="str">
        <f>Calc_time!B136</f>
        <v>OC</v>
      </c>
      <c r="C20" s="684" t="b">
        <v>1</v>
      </c>
      <c r="D20" s="684" t="b">
        <v>1</v>
      </c>
      <c r="E20" s="1059" t="str">
        <f>Calc_time!D136</f>
        <v>Additional time required to create DMPs for each new research project</v>
      </c>
      <c r="F20" s="689" t="s">
        <v>557</v>
      </c>
      <c r="G20" s="689" t="s">
        <v>558</v>
      </c>
      <c r="H20" s="689" t="s">
        <v>559</v>
      </c>
      <c r="J20" s="1062"/>
      <c r="K20" s="1056"/>
      <c r="L20" s="1056"/>
      <c r="M20" s="1056"/>
      <c r="N20" s="1056"/>
      <c r="O20" s="1056"/>
      <c r="P20" s="1056"/>
      <c r="Q20" s="1056"/>
      <c r="R20" s="1056"/>
      <c r="S20" s="1056"/>
      <c r="T20" s="1056"/>
      <c r="U20" s="1056"/>
      <c r="V20" s="1056"/>
      <c r="W20" s="1056"/>
      <c r="X20" s="1056"/>
      <c r="Y20" s="1056"/>
      <c r="Z20" s="1056"/>
      <c r="AA20" s="1056"/>
      <c r="AB20" s="1056"/>
      <c r="AC20" s="1056"/>
      <c r="AD20" s="1056"/>
      <c r="AE20" s="1056"/>
      <c r="AF20" s="1056"/>
      <c r="AG20" s="1056"/>
      <c r="AH20" s="1056"/>
      <c r="AI20" s="1056"/>
      <c r="AJ20" s="1056"/>
      <c r="AK20" s="1056"/>
      <c r="AL20" s="1056"/>
      <c r="AM20" s="1056"/>
      <c r="AN20" s="1056"/>
      <c r="AO20" s="1056"/>
      <c r="AP20" s="1056"/>
      <c r="AQ20" s="1056"/>
      <c r="AR20" s="1056"/>
      <c r="AS20" s="1056"/>
      <c r="AT20" s="1056"/>
      <c r="AU20" s="1056"/>
      <c r="AV20" s="1056"/>
      <c r="AW20" s="1056"/>
      <c r="AX20" s="1056"/>
      <c r="AY20" s="1056"/>
      <c r="AZ20" s="1060"/>
      <c r="BA20" s="1060"/>
      <c r="BB20" s="1060"/>
      <c r="BC20" s="1060"/>
      <c r="BD20" s="1060"/>
      <c r="BE20" s="1060"/>
      <c r="BF20" s="1060"/>
      <c r="BG20" s="1060"/>
      <c r="BH20" s="1060"/>
      <c r="BI20" s="1060"/>
    </row>
    <row r="21" spans="1:61" ht="96">
      <c r="A21" s="689" t="s">
        <v>243</v>
      </c>
      <c r="B21" s="1058" t="str">
        <f>Calc_time!B261</f>
        <v>B</v>
      </c>
      <c r="C21" s="684" t="b">
        <v>1</v>
      </c>
      <c r="D21" s="684" t="b">
        <v>1</v>
      </c>
      <c r="E21" s="1059" t="str">
        <f>Calc_time!D261</f>
        <v>Time saved for finding relevant data thanks to metadata</v>
      </c>
      <c r="F21" s="689" t="s">
        <v>560</v>
      </c>
      <c r="G21" s="689" t="s">
        <v>561</v>
      </c>
      <c r="H21" s="689" t="s">
        <v>562</v>
      </c>
      <c r="J21" s="1062"/>
      <c r="K21" s="1056"/>
      <c r="L21" s="1056"/>
      <c r="M21" s="1056"/>
      <c r="N21" s="1056"/>
      <c r="O21" s="1056"/>
      <c r="P21" s="1056"/>
      <c r="Q21" s="1056"/>
      <c r="R21" s="1056"/>
      <c r="S21" s="1056"/>
      <c r="T21" s="1056"/>
      <c r="U21" s="1056"/>
      <c r="V21" s="1056"/>
      <c r="W21" s="1056"/>
      <c r="X21" s="1056"/>
      <c r="Y21" s="1056"/>
      <c r="Z21" s="1056"/>
      <c r="AA21" s="1056"/>
      <c r="AB21" s="1056"/>
      <c r="AC21" s="1056"/>
      <c r="AD21" s="1056"/>
      <c r="AE21" s="1056"/>
      <c r="AF21" s="1056"/>
      <c r="AG21" s="1056"/>
      <c r="AH21" s="1056"/>
      <c r="AI21" s="1056"/>
      <c r="AJ21" s="1056"/>
      <c r="AK21" s="1056"/>
      <c r="AL21" s="1056"/>
      <c r="AM21" s="1056"/>
      <c r="AN21" s="1056"/>
      <c r="AO21" s="1056"/>
      <c r="AP21" s="1056"/>
      <c r="AQ21" s="1056"/>
      <c r="AR21" s="1056"/>
      <c r="AS21" s="1056"/>
      <c r="AT21" s="1056"/>
      <c r="AU21" s="1056"/>
      <c r="AV21" s="1056"/>
      <c r="AW21" s="1056"/>
      <c r="AX21" s="1056"/>
      <c r="AY21" s="1056"/>
      <c r="AZ21" s="1060"/>
      <c r="BA21" s="1060"/>
      <c r="BB21" s="1060"/>
      <c r="BC21" s="1060"/>
      <c r="BD21" s="1060"/>
      <c r="BE21" s="1060"/>
      <c r="BF21" s="1060"/>
      <c r="BG21" s="1060"/>
      <c r="BH21" s="1060"/>
      <c r="BI21" s="1060"/>
    </row>
    <row r="22" spans="1:61" ht="96">
      <c r="A22" s="689" t="s">
        <v>243</v>
      </c>
      <c r="B22" s="1058" t="str">
        <f>Calc_time!B263</f>
        <v>B</v>
      </c>
      <c r="C22" s="684" t="b">
        <v>1</v>
      </c>
      <c r="D22" s="684" t="b">
        <v>1</v>
      </c>
      <c r="E22" s="1059" t="str">
        <f>Calc_time!D263</f>
        <v>Time saved for finding relevant data thanks to global standardised PIDs</v>
      </c>
      <c r="F22" s="689" t="s">
        <v>563</v>
      </c>
      <c r="G22" s="689" t="s">
        <v>564</v>
      </c>
      <c r="H22" s="689" t="s">
        <v>562</v>
      </c>
    </row>
    <row r="23" spans="1:61" ht="72">
      <c r="A23" s="689" t="s">
        <v>243</v>
      </c>
      <c r="B23" s="1058" t="str">
        <f>Calc_time!B265</f>
        <v>B</v>
      </c>
      <c r="C23" s="684" t="b">
        <v>1</v>
      </c>
      <c r="D23" s="684" t="b">
        <v>1</v>
      </c>
      <c r="E23" s="1059" t="str">
        <f>Calc_time!D265</f>
        <v>Time saved in accessing more easily data not immediately available</v>
      </c>
      <c r="F23" s="689" t="s">
        <v>565</v>
      </c>
      <c r="G23" s="689" t="s">
        <v>566</v>
      </c>
      <c r="H23" s="689" t="s">
        <v>567</v>
      </c>
      <c r="J23" s="1062"/>
      <c r="K23" s="1056"/>
      <c r="L23" s="1056"/>
      <c r="M23" s="1056"/>
      <c r="N23" s="1056"/>
      <c r="O23" s="1056"/>
      <c r="P23" s="1056"/>
      <c r="Q23" s="1056"/>
      <c r="R23" s="1056"/>
      <c r="S23" s="1056"/>
      <c r="T23" s="1056"/>
      <c r="U23" s="1056"/>
      <c r="V23" s="1056"/>
      <c r="W23" s="1056"/>
      <c r="X23" s="1056"/>
      <c r="Y23" s="1056"/>
      <c r="Z23" s="1056"/>
      <c r="AA23" s="1056"/>
      <c r="AB23" s="1056"/>
      <c r="AC23" s="1056"/>
      <c r="AD23" s="1056"/>
      <c r="AE23" s="1056"/>
      <c r="AF23" s="1056"/>
      <c r="AG23" s="1056"/>
      <c r="AH23" s="1056"/>
      <c r="AI23" s="1056"/>
      <c r="AJ23" s="1056"/>
      <c r="AK23" s="1056"/>
      <c r="AL23" s="1056"/>
      <c r="AM23" s="1056"/>
      <c r="AN23" s="1056"/>
      <c r="AO23" s="1056"/>
      <c r="AP23" s="1056"/>
      <c r="AQ23" s="1056"/>
      <c r="AR23" s="1056"/>
      <c r="AS23" s="1056"/>
      <c r="AT23" s="1056"/>
      <c r="AU23" s="1056"/>
      <c r="AV23" s="1056"/>
      <c r="AW23" s="1056"/>
      <c r="AX23" s="1056"/>
      <c r="AY23" s="1056"/>
      <c r="AZ23" s="1060"/>
      <c r="BA23" s="1060"/>
      <c r="BB23" s="1060"/>
      <c r="BC23" s="1060"/>
      <c r="BD23" s="1060"/>
      <c r="BE23" s="1060"/>
      <c r="BF23" s="1060"/>
      <c r="BG23" s="1060"/>
      <c r="BH23" s="1060"/>
      <c r="BI23" s="1060"/>
    </row>
    <row r="24" spans="1:61" ht="72">
      <c r="A24" s="689" t="s">
        <v>253</v>
      </c>
      <c r="B24" s="1058" t="str">
        <f>Calc_time!B549</f>
        <v>B</v>
      </c>
      <c r="C24" s="684" t="b">
        <v>1</v>
      </c>
      <c r="D24" s="684" t="b">
        <v>1</v>
      </c>
      <c r="E24" s="1059" t="str">
        <f>Calc_time!D549</f>
        <v>Saving in time for internal reusers thanks to the implementation of the FAIR principles in creating, collection and integrating</v>
      </c>
      <c r="F24" s="689" t="s">
        <v>568</v>
      </c>
      <c r="G24" s="689" t="s">
        <v>569</v>
      </c>
      <c r="H24" s="689" t="s">
        <v>570</v>
      </c>
      <c r="J24" s="1062"/>
      <c r="K24" s="1056"/>
      <c r="L24" s="1056"/>
      <c r="M24" s="1056"/>
      <c r="N24" s="1056"/>
      <c r="O24" s="1056"/>
      <c r="P24" s="1056"/>
      <c r="Q24" s="1056"/>
      <c r="R24" s="1056"/>
      <c r="S24" s="1056"/>
      <c r="T24" s="1056"/>
      <c r="U24" s="1056"/>
      <c r="V24" s="1056"/>
      <c r="W24" s="1056"/>
      <c r="X24" s="1056"/>
      <c r="Y24" s="1056"/>
      <c r="Z24" s="1056"/>
      <c r="AA24" s="1056"/>
      <c r="AB24" s="1056"/>
      <c r="AC24" s="1056"/>
      <c r="AD24" s="1056"/>
      <c r="AE24" s="1056"/>
      <c r="AF24" s="1056"/>
      <c r="AG24" s="1056"/>
      <c r="AH24" s="1056"/>
      <c r="AI24" s="1056"/>
      <c r="AJ24" s="1056"/>
      <c r="AK24" s="1056"/>
      <c r="AL24" s="1056"/>
      <c r="AM24" s="1056"/>
      <c r="AN24" s="1056"/>
      <c r="AO24" s="1056"/>
      <c r="AP24" s="1056"/>
      <c r="AQ24" s="1056"/>
      <c r="AR24" s="1056"/>
      <c r="AS24" s="1056"/>
      <c r="AT24" s="1056"/>
      <c r="AU24" s="1056"/>
      <c r="AV24" s="1056"/>
      <c r="AW24" s="1056"/>
      <c r="AX24" s="1056"/>
      <c r="AY24" s="1056"/>
      <c r="AZ24" s="1060"/>
      <c r="BA24" s="1060"/>
      <c r="BB24" s="1060"/>
      <c r="BC24" s="1060"/>
      <c r="BD24" s="1060"/>
      <c r="BE24" s="1060"/>
      <c r="BF24" s="1060"/>
      <c r="BG24" s="1060"/>
      <c r="BH24" s="1060"/>
      <c r="BI24" s="1060"/>
    </row>
    <row r="25" spans="1:61" ht="72">
      <c r="A25" s="689" t="s">
        <v>253</v>
      </c>
      <c r="B25" s="1058" t="str">
        <f>Calc_time!B551</f>
        <v>SB</v>
      </c>
      <c r="C25" s="684" t="b">
        <v>1</v>
      </c>
      <c r="D25" s="684" t="b">
        <v>1</v>
      </c>
      <c r="E25" s="1059" t="str">
        <f>Calc_time!D551</f>
        <v>Saving in time for external reusers thanks to the implementation of the FAIR principles in creating, collection and integrating</v>
      </c>
      <c r="F25" s="689" t="s">
        <v>571</v>
      </c>
      <c r="G25" s="689" t="s">
        <v>569</v>
      </c>
      <c r="H25" s="689" t="s">
        <v>572</v>
      </c>
      <c r="J25" s="1062"/>
      <c r="K25" s="1056"/>
      <c r="L25" s="1056"/>
      <c r="M25" s="1056"/>
      <c r="N25" s="1056"/>
      <c r="O25" s="1056"/>
      <c r="P25" s="1056"/>
      <c r="Q25" s="1056"/>
      <c r="R25" s="1056"/>
      <c r="S25" s="1056"/>
      <c r="T25" s="1056"/>
      <c r="U25" s="1056"/>
      <c r="V25" s="1056"/>
      <c r="W25" s="1056"/>
      <c r="X25" s="1056"/>
      <c r="Y25" s="1056"/>
      <c r="Z25" s="1056"/>
      <c r="AA25" s="1056"/>
      <c r="AB25" s="1056"/>
      <c r="AC25" s="1056"/>
      <c r="AD25" s="1056"/>
      <c r="AE25" s="1056"/>
      <c r="AF25" s="1056"/>
      <c r="AG25" s="1056"/>
      <c r="AH25" s="1056"/>
      <c r="AI25" s="1056"/>
      <c r="AJ25" s="1056"/>
      <c r="AK25" s="1056"/>
      <c r="AL25" s="1056"/>
      <c r="AM25" s="1056"/>
      <c r="AN25" s="1056"/>
      <c r="AO25" s="1056"/>
      <c r="AP25" s="1056"/>
      <c r="AQ25" s="1056"/>
      <c r="AR25" s="1056"/>
      <c r="AS25" s="1056"/>
      <c r="AT25" s="1056"/>
      <c r="AU25" s="1056"/>
      <c r="AV25" s="1056"/>
      <c r="AW25" s="1056"/>
      <c r="AX25" s="1056"/>
      <c r="AY25" s="1056"/>
      <c r="AZ25" s="1060"/>
      <c r="BA25" s="1060"/>
      <c r="BB25" s="1060"/>
      <c r="BC25" s="1060"/>
      <c r="BD25" s="1060"/>
      <c r="BE25" s="1060"/>
      <c r="BF25" s="1060"/>
      <c r="BG25" s="1060"/>
      <c r="BH25" s="1060"/>
      <c r="BI25" s="1060"/>
    </row>
    <row r="26" spans="1:61" ht="72">
      <c r="A26" s="689" t="s">
        <v>243</v>
      </c>
      <c r="B26" s="1058" t="str">
        <f>Calc_time!B296</f>
        <v>B</v>
      </c>
      <c r="C26" s="684" t="b">
        <v>1</v>
      </c>
      <c r="D26" s="684" t="b">
        <v>1</v>
      </c>
      <c r="E26" s="1059" t="str">
        <f>Calc_time!D296</f>
        <v>Time saved in identifying and understanding more easily the licence of a dataset</v>
      </c>
      <c r="F26" s="689" t="s">
        <v>573</v>
      </c>
      <c r="G26" s="689" t="s">
        <v>574</v>
      </c>
      <c r="H26" s="689" t="s">
        <v>575</v>
      </c>
      <c r="J26" s="1062"/>
      <c r="K26" s="1056"/>
      <c r="L26" s="1056"/>
      <c r="M26" s="1056"/>
      <c r="N26" s="1056"/>
      <c r="O26" s="1056"/>
      <c r="P26" s="1056"/>
      <c r="Q26" s="1056"/>
      <c r="R26" s="1056"/>
      <c r="S26" s="1056"/>
      <c r="T26" s="1056"/>
      <c r="U26" s="1056"/>
      <c r="V26" s="1056"/>
      <c r="W26" s="1056"/>
      <c r="X26" s="1056"/>
      <c r="Y26" s="1056"/>
      <c r="Z26" s="1056"/>
      <c r="AA26" s="1056"/>
      <c r="AB26" s="1056"/>
      <c r="AC26" s="1056"/>
      <c r="AD26" s="1056"/>
      <c r="AE26" s="1056"/>
      <c r="AF26" s="1056"/>
      <c r="AG26" s="1056"/>
      <c r="AH26" s="1056"/>
      <c r="AI26" s="1056"/>
      <c r="AJ26" s="1056"/>
      <c r="AK26" s="1056"/>
      <c r="AL26" s="1056"/>
      <c r="AM26" s="1056"/>
      <c r="AN26" s="1056"/>
      <c r="AO26" s="1056"/>
      <c r="AP26" s="1056"/>
      <c r="AQ26" s="1056"/>
      <c r="AR26" s="1056"/>
      <c r="AS26" s="1056"/>
      <c r="AT26" s="1056"/>
      <c r="AU26" s="1056"/>
      <c r="AV26" s="1056"/>
      <c r="AW26" s="1056"/>
      <c r="AX26" s="1056"/>
      <c r="AY26" s="1056"/>
      <c r="AZ26" s="1060"/>
      <c r="BA26" s="1060"/>
      <c r="BB26" s="1060"/>
      <c r="BC26" s="1060"/>
      <c r="BD26" s="1060"/>
      <c r="BE26" s="1060"/>
      <c r="BF26" s="1060"/>
      <c r="BG26" s="1060"/>
      <c r="BH26" s="1060"/>
      <c r="BI26" s="1060"/>
    </row>
    <row r="27" spans="1:61" ht="60">
      <c r="A27" s="689" t="s">
        <v>243</v>
      </c>
      <c r="B27" s="1058" t="str">
        <f>Calc_time!B298</f>
        <v>B</v>
      </c>
      <c r="C27" s="684" t="b">
        <v>1</v>
      </c>
      <c r="D27" s="684" t="b">
        <v>1</v>
      </c>
      <c r="E27" s="1059" t="str">
        <f>Calc_time!D298</f>
        <v>Time saved in collecting data</v>
      </c>
      <c r="F27" s="689" t="s">
        <v>576</v>
      </c>
      <c r="G27" s="689" t="s">
        <v>577</v>
      </c>
      <c r="H27" s="689" t="str">
        <f>"Sum of:
- "&amp;E21&amp;"
- "&amp;E22&amp;"
- "&amp;E23&amp;"
- "&amp;E26</f>
        <v>Sum of:
- Time saved for finding relevant data thanks to metadata
- Time saved for finding relevant data thanks to global standardised PIDs
- Time saved in accessing more easily data not immediately available
- Time saved in identifying and understanding more easily the licence of a dataset</v>
      </c>
      <c r="J27" s="1062"/>
      <c r="K27" s="1056"/>
      <c r="L27" s="1056"/>
      <c r="M27" s="1056"/>
      <c r="N27" s="1056"/>
      <c r="O27" s="1056"/>
      <c r="P27" s="1056"/>
      <c r="Q27" s="1056"/>
      <c r="R27" s="1056"/>
      <c r="S27" s="1056"/>
      <c r="T27" s="1056"/>
      <c r="U27" s="1056"/>
      <c r="V27" s="1056"/>
      <c r="W27" s="1056"/>
      <c r="X27" s="1056"/>
      <c r="Y27" s="1056"/>
      <c r="Z27" s="1056"/>
      <c r="AA27" s="1056"/>
      <c r="AB27" s="1056"/>
      <c r="AC27" s="1056"/>
      <c r="AD27" s="1056"/>
      <c r="AE27" s="1056"/>
      <c r="AF27" s="1056"/>
      <c r="AG27" s="1056"/>
      <c r="AH27" s="1056"/>
      <c r="AI27" s="1056"/>
      <c r="AJ27" s="1056"/>
      <c r="AK27" s="1056"/>
      <c r="AL27" s="1056"/>
      <c r="AM27" s="1056"/>
      <c r="AN27" s="1056"/>
      <c r="AO27" s="1056"/>
      <c r="AP27" s="1056"/>
      <c r="AQ27" s="1056"/>
      <c r="AR27" s="1056"/>
      <c r="AS27" s="1056"/>
      <c r="AT27" s="1056"/>
      <c r="AU27" s="1056"/>
      <c r="AV27" s="1056"/>
      <c r="AW27" s="1056"/>
      <c r="AX27" s="1056"/>
      <c r="AY27" s="1056"/>
      <c r="AZ27" s="1060"/>
      <c r="BA27" s="1060"/>
      <c r="BB27" s="1060"/>
      <c r="BC27" s="1060"/>
      <c r="BD27" s="1060"/>
      <c r="BE27" s="1060"/>
      <c r="BF27" s="1060"/>
      <c r="BG27" s="1060"/>
      <c r="BH27" s="1060"/>
      <c r="BI27" s="1060"/>
    </row>
    <row r="28" spans="1:61" ht="48">
      <c r="A28" s="689" t="s">
        <v>248</v>
      </c>
      <c r="B28" s="1058" t="str">
        <f>Calc_time!B347</f>
        <v>IC</v>
      </c>
      <c r="C28" s="684" t="b">
        <v>1</v>
      </c>
      <c r="D28" s="684" t="b">
        <v>1</v>
      </c>
      <c r="E28" s="1059" t="str">
        <f>Calc_time!D347</f>
        <v>Cost faced due to non-open import/export formats</v>
      </c>
      <c r="F28" s="689" t="s">
        <v>578</v>
      </c>
      <c r="G28" s="689" t="s">
        <v>579</v>
      </c>
      <c r="H28" s="689" t="s">
        <v>580</v>
      </c>
      <c r="J28" s="1062"/>
      <c r="K28" s="1056"/>
      <c r="L28" s="1056"/>
      <c r="M28" s="1056"/>
      <c r="N28" s="1056"/>
      <c r="O28" s="1056"/>
      <c r="P28" s="1056"/>
      <c r="Q28" s="1056"/>
      <c r="R28" s="1056"/>
      <c r="S28" s="1056"/>
      <c r="T28" s="1056"/>
      <c r="U28" s="1056"/>
      <c r="V28" s="1056"/>
      <c r="W28" s="1056"/>
      <c r="X28" s="1056"/>
      <c r="Y28" s="1056"/>
      <c r="Z28" s="1056"/>
      <c r="AA28" s="1056"/>
      <c r="AB28" s="1056"/>
      <c r="AC28" s="1056"/>
      <c r="AD28" s="1056"/>
      <c r="AE28" s="1056"/>
      <c r="AF28" s="1056"/>
      <c r="AG28" s="1056"/>
      <c r="AH28" s="1056"/>
      <c r="AI28" s="1056"/>
      <c r="AJ28" s="1056"/>
      <c r="AK28" s="1056"/>
      <c r="AL28" s="1056"/>
      <c r="AM28" s="1056"/>
      <c r="AN28" s="1056"/>
      <c r="AO28" s="1056"/>
      <c r="AP28" s="1056"/>
      <c r="AQ28" s="1056"/>
      <c r="AR28" s="1056"/>
      <c r="AS28" s="1056"/>
      <c r="AT28" s="1056"/>
      <c r="AU28" s="1056"/>
      <c r="AV28" s="1056"/>
      <c r="AW28" s="1056"/>
      <c r="AX28" s="1056"/>
      <c r="AY28" s="1056"/>
      <c r="AZ28" s="1060"/>
      <c r="BA28" s="1060"/>
      <c r="BB28" s="1060"/>
      <c r="BC28" s="1060"/>
      <c r="BD28" s="1060"/>
      <c r="BE28" s="1060"/>
      <c r="BF28" s="1060"/>
      <c r="BG28" s="1060"/>
      <c r="BH28" s="1060"/>
      <c r="BI28" s="1060"/>
    </row>
    <row r="29" spans="1:61" ht="156">
      <c r="A29" s="689" t="s">
        <v>248</v>
      </c>
      <c r="B29" s="1058" t="str">
        <f>Calc_time!B419</f>
        <v>OC</v>
      </c>
      <c r="C29" s="684" t="b">
        <v>1</v>
      </c>
      <c r="D29" s="684" t="b">
        <v>1</v>
      </c>
      <c r="E29" s="1059" t="str">
        <f>Calc_time!D419</f>
        <v>Additional time required for complying with recognized metadata standards</v>
      </c>
      <c r="F29" s="34" t="s">
        <v>1132</v>
      </c>
      <c r="G29" s="689" t="s">
        <v>581</v>
      </c>
      <c r="H29" s="689" t="s">
        <v>582</v>
      </c>
      <c r="J29" s="1062"/>
      <c r="K29" s="1056"/>
      <c r="L29" s="1056"/>
      <c r="M29" s="1056"/>
      <c r="N29" s="1056"/>
      <c r="O29" s="1056"/>
      <c r="P29" s="1056"/>
      <c r="Q29" s="1056"/>
      <c r="R29" s="1056"/>
      <c r="S29" s="1056"/>
      <c r="T29" s="1056"/>
      <c r="U29" s="1056"/>
      <c r="V29" s="1056"/>
      <c r="W29" s="1056"/>
      <c r="X29" s="1056"/>
      <c r="Y29" s="1056"/>
      <c r="Z29" s="1056"/>
      <c r="AA29" s="1056"/>
      <c r="AB29" s="1056"/>
      <c r="AC29" s="1056"/>
      <c r="AD29" s="1056"/>
      <c r="AE29" s="1056"/>
      <c r="AF29" s="1056"/>
      <c r="AG29" s="1056"/>
      <c r="AH29" s="1056"/>
      <c r="AI29" s="1056"/>
      <c r="AJ29" s="1056"/>
      <c r="AK29" s="1056"/>
      <c r="AL29" s="1056"/>
      <c r="AM29" s="1056"/>
      <c r="AN29" s="1056"/>
      <c r="AO29" s="1056"/>
      <c r="AP29" s="1056"/>
      <c r="AQ29" s="1056"/>
      <c r="AR29" s="1056"/>
      <c r="AS29" s="1056"/>
      <c r="AT29" s="1056"/>
      <c r="AU29" s="1056"/>
      <c r="AV29" s="1056"/>
      <c r="AW29" s="1056"/>
      <c r="AX29" s="1056"/>
      <c r="AY29" s="1056"/>
      <c r="AZ29" s="1060"/>
      <c r="BA29" s="1060"/>
      <c r="BB29" s="1060"/>
      <c r="BC29" s="1060"/>
      <c r="BD29" s="1060"/>
      <c r="BE29" s="1060"/>
      <c r="BF29" s="1060"/>
      <c r="BG29" s="1060"/>
      <c r="BH29" s="1060"/>
      <c r="BI29" s="1060"/>
    </row>
    <row r="30" spans="1:61" ht="120">
      <c r="A30" s="689" t="s">
        <v>248</v>
      </c>
      <c r="B30" s="1058" t="str">
        <f>Calc_time!B421</f>
        <v>OC</v>
      </c>
      <c r="C30" s="684" t="b">
        <v>1</v>
      </c>
      <c r="D30" s="684" t="b">
        <v>1</v>
      </c>
      <c r="E30" s="1059" t="str">
        <f>Calc_time!D421</f>
        <v>Additional time required for assigning global standardised PIDs</v>
      </c>
      <c r="F30" s="34" t="s">
        <v>1131</v>
      </c>
      <c r="G30" s="689" t="s">
        <v>583</v>
      </c>
      <c r="H30" s="34" t="s">
        <v>584</v>
      </c>
      <c r="J30" s="1062"/>
      <c r="K30" s="1056"/>
      <c r="L30" s="1056"/>
      <c r="M30" s="1056"/>
      <c r="N30" s="1056"/>
      <c r="O30" s="1056"/>
      <c r="P30" s="1056"/>
      <c r="Q30" s="1056"/>
      <c r="R30" s="1056"/>
      <c r="S30" s="1056"/>
      <c r="T30" s="1056"/>
      <c r="U30" s="1056"/>
      <c r="V30" s="1056"/>
      <c r="W30" s="1056"/>
      <c r="X30" s="1056"/>
      <c r="Y30" s="1056"/>
      <c r="Z30" s="1056"/>
      <c r="AA30" s="1056"/>
      <c r="AB30" s="1056"/>
      <c r="AC30" s="1056"/>
      <c r="AD30" s="1056"/>
      <c r="AE30" s="1056"/>
      <c r="AF30" s="1056"/>
      <c r="AG30" s="1056"/>
      <c r="AH30" s="1056"/>
      <c r="AI30" s="1056"/>
      <c r="AJ30" s="1056"/>
      <c r="AK30" s="1056"/>
      <c r="AL30" s="1056"/>
      <c r="AM30" s="1056"/>
      <c r="AN30" s="1056"/>
      <c r="AO30" s="1056"/>
      <c r="AP30" s="1056"/>
      <c r="AQ30" s="1056"/>
      <c r="AR30" s="1056"/>
      <c r="AS30" s="1056"/>
      <c r="AT30" s="1056"/>
      <c r="AU30" s="1056"/>
      <c r="AV30" s="1056"/>
      <c r="AW30" s="1056"/>
      <c r="AX30" s="1056"/>
      <c r="AY30" s="1056"/>
      <c r="AZ30" s="1060"/>
      <c r="BA30" s="1060"/>
      <c r="BB30" s="1060"/>
      <c r="BC30" s="1060"/>
      <c r="BD30" s="1060"/>
      <c r="BE30" s="1060"/>
      <c r="BF30" s="1060"/>
      <c r="BG30" s="1060"/>
      <c r="BH30" s="1060"/>
      <c r="BI30" s="1060"/>
    </row>
    <row r="31" spans="1:61" ht="84">
      <c r="A31" s="689" t="s">
        <v>248</v>
      </c>
      <c r="B31" s="1058" t="str">
        <f>Calc_time!B411</f>
        <v>OC</v>
      </c>
      <c r="C31" s="684" t="b">
        <v>1</v>
      </c>
      <c r="D31" s="684" t="b">
        <v>1</v>
      </c>
      <c r="E31" s="1059" t="str">
        <f>Calc_time!D411</f>
        <v>Cost to comply with global standardised PIDs</v>
      </c>
      <c r="F31" s="689" t="s">
        <v>585</v>
      </c>
      <c r="G31" s="689" t="s">
        <v>583</v>
      </c>
      <c r="H31" s="689" t="s">
        <v>586</v>
      </c>
      <c r="J31" s="1062"/>
      <c r="K31" s="1056"/>
      <c r="L31" s="1056"/>
      <c r="M31" s="1056"/>
      <c r="N31" s="1056"/>
      <c r="O31" s="1056"/>
      <c r="P31" s="1056"/>
      <c r="Q31" s="1056"/>
      <c r="R31" s="1056"/>
      <c r="S31" s="1056"/>
      <c r="T31" s="1056"/>
      <c r="U31" s="1056"/>
      <c r="V31" s="1056"/>
      <c r="W31" s="1056"/>
      <c r="X31" s="1056"/>
      <c r="Y31" s="1056"/>
      <c r="Z31" s="1056"/>
      <c r="AA31" s="1056"/>
      <c r="AB31" s="1056"/>
      <c r="AC31" s="1056"/>
      <c r="AD31" s="1056"/>
      <c r="AE31" s="1056"/>
      <c r="AF31" s="1056"/>
      <c r="AG31" s="1056"/>
      <c r="AH31" s="1056"/>
      <c r="AI31" s="1056"/>
      <c r="AJ31" s="1056"/>
      <c r="AK31" s="1056"/>
      <c r="AL31" s="1056"/>
      <c r="AM31" s="1056"/>
      <c r="AN31" s="1056"/>
      <c r="AO31" s="1056"/>
      <c r="AP31" s="1056"/>
      <c r="AQ31" s="1056"/>
      <c r="AR31" s="1056"/>
      <c r="AS31" s="1056"/>
      <c r="AT31" s="1056"/>
      <c r="AU31" s="1056"/>
      <c r="AV31" s="1056"/>
      <c r="AW31" s="1056"/>
      <c r="AX31" s="1056"/>
      <c r="AY31" s="1056"/>
      <c r="AZ31" s="1060"/>
      <c r="BA31" s="1060"/>
      <c r="BB31" s="1060"/>
      <c r="BC31" s="1060"/>
      <c r="BD31" s="1060"/>
      <c r="BE31" s="1060"/>
      <c r="BF31" s="1060"/>
      <c r="BG31" s="1060"/>
      <c r="BH31" s="1060"/>
      <c r="BI31" s="1060"/>
    </row>
    <row r="32" spans="1:61" ht="96">
      <c r="A32" s="689" t="s">
        <v>248</v>
      </c>
      <c r="B32" s="1058" t="str">
        <f>Calc_time!B423</f>
        <v>IC</v>
      </c>
      <c r="C32" s="684" t="b">
        <v>1</v>
      </c>
      <c r="D32" s="684" t="b">
        <v>1</v>
      </c>
      <c r="E32" s="1059" t="str">
        <f>Calc_time!D423</f>
        <v>Additional cost in time to move towards global standardised PIDs</v>
      </c>
      <c r="F32" s="34" t="s">
        <v>1130</v>
      </c>
      <c r="G32" s="689" t="s">
        <v>583</v>
      </c>
      <c r="H32" s="689" t="s">
        <v>587</v>
      </c>
      <c r="J32" s="1062"/>
      <c r="K32" s="1056"/>
      <c r="L32" s="1056"/>
      <c r="M32" s="1056"/>
      <c r="N32" s="1056"/>
      <c r="O32" s="1056"/>
      <c r="P32" s="1056"/>
      <c r="Q32" s="1056"/>
      <c r="R32" s="1056"/>
      <c r="S32" s="1056"/>
      <c r="T32" s="1056"/>
      <c r="U32" s="1056"/>
      <c r="V32" s="1056"/>
      <c r="W32" s="1056"/>
      <c r="X32" s="1056"/>
      <c r="Y32" s="1056"/>
      <c r="Z32" s="1056"/>
      <c r="AA32" s="1056"/>
      <c r="AB32" s="1056"/>
      <c r="AC32" s="1056"/>
      <c r="AD32" s="1056"/>
      <c r="AE32" s="1056"/>
      <c r="AF32" s="1056"/>
      <c r="AG32" s="1056"/>
      <c r="AH32" s="1056"/>
      <c r="AI32" s="1056"/>
      <c r="AJ32" s="1056"/>
      <c r="AK32" s="1056"/>
      <c r="AL32" s="1056"/>
      <c r="AM32" s="1056"/>
      <c r="AN32" s="1056"/>
      <c r="AO32" s="1056"/>
      <c r="AP32" s="1056"/>
      <c r="AQ32" s="1056"/>
      <c r="AR32" s="1056"/>
      <c r="AS32" s="1056"/>
      <c r="AT32" s="1056"/>
      <c r="AU32" s="1056"/>
      <c r="AV32" s="1056"/>
      <c r="AW32" s="1056"/>
      <c r="AX32" s="1056"/>
      <c r="AY32" s="1056"/>
      <c r="AZ32" s="1060"/>
      <c r="BA32" s="1060"/>
      <c r="BB32" s="1060"/>
      <c r="BC32" s="1060"/>
      <c r="BD32" s="1060"/>
      <c r="BE32" s="1060"/>
      <c r="BF32" s="1060"/>
      <c r="BG32" s="1060"/>
      <c r="BH32" s="1060"/>
      <c r="BI32" s="1060"/>
    </row>
    <row r="33" spans="1:61" ht="180">
      <c r="A33" s="689" t="s">
        <v>248</v>
      </c>
      <c r="B33" s="1058" t="str">
        <f>Calc_time!B448</f>
        <v>OC</v>
      </c>
      <c r="C33" s="684" t="b">
        <v>1</v>
      </c>
      <c r="D33" s="684" t="b">
        <v>1</v>
      </c>
      <c r="E33" s="1059" t="str">
        <f>Calc_time!D448</f>
        <v>Additional cost in time to move towards reproducible methods and results</v>
      </c>
      <c r="F33" s="34" t="s">
        <v>1133</v>
      </c>
      <c r="G33" s="689" t="s">
        <v>588</v>
      </c>
      <c r="H33" s="689" t="s">
        <v>589</v>
      </c>
      <c r="J33" s="1062"/>
      <c r="K33" s="1056"/>
      <c r="L33" s="1056"/>
      <c r="M33" s="1056"/>
      <c r="N33" s="1056"/>
      <c r="O33" s="1056"/>
      <c r="P33" s="1056"/>
      <c r="Q33" s="1056"/>
      <c r="R33" s="1056"/>
      <c r="S33" s="1056"/>
      <c r="T33" s="1056"/>
      <c r="U33" s="1056"/>
      <c r="V33" s="1056"/>
      <c r="W33" s="1056"/>
      <c r="X33" s="1056"/>
      <c r="Y33" s="1056"/>
      <c r="Z33" s="1056"/>
      <c r="AA33" s="1056"/>
      <c r="AB33" s="1056"/>
      <c r="AC33" s="1056"/>
      <c r="AD33" s="1056"/>
      <c r="AE33" s="1056"/>
      <c r="AF33" s="1056"/>
      <c r="AG33" s="1056"/>
      <c r="AH33" s="1056"/>
      <c r="AI33" s="1056"/>
      <c r="AJ33" s="1056"/>
      <c r="AK33" s="1056"/>
      <c r="AL33" s="1056"/>
      <c r="AM33" s="1056"/>
      <c r="AN33" s="1056"/>
      <c r="AO33" s="1056"/>
      <c r="AP33" s="1056"/>
      <c r="AQ33" s="1056"/>
      <c r="AR33" s="1056"/>
      <c r="AS33" s="1056"/>
      <c r="AT33" s="1056"/>
      <c r="AU33" s="1056"/>
      <c r="AV33" s="1056"/>
      <c r="AW33" s="1056"/>
      <c r="AX33" s="1056"/>
      <c r="AY33" s="1056"/>
      <c r="AZ33" s="1060"/>
      <c r="BA33" s="1060"/>
      <c r="BB33" s="1060"/>
      <c r="BC33" s="1060"/>
      <c r="BD33" s="1060"/>
      <c r="BE33" s="1060"/>
      <c r="BF33" s="1060"/>
      <c r="BG33" s="1060"/>
      <c r="BH33" s="1060"/>
      <c r="BI33" s="1060"/>
    </row>
    <row r="34" spans="1:61" ht="120">
      <c r="A34" s="689" t="s">
        <v>248</v>
      </c>
      <c r="B34" s="1058" t="str">
        <f>Calc_time!B483</f>
        <v>IC</v>
      </c>
      <c r="C34" s="684" t="b">
        <v>1</v>
      </c>
      <c r="D34" s="684" t="b">
        <v>1</v>
      </c>
      <c r="E34" s="1059" t="str">
        <f>Calc_time!D483</f>
        <v>Investment cost (Data Policies)</v>
      </c>
      <c r="F34" s="689" t="s">
        <v>590</v>
      </c>
      <c r="G34" s="689" t="s">
        <v>591</v>
      </c>
      <c r="H34" s="689" t="s">
        <v>592</v>
      </c>
      <c r="J34" s="1062"/>
      <c r="K34" s="1056"/>
      <c r="L34" s="1056"/>
      <c r="M34" s="1056"/>
      <c r="N34" s="1056"/>
      <c r="O34" s="1056"/>
      <c r="P34" s="1056"/>
      <c r="Q34" s="1056"/>
      <c r="R34" s="1056"/>
      <c r="S34" s="1056"/>
      <c r="T34" s="1056"/>
      <c r="U34" s="1056"/>
      <c r="V34" s="1056"/>
      <c r="W34" s="1056"/>
      <c r="X34" s="1056"/>
      <c r="Y34" s="1056"/>
      <c r="Z34" s="1056"/>
      <c r="AA34" s="1056"/>
      <c r="AB34" s="1056"/>
      <c r="AC34" s="1056"/>
      <c r="AD34" s="1056"/>
      <c r="AE34" s="1056"/>
      <c r="AF34" s="1056"/>
      <c r="AG34" s="1056"/>
      <c r="AH34" s="1056"/>
      <c r="AI34" s="1056"/>
      <c r="AJ34" s="1056"/>
      <c r="AK34" s="1056"/>
      <c r="AL34" s="1056"/>
      <c r="AM34" s="1056"/>
      <c r="AN34" s="1056"/>
      <c r="AO34" s="1056"/>
      <c r="AP34" s="1056"/>
      <c r="AQ34" s="1056"/>
      <c r="AR34" s="1056"/>
      <c r="AS34" s="1056"/>
      <c r="AT34" s="1056"/>
      <c r="AU34" s="1056"/>
      <c r="AV34" s="1056"/>
      <c r="AW34" s="1056"/>
      <c r="AX34" s="1056"/>
      <c r="AY34" s="1056"/>
      <c r="AZ34" s="1060"/>
      <c r="BA34" s="1060"/>
      <c r="BB34" s="1060"/>
      <c r="BC34" s="1060"/>
      <c r="BD34" s="1060"/>
      <c r="BE34" s="1060"/>
      <c r="BF34" s="1060"/>
      <c r="BG34" s="1060"/>
      <c r="BH34" s="1060"/>
      <c r="BI34" s="1060"/>
    </row>
    <row r="35" spans="1:61" ht="132">
      <c r="A35" s="689" t="s">
        <v>248</v>
      </c>
      <c r="B35" s="1058" t="str">
        <f>Calc_time!B485</f>
        <v>OC</v>
      </c>
      <c r="C35" s="684" t="b">
        <v>1</v>
      </c>
      <c r="D35" s="684" t="b">
        <v>1</v>
      </c>
      <c r="E35" s="1059" t="str">
        <f>Calc_time!D485</f>
        <v>Operational cost (Data Policies)</v>
      </c>
      <c r="F35" s="689" t="s">
        <v>593</v>
      </c>
      <c r="G35" s="689" t="s">
        <v>591</v>
      </c>
      <c r="H35" s="689" t="s">
        <v>594</v>
      </c>
      <c r="J35" s="1062"/>
      <c r="K35" s="1056"/>
      <c r="L35" s="1056"/>
      <c r="M35" s="1056"/>
      <c r="N35" s="1056"/>
      <c r="O35" s="1056"/>
      <c r="P35" s="1056"/>
      <c r="Q35" s="1056"/>
      <c r="R35" s="1056"/>
      <c r="S35" s="1056"/>
      <c r="T35" s="1056"/>
      <c r="U35" s="1056"/>
      <c r="V35" s="1056"/>
      <c r="W35" s="1056"/>
      <c r="X35" s="1056"/>
      <c r="Y35" s="1056"/>
      <c r="Z35" s="1056"/>
      <c r="AA35" s="1056"/>
      <c r="AB35" s="1056"/>
      <c r="AC35" s="1056"/>
      <c r="AD35" s="1056"/>
      <c r="AE35" s="1056"/>
      <c r="AF35" s="1056"/>
      <c r="AG35" s="1056"/>
      <c r="AH35" s="1056"/>
      <c r="AI35" s="1056"/>
      <c r="AJ35" s="1056"/>
      <c r="AK35" s="1056"/>
      <c r="AL35" s="1056"/>
      <c r="AM35" s="1056"/>
      <c r="AN35" s="1056"/>
      <c r="AO35" s="1056"/>
      <c r="AP35" s="1056"/>
      <c r="AQ35" s="1056"/>
      <c r="AR35" s="1056"/>
      <c r="AS35" s="1056"/>
      <c r="AT35" s="1056"/>
      <c r="AU35" s="1056"/>
      <c r="AV35" s="1056"/>
      <c r="AW35" s="1056"/>
      <c r="AX35" s="1056"/>
      <c r="AY35" s="1056"/>
      <c r="AZ35" s="1060"/>
      <c r="BA35" s="1060"/>
      <c r="BB35" s="1060"/>
      <c r="BC35" s="1060"/>
      <c r="BD35" s="1060"/>
      <c r="BE35" s="1060"/>
      <c r="BF35" s="1060"/>
      <c r="BG35" s="1060"/>
      <c r="BH35" s="1060"/>
      <c r="BI35" s="1060"/>
    </row>
    <row r="36" spans="1:61" ht="180">
      <c r="A36" s="689" t="s">
        <v>253</v>
      </c>
      <c r="B36" s="1058" t="str">
        <f>Calc_time!B500</f>
        <v>B</v>
      </c>
      <c r="C36" s="684" t="b">
        <v>1</v>
      </c>
      <c r="D36" s="684" t="b">
        <v>1</v>
      </c>
      <c r="E36" s="1059" t="str">
        <f>Calc_time!D500</f>
        <v>Time saved due to changing types, formats and quality of datasets</v>
      </c>
      <c r="F36" s="689" t="s">
        <v>595</v>
      </c>
      <c r="G36" s="689" t="s">
        <v>596</v>
      </c>
      <c r="H36" s="689" t="s">
        <v>597</v>
      </c>
      <c r="J36" s="1062"/>
      <c r="K36" s="1056"/>
      <c r="L36" s="1056"/>
      <c r="M36" s="1056"/>
      <c r="N36" s="1056"/>
      <c r="O36" s="1056"/>
      <c r="P36" s="1056"/>
      <c r="Q36" s="1056"/>
      <c r="R36" s="1056"/>
      <c r="S36" s="1056"/>
      <c r="T36" s="1056"/>
      <c r="U36" s="1056"/>
      <c r="V36" s="1056"/>
      <c r="W36" s="1056"/>
      <c r="X36" s="1056"/>
      <c r="Y36" s="1056"/>
      <c r="Z36" s="1056"/>
      <c r="AA36" s="1056"/>
      <c r="AB36" s="1056"/>
      <c r="AC36" s="1056"/>
      <c r="AD36" s="1056"/>
      <c r="AE36" s="1056"/>
      <c r="AF36" s="1056"/>
      <c r="AG36" s="1056"/>
      <c r="AH36" s="1056"/>
      <c r="AI36" s="1056"/>
      <c r="AJ36" s="1056"/>
      <c r="AK36" s="1056"/>
      <c r="AL36" s="1056"/>
      <c r="AM36" s="1056"/>
      <c r="AN36" s="1056"/>
      <c r="AO36" s="1056"/>
      <c r="AP36" s="1056"/>
      <c r="AQ36" s="1056"/>
      <c r="AR36" s="1056"/>
      <c r="AS36" s="1056"/>
      <c r="AT36" s="1056"/>
      <c r="AU36" s="1056"/>
      <c r="AV36" s="1056"/>
      <c r="AW36" s="1056"/>
      <c r="AX36" s="1056"/>
      <c r="AY36" s="1056"/>
      <c r="AZ36" s="1060"/>
      <c r="BA36" s="1060"/>
      <c r="BB36" s="1060"/>
      <c r="BC36" s="1060"/>
      <c r="BD36" s="1060"/>
      <c r="BE36" s="1060"/>
      <c r="BF36" s="1060"/>
      <c r="BG36" s="1060"/>
      <c r="BH36" s="1060"/>
      <c r="BI36" s="1060"/>
    </row>
    <row r="37" spans="1:61" ht="132">
      <c r="A37" s="689" t="s">
        <v>253</v>
      </c>
      <c r="B37" s="1058" t="str">
        <f>Calc_time!B502</f>
        <v>B</v>
      </c>
      <c r="C37" s="684" t="b">
        <v>1</v>
      </c>
      <c r="D37" s="684" t="b">
        <v>1</v>
      </c>
      <c r="E37" s="1059" t="str">
        <f>Calc_time!D502</f>
        <v>Time saved thanks to the decreasing amount of unresolvable data quality issues</v>
      </c>
      <c r="F37" s="689" t="s">
        <v>598</v>
      </c>
      <c r="G37" s="689" t="s">
        <v>599</v>
      </c>
      <c r="H37" s="689" t="s">
        <v>600</v>
      </c>
      <c r="J37" s="1062"/>
      <c r="K37" s="1056"/>
      <c r="L37" s="1056"/>
      <c r="M37" s="1056"/>
      <c r="N37" s="1056"/>
      <c r="O37" s="1056"/>
      <c r="P37" s="1056"/>
      <c r="Q37" s="1056"/>
      <c r="R37" s="1056"/>
      <c r="S37" s="1056"/>
      <c r="T37" s="1056"/>
      <c r="U37" s="1056"/>
      <c r="V37" s="1056"/>
      <c r="W37" s="1056"/>
      <c r="X37" s="1056"/>
      <c r="Y37" s="1056"/>
      <c r="Z37" s="1056"/>
      <c r="AA37" s="1056"/>
      <c r="AB37" s="1056"/>
      <c r="AC37" s="1056"/>
      <c r="AD37" s="1056"/>
      <c r="AE37" s="1056"/>
      <c r="AF37" s="1056"/>
      <c r="AG37" s="1056"/>
      <c r="AH37" s="1056"/>
      <c r="AI37" s="1056"/>
      <c r="AJ37" s="1056"/>
      <c r="AK37" s="1056"/>
      <c r="AL37" s="1056"/>
      <c r="AM37" s="1056"/>
      <c r="AN37" s="1056"/>
      <c r="AO37" s="1056"/>
      <c r="AP37" s="1056"/>
      <c r="AQ37" s="1056"/>
      <c r="AR37" s="1056"/>
      <c r="AS37" s="1056"/>
      <c r="AT37" s="1056"/>
      <c r="AU37" s="1056"/>
      <c r="AV37" s="1056"/>
      <c r="AW37" s="1056"/>
      <c r="AX37" s="1056"/>
      <c r="AY37" s="1056"/>
      <c r="AZ37" s="1060"/>
      <c r="BA37" s="1060"/>
      <c r="BB37" s="1060"/>
      <c r="BC37" s="1060"/>
      <c r="BD37" s="1060"/>
      <c r="BE37" s="1060"/>
      <c r="BF37" s="1060"/>
      <c r="BG37" s="1060"/>
      <c r="BH37" s="1060"/>
      <c r="BI37" s="1060"/>
    </row>
    <row r="38" spans="1:61" ht="36">
      <c r="A38" s="689" t="s">
        <v>253</v>
      </c>
      <c r="B38" s="1058" t="str">
        <f>Calc_time!B547</f>
        <v>B</v>
      </c>
      <c r="C38" s="684" t="b">
        <v>1</v>
      </c>
      <c r="D38" s="684" t="b">
        <v>1</v>
      </c>
      <c r="E38" s="1059" t="str">
        <f>Calc_time!D547</f>
        <v>Total time saved on integrating data</v>
      </c>
      <c r="F38" s="1157" t="str">
        <f>"cfr. "&amp;E36&amp;"
 &amp; 
"&amp;E37</f>
        <v>cfr. Time saved due to changing types, formats and quality of datasets
 &amp; 
Time saved thanks to the decreasing amount of unresolvable data quality issues</v>
      </c>
      <c r="G38" s="1132"/>
      <c r="H38" s="689" t="str">
        <f>"Sum of:
- "&amp;E36&amp;"
- "&amp;E37</f>
        <v>Sum of:
- Time saved due to changing types, formats and quality of datasets
- Time saved thanks to the decreasing amount of unresolvable data quality issues</v>
      </c>
      <c r="J38" s="1062"/>
      <c r="K38" s="1056"/>
      <c r="L38" s="1056"/>
      <c r="M38" s="1056"/>
      <c r="N38" s="1056"/>
      <c r="O38" s="1056"/>
      <c r="P38" s="1056"/>
      <c r="Q38" s="1056"/>
      <c r="R38" s="1056"/>
      <c r="S38" s="1056"/>
      <c r="T38" s="1056"/>
      <c r="U38" s="1056"/>
      <c r="V38" s="1056"/>
      <c r="W38" s="1056"/>
      <c r="X38" s="1056"/>
      <c r="Y38" s="1056"/>
      <c r="Z38" s="1056"/>
      <c r="AA38" s="1056"/>
      <c r="AB38" s="1056"/>
      <c r="AC38" s="1056"/>
      <c r="AD38" s="1056"/>
      <c r="AE38" s="1056"/>
      <c r="AF38" s="1056"/>
      <c r="AG38" s="1056"/>
      <c r="AH38" s="1056"/>
      <c r="AI38" s="1056"/>
      <c r="AJ38" s="1056"/>
      <c r="AK38" s="1056"/>
      <c r="AL38" s="1056"/>
      <c r="AM38" s="1056"/>
      <c r="AN38" s="1056"/>
      <c r="AO38" s="1056"/>
      <c r="AP38" s="1056"/>
      <c r="AQ38" s="1056"/>
      <c r="AR38" s="1056"/>
      <c r="AS38" s="1056"/>
      <c r="AT38" s="1056"/>
      <c r="AU38" s="1056"/>
      <c r="AV38" s="1056"/>
      <c r="AW38" s="1056"/>
      <c r="AX38" s="1056"/>
      <c r="AY38" s="1056"/>
      <c r="AZ38" s="1060"/>
      <c r="BA38" s="1060"/>
      <c r="BB38" s="1060"/>
      <c r="BC38" s="1060"/>
      <c r="BD38" s="1060"/>
      <c r="BE38" s="1060"/>
      <c r="BF38" s="1060"/>
      <c r="BG38" s="1060"/>
      <c r="BH38" s="1060"/>
      <c r="BI38" s="1060"/>
    </row>
    <row r="39" spans="1:61" ht="96">
      <c r="A39" s="689" t="s">
        <v>255</v>
      </c>
      <c r="B39" s="1058" t="str">
        <f>Calc_time!B577</f>
        <v>OC</v>
      </c>
      <c r="C39" s="684" t="b">
        <v>1</v>
      </c>
      <c r="D39" s="684" t="b">
        <v>0</v>
      </c>
      <c r="E39" s="1059" t="str">
        <f>Calc_time!D577</f>
        <v>Time spent documenting steps of the analysis process</v>
      </c>
      <c r="F39" s="689" t="s">
        <v>601</v>
      </c>
      <c r="G39" s="689" t="s">
        <v>602</v>
      </c>
      <c r="H39" s="689" t="s">
        <v>603</v>
      </c>
      <c r="J39" s="1062"/>
      <c r="K39" s="1056"/>
      <c r="L39" s="1056"/>
      <c r="M39" s="1056"/>
      <c r="N39" s="1056"/>
      <c r="O39" s="1056"/>
      <c r="P39" s="1056"/>
      <c r="Q39" s="1056"/>
      <c r="R39" s="1056"/>
      <c r="S39" s="1056"/>
      <c r="T39" s="1056"/>
      <c r="U39" s="1056"/>
      <c r="V39" s="1056"/>
      <c r="W39" s="1056"/>
      <c r="X39" s="1056"/>
      <c r="Y39" s="1056"/>
      <c r="Z39" s="1056"/>
      <c r="AA39" s="1056"/>
      <c r="AB39" s="1056"/>
      <c r="AC39" s="1056"/>
      <c r="AD39" s="1056"/>
      <c r="AE39" s="1056"/>
      <c r="AF39" s="1056"/>
      <c r="AG39" s="1056"/>
      <c r="AH39" s="1056"/>
      <c r="AI39" s="1056"/>
      <c r="AJ39" s="1056"/>
      <c r="AK39" s="1056"/>
      <c r="AL39" s="1056"/>
      <c r="AM39" s="1056"/>
      <c r="AN39" s="1056"/>
      <c r="AO39" s="1056"/>
      <c r="AP39" s="1056"/>
      <c r="AQ39" s="1056"/>
      <c r="AR39" s="1056"/>
      <c r="AS39" s="1056"/>
      <c r="AT39" s="1056"/>
      <c r="AU39" s="1056"/>
      <c r="AV39" s="1056"/>
      <c r="AW39" s="1056"/>
      <c r="AX39" s="1056"/>
      <c r="AY39" s="1056"/>
      <c r="AZ39" s="1060"/>
      <c r="BA39" s="1060"/>
      <c r="BB39" s="1060"/>
      <c r="BC39" s="1060"/>
      <c r="BD39" s="1060"/>
      <c r="BE39" s="1060"/>
      <c r="BF39" s="1060"/>
      <c r="BG39" s="1060"/>
      <c r="BH39" s="1060"/>
      <c r="BI39" s="1060"/>
    </row>
    <row r="40" spans="1:61" ht="97.5">
      <c r="A40" s="689" t="s">
        <v>262</v>
      </c>
      <c r="B40" s="1058" t="str">
        <f>Calc_time!B651</f>
        <v>B</v>
      </c>
      <c r="C40" s="684" t="b">
        <v>1</v>
      </c>
      <c r="D40" s="684" t="b">
        <v>0</v>
      </c>
      <c r="E40" s="1059" t="str">
        <f>Calc_time!D651</f>
        <v>Time benefit for using standardised licences</v>
      </c>
      <c r="F40" s="689" t="s">
        <v>604</v>
      </c>
      <c r="G40" s="689" t="s">
        <v>1116</v>
      </c>
      <c r="H40" s="689" t="s">
        <v>605</v>
      </c>
      <c r="J40" s="1062"/>
      <c r="K40" s="1056"/>
      <c r="L40" s="1056"/>
      <c r="M40" s="1056"/>
      <c r="N40" s="1056"/>
      <c r="O40" s="1056"/>
      <c r="P40" s="1056"/>
      <c r="Q40" s="1056"/>
      <c r="R40" s="1056"/>
      <c r="S40" s="1056"/>
      <c r="T40" s="1056"/>
      <c r="U40" s="1056"/>
      <c r="V40" s="1056"/>
      <c r="W40" s="1056"/>
      <c r="X40" s="1056"/>
      <c r="Y40" s="1056"/>
      <c r="Z40" s="1056"/>
      <c r="AA40" s="1056"/>
      <c r="AB40" s="1056"/>
      <c r="AC40" s="1056"/>
      <c r="AD40" s="1056"/>
      <c r="AE40" s="1056"/>
      <c r="AF40" s="1056"/>
      <c r="AG40" s="1056"/>
      <c r="AH40" s="1056"/>
      <c r="AI40" s="1056"/>
      <c r="AJ40" s="1056"/>
      <c r="AK40" s="1056"/>
      <c r="AL40" s="1056"/>
      <c r="AM40" s="1056"/>
      <c r="AN40" s="1056"/>
      <c r="AO40" s="1056"/>
      <c r="AP40" s="1056"/>
      <c r="AQ40" s="1056"/>
      <c r="AR40" s="1056"/>
      <c r="AS40" s="1056"/>
      <c r="AT40" s="1056"/>
      <c r="AU40" s="1056"/>
      <c r="AV40" s="1056"/>
      <c r="AW40" s="1056"/>
      <c r="AX40" s="1056"/>
      <c r="AY40" s="1056"/>
      <c r="AZ40" s="1060"/>
      <c r="BA40" s="1060"/>
      <c r="BB40" s="1060"/>
      <c r="BC40" s="1060"/>
      <c r="BD40" s="1060"/>
      <c r="BE40" s="1060"/>
      <c r="BF40" s="1060"/>
      <c r="BG40" s="1060"/>
      <c r="BH40" s="1060"/>
      <c r="BI40" s="1060"/>
    </row>
    <row r="41" spans="1:61" ht="84">
      <c r="A41" s="689" t="s">
        <v>262</v>
      </c>
      <c r="B41" s="1058" t="s">
        <v>606</v>
      </c>
      <c r="C41" s="684" t="b">
        <v>1</v>
      </c>
      <c r="D41" s="684"/>
      <c r="E41" s="1059" t="str">
        <f>Calc_time!V619</f>
        <v>Publishing costs saved thanks to open access</v>
      </c>
      <c r="F41" s="689" t="s">
        <v>607</v>
      </c>
      <c r="G41" s="689" t="s">
        <v>608</v>
      </c>
      <c r="H41" s="689" t="s">
        <v>609</v>
      </c>
      <c r="J41" s="1062"/>
      <c r="K41" s="1056"/>
      <c r="L41" s="1056"/>
      <c r="M41" s="1056"/>
      <c r="N41" s="1056"/>
      <c r="O41" s="1056"/>
      <c r="P41" s="1056"/>
      <c r="Q41" s="1056"/>
      <c r="R41" s="1056"/>
      <c r="S41" s="1056"/>
      <c r="T41" s="1056"/>
      <c r="U41" s="1056"/>
      <c r="V41" s="1056"/>
      <c r="W41" s="1056"/>
      <c r="X41" s="1056"/>
      <c r="Y41" s="1056"/>
      <c r="Z41" s="1056"/>
      <c r="AA41" s="1056"/>
      <c r="AB41" s="1056"/>
      <c r="AC41" s="1056"/>
      <c r="AD41" s="1056"/>
      <c r="AE41" s="1056"/>
      <c r="AF41" s="1056"/>
      <c r="AG41" s="1056"/>
      <c r="AH41" s="1056"/>
      <c r="AI41" s="1056"/>
      <c r="AJ41" s="1056"/>
      <c r="AK41" s="1056"/>
      <c r="AL41" s="1056"/>
      <c r="AM41" s="1056"/>
      <c r="AN41" s="1056"/>
      <c r="AO41" s="1056"/>
      <c r="AP41" s="1056"/>
      <c r="AQ41" s="1056"/>
      <c r="AR41" s="1056"/>
      <c r="AS41" s="1056"/>
      <c r="AT41" s="1056"/>
      <c r="AU41" s="1056"/>
      <c r="AV41" s="1056"/>
      <c r="AW41" s="1056"/>
      <c r="AX41" s="1056"/>
      <c r="AY41" s="1056"/>
      <c r="AZ41" s="1060"/>
      <c r="BA41" s="1060"/>
      <c r="BB41" s="1060"/>
      <c r="BC41" s="1060"/>
      <c r="BD41" s="1060"/>
      <c r="BE41" s="1060"/>
      <c r="BF41" s="1060"/>
      <c r="BG41" s="1060"/>
      <c r="BH41" s="1060"/>
      <c r="BI41" s="1060"/>
    </row>
    <row r="42" spans="1:61" ht="72">
      <c r="A42" s="689" t="s">
        <v>265</v>
      </c>
      <c r="B42" s="1058" t="s">
        <v>606</v>
      </c>
      <c r="C42" s="684" t="b">
        <v>1</v>
      </c>
      <c r="D42" s="684"/>
      <c r="E42" s="1059" t="str">
        <f>Calc_time!V688</f>
        <v>Time saved thanks to the reduced amount of peer reviews required</v>
      </c>
      <c r="F42" s="1157" t="s">
        <v>610</v>
      </c>
      <c r="G42" s="1132"/>
      <c r="H42" s="689" t="s">
        <v>611</v>
      </c>
      <c r="J42" s="1062"/>
      <c r="K42" s="1056"/>
      <c r="L42" s="1056"/>
      <c r="M42" s="1056"/>
      <c r="N42" s="1056"/>
      <c r="O42" s="1056"/>
      <c r="P42" s="1056"/>
      <c r="Q42" s="1056"/>
      <c r="R42" s="1056"/>
      <c r="S42" s="1056"/>
      <c r="T42" s="1056"/>
      <c r="U42" s="1056"/>
      <c r="V42" s="1056"/>
      <c r="W42" s="1056"/>
      <c r="X42" s="1056"/>
      <c r="Y42" s="1056"/>
      <c r="Z42" s="1056"/>
      <c r="AA42" s="1056"/>
      <c r="AB42" s="1056"/>
      <c r="AC42" s="1056"/>
      <c r="AD42" s="1056"/>
      <c r="AE42" s="1056"/>
      <c r="AF42" s="1056"/>
      <c r="AG42" s="1056"/>
      <c r="AH42" s="1056"/>
      <c r="AI42" s="1056"/>
      <c r="AJ42" s="1056"/>
      <c r="AK42" s="1056"/>
      <c r="AL42" s="1056"/>
      <c r="AM42" s="1056"/>
      <c r="AN42" s="1056"/>
      <c r="AO42" s="1056"/>
      <c r="AP42" s="1056"/>
      <c r="AQ42" s="1056"/>
      <c r="AR42" s="1056"/>
      <c r="AS42" s="1056"/>
      <c r="AT42" s="1056"/>
      <c r="AU42" s="1056"/>
      <c r="AV42" s="1056"/>
      <c r="AW42" s="1056"/>
      <c r="AX42" s="1056"/>
      <c r="AY42" s="1056"/>
      <c r="AZ42" s="1060"/>
      <c r="BA42" s="1060"/>
      <c r="BB42" s="1060"/>
      <c r="BC42" s="1060"/>
      <c r="BD42" s="1060"/>
      <c r="BE42" s="1060"/>
      <c r="BF42" s="1060"/>
      <c r="BG42" s="1060"/>
      <c r="BH42" s="1060"/>
      <c r="BI42" s="1060"/>
    </row>
    <row r="43" spans="1:61" ht="40.5" customHeight="1">
      <c r="A43" s="689" t="s">
        <v>265</v>
      </c>
      <c r="B43" s="1058" t="s">
        <v>606</v>
      </c>
      <c r="C43" s="684" t="b">
        <v>1</v>
      </c>
      <c r="D43" s="684"/>
      <c r="E43" s="1059" t="str">
        <f>Calc_time!V699</f>
        <v>Time saved on peer reviews thanks to the compliance with the FAIR principles</v>
      </c>
      <c r="F43" s="1157" t="s">
        <v>612</v>
      </c>
      <c r="G43" s="1132"/>
      <c r="H43" s="689" t="s">
        <v>613</v>
      </c>
      <c r="J43" s="1062"/>
      <c r="K43" s="1056"/>
      <c r="L43" s="1056"/>
      <c r="M43" s="1056"/>
      <c r="N43" s="1056"/>
      <c r="O43" s="1056"/>
      <c r="P43" s="1056"/>
      <c r="Q43" s="1056"/>
      <c r="R43" s="1056"/>
      <c r="S43" s="1056"/>
      <c r="T43" s="1056"/>
      <c r="U43" s="1056"/>
      <c r="V43" s="1056"/>
      <c r="W43" s="1056"/>
      <c r="X43" s="1056"/>
      <c r="Y43" s="1056"/>
      <c r="Z43" s="1056"/>
      <c r="AA43" s="1056"/>
      <c r="AB43" s="1056"/>
      <c r="AC43" s="1056"/>
      <c r="AD43" s="1056"/>
      <c r="AE43" s="1056"/>
      <c r="AF43" s="1056"/>
      <c r="AG43" s="1056"/>
      <c r="AH43" s="1056"/>
      <c r="AI43" s="1056"/>
      <c r="AJ43" s="1056"/>
      <c r="AK43" s="1056"/>
      <c r="AL43" s="1056"/>
      <c r="AM43" s="1056"/>
      <c r="AN43" s="1056"/>
      <c r="AO43" s="1056"/>
      <c r="AP43" s="1056"/>
      <c r="AQ43" s="1056"/>
      <c r="AR43" s="1056"/>
      <c r="AS43" s="1056"/>
      <c r="AT43" s="1056"/>
      <c r="AU43" s="1056"/>
      <c r="AV43" s="1056"/>
      <c r="AW43" s="1056"/>
      <c r="AX43" s="1056"/>
      <c r="AY43" s="1056"/>
      <c r="AZ43" s="1060"/>
      <c r="BA43" s="1060"/>
      <c r="BB43" s="1060"/>
      <c r="BC43" s="1060"/>
      <c r="BD43" s="1060"/>
      <c r="BE43" s="1060"/>
      <c r="BF43" s="1060"/>
      <c r="BG43" s="1060"/>
      <c r="BH43" s="1060"/>
      <c r="BI43" s="1060"/>
    </row>
    <row r="44" spans="1:61" ht="45" customHeight="1">
      <c r="A44" s="689" t="s">
        <v>265</v>
      </c>
      <c r="B44" s="1058" t="str">
        <f>Calc_time!B682</f>
        <v>B</v>
      </c>
      <c r="C44" s="684" t="b">
        <v>1</v>
      </c>
      <c r="D44" s="684" t="b">
        <v>0</v>
      </c>
      <c r="E44" s="1059" t="str">
        <f>Calc_time!D682</f>
        <v>Total time saved for peer reviews thanks to the FAIR principles</v>
      </c>
      <c r="F44" s="1157" t="str">
        <f>"cfr. "&amp;E44&amp;"
 &amp; 
"&amp;E43</f>
        <v>cfr. Total time saved for peer reviews thanks to the FAIR principles
 &amp; 
Time saved on peer reviews thanks to the compliance with the FAIR principles</v>
      </c>
      <c r="G44" s="1132"/>
      <c r="H44" s="689" t="str">
        <f>"Sum of:
- "&amp;E42&amp;"
- "&amp;E43</f>
        <v>Sum of:
- Time saved thanks to the reduced amount of peer reviews required
- Time saved on peer reviews thanks to the compliance with the FAIR principles</v>
      </c>
      <c r="J44" s="1062"/>
      <c r="K44" s="1056"/>
      <c r="L44" s="1056"/>
      <c r="M44" s="1056"/>
      <c r="N44" s="1056"/>
      <c r="O44" s="1056"/>
      <c r="P44" s="1056"/>
      <c r="Q44" s="1056"/>
      <c r="R44" s="1056"/>
      <c r="S44" s="1056"/>
      <c r="T44" s="1056"/>
      <c r="U44" s="1056"/>
      <c r="V44" s="1056"/>
      <c r="W44" s="1056"/>
      <c r="X44" s="1056"/>
      <c r="Y44" s="1056"/>
      <c r="Z44" s="1056"/>
      <c r="AA44" s="1056"/>
      <c r="AB44" s="1056"/>
      <c r="AC44" s="1056"/>
      <c r="AD44" s="1056"/>
      <c r="AE44" s="1056"/>
      <c r="AF44" s="1056"/>
      <c r="AG44" s="1056"/>
      <c r="AH44" s="1056"/>
      <c r="AI44" s="1056"/>
      <c r="AJ44" s="1056"/>
      <c r="AK44" s="1056"/>
      <c r="AL44" s="1056"/>
      <c r="AM44" s="1056"/>
      <c r="AN44" s="1056"/>
      <c r="AO44" s="1056"/>
      <c r="AP44" s="1056"/>
      <c r="AQ44" s="1056"/>
      <c r="AR44" s="1056"/>
      <c r="AS44" s="1056"/>
      <c r="AT44" s="1056"/>
      <c r="AU44" s="1056"/>
      <c r="AV44" s="1056"/>
      <c r="AW44" s="1056"/>
      <c r="AX44" s="1056"/>
      <c r="AY44" s="1056"/>
      <c r="AZ44" s="1060"/>
      <c r="BA44" s="1060"/>
      <c r="BB44" s="1060"/>
      <c r="BC44" s="1060"/>
      <c r="BD44" s="1060"/>
      <c r="BE44" s="1060"/>
      <c r="BF44" s="1060"/>
      <c r="BG44" s="1060"/>
      <c r="BH44" s="1060"/>
      <c r="BI44" s="1060"/>
    </row>
    <row r="45" spans="1:61" ht="48">
      <c r="A45" s="689" t="s">
        <v>466</v>
      </c>
      <c r="B45" s="1058" t="str">
        <f>Calc_time!B723</f>
        <v>IC</v>
      </c>
      <c r="C45" s="684" t="b">
        <v>1</v>
      </c>
      <c r="D45" s="684" t="b">
        <v>1</v>
      </c>
      <c r="E45" s="1059" t="str">
        <f>Calc_time!D723</f>
        <v>Project Management costs</v>
      </c>
      <c r="F45" s="1157" t="s">
        <v>614</v>
      </c>
      <c r="G45" s="1132"/>
      <c r="H45" s="689" t="s">
        <v>615</v>
      </c>
      <c r="J45" s="1062"/>
      <c r="K45" s="1056"/>
      <c r="L45" s="1056"/>
      <c r="M45" s="1056"/>
      <c r="N45" s="1056"/>
      <c r="O45" s="1056"/>
      <c r="P45" s="1056"/>
      <c r="Q45" s="1056"/>
      <c r="R45" s="1056"/>
      <c r="S45" s="1056"/>
      <c r="T45" s="1056"/>
      <c r="U45" s="1056"/>
      <c r="V45" s="1056"/>
      <c r="W45" s="1056"/>
      <c r="X45" s="1056"/>
      <c r="Y45" s="1056"/>
      <c r="Z45" s="1056"/>
      <c r="AA45" s="1056"/>
      <c r="AB45" s="1056"/>
      <c r="AC45" s="1056"/>
      <c r="AD45" s="1056"/>
      <c r="AE45" s="1056"/>
      <c r="AF45" s="1056"/>
      <c r="AG45" s="1056"/>
      <c r="AH45" s="1056"/>
      <c r="AI45" s="1056"/>
      <c r="AJ45" s="1056"/>
      <c r="AK45" s="1056"/>
      <c r="AL45" s="1056"/>
      <c r="AM45" s="1056"/>
      <c r="AN45" s="1056"/>
      <c r="AO45" s="1056"/>
      <c r="AP45" s="1056"/>
      <c r="AQ45" s="1056"/>
      <c r="AR45" s="1056"/>
      <c r="AS45" s="1056"/>
      <c r="AT45" s="1056"/>
      <c r="AU45" s="1056"/>
      <c r="AV45" s="1056"/>
      <c r="AW45" s="1056"/>
      <c r="AX45" s="1056"/>
      <c r="AY45" s="1056"/>
      <c r="AZ45" s="1060"/>
      <c r="BA45" s="1060"/>
      <c r="BB45" s="1060"/>
      <c r="BC45" s="1060"/>
      <c r="BD45" s="1060"/>
      <c r="BE45" s="1060"/>
      <c r="BF45" s="1060"/>
      <c r="BG45" s="1060"/>
      <c r="BH45" s="1060"/>
      <c r="BI45" s="1060"/>
    </row>
    <row r="46" spans="1:61" ht="60.75" customHeight="1">
      <c r="A46" s="689" t="s">
        <v>555</v>
      </c>
      <c r="B46" s="1058" t="str">
        <f>Calc_time!B725</f>
        <v>OC</v>
      </c>
      <c r="C46" s="684" t="b">
        <v>1</v>
      </c>
      <c r="D46" s="684" t="b">
        <v>1</v>
      </c>
      <c r="E46" s="1059" t="str">
        <f>Calc_time!D725</f>
        <v>Data stewardship costs</v>
      </c>
      <c r="F46" s="1157" t="s">
        <v>616</v>
      </c>
      <c r="G46" s="1132"/>
      <c r="H46" s="689" t="s">
        <v>617</v>
      </c>
      <c r="J46" s="1062"/>
      <c r="K46" s="1056"/>
      <c r="L46" s="1056"/>
      <c r="M46" s="1056"/>
      <c r="N46" s="1056"/>
      <c r="O46" s="1056"/>
      <c r="P46" s="1056"/>
      <c r="Q46" s="1056"/>
      <c r="R46" s="1056"/>
      <c r="S46" s="1056"/>
      <c r="T46" s="1056"/>
      <c r="U46" s="1056"/>
      <c r="V46" s="1056"/>
      <c r="W46" s="1056"/>
      <c r="X46" s="1056"/>
      <c r="Y46" s="1056"/>
      <c r="Z46" s="1056"/>
      <c r="AA46" s="1056"/>
      <c r="AB46" s="1056"/>
      <c r="AC46" s="1056"/>
      <c r="AD46" s="1056"/>
      <c r="AE46" s="1056"/>
      <c r="AF46" s="1056"/>
      <c r="AG46" s="1056"/>
      <c r="AH46" s="1056"/>
      <c r="AI46" s="1056"/>
      <c r="AJ46" s="1056"/>
      <c r="AK46" s="1056"/>
      <c r="AL46" s="1056"/>
      <c r="AM46" s="1056"/>
      <c r="AN46" s="1056"/>
      <c r="AO46" s="1056"/>
      <c r="AP46" s="1056"/>
      <c r="AQ46" s="1056"/>
      <c r="AR46" s="1056"/>
      <c r="AS46" s="1056"/>
      <c r="AT46" s="1056"/>
      <c r="AU46" s="1056"/>
      <c r="AV46" s="1056"/>
      <c r="AW46" s="1056"/>
      <c r="AX46" s="1056"/>
      <c r="AY46" s="1056"/>
      <c r="AZ46" s="1060"/>
      <c r="BA46" s="1060"/>
      <c r="BB46" s="1060"/>
      <c r="BC46" s="1060"/>
      <c r="BD46" s="1060"/>
      <c r="BE46" s="1060"/>
      <c r="BF46" s="1060"/>
      <c r="BG46" s="1060"/>
      <c r="BH46" s="1060"/>
      <c r="BI46" s="1060"/>
    </row>
    <row r="47" spans="1:61" ht="108">
      <c r="A47" s="689" t="s">
        <v>554</v>
      </c>
      <c r="B47" s="1058" t="str">
        <f>Calc_time!B727</f>
        <v>OC</v>
      </c>
      <c r="C47" s="684" t="b">
        <v>1</v>
      </c>
      <c r="D47" s="684" t="b">
        <v>1</v>
      </c>
      <c r="E47" s="1059" t="str">
        <f>Calc_time!D727</f>
        <v>Marketing and raising awareness costs</v>
      </c>
      <c r="F47" s="689" t="s">
        <v>618</v>
      </c>
      <c r="G47" s="689" t="s">
        <v>619</v>
      </c>
      <c r="H47" s="689" t="s">
        <v>620</v>
      </c>
      <c r="J47" s="1062"/>
      <c r="K47" s="1056"/>
      <c r="L47" s="1056"/>
      <c r="M47" s="1056"/>
      <c r="N47" s="1056"/>
      <c r="O47" s="1056"/>
      <c r="P47" s="1056"/>
      <c r="Q47" s="1056"/>
      <c r="R47" s="1056"/>
      <c r="S47" s="1056"/>
      <c r="T47" s="1056"/>
      <c r="U47" s="1056"/>
      <c r="V47" s="1056"/>
      <c r="W47" s="1056"/>
      <c r="X47" s="1056"/>
      <c r="Y47" s="1056"/>
      <c r="Z47" s="1056"/>
      <c r="AA47" s="1056"/>
      <c r="AB47" s="1056"/>
      <c r="AC47" s="1056"/>
      <c r="AD47" s="1056"/>
      <c r="AE47" s="1056"/>
      <c r="AF47" s="1056"/>
      <c r="AG47" s="1056"/>
      <c r="AH47" s="1056"/>
      <c r="AI47" s="1056"/>
      <c r="AJ47" s="1056"/>
      <c r="AK47" s="1056"/>
      <c r="AL47" s="1056"/>
      <c r="AM47" s="1056"/>
      <c r="AN47" s="1056"/>
      <c r="AO47" s="1056"/>
      <c r="AP47" s="1056"/>
      <c r="AQ47" s="1056"/>
      <c r="AR47" s="1056"/>
      <c r="AS47" s="1056"/>
      <c r="AT47" s="1056"/>
      <c r="AU47" s="1056"/>
      <c r="AV47" s="1056"/>
      <c r="AW47" s="1056"/>
      <c r="AX47" s="1056"/>
      <c r="AY47" s="1056"/>
      <c r="AZ47" s="1060"/>
      <c r="BA47" s="1060"/>
      <c r="BB47" s="1060"/>
      <c r="BC47" s="1060"/>
      <c r="BD47" s="1060"/>
      <c r="BE47" s="1060"/>
      <c r="BF47" s="1060"/>
      <c r="BG47" s="1060"/>
      <c r="BH47" s="1060"/>
      <c r="BI47" s="1060"/>
    </row>
    <row r="48" spans="1:61" ht="72">
      <c r="A48" s="689" t="s">
        <v>495</v>
      </c>
      <c r="B48" s="1058" t="str">
        <f>Calc_time!B734</f>
        <v>OC</v>
      </c>
      <c r="C48" s="684" t="b">
        <v>1</v>
      </c>
      <c r="D48" s="684" t="b">
        <v>1</v>
      </c>
      <c r="E48" s="1059" t="str">
        <f>Calc_time!D734</f>
        <v>Software maintenance costs</v>
      </c>
      <c r="F48" s="689" t="s">
        <v>621</v>
      </c>
      <c r="G48" s="689" t="s">
        <v>622</v>
      </c>
      <c r="H48" s="689" t="s">
        <v>623</v>
      </c>
      <c r="J48" s="1062"/>
      <c r="K48" s="1056"/>
      <c r="L48" s="1056"/>
      <c r="M48" s="1056"/>
      <c r="N48" s="1056"/>
      <c r="O48" s="1056"/>
      <c r="P48" s="1056"/>
      <c r="Q48" s="1056"/>
      <c r="R48" s="1056"/>
      <c r="S48" s="1056"/>
      <c r="T48" s="1056"/>
      <c r="U48" s="1056"/>
      <c r="V48" s="1056"/>
      <c r="W48" s="1056"/>
      <c r="X48" s="1056"/>
      <c r="Y48" s="1056"/>
      <c r="Z48" s="1056"/>
      <c r="AA48" s="1056"/>
      <c r="AB48" s="1056"/>
      <c r="AC48" s="1056"/>
      <c r="AD48" s="1056"/>
      <c r="AE48" s="1056"/>
      <c r="AF48" s="1056"/>
      <c r="AG48" s="1056"/>
      <c r="AH48" s="1056"/>
      <c r="AI48" s="1056"/>
      <c r="AJ48" s="1056"/>
      <c r="AK48" s="1056"/>
      <c r="AL48" s="1056"/>
      <c r="AM48" s="1056"/>
      <c r="AN48" s="1056"/>
      <c r="AO48" s="1056"/>
      <c r="AP48" s="1056"/>
      <c r="AQ48" s="1056"/>
      <c r="AR48" s="1056"/>
      <c r="AS48" s="1056"/>
      <c r="AT48" s="1056"/>
      <c r="AU48" s="1056"/>
      <c r="AV48" s="1056"/>
      <c r="AW48" s="1056"/>
      <c r="AX48" s="1056"/>
      <c r="AY48" s="1056"/>
      <c r="AZ48" s="1060"/>
      <c r="BA48" s="1060"/>
      <c r="BB48" s="1060"/>
      <c r="BC48" s="1060"/>
      <c r="BD48" s="1060"/>
      <c r="BE48" s="1060"/>
      <c r="BF48" s="1060"/>
      <c r="BG48" s="1060"/>
      <c r="BH48" s="1060"/>
      <c r="BI48" s="1060"/>
    </row>
    <row r="49" spans="1:61" ht="72">
      <c r="A49" s="689" t="s">
        <v>554</v>
      </c>
      <c r="B49" s="1058" t="str">
        <f>Calc_time!B742</f>
        <v>IC</v>
      </c>
      <c r="C49" s="684" t="b">
        <v>1</v>
      </c>
      <c r="D49" s="684" t="b">
        <v>1</v>
      </c>
      <c r="E49" s="1059" t="str">
        <f>Calc_time!D742</f>
        <v>Implementation training costs</v>
      </c>
      <c r="F49" s="689" t="s">
        <v>624</v>
      </c>
      <c r="G49" s="689" t="s">
        <v>625</v>
      </c>
      <c r="H49" s="689" t="s">
        <v>626</v>
      </c>
      <c r="J49" s="1062"/>
      <c r="K49" s="1056"/>
      <c r="L49" s="1056"/>
      <c r="M49" s="1056"/>
      <c r="N49" s="1056"/>
      <c r="O49" s="1056"/>
      <c r="P49" s="1056"/>
      <c r="Q49" s="1056"/>
      <c r="R49" s="1056"/>
      <c r="S49" s="1056"/>
      <c r="T49" s="1056"/>
      <c r="U49" s="1056"/>
      <c r="V49" s="1056"/>
      <c r="W49" s="1056"/>
      <c r="X49" s="1056"/>
      <c r="Y49" s="1056"/>
      <c r="Z49" s="1056"/>
      <c r="AA49" s="1056"/>
      <c r="AB49" s="1056"/>
      <c r="AC49" s="1056"/>
      <c r="AD49" s="1056"/>
      <c r="AE49" s="1056"/>
      <c r="AF49" s="1056"/>
      <c r="AG49" s="1056"/>
      <c r="AH49" s="1056"/>
      <c r="AI49" s="1056"/>
      <c r="AJ49" s="1056"/>
      <c r="AK49" s="1056"/>
      <c r="AL49" s="1056"/>
      <c r="AM49" s="1056"/>
      <c r="AN49" s="1056"/>
      <c r="AO49" s="1056"/>
      <c r="AP49" s="1056"/>
      <c r="AQ49" s="1056"/>
      <c r="AR49" s="1056"/>
      <c r="AS49" s="1056"/>
      <c r="AT49" s="1056"/>
      <c r="AU49" s="1056"/>
      <c r="AV49" s="1056"/>
      <c r="AW49" s="1056"/>
      <c r="AX49" s="1056"/>
      <c r="AY49" s="1056"/>
      <c r="AZ49" s="1060"/>
      <c r="BA49" s="1060"/>
      <c r="BB49" s="1060"/>
      <c r="BC49" s="1060"/>
      <c r="BD49" s="1060"/>
      <c r="BE49" s="1060"/>
      <c r="BF49" s="1060"/>
      <c r="BG49" s="1060"/>
      <c r="BH49" s="1060"/>
      <c r="BI49" s="1060"/>
    </row>
    <row r="50" spans="1:61" ht="84">
      <c r="A50" s="689" t="s">
        <v>554</v>
      </c>
      <c r="B50" s="1058" t="str">
        <f>Calc_time!B744</f>
        <v>OC</v>
      </c>
      <c r="C50" s="684" t="b">
        <v>1</v>
      </c>
      <c r="D50" s="684" t="b">
        <v>1</v>
      </c>
      <c r="E50" s="1059" t="str">
        <f>Calc_time!D744</f>
        <v>Recurring training costs</v>
      </c>
      <c r="F50" s="689" t="s">
        <v>627</v>
      </c>
      <c r="G50" s="689" t="s">
        <v>628</v>
      </c>
      <c r="H50" s="689" t="s">
        <v>629</v>
      </c>
      <c r="J50" s="1062"/>
      <c r="K50" s="1056"/>
      <c r="L50" s="1056"/>
      <c r="M50" s="1056"/>
      <c r="N50" s="1056"/>
      <c r="O50" s="1056"/>
      <c r="P50" s="1056"/>
      <c r="Q50" s="1056"/>
      <c r="R50" s="1056"/>
      <c r="S50" s="1056"/>
      <c r="T50" s="1056"/>
      <c r="U50" s="1056"/>
      <c r="V50" s="1056"/>
      <c r="W50" s="1056"/>
      <c r="X50" s="1056"/>
      <c r="Y50" s="1056"/>
      <c r="Z50" s="1056"/>
      <c r="AA50" s="1056"/>
      <c r="AB50" s="1056"/>
      <c r="AC50" s="1056"/>
      <c r="AD50" s="1056"/>
      <c r="AE50" s="1056"/>
      <c r="AF50" s="1056"/>
      <c r="AG50" s="1056"/>
      <c r="AH50" s="1056"/>
      <c r="AI50" s="1056"/>
      <c r="AJ50" s="1056"/>
      <c r="AK50" s="1056"/>
      <c r="AL50" s="1056"/>
      <c r="AM50" s="1056"/>
      <c r="AN50" s="1056"/>
      <c r="AO50" s="1056"/>
      <c r="AP50" s="1056"/>
      <c r="AQ50" s="1056"/>
      <c r="AR50" s="1056"/>
      <c r="AS50" s="1056"/>
      <c r="AT50" s="1056"/>
      <c r="AU50" s="1056"/>
      <c r="AV50" s="1056"/>
      <c r="AW50" s="1056"/>
      <c r="AX50" s="1056"/>
      <c r="AY50" s="1056"/>
      <c r="AZ50" s="1060"/>
      <c r="BA50" s="1060"/>
      <c r="BB50" s="1060"/>
      <c r="BC50" s="1060"/>
      <c r="BD50" s="1060"/>
      <c r="BE50" s="1060"/>
      <c r="BF50" s="1060"/>
      <c r="BG50" s="1060"/>
      <c r="BH50" s="1060"/>
      <c r="BI50" s="1060"/>
    </row>
    <row r="51" spans="1:61" ht="96">
      <c r="A51" s="689" t="s">
        <v>225</v>
      </c>
      <c r="B51" s="1058" t="str">
        <f>Calc_Misc!B10</f>
        <v>OC</v>
      </c>
      <c r="C51" s="684" t="b">
        <v>1</v>
      </c>
      <c r="D51" s="684" t="b">
        <v>1</v>
      </c>
      <c r="E51" s="1059" t="str">
        <f>Calc_Misc!D10</f>
        <v>Cost faced due to the identification of grant duplication</v>
      </c>
      <c r="F51" s="689" t="s">
        <v>630</v>
      </c>
      <c r="G51" s="689" t="s">
        <v>631</v>
      </c>
      <c r="H51" s="689" t="s">
        <v>632</v>
      </c>
      <c r="J51" s="1062"/>
      <c r="K51" s="1056"/>
      <c r="L51" s="1056"/>
      <c r="M51" s="1056"/>
      <c r="N51" s="1056"/>
      <c r="O51" s="1056"/>
      <c r="P51" s="1056"/>
      <c r="Q51" s="1056"/>
      <c r="R51" s="1056"/>
      <c r="S51" s="1056"/>
      <c r="T51" s="1056"/>
      <c r="U51" s="1056"/>
      <c r="V51" s="1056"/>
      <c r="W51" s="1056"/>
      <c r="X51" s="1056"/>
      <c r="Y51" s="1056"/>
      <c r="Z51" s="1056"/>
      <c r="AA51" s="1056"/>
      <c r="AB51" s="1056"/>
      <c r="AC51" s="1056"/>
      <c r="AD51" s="1056"/>
      <c r="AE51" s="1056"/>
      <c r="AF51" s="1056"/>
      <c r="AG51" s="1056"/>
      <c r="AH51" s="1056"/>
      <c r="AI51" s="1056"/>
      <c r="AJ51" s="1056"/>
      <c r="AK51" s="1056"/>
      <c r="AL51" s="1056"/>
      <c r="AM51" s="1056"/>
      <c r="AN51" s="1056"/>
      <c r="AO51" s="1056"/>
      <c r="AP51" s="1056"/>
      <c r="AQ51" s="1056"/>
      <c r="AR51" s="1056"/>
      <c r="AS51" s="1056"/>
      <c r="AT51" s="1056"/>
      <c r="AU51" s="1056"/>
      <c r="AV51" s="1056"/>
      <c r="AW51" s="1056"/>
      <c r="AX51" s="1056"/>
      <c r="AY51" s="1056"/>
      <c r="AZ51" s="1060"/>
      <c r="BA51" s="1060"/>
      <c r="BB51" s="1060"/>
      <c r="BC51" s="1060"/>
      <c r="BD51" s="1060"/>
      <c r="BE51" s="1060"/>
      <c r="BF51" s="1060"/>
      <c r="BG51" s="1060"/>
      <c r="BH51" s="1060"/>
      <c r="BI51" s="1060"/>
    </row>
    <row r="52" spans="1:61" ht="72">
      <c r="A52" s="689" t="s">
        <v>225</v>
      </c>
      <c r="B52" s="1058" t="str">
        <f>Calc_Misc!B15</f>
        <v>B</v>
      </c>
      <c r="C52" s="684" t="b">
        <v>1</v>
      </c>
      <c r="D52" s="684" t="b">
        <v>1</v>
      </c>
      <c r="E52" s="1059" t="str">
        <f>Calc_Misc!D15</f>
        <v>Benefit due to extra funds available on a yearly-basis (example of H2020 for 2014-2016)</v>
      </c>
      <c r="F52" s="689" t="s">
        <v>633</v>
      </c>
      <c r="G52" s="689" t="s">
        <v>631</v>
      </c>
      <c r="H52" s="689" t="s">
        <v>634</v>
      </c>
    </row>
    <row r="53" spans="1:61" ht="120">
      <c r="A53" s="689" t="s">
        <v>243</v>
      </c>
      <c r="B53" s="1058" t="str">
        <f>Calc_Misc!B28</f>
        <v>B</v>
      </c>
      <c r="C53" s="684" t="b">
        <v>1</v>
      </c>
      <c r="D53" s="684" t="b">
        <v>0</v>
      </c>
      <c r="E53" s="1059" t="str">
        <f>Calc_Misc!D28</f>
        <v>Licensing saving to access studies</v>
      </c>
      <c r="F53" s="689" t="s">
        <v>635</v>
      </c>
      <c r="G53" s="689" t="s">
        <v>636</v>
      </c>
      <c r="H53" s="689" t="s">
        <v>637</v>
      </c>
    </row>
    <row r="54" spans="1:61" ht="108">
      <c r="A54" s="689" t="s">
        <v>262</v>
      </c>
      <c r="B54" s="1058" t="str">
        <f>Calc_Misc!B30</f>
        <v>OC</v>
      </c>
      <c r="C54" s="684" t="b">
        <v>1</v>
      </c>
      <c r="D54" s="684" t="b">
        <v>1</v>
      </c>
      <c r="E54" s="1059" t="str">
        <f>Calc_Misc!D30</f>
        <v>Decreasing revenue from licensing fees and royalties</v>
      </c>
      <c r="F54" s="689" t="s">
        <v>638</v>
      </c>
      <c r="G54" s="689" t="s">
        <v>636</v>
      </c>
      <c r="H54" s="689" t="s">
        <v>639</v>
      </c>
    </row>
    <row r="55" spans="1:61" ht="48">
      <c r="A55" s="689" t="s">
        <v>262</v>
      </c>
      <c r="B55" s="1058" t="str">
        <f>Calc_Misc!B47</f>
        <v>B</v>
      </c>
      <c r="C55" s="684" t="b">
        <v>1</v>
      </c>
      <c r="D55" s="684" t="b">
        <v>1</v>
      </c>
      <c r="E55" s="1063" t="str">
        <f>Calc_Misc!D47</f>
        <v>Time saved thanks to less retractions of published works</v>
      </c>
      <c r="F55" s="1157" t="s">
        <v>641</v>
      </c>
      <c r="G55" s="1132"/>
      <c r="H55" s="689" t="s">
        <v>642</v>
      </c>
    </row>
    <row r="56" spans="1:61" ht="48">
      <c r="A56" s="689" t="s">
        <v>495</v>
      </c>
      <c r="B56" s="1064" t="str">
        <f>Calc_Misc!B61</f>
        <v>OC</v>
      </c>
      <c r="C56" s="684" t="b">
        <v>1</v>
      </c>
      <c r="D56" s="684" t="b">
        <v>1</v>
      </c>
      <c r="E56" s="1063" t="str">
        <f>Calc_Misc!D61</f>
        <v>Additional cost because of the reduced period between two innovation cycles of the basic IT infrastructure</v>
      </c>
      <c r="F56" s="1157" t="s">
        <v>643</v>
      </c>
      <c r="G56" s="1132"/>
      <c r="H56" s="689" t="s">
        <v>644</v>
      </c>
    </row>
    <row r="57" spans="1:61" ht="108">
      <c r="A57" s="689" t="s">
        <v>556</v>
      </c>
      <c r="B57" s="1064" t="s">
        <v>606</v>
      </c>
      <c r="C57" s="684" t="b">
        <v>1</v>
      </c>
      <c r="D57" s="684" t="b">
        <v>1</v>
      </c>
      <c r="E57" s="1063" t="str">
        <f>Calc_Storage!AF2</f>
        <v>Benefit thanks to reduced number of repositories</v>
      </c>
      <c r="F57" s="689" t="s">
        <v>645</v>
      </c>
      <c r="G57" s="689" t="s">
        <v>646</v>
      </c>
      <c r="H57" s="689" t="s">
        <v>647</v>
      </c>
    </row>
    <row r="58" spans="1:61" ht="120">
      <c r="A58" s="689" t="s">
        <v>556</v>
      </c>
      <c r="B58" s="1064" t="s">
        <v>648</v>
      </c>
      <c r="C58" s="684" t="b">
        <v>1</v>
      </c>
      <c r="D58" s="684" t="b">
        <v>1</v>
      </c>
      <c r="E58" s="1063" t="str">
        <f>Calc_Storage!AH2</f>
        <v>Cost due to the longer data retention period</v>
      </c>
      <c r="F58" s="689" t="s">
        <v>649</v>
      </c>
      <c r="G58" s="689" t="s">
        <v>650</v>
      </c>
      <c r="H58" s="689" t="s">
        <v>651</v>
      </c>
    </row>
    <row r="59" spans="1:61" ht="14.25">
      <c r="A59" s="689" t="s">
        <v>193</v>
      </c>
      <c r="B59" s="1058" t="s">
        <v>606</v>
      </c>
      <c r="C59" s="684" t="b">
        <v>1</v>
      </c>
      <c r="D59" s="684" t="b">
        <v>1</v>
      </c>
      <c r="E59" s="1059" t="str">
        <f>Calc_time!D21</f>
        <v>Other likely benefits</v>
      </c>
      <c r="F59" s="1157" t="s">
        <v>652</v>
      </c>
      <c r="G59" s="1132"/>
      <c r="H59" s="689" t="s">
        <v>653</v>
      </c>
      <c r="J59" s="1062"/>
      <c r="K59" s="1056"/>
      <c r="L59" s="1056"/>
      <c r="M59" s="1056"/>
      <c r="N59" s="1056"/>
      <c r="O59" s="1056"/>
      <c r="P59" s="1056"/>
      <c r="Q59" s="1056"/>
      <c r="R59" s="1056"/>
      <c r="S59" s="1056"/>
      <c r="T59" s="1056"/>
      <c r="U59" s="1056"/>
      <c r="V59" s="1056"/>
      <c r="W59" s="1056"/>
      <c r="X59" s="1056"/>
      <c r="Y59" s="1056"/>
      <c r="Z59" s="1056"/>
      <c r="AA59" s="1056"/>
      <c r="AB59" s="1056"/>
      <c r="AC59" s="1056"/>
      <c r="AD59" s="1056"/>
      <c r="AE59" s="1056"/>
      <c r="AF59" s="1056"/>
      <c r="AG59" s="1056"/>
      <c r="AH59" s="1056"/>
      <c r="AI59" s="1056"/>
      <c r="AJ59" s="1056"/>
      <c r="AK59" s="1056"/>
      <c r="AL59" s="1056"/>
      <c r="AM59" s="1056"/>
      <c r="AN59" s="1056"/>
      <c r="AO59" s="1056"/>
      <c r="AP59" s="1056"/>
      <c r="AQ59" s="1056"/>
      <c r="AR59" s="1056"/>
      <c r="AS59" s="1056"/>
      <c r="AT59" s="1056"/>
      <c r="AU59" s="1056"/>
      <c r="AV59" s="1056"/>
      <c r="AW59" s="1056"/>
      <c r="AX59" s="1056"/>
      <c r="AY59" s="1056"/>
      <c r="AZ59" s="1060"/>
      <c r="BA59" s="1060"/>
      <c r="BB59" s="1060"/>
      <c r="BC59" s="1060"/>
      <c r="BD59" s="1060"/>
      <c r="BE59" s="1060"/>
      <c r="BF59" s="1060"/>
      <c r="BG59" s="1060"/>
      <c r="BH59" s="1060"/>
      <c r="BI59" s="1060"/>
    </row>
    <row r="60" spans="1:61" ht="14.25">
      <c r="A60" s="689" t="s">
        <v>193</v>
      </c>
      <c r="B60" s="1064" t="s">
        <v>654</v>
      </c>
      <c r="C60" s="684" t="b">
        <v>1</v>
      </c>
      <c r="D60" s="684" t="b">
        <v>1</v>
      </c>
      <c r="E60" s="1063" t="str">
        <f>Calc_time!E44</f>
        <v>Other likely costs</v>
      </c>
      <c r="F60" s="1157" t="s">
        <v>655</v>
      </c>
      <c r="G60" s="1132"/>
      <c r="H60" s="689" t="s">
        <v>653</v>
      </c>
    </row>
    <row r="61" spans="1:61" ht="14.25">
      <c r="A61" s="689"/>
      <c r="B61" s="1058"/>
      <c r="C61" s="684"/>
      <c r="D61" s="684"/>
      <c r="E61" s="1059"/>
      <c r="F61" s="689"/>
      <c r="G61" s="1065"/>
      <c r="H61" s="1065"/>
      <c r="J61" s="1062"/>
      <c r="K61" s="1056"/>
      <c r="L61" s="1056"/>
      <c r="M61" s="1056"/>
      <c r="N61" s="1056"/>
      <c r="O61" s="1056"/>
      <c r="P61" s="1056"/>
      <c r="Q61" s="1056"/>
      <c r="R61" s="1056"/>
      <c r="S61" s="1056"/>
      <c r="T61" s="1056"/>
      <c r="U61" s="1056"/>
      <c r="V61" s="1056"/>
      <c r="W61" s="1056"/>
      <c r="X61" s="1056"/>
      <c r="Y61" s="1056"/>
      <c r="Z61" s="1056"/>
      <c r="AA61" s="1056"/>
      <c r="AB61" s="1056"/>
      <c r="AC61" s="1056"/>
      <c r="AD61" s="1056"/>
      <c r="AE61" s="1056"/>
      <c r="AF61" s="1056"/>
      <c r="AG61" s="1056"/>
      <c r="AH61" s="1056"/>
      <c r="AI61" s="1056"/>
      <c r="AJ61" s="1056"/>
      <c r="AK61" s="1056"/>
      <c r="AL61" s="1056"/>
      <c r="AM61" s="1056"/>
      <c r="AN61" s="1056"/>
      <c r="AO61" s="1056"/>
      <c r="AP61" s="1056"/>
      <c r="AQ61" s="1056"/>
      <c r="AR61" s="1056"/>
      <c r="AS61" s="1056"/>
      <c r="AT61" s="1056"/>
      <c r="AU61" s="1056"/>
      <c r="AV61" s="1056"/>
      <c r="AW61" s="1056"/>
      <c r="AX61" s="1056"/>
      <c r="AY61" s="1056"/>
      <c r="AZ61" s="1060"/>
      <c r="BA61" s="1060"/>
      <c r="BB61" s="1060"/>
      <c r="BC61" s="1060"/>
      <c r="BD61" s="1060"/>
      <c r="BE61" s="1060"/>
      <c r="BF61" s="1060"/>
      <c r="BG61" s="1060"/>
      <c r="BH61" s="1060"/>
      <c r="BI61" s="1060"/>
    </row>
    <row r="62" spans="1:61" ht="14.25">
      <c r="A62" s="689"/>
      <c r="B62" s="1064"/>
      <c r="E62" s="1063"/>
      <c r="F62" s="670"/>
      <c r="G62" s="670"/>
      <c r="H62" s="670"/>
    </row>
    <row r="63" spans="1:61" ht="14.25">
      <c r="A63" s="689"/>
      <c r="B63" s="1058"/>
      <c r="C63" s="684"/>
      <c r="D63" s="684"/>
      <c r="E63" s="1059"/>
      <c r="F63" s="689"/>
      <c r="G63" s="1065"/>
      <c r="H63" s="1065"/>
      <c r="J63" s="1062"/>
      <c r="K63" s="1056"/>
      <c r="L63" s="1056"/>
      <c r="M63" s="1056"/>
      <c r="N63" s="1056"/>
      <c r="O63" s="1056"/>
      <c r="P63" s="1056"/>
      <c r="Q63" s="1056"/>
      <c r="R63" s="1056"/>
      <c r="S63" s="1056"/>
      <c r="T63" s="1056"/>
      <c r="U63" s="1056"/>
      <c r="V63" s="1056"/>
      <c r="W63" s="1056"/>
      <c r="X63" s="1056"/>
      <c r="Y63" s="1056"/>
      <c r="Z63" s="1056"/>
      <c r="AA63" s="1056"/>
      <c r="AB63" s="1056"/>
      <c r="AC63" s="1056"/>
      <c r="AD63" s="1056"/>
      <c r="AE63" s="1056"/>
      <c r="AF63" s="1056"/>
      <c r="AG63" s="1056"/>
      <c r="AH63" s="1056"/>
      <c r="AI63" s="1056"/>
      <c r="AJ63" s="1056"/>
      <c r="AK63" s="1056"/>
      <c r="AL63" s="1056"/>
      <c r="AM63" s="1056"/>
      <c r="AN63" s="1056"/>
      <c r="AO63" s="1056"/>
      <c r="AP63" s="1056"/>
      <c r="AQ63" s="1056"/>
      <c r="AR63" s="1056"/>
      <c r="AS63" s="1056"/>
      <c r="AT63" s="1056"/>
      <c r="AU63" s="1056"/>
      <c r="AV63" s="1056"/>
      <c r="AW63" s="1056"/>
      <c r="AX63" s="1056"/>
      <c r="AY63" s="1056"/>
      <c r="AZ63" s="1060"/>
      <c r="BA63" s="1060"/>
      <c r="BB63" s="1060"/>
      <c r="BC63" s="1060"/>
      <c r="BD63" s="1060"/>
      <c r="BE63" s="1060"/>
      <c r="BF63" s="1060"/>
      <c r="BG63" s="1060"/>
      <c r="BH63" s="1060"/>
      <c r="BI63" s="1060"/>
    </row>
    <row r="64" spans="1:61" ht="14.25">
      <c r="A64" s="689"/>
      <c r="B64" s="1064"/>
      <c r="E64" s="1063"/>
      <c r="F64" s="670"/>
      <c r="G64" s="670"/>
      <c r="H64" s="670"/>
    </row>
    <row r="65" spans="1:61" ht="14.25">
      <c r="A65" s="689"/>
      <c r="B65" s="1058"/>
      <c r="C65" s="684"/>
      <c r="D65" s="684"/>
      <c r="E65" s="1059"/>
      <c r="F65" s="689"/>
      <c r="G65" s="1065"/>
      <c r="H65" s="1065"/>
      <c r="J65" s="1062"/>
      <c r="K65" s="1056"/>
      <c r="L65" s="1056"/>
      <c r="M65" s="1056"/>
      <c r="N65" s="1056"/>
      <c r="O65" s="1056"/>
      <c r="P65" s="1056"/>
      <c r="Q65" s="1056"/>
      <c r="R65" s="1056"/>
      <c r="S65" s="1056"/>
      <c r="T65" s="1056"/>
      <c r="U65" s="1056"/>
      <c r="V65" s="1056"/>
      <c r="W65" s="1056"/>
      <c r="X65" s="1056"/>
      <c r="Y65" s="1056"/>
      <c r="Z65" s="1056"/>
      <c r="AA65" s="1056"/>
      <c r="AB65" s="1056"/>
      <c r="AC65" s="1056"/>
      <c r="AD65" s="1056"/>
      <c r="AE65" s="1056"/>
      <c r="AF65" s="1056"/>
      <c r="AG65" s="1056"/>
      <c r="AH65" s="1056"/>
      <c r="AI65" s="1056"/>
      <c r="AJ65" s="1056"/>
      <c r="AK65" s="1056"/>
      <c r="AL65" s="1056"/>
      <c r="AM65" s="1056"/>
      <c r="AN65" s="1056"/>
      <c r="AO65" s="1056"/>
      <c r="AP65" s="1056"/>
      <c r="AQ65" s="1056"/>
      <c r="AR65" s="1056"/>
      <c r="AS65" s="1056"/>
      <c r="AT65" s="1056"/>
      <c r="AU65" s="1056"/>
      <c r="AV65" s="1056"/>
      <c r="AW65" s="1056"/>
      <c r="AX65" s="1056"/>
      <c r="AY65" s="1056"/>
      <c r="AZ65" s="1060"/>
      <c r="BA65" s="1060"/>
      <c r="BB65" s="1060"/>
      <c r="BC65" s="1060"/>
      <c r="BD65" s="1060"/>
      <c r="BE65" s="1060"/>
      <c r="BF65" s="1060"/>
      <c r="BG65" s="1060"/>
      <c r="BH65" s="1060"/>
      <c r="BI65" s="1060"/>
    </row>
    <row r="66" spans="1:61" ht="14.25">
      <c r="A66" s="689"/>
      <c r="B66" s="1064"/>
      <c r="E66" s="1063"/>
      <c r="F66" s="670"/>
      <c r="G66" s="670"/>
      <c r="H66" s="670"/>
    </row>
    <row r="67" spans="1:61" ht="14.25">
      <c r="A67" s="689"/>
      <c r="B67" s="1058"/>
      <c r="C67" s="684"/>
      <c r="D67" s="684"/>
      <c r="E67" s="1059"/>
      <c r="F67" s="689"/>
      <c r="G67" s="1065"/>
      <c r="H67" s="1065"/>
      <c r="J67" s="1062"/>
      <c r="K67" s="1056"/>
      <c r="L67" s="1056"/>
      <c r="M67" s="1056"/>
      <c r="N67" s="1056"/>
      <c r="O67" s="1056"/>
      <c r="P67" s="1056"/>
      <c r="Q67" s="1056"/>
      <c r="R67" s="1056"/>
      <c r="S67" s="1056"/>
      <c r="T67" s="1056"/>
      <c r="U67" s="1056"/>
      <c r="V67" s="1056"/>
      <c r="W67" s="1056"/>
      <c r="X67" s="1056"/>
      <c r="Y67" s="1056"/>
      <c r="Z67" s="1056"/>
      <c r="AA67" s="1056"/>
      <c r="AB67" s="1056"/>
      <c r="AC67" s="1056"/>
      <c r="AD67" s="1056"/>
      <c r="AE67" s="1056"/>
      <c r="AF67" s="1056"/>
      <c r="AG67" s="1056"/>
      <c r="AH67" s="1056"/>
      <c r="AI67" s="1056"/>
      <c r="AJ67" s="1056"/>
      <c r="AK67" s="1056"/>
      <c r="AL67" s="1056"/>
      <c r="AM67" s="1056"/>
      <c r="AN67" s="1056"/>
      <c r="AO67" s="1056"/>
      <c r="AP67" s="1056"/>
      <c r="AQ67" s="1056"/>
      <c r="AR67" s="1056"/>
      <c r="AS67" s="1056"/>
      <c r="AT67" s="1056"/>
      <c r="AU67" s="1056"/>
      <c r="AV67" s="1056"/>
      <c r="AW67" s="1056"/>
      <c r="AX67" s="1056"/>
      <c r="AY67" s="1056"/>
      <c r="AZ67" s="1060"/>
      <c r="BA67" s="1060"/>
      <c r="BB67" s="1060"/>
      <c r="BC67" s="1060"/>
      <c r="BD67" s="1060"/>
      <c r="BE67" s="1060"/>
      <c r="BF67" s="1060"/>
      <c r="BG67" s="1060"/>
      <c r="BH67" s="1060"/>
      <c r="BI67" s="1060"/>
    </row>
    <row r="68" spans="1:61" ht="14.25">
      <c r="A68" s="689"/>
      <c r="B68" s="1064"/>
      <c r="E68" s="1063"/>
      <c r="F68" s="670"/>
      <c r="G68" s="670"/>
      <c r="H68" s="670"/>
    </row>
    <row r="69" spans="1:61" ht="14.25">
      <c r="A69" s="689"/>
      <c r="B69" s="1064"/>
      <c r="E69" s="1063"/>
      <c r="F69" s="670"/>
      <c r="G69" s="670"/>
      <c r="H69" s="670"/>
    </row>
    <row r="70" spans="1:61" ht="14.25">
      <c r="A70" s="689"/>
      <c r="B70" s="1064"/>
      <c r="E70" s="1063"/>
      <c r="F70" s="670"/>
      <c r="G70" s="670"/>
      <c r="H70" s="670"/>
    </row>
    <row r="71" spans="1:61" ht="14.25">
      <c r="A71" s="689"/>
      <c r="B71" s="1064"/>
      <c r="E71" s="1063"/>
      <c r="F71" s="670"/>
      <c r="G71" s="670"/>
      <c r="H71" s="670"/>
    </row>
    <row r="72" spans="1:61" ht="14.25">
      <c r="A72" s="689"/>
      <c r="B72" s="1064"/>
      <c r="E72" s="1063"/>
      <c r="F72" s="670"/>
      <c r="G72" s="670"/>
      <c r="H72" s="670"/>
    </row>
    <row r="73" spans="1:61" ht="14.25">
      <c r="A73" s="689"/>
      <c r="B73" s="1064"/>
      <c r="E73" s="1063"/>
      <c r="F73" s="670"/>
      <c r="G73" s="670"/>
      <c r="H73" s="670"/>
    </row>
    <row r="74" spans="1:61" ht="14.25">
      <c r="A74" s="689"/>
      <c r="B74" s="1064"/>
      <c r="E74" s="1063"/>
      <c r="F74" s="670"/>
      <c r="G74" s="670"/>
      <c r="H74" s="670"/>
    </row>
    <row r="75" spans="1:61" ht="14.25">
      <c r="A75" s="689"/>
      <c r="B75" s="1064"/>
      <c r="E75" s="1063"/>
      <c r="F75" s="670"/>
      <c r="G75" s="670"/>
      <c r="H75" s="670"/>
    </row>
    <row r="76" spans="1:61" ht="14.25">
      <c r="A76" s="689"/>
      <c r="B76" s="1064"/>
      <c r="E76" s="1063"/>
      <c r="F76" s="670"/>
      <c r="G76" s="670"/>
      <c r="H76" s="670"/>
    </row>
    <row r="77" spans="1:61" ht="14.25">
      <c r="A77" s="689"/>
      <c r="B77" s="1064"/>
      <c r="E77" s="1063"/>
      <c r="F77" s="670"/>
      <c r="G77" s="670"/>
      <c r="H77" s="670"/>
    </row>
    <row r="78" spans="1:61" ht="14.25">
      <c r="A78" s="689"/>
      <c r="B78" s="1064"/>
      <c r="E78" s="1063"/>
      <c r="F78" s="670"/>
      <c r="G78" s="670"/>
      <c r="H78" s="670"/>
    </row>
    <row r="79" spans="1:61" ht="14.25">
      <c r="A79" s="689"/>
      <c r="B79" s="1064"/>
      <c r="E79" s="1063"/>
      <c r="F79" s="670"/>
      <c r="G79" s="670"/>
      <c r="H79" s="670"/>
    </row>
    <row r="80" spans="1:61" ht="14.25">
      <c r="A80" s="689"/>
      <c r="B80" s="1064"/>
      <c r="E80" s="1063"/>
      <c r="F80" s="670"/>
      <c r="G80" s="670"/>
      <c r="H80" s="670"/>
    </row>
    <row r="81" spans="1:8" ht="14.25">
      <c r="A81" s="689"/>
      <c r="B81" s="1064"/>
      <c r="E81" s="1063"/>
      <c r="F81" s="670"/>
      <c r="G81" s="670"/>
      <c r="H81" s="670"/>
    </row>
    <row r="82" spans="1:8" ht="14.25">
      <c r="A82" s="689"/>
      <c r="B82" s="1064"/>
      <c r="E82" s="1063"/>
      <c r="F82" s="670"/>
      <c r="G82" s="670"/>
      <c r="H82" s="670"/>
    </row>
    <row r="83" spans="1:8" ht="14.25">
      <c r="A83" s="689"/>
      <c r="B83" s="1064"/>
      <c r="E83" s="1063"/>
      <c r="F83" s="670"/>
      <c r="G83" s="670"/>
      <c r="H83" s="670"/>
    </row>
    <row r="84" spans="1:8" ht="14.25">
      <c r="A84" s="689"/>
      <c r="B84" s="1064"/>
      <c r="E84" s="1063"/>
      <c r="F84" s="670"/>
      <c r="G84" s="670"/>
      <c r="H84" s="670"/>
    </row>
    <row r="85" spans="1:8" ht="14.25">
      <c r="A85" s="689"/>
      <c r="B85" s="1064"/>
      <c r="E85" s="1063"/>
      <c r="F85" s="670"/>
      <c r="G85" s="670"/>
      <c r="H85" s="670"/>
    </row>
    <row r="86" spans="1:8" ht="14.25">
      <c r="A86" s="689"/>
      <c r="B86" s="1064"/>
      <c r="E86" s="1063"/>
      <c r="F86" s="670"/>
      <c r="G86" s="670"/>
      <c r="H86" s="670"/>
    </row>
    <row r="87" spans="1:8" ht="14.25">
      <c r="A87" s="689"/>
      <c r="B87" s="1064"/>
      <c r="E87" s="1063"/>
      <c r="F87" s="670"/>
      <c r="G87" s="670"/>
      <c r="H87" s="670"/>
    </row>
    <row r="88" spans="1:8" ht="14.25">
      <c r="A88" s="689"/>
      <c r="B88" s="1064"/>
      <c r="E88" s="1063"/>
      <c r="F88" s="670"/>
      <c r="G88" s="670"/>
      <c r="H88" s="670"/>
    </row>
    <row r="89" spans="1:8" ht="14.25">
      <c r="A89" s="689"/>
      <c r="B89" s="1064"/>
      <c r="E89" s="1063"/>
      <c r="F89" s="670"/>
      <c r="G89" s="670"/>
      <c r="H89" s="670"/>
    </row>
    <row r="90" spans="1:8" ht="14.25">
      <c r="A90" s="689"/>
      <c r="B90" s="1064"/>
      <c r="E90" s="1063"/>
      <c r="F90" s="670"/>
      <c r="G90" s="670"/>
      <c r="H90" s="670"/>
    </row>
    <row r="91" spans="1:8" ht="14.25">
      <c r="A91" s="689"/>
      <c r="B91" s="1064"/>
      <c r="E91" s="1063"/>
      <c r="F91" s="670"/>
      <c r="G91" s="670"/>
      <c r="H91" s="670"/>
    </row>
    <row r="92" spans="1:8" ht="14.25">
      <c r="A92" s="689"/>
      <c r="B92" s="1064"/>
      <c r="E92" s="1063"/>
      <c r="F92" s="670"/>
      <c r="G92" s="670"/>
      <c r="H92" s="670"/>
    </row>
    <row r="93" spans="1:8" ht="14.25">
      <c r="A93" s="689"/>
      <c r="B93" s="1064"/>
      <c r="E93" s="1063"/>
      <c r="F93" s="670"/>
      <c r="G93" s="670"/>
      <c r="H93" s="670"/>
    </row>
    <row r="94" spans="1:8" ht="14.25">
      <c r="A94" s="689"/>
      <c r="B94" s="1064"/>
      <c r="E94" s="1063"/>
      <c r="F94" s="670"/>
      <c r="G94" s="670"/>
      <c r="H94" s="670"/>
    </row>
    <row r="95" spans="1:8" ht="14.25">
      <c r="A95" s="689"/>
      <c r="B95" s="1064"/>
      <c r="E95" s="1063"/>
      <c r="F95" s="670"/>
      <c r="G95" s="670"/>
      <c r="H95" s="670"/>
    </row>
    <row r="96" spans="1:8" ht="14.25">
      <c r="A96" s="689"/>
      <c r="B96" s="1064"/>
      <c r="E96" s="1063"/>
      <c r="F96" s="670"/>
      <c r="G96" s="670"/>
      <c r="H96" s="670"/>
    </row>
    <row r="97" spans="1:8" ht="14.25">
      <c r="A97" s="689"/>
      <c r="B97" s="1064"/>
      <c r="E97" s="1063"/>
      <c r="F97" s="670"/>
      <c r="G97" s="670"/>
      <c r="H97" s="670"/>
    </row>
    <row r="98" spans="1:8" ht="14.25">
      <c r="A98" s="689"/>
      <c r="B98" s="1064"/>
      <c r="E98" s="1063"/>
      <c r="F98" s="670"/>
      <c r="G98" s="670"/>
      <c r="H98" s="670"/>
    </row>
    <row r="99" spans="1:8" ht="14.25">
      <c r="A99" s="689"/>
      <c r="B99" s="1064"/>
      <c r="E99" s="1063"/>
      <c r="F99" s="670"/>
      <c r="G99" s="670"/>
      <c r="H99" s="670"/>
    </row>
    <row r="100" spans="1:8" ht="14.25">
      <c r="A100" s="689"/>
      <c r="B100" s="1064"/>
      <c r="E100" s="1063"/>
      <c r="F100" s="670"/>
      <c r="G100" s="670"/>
      <c r="H100" s="670"/>
    </row>
    <row r="101" spans="1:8" ht="14.25">
      <c r="A101" s="689"/>
      <c r="B101" s="1064"/>
      <c r="E101" s="1063"/>
      <c r="F101" s="670"/>
      <c r="G101" s="670"/>
      <c r="H101" s="670"/>
    </row>
    <row r="102" spans="1:8" ht="14.25">
      <c r="A102" s="689"/>
      <c r="B102" s="1064"/>
      <c r="E102" s="1063"/>
      <c r="F102" s="670"/>
      <c r="G102" s="670"/>
      <c r="H102" s="670"/>
    </row>
    <row r="103" spans="1:8" ht="14.25">
      <c r="A103" s="689"/>
      <c r="B103" s="1064"/>
      <c r="E103" s="1063"/>
      <c r="F103" s="670"/>
      <c r="G103" s="670"/>
      <c r="H103" s="670"/>
    </row>
    <row r="104" spans="1:8" ht="14.25">
      <c r="A104" s="689"/>
      <c r="B104" s="1064"/>
      <c r="E104" s="1063"/>
      <c r="F104" s="670"/>
      <c r="G104" s="670"/>
      <c r="H104" s="670"/>
    </row>
    <row r="105" spans="1:8" ht="14.25">
      <c r="A105" s="689"/>
      <c r="B105" s="1064"/>
      <c r="E105" s="1063"/>
      <c r="F105" s="670"/>
      <c r="G105" s="670"/>
      <c r="H105" s="670"/>
    </row>
    <row r="106" spans="1:8" ht="14.25">
      <c r="A106" s="689"/>
      <c r="B106" s="1064"/>
      <c r="E106" s="1063"/>
      <c r="F106" s="670"/>
      <c r="G106" s="670"/>
      <c r="H106" s="670"/>
    </row>
    <row r="107" spans="1:8" ht="14.25">
      <c r="A107" s="689"/>
      <c r="B107" s="1064"/>
      <c r="E107" s="1063"/>
      <c r="F107" s="670"/>
      <c r="G107" s="670"/>
      <c r="H107" s="670"/>
    </row>
    <row r="108" spans="1:8" ht="14.25">
      <c r="A108" s="689"/>
      <c r="B108" s="1064"/>
      <c r="E108" s="1063"/>
      <c r="F108" s="670"/>
      <c r="G108" s="670"/>
      <c r="H108" s="670"/>
    </row>
    <row r="109" spans="1:8" ht="14.25">
      <c r="A109" s="689"/>
      <c r="B109" s="1064"/>
      <c r="E109" s="1063"/>
      <c r="F109" s="670"/>
      <c r="G109" s="670"/>
      <c r="H109" s="670"/>
    </row>
    <row r="110" spans="1:8" ht="14.25">
      <c r="A110" s="689"/>
      <c r="B110" s="1064"/>
      <c r="E110" s="1063"/>
      <c r="F110" s="670"/>
      <c r="G110" s="670"/>
      <c r="H110" s="670"/>
    </row>
    <row r="111" spans="1:8" ht="14.25">
      <c r="A111" s="689"/>
      <c r="B111" s="1064"/>
      <c r="E111" s="1063"/>
      <c r="F111" s="670"/>
      <c r="G111" s="670"/>
      <c r="H111" s="670"/>
    </row>
    <row r="112" spans="1:8" ht="14.25">
      <c r="A112" s="689"/>
      <c r="B112" s="1064"/>
      <c r="E112" s="1063"/>
      <c r="F112" s="670"/>
      <c r="G112" s="670"/>
      <c r="H112" s="670"/>
    </row>
    <row r="113" spans="1:8" ht="14.25">
      <c r="A113" s="689"/>
      <c r="B113" s="1064"/>
      <c r="E113" s="1063"/>
      <c r="F113" s="670"/>
      <c r="G113" s="670"/>
      <c r="H113" s="670"/>
    </row>
    <row r="114" spans="1:8" ht="14.25">
      <c r="A114" s="689"/>
      <c r="B114" s="1064"/>
      <c r="E114" s="1063"/>
      <c r="F114" s="670"/>
      <c r="G114" s="670"/>
      <c r="H114" s="670"/>
    </row>
    <row r="115" spans="1:8" ht="14.25">
      <c r="A115" s="689"/>
      <c r="B115" s="1064"/>
      <c r="E115" s="1063"/>
      <c r="F115" s="670"/>
      <c r="G115" s="670"/>
      <c r="H115" s="670"/>
    </row>
    <row r="116" spans="1:8" ht="14.25">
      <c r="A116" s="689"/>
      <c r="B116" s="1064"/>
      <c r="E116" s="1063"/>
      <c r="F116" s="670"/>
      <c r="G116" s="670"/>
      <c r="H116" s="670"/>
    </row>
    <row r="117" spans="1:8" ht="14.25">
      <c r="A117" s="689"/>
      <c r="B117" s="1064"/>
      <c r="E117" s="1063"/>
      <c r="F117" s="670"/>
      <c r="G117" s="670"/>
      <c r="H117" s="670"/>
    </row>
    <row r="118" spans="1:8" ht="14.25">
      <c r="A118" s="689"/>
      <c r="B118" s="1064"/>
      <c r="E118" s="1063"/>
      <c r="F118" s="670"/>
      <c r="G118" s="670"/>
      <c r="H118" s="670"/>
    </row>
    <row r="119" spans="1:8" ht="14.25">
      <c r="A119" s="689"/>
      <c r="B119" s="1064"/>
      <c r="E119" s="1063"/>
      <c r="F119" s="670"/>
      <c r="G119" s="670"/>
      <c r="H119" s="670"/>
    </row>
    <row r="120" spans="1:8" ht="14.25">
      <c r="A120" s="689"/>
      <c r="B120" s="1064"/>
      <c r="E120" s="1063"/>
      <c r="F120" s="670"/>
      <c r="G120" s="670"/>
      <c r="H120" s="670"/>
    </row>
    <row r="121" spans="1:8" ht="14.25">
      <c r="A121" s="689"/>
      <c r="B121" s="1064"/>
      <c r="E121" s="1063"/>
      <c r="F121" s="670"/>
      <c r="G121" s="670"/>
      <c r="H121" s="670"/>
    </row>
    <row r="122" spans="1:8" ht="14.25">
      <c r="A122" s="689"/>
      <c r="B122" s="1064"/>
      <c r="E122" s="1063"/>
      <c r="F122" s="670"/>
      <c r="G122" s="670"/>
      <c r="H122" s="670"/>
    </row>
    <row r="123" spans="1:8" ht="14.25">
      <c r="A123" s="689"/>
      <c r="B123" s="1064"/>
      <c r="E123" s="1063"/>
      <c r="F123" s="670"/>
      <c r="G123" s="670"/>
      <c r="H123" s="670"/>
    </row>
    <row r="124" spans="1:8" ht="14.25">
      <c r="A124" s="689"/>
      <c r="B124" s="1064"/>
      <c r="E124" s="1063"/>
      <c r="F124" s="670"/>
      <c r="G124" s="670"/>
      <c r="H124" s="670"/>
    </row>
    <row r="125" spans="1:8" ht="14.25">
      <c r="A125" s="689"/>
      <c r="B125" s="1064"/>
      <c r="E125" s="1063"/>
      <c r="F125" s="670"/>
      <c r="G125" s="670"/>
      <c r="H125" s="670"/>
    </row>
    <row r="126" spans="1:8" ht="14.25">
      <c r="A126" s="689"/>
      <c r="B126" s="1064"/>
      <c r="E126" s="1063"/>
      <c r="F126" s="670"/>
      <c r="G126" s="670"/>
      <c r="H126" s="670"/>
    </row>
    <row r="127" spans="1:8" ht="14.25">
      <c r="A127" s="689"/>
      <c r="B127" s="1064"/>
      <c r="E127" s="1063"/>
      <c r="F127" s="670"/>
      <c r="G127" s="670"/>
      <c r="H127" s="670"/>
    </row>
    <row r="128" spans="1:8" ht="14.25">
      <c r="A128" s="689"/>
      <c r="B128" s="1064"/>
      <c r="E128" s="1063"/>
      <c r="F128" s="670"/>
      <c r="G128" s="670"/>
      <c r="H128" s="670"/>
    </row>
    <row r="129" spans="1:8" ht="14.25">
      <c r="A129" s="689"/>
      <c r="B129" s="1064"/>
      <c r="E129" s="1063"/>
      <c r="F129" s="670"/>
      <c r="G129" s="670"/>
      <c r="H129" s="670"/>
    </row>
    <row r="130" spans="1:8" ht="14.25">
      <c r="A130" s="689"/>
      <c r="B130" s="1064"/>
      <c r="E130" s="1063"/>
      <c r="F130" s="670"/>
      <c r="G130" s="670"/>
      <c r="H130" s="670"/>
    </row>
    <row r="131" spans="1:8" ht="14.25">
      <c r="A131" s="689"/>
      <c r="B131" s="1064"/>
      <c r="E131" s="1063"/>
      <c r="F131" s="670"/>
      <c r="G131" s="670"/>
      <c r="H131" s="670"/>
    </row>
    <row r="132" spans="1:8" ht="14.25">
      <c r="A132" s="689"/>
      <c r="B132" s="1064"/>
      <c r="E132" s="1063"/>
      <c r="F132" s="670"/>
      <c r="G132" s="670"/>
      <c r="H132" s="670"/>
    </row>
    <row r="133" spans="1:8" ht="14.25">
      <c r="A133" s="689"/>
      <c r="B133" s="1064"/>
      <c r="E133" s="1063"/>
      <c r="F133" s="670"/>
      <c r="G133" s="670"/>
      <c r="H133" s="670"/>
    </row>
    <row r="134" spans="1:8" ht="14.25">
      <c r="A134" s="689"/>
      <c r="B134" s="1064"/>
      <c r="E134" s="1063"/>
      <c r="F134" s="670"/>
      <c r="G134" s="670"/>
      <c r="H134" s="670"/>
    </row>
    <row r="135" spans="1:8" ht="14.25">
      <c r="A135" s="689"/>
      <c r="B135" s="1064"/>
      <c r="E135" s="1063"/>
      <c r="F135" s="670"/>
      <c r="G135" s="670"/>
      <c r="H135" s="670"/>
    </row>
    <row r="136" spans="1:8" ht="14.25">
      <c r="A136" s="689"/>
      <c r="B136" s="1064"/>
      <c r="E136" s="1063"/>
      <c r="F136" s="670"/>
      <c r="G136" s="670"/>
      <c r="H136" s="670"/>
    </row>
    <row r="137" spans="1:8" ht="14.25">
      <c r="A137" s="689"/>
      <c r="B137" s="1064"/>
      <c r="E137" s="1063"/>
      <c r="F137" s="670"/>
      <c r="G137" s="670"/>
      <c r="H137" s="670"/>
    </row>
    <row r="138" spans="1:8" ht="14.25">
      <c r="A138" s="689"/>
      <c r="B138" s="1064"/>
      <c r="E138" s="1063"/>
      <c r="F138" s="670"/>
      <c r="G138" s="670"/>
      <c r="H138" s="670"/>
    </row>
    <row r="139" spans="1:8" ht="14.25">
      <c r="A139" s="689"/>
      <c r="B139" s="1064"/>
      <c r="E139" s="1063"/>
      <c r="F139" s="670"/>
      <c r="G139" s="670"/>
      <c r="H139" s="670"/>
    </row>
    <row r="140" spans="1:8" ht="14.25">
      <c r="A140" s="689"/>
      <c r="B140" s="1064"/>
      <c r="E140" s="1063"/>
      <c r="F140" s="670"/>
      <c r="G140" s="670"/>
      <c r="H140" s="670"/>
    </row>
    <row r="141" spans="1:8" ht="14.25">
      <c r="A141" s="689"/>
      <c r="B141" s="1064"/>
      <c r="E141" s="1063"/>
      <c r="F141" s="670"/>
      <c r="G141" s="670"/>
      <c r="H141" s="670"/>
    </row>
    <row r="142" spans="1:8" ht="14.25">
      <c r="A142" s="689"/>
      <c r="B142" s="1064"/>
      <c r="E142" s="1063"/>
      <c r="F142" s="670"/>
      <c r="G142" s="670"/>
      <c r="H142" s="670"/>
    </row>
    <row r="143" spans="1:8" ht="14.25">
      <c r="A143" s="689"/>
      <c r="B143" s="1064"/>
      <c r="E143" s="1063"/>
      <c r="F143" s="670"/>
      <c r="G143" s="670"/>
      <c r="H143" s="670"/>
    </row>
    <row r="144" spans="1:8" ht="14.25">
      <c r="A144" s="689"/>
      <c r="B144" s="1064"/>
      <c r="E144" s="1063"/>
      <c r="F144" s="670"/>
      <c r="G144" s="670"/>
      <c r="H144" s="670"/>
    </row>
    <row r="145" spans="1:8" ht="14.25">
      <c r="A145" s="689"/>
      <c r="B145" s="1064"/>
      <c r="E145" s="1063"/>
      <c r="F145" s="670"/>
      <c r="G145" s="670"/>
      <c r="H145" s="670"/>
    </row>
    <row r="146" spans="1:8" ht="14.25">
      <c r="A146" s="689"/>
      <c r="B146" s="1064"/>
      <c r="E146" s="1063"/>
      <c r="F146" s="670"/>
      <c r="G146" s="670"/>
      <c r="H146" s="670"/>
    </row>
    <row r="147" spans="1:8" ht="14.25">
      <c r="A147" s="689"/>
      <c r="B147" s="1064"/>
      <c r="E147" s="1063"/>
      <c r="F147" s="670"/>
      <c r="G147" s="670"/>
      <c r="H147" s="670"/>
    </row>
    <row r="148" spans="1:8" ht="14.25">
      <c r="A148" s="689"/>
      <c r="B148" s="1064"/>
      <c r="E148" s="1063"/>
      <c r="F148" s="670"/>
      <c r="G148" s="670"/>
      <c r="H148" s="670"/>
    </row>
    <row r="149" spans="1:8" ht="14.25">
      <c r="A149" s="689"/>
      <c r="B149" s="1064"/>
      <c r="E149" s="1063"/>
      <c r="F149" s="670"/>
      <c r="G149" s="670"/>
      <c r="H149" s="670"/>
    </row>
    <row r="150" spans="1:8" ht="14.25">
      <c r="A150" s="689"/>
      <c r="B150" s="1064"/>
      <c r="E150" s="1063"/>
      <c r="F150" s="670"/>
      <c r="G150" s="670"/>
      <c r="H150" s="670"/>
    </row>
    <row r="151" spans="1:8" ht="14.25">
      <c r="A151" s="689"/>
      <c r="B151" s="1064"/>
      <c r="E151" s="1063"/>
      <c r="F151" s="670"/>
      <c r="G151" s="670"/>
      <c r="H151" s="670"/>
    </row>
    <row r="152" spans="1:8" ht="14.25">
      <c r="A152" s="689"/>
      <c r="B152" s="1064"/>
      <c r="E152" s="1063"/>
      <c r="F152" s="670"/>
      <c r="G152" s="670"/>
      <c r="H152" s="670"/>
    </row>
    <row r="153" spans="1:8" ht="14.25">
      <c r="A153" s="689"/>
      <c r="B153" s="1064"/>
      <c r="E153" s="1063"/>
      <c r="F153" s="670"/>
      <c r="G153" s="670"/>
      <c r="H153" s="670"/>
    </row>
    <row r="154" spans="1:8" ht="14.25">
      <c r="A154" s="689"/>
      <c r="B154" s="1064"/>
      <c r="E154" s="1063"/>
      <c r="F154" s="670"/>
      <c r="G154" s="670"/>
      <c r="H154" s="670"/>
    </row>
    <row r="155" spans="1:8" ht="14.25">
      <c r="A155" s="689"/>
      <c r="B155" s="1064"/>
      <c r="E155" s="1063"/>
      <c r="F155" s="670"/>
      <c r="G155" s="670"/>
      <c r="H155" s="670"/>
    </row>
    <row r="156" spans="1:8" ht="14.25">
      <c r="A156" s="689"/>
      <c r="B156" s="1064"/>
      <c r="E156" s="1063"/>
      <c r="F156" s="670"/>
      <c r="G156" s="670"/>
      <c r="H156" s="670"/>
    </row>
    <row r="157" spans="1:8" ht="14.25">
      <c r="A157" s="689"/>
      <c r="B157" s="1064"/>
      <c r="E157" s="1063"/>
      <c r="F157" s="670"/>
      <c r="G157" s="670"/>
      <c r="H157" s="670"/>
    </row>
    <row r="158" spans="1:8" ht="14.25">
      <c r="A158" s="689"/>
      <c r="B158" s="1064"/>
      <c r="E158" s="1063"/>
      <c r="F158" s="670"/>
      <c r="G158" s="670"/>
      <c r="H158" s="670"/>
    </row>
    <row r="159" spans="1:8" ht="14.25">
      <c r="A159" s="689"/>
      <c r="B159" s="1064"/>
      <c r="E159" s="1063"/>
      <c r="F159" s="670"/>
      <c r="G159" s="670"/>
      <c r="H159" s="670"/>
    </row>
    <row r="160" spans="1:8" ht="14.25">
      <c r="A160" s="689"/>
      <c r="B160" s="1064"/>
      <c r="E160" s="1063"/>
      <c r="F160" s="670"/>
      <c r="G160" s="670"/>
      <c r="H160" s="670"/>
    </row>
    <row r="161" spans="2:8" ht="14.25">
      <c r="B161" s="1064"/>
      <c r="E161" s="1063"/>
      <c r="F161" s="670"/>
      <c r="G161" s="670"/>
      <c r="H161" s="670"/>
    </row>
    <row r="162" spans="2:8" ht="14.25">
      <c r="B162" s="1064"/>
      <c r="E162" s="1063"/>
      <c r="F162" s="670"/>
      <c r="G162" s="670"/>
      <c r="H162" s="670"/>
    </row>
    <row r="163" spans="2:8" ht="14.25">
      <c r="B163" s="1064"/>
      <c r="E163" s="1063"/>
      <c r="F163" s="670"/>
      <c r="G163" s="670"/>
      <c r="H163" s="670"/>
    </row>
    <row r="164" spans="2:8" ht="14.25">
      <c r="B164" s="1064"/>
      <c r="E164" s="1063"/>
      <c r="F164" s="670"/>
      <c r="G164" s="670"/>
      <c r="H164" s="670"/>
    </row>
    <row r="165" spans="2:8" ht="14.25">
      <c r="B165" s="1064"/>
      <c r="E165" s="1063"/>
      <c r="F165" s="670"/>
      <c r="G165" s="670"/>
      <c r="H165" s="670"/>
    </row>
    <row r="166" spans="2:8" ht="14.25">
      <c r="B166" s="1064"/>
      <c r="E166" s="1063"/>
      <c r="F166" s="670"/>
      <c r="G166" s="670"/>
      <c r="H166" s="670"/>
    </row>
    <row r="167" spans="2:8" ht="14.25">
      <c r="B167" s="1064"/>
      <c r="E167" s="1063"/>
      <c r="F167" s="670"/>
      <c r="G167" s="670"/>
      <c r="H167" s="670"/>
    </row>
    <row r="168" spans="2:8" ht="14.25">
      <c r="B168" s="1064"/>
      <c r="E168" s="1063"/>
      <c r="F168" s="670"/>
      <c r="G168" s="670"/>
      <c r="H168" s="670"/>
    </row>
    <row r="169" spans="2:8" ht="14.25">
      <c r="B169" s="1064"/>
      <c r="E169" s="1063"/>
      <c r="F169" s="670"/>
      <c r="G169" s="670"/>
      <c r="H169" s="670"/>
    </row>
    <row r="170" spans="2:8" ht="14.25">
      <c r="B170" s="1064"/>
      <c r="E170" s="1063"/>
      <c r="F170" s="670"/>
      <c r="G170" s="670"/>
      <c r="H170" s="670"/>
    </row>
    <row r="171" spans="2:8" ht="14.25">
      <c r="B171" s="1064"/>
      <c r="E171" s="1063"/>
      <c r="F171" s="670"/>
      <c r="G171" s="670"/>
      <c r="H171" s="670"/>
    </row>
    <row r="172" spans="2:8" ht="14.25">
      <c r="B172" s="1064"/>
      <c r="E172" s="1063"/>
      <c r="F172" s="670"/>
      <c r="G172" s="670"/>
      <c r="H172" s="670"/>
    </row>
    <row r="173" spans="2:8" ht="14.25">
      <c r="B173" s="1064"/>
      <c r="E173" s="1063"/>
      <c r="F173" s="670"/>
      <c r="G173" s="670"/>
      <c r="H173" s="670"/>
    </row>
    <row r="174" spans="2:8" ht="14.25">
      <c r="B174" s="1064"/>
      <c r="E174" s="1063"/>
      <c r="F174" s="670"/>
      <c r="G174" s="670"/>
      <c r="H174" s="670"/>
    </row>
    <row r="175" spans="2:8" ht="14.25">
      <c r="B175" s="1064"/>
      <c r="E175" s="1063"/>
      <c r="F175" s="670"/>
      <c r="G175" s="670"/>
      <c r="H175" s="670"/>
    </row>
    <row r="176" spans="2:8" ht="14.25">
      <c r="B176" s="1064"/>
      <c r="E176" s="1063"/>
      <c r="F176" s="670"/>
      <c r="G176" s="670"/>
      <c r="H176" s="670"/>
    </row>
    <row r="177" spans="2:8" ht="14.25">
      <c r="B177" s="1064"/>
      <c r="E177" s="1063"/>
      <c r="F177" s="670"/>
      <c r="G177" s="670"/>
      <c r="H177" s="670"/>
    </row>
    <row r="178" spans="2:8" ht="14.25">
      <c r="B178" s="1064"/>
      <c r="E178" s="1063"/>
      <c r="F178" s="670"/>
      <c r="G178" s="670"/>
      <c r="H178" s="670"/>
    </row>
    <row r="179" spans="2:8" ht="14.25">
      <c r="B179" s="1064"/>
      <c r="E179" s="1063"/>
      <c r="F179" s="670"/>
      <c r="G179" s="670"/>
      <c r="H179" s="670"/>
    </row>
    <row r="180" spans="2:8" ht="14.25">
      <c r="B180" s="1064"/>
      <c r="E180" s="1063"/>
      <c r="F180" s="670"/>
      <c r="G180" s="670"/>
      <c r="H180" s="670"/>
    </row>
    <row r="181" spans="2:8" ht="14.25">
      <c r="B181" s="1064"/>
      <c r="E181" s="1063"/>
      <c r="F181" s="670"/>
      <c r="G181" s="670"/>
      <c r="H181" s="670"/>
    </row>
    <row r="182" spans="2:8" ht="14.25">
      <c r="B182" s="1064"/>
      <c r="E182" s="1063"/>
      <c r="F182" s="670"/>
      <c r="G182" s="670"/>
      <c r="H182" s="670"/>
    </row>
    <row r="183" spans="2:8" ht="14.25">
      <c r="B183" s="1064"/>
      <c r="E183" s="1063"/>
      <c r="F183" s="670"/>
      <c r="G183" s="670"/>
      <c r="H183" s="670"/>
    </row>
    <row r="184" spans="2:8" ht="14.25">
      <c r="B184" s="1064"/>
      <c r="E184" s="1063"/>
      <c r="F184" s="670"/>
      <c r="G184" s="670"/>
      <c r="H184" s="670"/>
    </row>
    <row r="185" spans="2:8" ht="14.25">
      <c r="B185" s="1064"/>
      <c r="E185" s="1063"/>
      <c r="F185" s="670"/>
      <c r="G185" s="670"/>
      <c r="H185" s="670"/>
    </row>
    <row r="186" spans="2:8" ht="14.25">
      <c r="B186" s="1064"/>
      <c r="E186" s="1063"/>
      <c r="F186" s="670"/>
      <c r="G186" s="670"/>
      <c r="H186" s="670"/>
    </row>
    <row r="187" spans="2:8" ht="14.25">
      <c r="B187" s="1064"/>
      <c r="E187" s="1063"/>
      <c r="F187" s="670"/>
      <c r="G187" s="670"/>
      <c r="H187" s="670"/>
    </row>
    <row r="188" spans="2:8" ht="14.25">
      <c r="B188" s="1064"/>
      <c r="E188" s="1063"/>
      <c r="F188" s="670"/>
      <c r="G188" s="670"/>
      <c r="H188" s="670"/>
    </row>
    <row r="189" spans="2:8" ht="14.25">
      <c r="B189" s="1064"/>
      <c r="E189" s="1063"/>
      <c r="F189" s="670"/>
      <c r="G189" s="670"/>
      <c r="H189" s="670"/>
    </row>
    <row r="190" spans="2:8" ht="14.25">
      <c r="B190" s="1064"/>
      <c r="E190" s="1063"/>
      <c r="F190" s="670"/>
      <c r="G190" s="670"/>
      <c r="H190" s="670"/>
    </row>
    <row r="191" spans="2:8" ht="14.25">
      <c r="B191" s="1064"/>
      <c r="E191" s="1063"/>
      <c r="F191" s="670"/>
      <c r="G191" s="670"/>
      <c r="H191" s="670"/>
    </row>
    <row r="192" spans="2:8" ht="14.25">
      <c r="B192" s="1064"/>
      <c r="E192" s="1063"/>
      <c r="F192" s="670"/>
      <c r="G192" s="670"/>
      <c r="H192" s="670"/>
    </row>
    <row r="193" spans="2:8" ht="14.25">
      <c r="B193" s="1064"/>
      <c r="E193" s="1063"/>
      <c r="F193" s="670"/>
      <c r="G193" s="670"/>
      <c r="H193" s="670"/>
    </row>
    <row r="194" spans="2:8" ht="14.25">
      <c r="B194" s="1064"/>
      <c r="E194" s="1063"/>
      <c r="F194" s="670"/>
      <c r="G194" s="670"/>
      <c r="H194" s="670"/>
    </row>
    <row r="195" spans="2:8" ht="14.25">
      <c r="B195" s="1064"/>
      <c r="E195" s="1063"/>
      <c r="F195" s="670"/>
      <c r="G195" s="670"/>
      <c r="H195" s="670"/>
    </row>
    <row r="196" spans="2:8" ht="14.25">
      <c r="B196" s="1064"/>
      <c r="E196" s="1063"/>
      <c r="F196" s="670"/>
      <c r="G196" s="670"/>
      <c r="H196" s="670"/>
    </row>
    <row r="197" spans="2:8" ht="14.25">
      <c r="B197" s="1064"/>
      <c r="E197" s="1063"/>
      <c r="F197" s="670"/>
      <c r="G197" s="670"/>
      <c r="H197" s="670"/>
    </row>
    <row r="198" spans="2:8" ht="14.25">
      <c r="B198" s="1064"/>
      <c r="E198" s="1063"/>
      <c r="F198" s="670"/>
      <c r="G198" s="670"/>
      <c r="H198" s="670"/>
    </row>
    <row r="199" spans="2:8" ht="14.25">
      <c r="B199" s="1064"/>
      <c r="E199" s="1063"/>
      <c r="F199" s="670"/>
      <c r="G199" s="670"/>
      <c r="H199" s="670"/>
    </row>
    <row r="200" spans="2:8" ht="14.25">
      <c r="B200" s="1064"/>
      <c r="E200" s="1063"/>
      <c r="F200" s="670"/>
      <c r="G200" s="670"/>
      <c r="H200" s="670"/>
    </row>
    <row r="201" spans="2:8" ht="14.25">
      <c r="B201" s="1064"/>
      <c r="E201" s="1063"/>
      <c r="F201" s="670"/>
      <c r="G201" s="670"/>
      <c r="H201" s="670"/>
    </row>
    <row r="202" spans="2:8" ht="14.25">
      <c r="B202" s="1064"/>
      <c r="E202" s="1063"/>
      <c r="F202" s="670"/>
      <c r="G202" s="670"/>
      <c r="H202" s="670"/>
    </row>
    <row r="203" spans="2:8" ht="14.25">
      <c r="B203" s="1064"/>
      <c r="E203" s="1063"/>
      <c r="F203" s="670"/>
      <c r="G203" s="670"/>
      <c r="H203" s="670"/>
    </row>
    <row r="204" spans="2:8" ht="14.25">
      <c r="B204" s="1064"/>
      <c r="E204" s="1063"/>
      <c r="F204" s="670"/>
      <c r="G204" s="670"/>
      <c r="H204" s="670"/>
    </row>
    <row r="205" spans="2:8" ht="14.25">
      <c r="B205" s="1064"/>
      <c r="E205" s="1063"/>
      <c r="F205" s="670"/>
      <c r="G205" s="670"/>
      <c r="H205" s="670"/>
    </row>
    <row r="206" spans="2:8" ht="14.25">
      <c r="B206" s="1064"/>
      <c r="E206" s="1063"/>
      <c r="F206" s="670"/>
      <c r="G206" s="670"/>
      <c r="H206" s="670"/>
    </row>
    <row r="207" spans="2:8" ht="14.25">
      <c r="B207" s="1064"/>
      <c r="E207" s="1063"/>
      <c r="F207" s="670"/>
      <c r="G207" s="670"/>
      <c r="H207" s="670"/>
    </row>
    <row r="208" spans="2:8" ht="14.25">
      <c r="B208" s="1064"/>
      <c r="E208" s="1063"/>
      <c r="F208" s="670"/>
      <c r="G208" s="670"/>
      <c r="H208" s="670"/>
    </row>
    <row r="209" spans="2:8" ht="14.25">
      <c r="B209" s="1064"/>
      <c r="E209" s="1063"/>
      <c r="F209" s="670"/>
      <c r="G209" s="670"/>
      <c r="H209" s="670"/>
    </row>
    <row r="210" spans="2:8" ht="14.25">
      <c r="B210" s="1064"/>
      <c r="E210" s="1063"/>
      <c r="F210" s="670"/>
      <c r="G210" s="670"/>
      <c r="H210" s="670"/>
    </row>
    <row r="211" spans="2:8" ht="14.25">
      <c r="B211" s="1064"/>
      <c r="E211" s="1063"/>
      <c r="F211" s="670"/>
      <c r="G211" s="670"/>
      <c r="H211" s="670"/>
    </row>
    <row r="212" spans="2:8" ht="14.25">
      <c r="B212" s="1064"/>
      <c r="E212" s="1063"/>
      <c r="F212" s="670"/>
      <c r="G212" s="670"/>
      <c r="H212" s="670"/>
    </row>
    <row r="213" spans="2:8" ht="14.25">
      <c r="B213" s="1064"/>
      <c r="E213" s="1063"/>
      <c r="F213" s="670"/>
      <c r="G213" s="670"/>
      <c r="H213" s="670"/>
    </row>
    <row r="214" spans="2:8" ht="14.25">
      <c r="B214" s="1064"/>
      <c r="E214" s="1063"/>
      <c r="F214" s="670"/>
      <c r="G214" s="670"/>
      <c r="H214" s="670"/>
    </row>
    <row r="215" spans="2:8" ht="14.25">
      <c r="B215" s="1064"/>
      <c r="E215" s="1063"/>
      <c r="F215" s="670"/>
      <c r="G215" s="670"/>
      <c r="H215" s="670"/>
    </row>
    <row r="216" spans="2:8" ht="14.25">
      <c r="B216" s="1064"/>
      <c r="E216" s="1063"/>
      <c r="F216" s="670"/>
      <c r="G216" s="670"/>
      <c r="H216" s="670"/>
    </row>
    <row r="217" spans="2:8" ht="14.25">
      <c r="B217" s="1064"/>
      <c r="E217" s="1063"/>
      <c r="F217" s="670"/>
      <c r="G217" s="670"/>
      <c r="H217" s="670"/>
    </row>
    <row r="218" spans="2:8" ht="14.25">
      <c r="B218" s="1064"/>
      <c r="E218" s="1063"/>
      <c r="F218" s="670"/>
      <c r="G218" s="670"/>
      <c r="H218" s="670"/>
    </row>
    <row r="219" spans="2:8" ht="14.25">
      <c r="B219" s="1064"/>
      <c r="E219" s="1063"/>
      <c r="F219" s="670"/>
      <c r="G219" s="670"/>
      <c r="H219" s="670"/>
    </row>
    <row r="220" spans="2:8" ht="14.25">
      <c r="B220" s="1064"/>
      <c r="E220" s="1063"/>
      <c r="F220" s="670"/>
      <c r="G220" s="670"/>
      <c r="H220" s="670"/>
    </row>
    <row r="221" spans="2:8" ht="14.25">
      <c r="B221" s="1064"/>
      <c r="E221" s="1063"/>
      <c r="F221" s="670"/>
      <c r="G221" s="670"/>
      <c r="H221" s="670"/>
    </row>
    <row r="222" spans="2:8" ht="14.25">
      <c r="B222" s="1064"/>
      <c r="E222" s="1063"/>
      <c r="F222" s="670"/>
      <c r="G222" s="670"/>
      <c r="H222" s="670"/>
    </row>
    <row r="223" spans="2:8" ht="14.25">
      <c r="B223" s="1064"/>
      <c r="E223" s="1063"/>
      <c r="F223" s="670"/>
      <c r="G223" s="670"/>
      <c r="H223" s="670"/>
    </row>
    <row r="224" spans="2:8" ht="14.25">
      <c r="B224" s="1064"/>
      <c r="E224" s="1063"/>
      <c r="F224" s="670"/>
      <c r="G224" s="670"/>
      <c r="H224" s="670"/>
    </row>
    <row r="225" spans="2:8" ht="14.25">
      <c r="B225" s="1064"/>
      <c r="E225" s="1063"/>
      <c r="F225" s="670"/>
      <c r="G225" s="670"/>
      <c r="H225" s="670"/>
    </row>
    <row r="226" spans="2:8" ht="14.25">
      <c r="B226" s="1064"/>
      <c r="E226" s="1063"/>
      <c r="F226" s="670"/>
      <c r="G226" s="670"/>
      <c r="H226" s="670"/>
    </row>
    <row r="227" spans="2:8" ht="14.25">
      <c r="B227" s="1064"/>
      <c r="E227" s="1063"/>
      <c r="F227" s="670"/>
      <c r="G227" s="670"/>
      <c r="H227" s="670"/>
    </row>
    <row r="228" spans="2:8" ht="14.25">
      <c r="B228" s="1064"/>
      <c r="E228" s="1063"/>
      <c r="F228" s="670"/>
      <c r="G228" s="670"/>
      <c r="H228" s="670"/>
    </row>
    <row r="229" spans="2:8" ht="14.25">
      <c r="B229" s="1064"/>
      <c r="E229" s="1063"/>
      <c r="F229" s="670"/>
      <c r="G229" s="670"/>
      <c r="H229" s="670"/>
    </row>
    <row r="230" spans="2:8" ht="14.25">
      <c r="B230" s="1064"/>
      <c r="E230" s="1063"/>
      <c r="F230" s="670"/>
      <c r="G230" s="670"/>
      <c r="H230" s="670"/>
    </row>
    <row r="231" spans="2:8" ht="14.25">
      <c r="B231" s="1064"/>
      <c r="E231" s="1063"/>
      <c r="F231" s="670"/>
      <c r="G231" s="670"/>
      <c r="H231" s="670"/>
    </row>
    <row r="232" spans="2:8" ht="14.25">
      <c r="B232" s="1064"/>
      <c r="E232" s="1063"/>
      <c r="F232" s="670"/>
      <c r="G232" s="670"/>
      <c r="H232" s="670"/>
    </row>
    <row r="233" spans="2:8" ht="14.25">
      <c r="B233" s="1064"/>
      <c r="E233" s="1063"/>
      <c r="F233" s="670"/>
      <c r="G233" s="670"/>
      <c r="H233" s="670"/>
    </row>
    <row r="234" spans="2:8" ht="14.25">
      <c r="B234" s="1064"/>
      <c r="E234" s="1063"/>
      <c r="F234" s="670"/>
      <c r="G234" s="670"/>
      <c r="H234" s="670"/>
    </row>
    <row r="235" spans="2:8" ht="14.25">
      <c r="B235" s="1064"/>
      <c r="E235" s="1063"/>
      <c r="F235" s="670"/>
      <c r="G235" s="670"/>
      <c r="H235" s="670"/>
    </row>
    <row r="236" spans="2:8" ht="14.25">
      <c r="B236" s="1064"/>
      <c r="E236" s="1063"/>
      <c r="F236" s="670"/>
      <c r="G236" s="670"/>
      <c r="H236" s="670"/>
    </row>
    <row r="237" spans="2:8" ht="14.25">
      <c r="B237" s="1064"/>
      <c r="E237" s="1063"/>
      <c r="F237" s="670"/>
      <c r="G237" s="670"/>
      <c r="H237" s="670"/>
    </row>
    <row r="238" spans="2:8" ht="14.25">
      <c r="B238" s="1064"/>
      <c r="E238" s="1063"/>
      <c r="F238" s="670"/>
      <c r="G238" s="670"/>
      <c r="H238" s="670"/>
    </row>
    <row r="239" spans="2:8" ht="14.25">
      <c r="B239" s="1064"/>
      <c r="E239" s="1063"/>
      <c r="F239" s="670"/>
      <c r="G239" s="670"/>
      <c r="H239" s="670"/>
    </row>
    <row r="240" spans="2:8" ht="14.25">
      <c r="B240" s="1064"/>
      <c r="E240" s="1063"/>
      <c r="F240" s="670"/>
      <c r="G240" s="670"/>
      <c r="H240" s="670"/>
    </row>
    <row r="241" spans="2:8" ht="14.25">
      <c r="B241" s="1064"/>
      <c r="E241" s="1063"/>
      <c r="F241" s="670"/>
      <c r="G241" s="670"/>
      <c r="H241" s="670"/>
    </row>
    <row r="242" spans="2:8" ht="14.25">
      <c r="B242" s="1064"/>
      <c r="E242" s="1063"/>
      <c r="F242" s="670"/>
      <c r="G242" s="670"/>
      <c r="H242" s="670"/>
    </row>
    <row r="243" spans="2:8" ht="14.25">
      <c r="B243" s="1064"/>
      <c r="E243" s="1063"/>
      <c r="F243" s="670"/>
      <c r="G243" s="670"/>
      <c r="H243" s="670"/>
    </row>
    <row r="244" spans="2:8" ht="14.25">
      <c r="B244" s="1064"/>
      <c r="E244" s="1063"/>
      <c r="F244" s="670"/>
      <c r="G244" s="670"/>
      <c r="H244" s="670"/>
    </row>
    <row r="245" spans="2:8" ht="14.25">
      <c r="B245" s="1064"/>
      <c r="E245" s="1063"/>
      <c r="F245" s="670"/>
      <c r="G245" s="670"/>
      <c r="H245" s="670"/>
    </row>
    <row r="246" spans="2:8" ht="14.25">
      <c r="B246" s="1064"/>
      <c r="E246" s="1063"/>
      <c r="F246" s="670"/>
      <c r="G246" s="670"/>
      <c r="H246" s="670"/>
    </row>
    <row r="247" spans="2:8" ht="14.25">
      <c r="B247" s="1064"/>
      <c r="E247" s="1063"/>
      <c r="F247" s="670"/>
      <c r="G247" s="670"/>
      <c r="H247" s="670"/>
    </row>
    <row r="248" spans="2:8" ht="14.25">
      <c r="B248" s="1064"/>
      <c r="E248" s="1063"/>
      <c r="F248" s="670"/>
      <c r="G248" s="670"/>
      <c r="H248" s="670"/>
    </row>
    <row r="249" spans="2:8" ht="14.25">
      <c r="B249" s="1064"/>
      <c r="E249" s="1063"/>
      <c r="F249" s="670"/>
      <c r="G249" s="670"/>
      <c r="H249" s="670"/>
    </row>
    <row r="250" spans="2:8" ht="14.25">
      <c r="B250" s="1064"/>
      <c r="E250" s="1063"/>
      <c r="F250" s="670"/>
      <c r="G250" s="670"/>
      <c r="H250" s="670"/>
    </row>
    <row r="251" spans="2:8" ht="14.25">
      <c r="B251" s="1064"/>
      <c r="E251" s="1063"/>
      <c r="F251" s="670"/>
      <c r="G251" s="670"/>
      <c r="H251" s="670"/>
    </row>
    <row r="252" spans="2:8" ht="14.25">
      <c r="B252" s="1064"/>
      <c r="E252" s="1063"/>
      <c r="F252" s="670"/>
      <c r="G252" s="670"/>
      <c r="H252" s="670"/>
    </row>
    <row r="253" spans="2:8" ht="14.25">
      <c r="B253" s="1064"/>
      <c r="E253" s="1063"/>
      <c r="F253" s="670"/>
      <c r="G253" s="670"/>
      <c r="H253" s="670"/>
    </row>
    <row r="254" spans="2:8" ht="14.25">
      <c r="B254" s="1064"/>
      <c r="E254" s="1063"/>
      <c r="F254" s="670"/>
      <c r="G254" s="670"/>
      <c r="H254" s="670"/>
    </row>
    <row r="255" spans="2:8" ht="14.25">
      <c r="B255" s="1064"/>
      <c r="E255" s="1063"/>
      <c r="F255" s="670"/>
      <c r="G255" s="670"/>
      <c r="H255" s="670"/>
    </row>
    <row r="256" spans="2:8" ht="14.25">
      <c r="B256" s="1064"/>
      <c r="E256" s="1063"/>
      <c r="F256" s="670"/>
      <c r="G256" s="670"/>
      <c r="H256" s="670"/>
    </row>
    <row r="257" spans="2:8" ht="14.25">
      <c r="B257" s="1064"/>
      <c r="E257" s="1063"/>
      <c r="F257" s="670"/>
      <c r="G257" s="670"/>
      <c r="H257" s="670"/>
    </row>
    <row r="258" spans="2:8" ht="14.25">
      <c r="B258" s="1064"/>
      <c r="E258" s="1063"/>
      <c r="F258" s="670"/>
      <c r="G258" s="670"/>
      <c r="H258" s="670"/>
    </row>
    <row r="259" spans="2:8" ht="14.25">
      <c r="B259" s="1064"/>
      <c r="E259" s="1063"/>
      <c r="F259" s="670"/>
      <c r="G259" s="670"/>
      <c r="H259" s="670"/>
    </row>
    <row r="260" spans="2:8" ht="14.25">
      <c r="B260" s="1064"/>
      <c r="E260" s="1063"/>
      <c r="F260" s="670"/>
      <c r="G260" s="670"/>
      <c r="H260" s="670"/>
    </row>
    <row r="261" spans="2:8" ht="14.25">
      <c r="B261" s="1064"/>
      <c r="E261" s="1063"/>
      <c r="F261" s="670"/>
      <c r="G261" s="670"/>
      <c r="H261" s="670"/>
    </row>
    <row r="262" spans="2:8" ht="14.25">
      <c r="B262" s="1064"/>
      <c r="E262" s="1063"/>
      <c r="F262" s="670"/>
      <c r="G262" s="670"/>
      <c r="H262" s="670"/>
    </row>
    <row r="263" spans="2:8" ht="14.25">
      <c r="B263" s="1064"/>
      <c r="E263" s="1063"/>
      <c r="F263" s="670"/>
      <c r="G263" s="670"/>
      <c r="H263" s="670"/>
    </row>
    <row r="264" spans="2:8" ht="14.25">
      <c r="B264" s="1064"/>
      <c r="E264" s="1063"/>
      <c r="F264" s="670"/>
      <c r="G264" s="670"/>
      <c r="H264" s="670"/>
    </row>
    <row r="265" spans="2:8" ht="14.25">
      <c r="B265" s="1064"/>
      <c r="E265" s="1063"/>
      <c r="F265" s="670"/>
      <c r="G265" s="670"/>
      <c r="H265" s="670"/>
    </row>
    <row r="266" spans="2:8" ht="14.25">
      <c r="B266" s="1064"/>
      <c r="E266" s="1063"/>
      <c r="F266" s="670"/>
      <c r="G266" s="670"/>
      <c r="H266" s="670"/>
    </row>
    <row r="267" spans="2:8" ht="14.25">
      <c r="B267" s="1064"/>
      <c r="E267" s="1063"/>
      <c r="F267" s="670"/>
      <c r="G267" s="670"/>
      <c r="H267" s="670"/>
    </row>
    <row r="268" spans="2:8" ht="14.25">
      <c r="B268" s="1064"/>
      <c r="E268" s="1063"/>
      <c r="F268" s="670"/>
      <c r="G268" s="670"/>
      <c r="H268" s="670"/>
    </row>
    <row r="269" spans="2:8" ht="14.25">
      <c r="B269" s="1064"/>
      <c r="E269" s="1063"/>
      <c r="F269" s="670"/>
      <c r="G269" s="670"/>
      <c r="H269" s="670"/>
    </row>
    <row r="270" spans="2:8" ht="14.25">
      <c r="B270" s="1064"/>
      <c r="E270" s="1063"/>
      <c r="F270" s="670"/>
      <c r="G270" s="670"/>
      <c r="H270" s="670"/>
    </row>
    <row r="271" spans="2:8" ht="14.25">
      <c r="B271" s="1064"/>
      <c r="E271" s="1063"/>
      <c r="F271" s="670"/>
      <c r="G271" s="670"/>
      <c r="H271" s="670"/>
    </row>
    <row r="272" spans="2:8" ht="14.25">
      <c r="B272" s="1064"/>
      <c r="E272" s="1063"/>
      <c r="F272" s="670"/>
      <c r="G272" s="670"/>
      <c r="H272" s="670"/>
    </row>
    <row r="273" spans="2:8" ht="14.25">
      <c r="B273" s="1064"/>
      <c r="E273" s="1063"/>
      <c r="F273" s="670"/>
      <c r="G273" s="670"/>
      <c r="H273" s="670"/>
    </row>
    <row r="274" spans="2:8" ht="14.25">
      <c r="B274" s="1064"/>
      <c r="E274" s="1063"/>
      <c r="F274" s="670"/>
      <c r="G274" s="670"/>
      <c r="H274" s="670"/>
    </row>
    <row r="275" spans="2:8" ht="14.25">
      <c r="B275" s="1064"/>
      <c r="E275" s="1063"/>
      <c r="F275" s="670"/>
      <c r="G275" s="670"/>
      <c r="H275" s="670"/>
    </row>
    <row r="276" spans="2:8" ht="14.25">
      <c r="B276" s="1064"/>
      <c r="E276" s="1063"/>
      <c r="F276" s="670"/>
      <c r="G276" s="670"/>
      <c r="H276" s="670"/>
    </row>
    <row r="277" spans="2:8" ht="14.25">
      <c r="B277" s="1064"/>
      <c r="E277" s="1063"/>
      <c r="F277" s="670"/>
      <c r="G277" s="670"/>
      <c r="H277" s="670"/>
    </row>
    <row r="278" spans="2:8" ht="14.25">
      <c r="B278" s="1064"/>
      <c r="E278" s="1063"/>
      <c r="F278" s="670"/>
      <c r="G278" s="670"/>
      <c r="H278" s="670"/>
    </row>
    <row r="279" spans="2:8" ht="14.25">
      <c r="B279" s="1064"/>
      <c r="E279" s="1063"/>
      <c r="F279" s="670"/>
      <c r="G279" s="670"/>
      <c r="H279" s="670"/>
    </row>
    <row r="280" spans="2:8" ht="14.25">
      <c r="B280" s="1064"/>
      <c r="E280" s="1063"/>
      <c r="F280" s="670"/>
      <c r="G280" s="670"/>
      <c r="H280" s="670"/>
    </row>
    <row r="281" spans="2:8" ht="14.25">
      <c r="B281" s="1064"/>
      <c r="E281" s="1063"/>
      <c r="F281" s="670"/>
      <c r="G281" s="670"/>
      <c r="H281" s="670"/>
    </row>
    <row r="282" spans="2:8" ht="14.25">
      <c r="B282" s="1064"/>
      <c r="E282" s="1063"/>
      <c r="F282" s="670"/>
      <c r="G282" s="670"/>
      <c r="H282" s="670"/>
    </row>
    <row r="283" spans="2:8" ht="14.25">
      <c r="B283" s="1064"/>
      <c r="E283" s="1063"/>
      <c r="F283" s="670"/>
      <c r="G283" s="670"/>
      <c r="H283" s="670"/>
    </row>
    <row r="284" spans="2:8" ht="14.25">
      <c r="B284" s="1064"/>
      <c r="E284" s="1063"/>
      <c r="F284" s="670"/>
      <c r="G284" s="670"/>
      <c r="H284" s="670"/>
    </row>
    <row r="285" spans="2:8" ht="14.25">
      <c r="B285" s="1064"/>
      <c r="E285" s="1063"/>
      <c r="F285" s="670"/>
      <c r="G285" s="670"/>
      <c r="H285" s="670"/>
    </row>
    <row r="286" spans="2:8" ht="14.25">
      <c r="B286" s="1064"/>
      <c r="E286" s="1063"/>
      <c r="F286" s="670"/>
      <c r="G286" s="670"/>
      <c r="H286" s="670"/>
    </row>
    <row r="287" spans="2:8" ht="14.25">
      <c r="B287" s="1064"/>
      <c r="E287" s="1063"/>
      <c r="F287" s="670"/>
      <c r="G287" s="670"/>
      <c r="H287" s="670"/>
    </row>
    <row r="288" spans="2:8" ht="14.25">
      <c r="B288" s="1064"/>
      <c r="E288" s="1063"/>
      <c r="F288" s="670"/>
      <c r="G288" s="670"/>
      <c r="H288" s="670"/>
    </row>
    <row r="289" spans="2:8" ht="14.25">
      <c r="B289" s="1064"/>
      <c r="E289" s="1063"/>
      <c r="F289" s="670"/>
      <c r="G289" s="670"/>
      <c r="H289" s="670"/>
    </row>
    <row r="290" spans="2:8" ht="14.25">
      <c r="B290" s="1064"/>
      <c r="E290" s="1063"/>
      <c r="F290" s="670"/>
      <c r="G290" s="670"/>
      <c r="H290" s="670"/>
    </row>
    <row r="291" spans="2:8" ht="14.25">
      <c r="B291" s="1064"/>
      <c r="E291" s="1063"/>
      <c r="F291" s="670"/>
      <c r="G291" s="670"/>
      <c r="H291" s="670"/>
    </row>
    <row r="292" spans="2:8" ht="14.25">
      <c r="B292" s="1064"/>
      <c r="E292" s="1063"/>
      <c r="F292" s="670"/>
      <c r="G292" s="670"/>
      <c r="H292" s="670"/>
    </row>
    <row r="293" spans="2:8" ht="14.25">
      <c r="B293" s="1064"/>
      <c r="E293" s="1063"/>
      <c r="F293" s="670"/>
      <c r="G293" s="670"/>
      <c r="H293" s="670"/>
    </row>
    <row r="294" spans="2:8" ht="14.25">
      <c r="B294" s="1064"/>
      <c r="E294" s="1063"/>
      <c r="F294" s="670"/>
      <c r="G294" s="670"/>
      <c r="H294" s="670"/>
    </row>
    <row r="295" spans="2:8" ht="14.25">
      <c r="B295" s="1064"/>
      <c r="E295" s="1063"/>
      <c r="F295" s="670"/>
      <c r="G295" s="670"/>
      <c r="H295" s="670"/>
    </row>
    <row r="296" spans="2:8" ht="14.25">
      <c r="B296" s="1064"/>
      <c r="E296" s="1063"/>
      <c r="F296" s="670"/>
      <c r="G296" s="670"/>
      <c r="H296" s="670"/>
    </row>
    <row r="297" spans="2:8" ht="14.25">
      <c r="B297" s="1064"/>
      <c r="E297" s="1063"/>
      <c r="F297" s="670"/>
      <c r="G297" s="670"/>
      <c r="H297" s="670"/>
    </row>
    <row r="298" spans="2:8" ht="14.25">
      <c r="B298" s="1064"/>
      <c r="E298" s="1063"/>
      <c r="F298" s="670"/>
      <c r="G298" s="670"/>
      <c r="H298" s="670"/>
    </row>
    <row r="299" spans="2:8" ht="14.25">
      <c r="B299" s="1064"/>
      <c r="E299" s="1063"/>
      <c r="F299" s="670"/>
      <c r="G299" s="670"/>
      <c r="H299" s="670"/>
    </row>
    <row r="300" spans="2:8" ht="14.25">
      <c r="B300" s="1064"/>
      <c r="E300" s="1063"/>
      <c r="F300" s="670"/>
      <c r="G300" s="670"/>
      <c r="H300" s="670"/>
    </row>
    <row r="301" spans="2:8" ht="14.25">
      <c r="B301" s="1064"/>
      <c r="E301" s="1063"/>
      <c r="F301" s="670"/>
      <c r="G301" s="670"/>
      <c r="H301" s="670"/>
    </row>
    <row r="302" spans="2:8" ht="14.25">
      <c r="B302" s="1064"/>
      <c r="E302" s="1063"/>
      <c r="F302" s="670"/>
      <c r="G302" s="670"/>
      <c r="H302" s="670"/>
    </row>
    <row r="303" spans="2:8" ht="14.25">
      <c r="B303" s="1064"/>
      <c r="E303" s="1063"/>
      <c r="F303" s="670"/>
      <c r="G303" s="670"/>
      <c r="H303" s="670"/>
    </row>
    <row r="304" spans="2:8" ht="14.25">
      <c r="B304" s="1064"/>
      <c r="E304" s="1063"/>
      <c r="F304" s="670"/>
      <c r="G304" s="670"/>
      <c r="H304" s="670"/>
    </row>
    <row r="305" spans="2:8" ht="14.25">
      <c r="B305" s="1064"/>
      <c r="E305" s="1063"/>
      <c r="F305" s="670"/>
      <c r="G305" s="670"/>
      <c r="H305" s="670"/>
    </row>
    <row r="306" spans="2:8" ht="14.25">
      <c r="B306" s="1064"/>
      <c r="E306" s="1063"/>
      <c r="F306" s="670"/>
      <c r="G306" s="670"/>
      <c r="H306" s="670"/>
    </row>
    <row r="307" spans="2:8" ht="14.25">
      <c r="B307" s="1064"/>
      <c r="E307" s="1063"/>
      <c r="F307" s="670"/>
      <c r="G307" s="670"/>
      <c r="H307" s="670"/>
    </row>
    <row r="308" spans="2:8" ht="14.25">
      <c r="B308" s="1064"/>
      <c r="E308" s="1063"/>
      <c r="F308" s="670"/>
      <c r="G308" s="670"/>
      <c r="H308" s="670"/>
    </row>
    <row r="309" spans="2:8" ht="14.25">
      <c r="B309" s="1064"/>
      <c r="E309" s="1063"/>
      <c r="F309" s="670"/>
      <c r="G309" s="670"/>
      <c r="H309" s="670"/>
    </row>
    <row r="310" spans="2:8" ht="14.25">
      <c r="B310" s="1064"/>
      <c r="E310" s="1063"/>
      <c r="F310" s="670"/>
      <c r="G310" s="670"/>
      <c r="H310" s="670"/>
    </row>
    <row r="311" spans="2:8" ht="14.25">
      <c r="B311" s="1064"/>
      <c r="E311" s="1063"/>
      <c r="F311" s="670"/>
      <c r="G311" s="670"/>
      <c r="H311" s="670"/>
    </row>
    <row r="312" spans="2:8" ht="14.25">
      <c r="B312" s="1064"/>
      <c r="E312" s="1063"/>
      <c r="F312" s="670"/>
      <c r="G312" s="670"/>
      <c r="H312" s="670"/>
    </row>
    <row r="313" spans="2:8" ht="14.25">
      <c r="B313" s="1064"/>
      <c r="E313" s="1063"/>
      <c r="F313" s="670"/>
      <c r="G313" s="670"/>
      <c r="H313" s="670"/>
    </row>
    <row r="314" spans="2:8" ht="14.25">
      <c r="B314" s="1064"/>
      <c r="E314" s="1063"/>
      <c r="F314" s="670"/>
      <c r="G314" s="670"/>
      <c r="H314" s="670"/>
    </row>
    <row r="315" spans="2:8" ht="14.25">
      <c r="B315" s="1064"/>
      <c r="E315" s="1063"/>
      <c r="F315" s="670"/>
      <c r="G315" s="670"/>
      <c r="H315" s="670"/>
    </row>
    <row r="316" spans="2:8" ht="14.25">
      <c r="B316" s="1064"/>
      <c r="E316" s="1063"/>
      <c r="F316" s="670"/>
      <c r="G316" s="670"/>
      <c r="H316" s="670"/>
    </row>
    <row r="317" spans="2:8" ht="14.25">
      <c r="B317" s="1064"/>
      <c r="E317" s="1063"/>
      <c r="F317" s="670"/>
      <c r="G317" s="670"/>
      <c r="H317" s="670"/>
    </row>
    <row r="318" spans="2:8" ht="14.25">
      <c r="B318" s="1064"/>
      <c r="E318" s="1063"/>
      <c r="F318" s="670"/>
      <c r="G318" s="670"/>
      <c r="H318" s="670"/>
    </row>
    <row r="319" spans="2:8" ht="14.25">
      <c r="B319" s="1064"/>
      <c r="E319" s="1063"/>
      <c r="F319" s="670"/>
      <c r="G319" s="670"/>
      <c r="H319" s="670"/>
    </row>
    <row r="320" spans="2:8" ht="14.25">
      <c r="B320" s="1064"/>
      <c r="E320" s="1063"/>
      <c r="F320" s="670"/>
      <c r="G320" s="670"/>
      <c r="H320" s="670"/>
    </row>
    <row r="321" spans="2:8" ht="14.25">
      <c r="B321" s="1064"/>
      <c r="E321" s="1063"/>
      <c r="F321" s="670"/>
      <c r="G321" s="670"/>
      <c r="H321" s="670"/>
    </row>
    <row r="322" spans="2:8" ht="14.25">
      <c r="B322" s="1064"/>
      <c r="E322" s="1063"/>
      <c r="F322" s="670"/>
      <c r="G322" s="670"/>
      <c r="H322" s="670"/>
    </row>
    <row r="323" spans="2:8" ht="14.25">
      <c r="B323" s="1064"/>
      <c r="E323" s="1063"/>
      <c r="F323" s="670"/>
      <c r="G323" s="670"/>
      <c r="H323" s="670"/>
    </row>
    <row r="324" spans="2:8" ht="14.25">
      <c r="B324" s="1064"/>
      <c r="E324" s="1063"/>
      <c r="F324" s="670"/>
      <c r="G324" s="670"/>
      <c r="H324" s="670"/>
    </row>
    <row r="325" spans="2:8" ht="14.25">
      <c r="B325" s="1064"/>
      <c r="E325" s="1063"/>
      <c r="F325" s="670"/>
      <c r="G325" s="670"/>
      <c r="H325" s="670"/>
    </row>
    <row r="326" spans="2:8" ht="14.25">
      <c r="B326" s="1064"/>
      <c r="E326" s="1063"/>
      <c r="F326" s="670"/>
      <c r="G326" s="670"/>
      <c r="H326" s="670"/>
    </row>
    <row r="327" spans="2:8" ht="14.25">
      <c r="B327" s="1064"/>
      <c r="E327" s="1063"/>
      <c r="F327" s="670"/>
      <c r="G327" s="670"/>
      <c r="H327" s="670"/>
    </row>
    <row r="328" spans="2:8" ht="14.25">
      <c r="B328" s="1064"/>
      <c r="E328" s="1063"/>
      <c r="F328" s="670"/>
      <c r="G328" s="670"/>
      <c r="H328" s="670"/>
    </row>
    <row r="329" spans="2:8" ht="14.25">
      <c r="B329" s="1064"/>
      <c r="E329" s="1063"/>
      <c r="F329" s="670"/>
      <c r="G329" s="670"/>
      <c r="H329" s="670"/>
    </row>
    <row r="330" spans="2:8" ht="14.25">
      <c r="B330" s="1064"/>
      <c r="E330" s="1063"/>
      <c r="F330" s="670"/>
      <c r="G330" s="670"/>
      <c r="H330" s="670"/>
    </row>
    <row r="331" spans="2:8" ht="14.25">
      <c r="B331" s="1064"/>
      <c r="E331" s="1063"/>
      <c r="F331" s="670"/>
      <c r="G331" s="670"/>
      <c r="H331" s="670"/>
    </row>
    <row r="332" spans="2:8" ht="14.25">
      <c r="B332" s="1064"/>
      <c r="E332" s="1063"/>
      <c r="F332" s="670"/>
      <c r="G332" s="670"/>
      <c r="H332" s="670"/>
    </row>
    <row r="333" spans="2:8" ht="14.25">
      <c r="B333" s="1064"/>
      <c r="E333" s="1063"/>
      <c r="F333" s="670"/>
      <c r="G333" s="670"/>
      <c r="H333" s="670"/>
    </row>
    <row r="334" spans="2:8" ht="14.25">
      <c r="B334" s="1064"/>
      <c r="E334" s="1063"/>
      <c r="F334" s="670"/>
      <c r="G334" s="670"/>
      <c r="H334" s="670"/>
    </row>
    <row r="335" spans="2:8" ht="14.25">
      <c r="B335" s="1064"/>
      <c r="E335" s="1063"/>
      <c r="F335" s="670"/>
      <c r="G335" s="670"/>
      <c r="H335" s="670"/>
    </row>
    <row r="336" spans="2:8" ht="14.25">
      <c r="B336" s="1064"/>
      <c r="E336" s="1063"/>
      <c r="F336" s="670"/>
      <c r="G336" s="670"/>
      <c r="H336" s="670"/>
    </row>
    <row r="337" spans="2:8" ht="14.25">
      <c r="B337" s="1064"/>
      <c r="E337" s="1063"/>
      <c r="F337" s="670"/>
      <c r="G337" s="670"/>
      <c r="H337" s="670"/>
    </row>
    <row r="338" spans="2:8" ht="14.25">
      <c r="B338" s="1064"/>
      <c r="E338" s="1063"/>
      <c r="F338" s="670"/>
      <c r="G338" s="670"/>
      <c r="H338" s="670"/>
    </row>
    <row r="339" spans="2:8" ht="14.25">
      <c r="B339" s="1064"/>
      <c r="E339" s="1063"/>
      <c r="F339" s="670"/>
      <c r="G339" s="670"/>
      <c r="H339" s="670"/>
    </row>
    <row r="340" spans="2:8" ht="14.25">
      <c r="B340" s="1064"/>
      <c r="E340" s="1063"/>
      <c r="F340" s="670"/>
      <c r="G340" s="670"/>
      <c r="H340" s="670"/>
    </row>
    <row r="341" spans="2:8" ht="14.25">
      <c r="B341" s="1064"/>
      <c r="E341" s="1063"/>
      <c r="F341" s="670"/>
      <c r="G341" s="670"/>
      <c r="H341" s="670"/>
    </row>
    <row r="342" spans="2:8" ht="14.25">
      <c r="B342" s="1064"/>
      <c r="E342" s="1063"/>
      <c r="F342" s="670"/>
      <c r="G342" s="670"/>
      <c r="H342" s="670"/>
    </row>
    <row r="343" spans="2:8" ht="14.25">
      <c r="B343" s="1064"/>
      <c r="E343" s="1063"/>
      <c r="F343" s="670"/>
      <c r="G343" s="670"/>
      <c r="H343" s="670"/>
    </row>
    <row r="344" spans="2:8" ht="14.25">
      <c r="B344" s="1064"/>
      <c r="E344" s="1063"/>
      <c r="F344" s="670"/>
      <c r="G344" s="670"/>
      <c r="H344" s="670"/>
    </row>
    <row r="345" spans="2:8" ht="14.25">
      <c r="B345" s="1064"/>
      <c r="E345" s="1063"/>
      <c r="F345" s="670"/>
      <c r="G345" s="670"/>
      <c r="H345" s="670"/>
    </row>
    <row r="346" spans="2:8" ht="14.25">
      <c r="B346" s="1064"/>
      <c r="E346" s="1063"/>
      <c r="F346" s="670"/>
      <c r="G346" s="670"/>
      <c r="H346" s="670"/>
    </row>
    <row r="347" spans="2:8" ht="14.25">
      <c r="B347" s="1064"/>
      <c r="E347" s="1063"/>
      <c r="F347" s="670"/>
      <c r="G347" s="670"/>
      <c r="H347" s="670"/>
    </row>
    <row r="348" spans="2:8" ht="14.25">
      <c r="B348" s="1064"/>
      <c r="E348" s="1063"/>
      <c r="F348" s="670"/>
      <c r="G348" s="670"/>
      <c r="H348" s="670"/>
    </row>
    <row r="349" spans="2:8" ht="14.25">
      <c r="B349" s="1064"/>
      <c r="E349" s="1063"/>
      <c r="F349" s="670"/>
      <c r="G349" s="670"/>
      <c r="H349" s="670"/>
    </row>
    <row r="350" spans="2:8" ht="14.25">
      <c r="B350" s="1064"/>
      <c r="E350" s="1063"/>
      <c r="F350" s="670"/>
      <c r="G350" s="670"/>
      <c r="H350" s="670"/>
    </row>
    <row r="351" spans="2:8" ht="14.25">
      <c r="B351" s="1064"/>
      <c r="E351" s="1063"/>
      <c r="F351" s="670"/>
      <c r="G351" s="670"/>
      <c r="H351" s="670"/>
    </row>
    <row r="352" spans="2:8" ht="14.25">
      <c r="B352" s="1064"/>
      <c r="E352" s="1063"/>
      <c r="F352" s="670"/>
      <c r="G352" s="670"/>
      <c r="H352" s="670"/>
    </row>
    <row r="353" spans="2:8" ht="14.25">
      <c r="B353" s="1064"/>
      <c r="E353" s="1063"/>
      <c r="F353" s="670"/>
      <c r="G353" s="670"/>
      <c r="H353" s="670"/>
    </row>
    <row r="354" spans="2:8" ht="14.25">
      <c r="B354" s="1064"/>
      <c r="E354" s="1063"/>
      <c r="F354" s="670"/>
      <c r="G354" s="670"/>
      <c r="H354" s="670"/>
    </row>
    <row r="355" spans="2:8" ht="14.25">
      <c r="B355" s="1064"/>
      <c r="E355" s="1063"/>
      <c r="F355" s="670"/>
      <c r="G355" s="670"/>
      <c r="H355" s="670"/>
    </row>
    <row r="356" spans="2:8" ht="14.25">
      <c r="B356" s="1064"/>
      <c r="E356" s="1063"/>
      <c r="F356" s="670"/>
      <c r="G356" s="670"/>
      <c r="H356" s="670"/>
    </row>
    <row r="357" spans="2:8" ht="14.25">
      <c r="B357" s="1064"/>
      <c r="E357" s="1063"/>
      <c r="F357" s="670"/>
      <c r="G357" s="670"/>
      <c r="H357" s="670"/>
    </row>
    <row r="358" spans="2:8" ht="14.25">
      <c r="B358" s="1064"/>
      <c r="E358" s="1063"/>
      <c r="F358" s="670"/>
      <c r="G358" s="670"/>
      <c r="H358" s="670"/>
    </row>
    <row r="359" spans="2:8" ht="14.25">
      <c r="B359" s="1064"/>
      <c r="E359" s="1063"/>
      <c r="F359" s="670"/>
      <c r="G359" s="670"/>
      <c r="H359" s="670"/>
    </row>
    <row r="360" spans="2:8" ht="14.25">
      <c r="B360" s="1064"/>
      <c r="E360" s="1063"/>
      <c r="F360" s="670"/>
      <c r="G360" s="670"/>
      <c r="H360" s="670"/>
    </row>
    <row r="361" spans="2:8" ht="14.25">
      <c r="B361" s="1064"/>
      <c r="E361" s="1063"/>
      <c r="F361" s="670"/>
      <c r="G361" s="670"/>
      <c r="H361" s="670"/>
    </row>
    <row r="362" spans="2:8" ht="14.25">
      <c r="B362" s="1064"/>
      <c r="E362" s="1063"/>
      <c r="F362" s="670"/>
      <c r="G362" s="670"/>
      <c r="H362" s="670"/>
    </row>
    <row r="363" spans="2:8" ht="14.25">
      <c r="B363" s="1064"/>
      <c r="E363" s="1063"/>
      <c r="F363" s="670"/>
      <c r="G363" s="670"/>
      <c r="H363" s="670"/>
    </row>
    <row r="364" spans="2:8" ht="14.25">
      <c r="B364" s="1064"/>
      <c r="E364" s="1063"/>
      <c r="F364" s="670"/>
      <c r="G364" s="670"/>
      <c r="H364" s="670"/>
    </row>
    <row r="365" spans="2:8" ht="14.25">
      <c r="B365" s="1064"/>
      <c r="E365" s="1063"/>
      <c r="F365" s="670"/>
      <c r="G365" s="670"/>
      <c r="H365" s="670"/>
    </row>
    <row r="366" spans="2:8" ht="14.25">
      <c r="B366" s="1064"/>
      <c r="E366" s="1063"/>
      <c r="F366" s="670"/>
      <c r="G366" s="670"/>
      <c r="H366" s="670"/>
    </row>
    <row r="367" spans="2:8" ht="14.25">
      <c r="B367" s="1064"/>
      <c r="E367" s="1063"/>
      <c r="F367" s="670"/>
      <c r="G367" s="670"/>
      <c r="H367" s="670"/>
    </row>
    <row r="368" spans="2:8" ht="14.25">
      <c r="B368" s="1064"/>
      <c r="E368" s="1063"/>
      <c r="F368" s="670"/>
      <c r="G368" s="670"/>
      <c r="H368" s="670"/>
    </row>
    <row r="369" spans="2:8" ht="14.25">
      <c r="B369" s="1064"/>
      <c r="E369" s="1063"/>
      <c r="F369" s="670"/>
      <c r="G369" s="670"/>
      <c r="H369" s="670"/>
    </row>
    <row r="370" spans="2:8" ht="14.25">
      <c r="B370" s="1064"/>
      <c r="E370" s="1063"/>
      <c r="F370" s="670"/>
      <c r="G370" s="670"/>
      <c r="H370" s="670"/>
    </row>
    <row r="371" spans="2:8" ht="14.25">
      <c r="B371" s="1064"/>
      <c r="E371" s="1063"/>
      <c r="F371" s="670"/>
      <c r="G371" s="670"/>
      <c r="H371" s="670"/>
    </row>
    <row r="372" spans="2:8" ht="14.25">
      <c r="B372" s="1064"/>
      <c r="E372" s="1063"/>
      <c r="F372" s="670"/>
      <c r="G372" s="670"/>
      <c r="H372" s="670"/>
    </row>
    <row r="373" spans="2:8" ht="14.25">
      <c r="B373" s="1064"/>
      <c r="E373" s="1063"/>
      <c r="F373" s="670"/>
      <c r="G373" s="670"/>
      <c r="H373" s="670"/>
    </row>
    <row r="374" spans="2:8" ht="14.25">
      <c r="B374" s="1064"/>
      <c r="E374" s="1063"/>
      <c r="F374" s="670"/>
      <c r="G374" s="670"/>
      <c r="H374" s="670"/>
    </row>
    <row r="375" spans="2:8" ht="14.25">
      <c r="B375" s="1064"/>
      <c r="E375" s="1063"/>
      <c r="F375" s="670"/>
      <c r="G375" s="670"/>
      <c r="H375" s="670"/>
    </row>
    <row r="376" spans="2:8" ht="14.25">
      <c r="B376" s="1064"/>
      <c r="E376" s="1063"/>
      <c r="F376" s="670"/>
      <c r="G376" s="670"/>
      <c r="H376" s="670"/>
    </row>
    <row r="377" spans="2:8" ht="14.25">
      <c r="B377" s="1064"/>
      <c r="E377" s="1063"/>
      <c r="F377" s="670"/>
      <c r="G377" s="670"/>
      <c r="H377" s="670"/>
    </row>
    <row r="378" spans="2:8" ht="14.25">
      <c r="B378" s="1064"/>
      <c r="E378" s="1063"/>
      <c r="F378" s="670"/>
      <c r="G378" s="670"/>
      <c r="H378" s="670"/>
    </row>
    <row r="379" spans="2:8" ht="14.25">
      <c r="B379" s="1064"/>
      <c r="E379" s="1063"/>
      <c r="F379" s="670"/>
      <c r="G379" s="670"/>
      <c r="H379" s="670"/>
    </row>
    <row r="380" spans="2:8" ht="14.25">
      <c r="B380" s="1064"/>
      <c r="E380" s="1063"/>
      <c r="F380" s="670"/>
      <c r="G380" s="670"/>
      <c r="H380" s="670"/>
    </row>
    <row r="381" spans="2:8" ht="14.25">
      <c r="B381" s="1064"/>
      <c r="E381" s="1063"/>
      <c r="F381" s="670"/>
      <c r="G381" s="670"/>
      <c r="H381" s="670"/>
    </row>
    <row r="382" spans="2:8" ht="14.25">
      <c r="B382" s="1064"/>
      <c r="E382" s="1063"/>
      <c r="F382" s="670"/>
      <c r="G382" s="670"/>
      <c r="H382" s="670"/>
    </row>
    <row r="383" spans="2:8" ht="14.25">
      <c r="B383" s="1064"/>
      <c r="E383" s="1063"/>
      <c r="F383" s="670"/>
      <c r="G383" s="670"/>
      <c r="H383" s="670"/>
    </row>
    <row r="384" spans="2:8" ht="14.25">
      <c r="B384" s="1064"/>
      <c r="E384" s="1063"/>
      <c r="F384" s="670"/>
      <c r="G384" s="670"/>
      <c r="H384" s="670"/>
    </row>
    <row r="385" spans="2:8" ht="14.25">
      <c r="B385" s="1064"/>
      <c r="E385" s="1063"/>
      <c r="F385" s="670"/>
      <c r="G385" s="670"/>
      <c r="H385" s="670"/>
    </row>
    <row r="386" spans="2:8" ht="14.25">
      <c r="B386" s="1064"/>
      <c r="E386" s="1063"/>
      <c r="F386" s="670"/>
      <c r="G386" s="670"/>
      <c r="H386" s="670"/>
    </row>
    <row r="387" spans="2:8" ht="14.25">
      <c r="B387" s="1064"/>
      <c r="E387" s="1063"/>
      <c r="F387" s="670"/>
      <c r="G387" s="670"/>
      <c r="H387" s="670"/>
    </row>
    <row r="388" spans="2:8" ht="14.25">
      <c r="B388" s="1064"/>
      <c r="E388" s="1063"/>
      <c r="F388" s="670"/>
      <c r="G388" s="670"/>
      <c r="H388" s="670"/>
    </row>
    <row r="389" spans="2:8" ht="14.25">
      <c r="B389" s="1064"/>
      <c r="E389" s="1063"/>
      <c r="F389" s="670"/>
      <c r="G389" s="670"/>
      <c r="H389" s="670"/>
    </row>
    <row r="390" spans="2:8" ht="14.25">
      <c r="B390" s="1064"/>
      <c r="E390" s="1063"/>
      <c r="F390" s="670"/>
      <c r="G390" s="670"/>
      <c r="H390" s="670"/>
    </row>
    <row r="391" spans="2:8" ht="14.25">
      <c r="B391" s="1064"/>
      <c r="E391" s="1063"/>
      <c r="F391" s="670"/>
      <c r="G391" s="670"/>
      <c r="H391" s="670"/>
    </row>
    <row r="392" spans="2:8" ht="14.25">
      <c r="B392" s="1064"/>
      <c r="E392" s="1063"/>
      <c r="F392" s="670"/>
      <c r="G392" s="670"/>
      <c r="H392" s="670"/>
    </row>
    <row r="393" spans="2:8" ht="14.25">
      <c r="B393" s="1064"/>
      <c r="E393" s="1063"/>
      <c r="F393" s="670"/>
      <c r="G393" s="670"/>
      <c r="H393" s="670"/>
    </row>
    <row r="394" spans="2:8" ht="14.25">
      <c r="B394" s="1064"/>
      <c r="E394" s="1063"/>
      <c r="F394" s="670"/>
      <c r="G394" s="670"/>
      <c r="H394" s="670"/>
    </row>
    <row r="395" spans="2:8" ht="14.25">
      <c r="B395" s="1064"/>
      <c r="E395" s="1063"/>
      <c r="F395" s="670"/>
      <c r="G395" s="670"/>
      <c r="H395" s="670"/>
    </row>
    <row r="396" spans="2:8" ht="14.25">
      <c r="B396" s="1064"/>
      <c r="E396" s="1063"/>
      <c r="F396" s="670"/>
      <c r="G396" s="670"/>
      <c r="H396" s="670"/>
    </row>
    <row r="397" spans="2:8" ht="14.25">
      <c r="B397" s="1064"/>
      <c r="E397" s="1063"/>
      <c r="F397" s="670"/>
      <c r="G397" s="670"/>
      <c r="H397" s="670"/>
    </row>
    <row r="398" spans="2:8" ht="14.25">
      <c r="B398" s="1064"/>
      <c r="E398" s="1063"/>
      <c r="F398" s="670"/>
      <c r="G398" s="670"/>
      <c r="H398" s="670"/>
    </row>
    <row r="399" spans="2:8" ht="14.25">
      <c r="B399" s="1064"/>
      <c r="E399" s="1063"/>
      <c r="F399" s="670"/>
      <c r="G399" s="670"/>
      <c r="H399" s="670"/>
    </row>
    <row r="400" spans="2:8" ht="14.25">
      <c r="B400" s="1064"/>
      <c r="E400" s="1063"/>
      <c r="F400" s="670"/>
      <c r="G400" s="670"/>
      <c r="H400" s="670"/>
    </row>
    <row r="401" spans="2:8" ht="14.25">
      <c r="B401" s="1064"/>
      <c r="E401" s="1063"/>
      <c r="F401" s="670"/>
      <c r="G401" s="670"/>
      <c r="H401" s="670"/>
    </row>
    <row r="402" spans="2:8" ht="14.25">
      <c r="B402" s="1064"/>
      <c r="E402" s="1063"/>
      <c r="F402" s="670"/>
      <c r="G402" s="670"/>
      <c r="H402" s="670"/>
    </row>
    <row r="403" spans="2:8" ht="14.25">
      <c r="B403" s="1064"/>
      <c r="E403" s="1063"/>
      <c r="F403" s="670"/>
      <c r="G403" s="670"/>
      <c r="H403" s="670"/>
    </row>
    <row r="404" spans="2:8" ht="14.25">
      <c r="B404" s="1064"/>
      <c r="E404" s="1063"/>
      <c r="F404" s="670"/>
      <c r="G404" s="670"/>
      <c r="H404" s="670"/>
    </row>
    <row r="405" spans="2:8" ht="14.25">
      <c r="B405" s="1064"/>
      <c r="E405" s="1063"/>
      <c r="F405" s="670"/>
      <c r="G405" s="670"/>
      <c r="H405" s="670"/>
    </row>
    <row r="406" spans="2:8" ht="14.25">
      <c r="B406" s="1064"/>
      <c r="E406" s="1063"/>
      <c r="F406" s="670"/>
      <c r="G406" s="670"/>
      <c r="H406" s="670"/>
    </row>
    <row r="407" spans="2:8" ht="14.25">
      <c r="B407" s="1064"/>
      <c r="E407" s="1063"/>
      <c r="F407" s="670"/>
      <c r="G407" s="670"/>
      <c r="H407" s="670"/>
    </row>
    <row r="408" spans="2:8" ht="14.25">
      <c r="B408" s="1064"/>
      <c r="E408" s="1063"/>
      <c r="F408" s="670"/>
      <c r="G408" s="670"/>
      <c r="H408" s="670"/>
    </row>
    <row r="409" spans="2:8" ht="14.25">
      <c r="B409" s="1064"/>
      <c r="E409" s="1063"/>
      <c r="F409" s="670"/>
      <c r="G409" s="670"/>
      <c r="H409" s="670"/>
    </row>
    <row r="410" spans="2:8" ht="14.25">
      <c r="B410" s="1064"/>
      <c r="E410" s="1063"/>
      <c r="F410" s="670"/>
      <c r="G410" s="670"/>
      <c r="H410" s="670"/>
    </row>
    <row r="411" spans="2:8" ht="14.25">
      <c r="B411" s="1064"/>
      <c r="E411" s="1063"/>
      <c r="F411" s="670"/>
      <c r="G411" s="670"/>
      <c r="H411" s="670"/>
    </row>
    <row r="412" spans="2:8" ht="14.25">
      <c r="B412" s="1064"/>
      <c r="E412" s="1063"/>
      <c r="F412" s="670"/>
      <c r="G412" s="670"/>
      <c r="H412" s="670"/>
    </row>
    <row r="413" spans="2:8" ht="14.25">
      <c r="B413" s="1064"/>
      <c r="E413" s="1063"/>
      <c r="F413" s="670"/>
      <c r="G413" s="670"/>
      <c r="H413" s="670"/>
    </row>
    <row r="414" spans="2:8" ht="14.25">
      <c r="B414" s="1064"/>
      <c r="E414" s="1063"/>
      <c r="F414" s="670"/>
      <c r="G414" s="670"/>
      <c r="H414" s="670"/>
    </row>
    <row r="415" spans="2:8" ht="14.25">
      <c r="B415" s="1064"/>
      <c r="E415" s="1063"/>
      <c r="F415" s="670"/>
      <c r="G415" s="670"/>
      <c r="H415" s="670"/>
    </row>
    <row r="416" spans="2:8" ht="14.25">
      <c r="B416" s="1064"/>
      <c r="E416" s="1063"/>
      <c r="F416" s="670"/>
      <c r="G416" s="670"/>
      <c r="H416" s="670"/>
    </row>
    <row r="417" spans="2:8" ht="14.25">
      <c r="B417" s="1064"/>
      <c r="E417" s="1063"/>
      <c r="F417" s="670"/>
      <c r="G417" s="670"/>
      <c r="H417" s="670"/>
    </row>
    <row r="418" spans="2:8" ht="14.25">
      <c r="B418" s="1064"/>
      <c r="E418" s="1063"/>
      <c r="F418" s="670"/>
      <c r="G418" s="670"/>
      <c r="H418" s="670"/>
    </row>
    <row r="419" spans="2:8" ht="14.25">
      <c r="B419" s="1064"/>
      <c r="E419" s="1063"/>
      <c r="F419" s="670"/>
      <c r="G419" s="670"/>
      <c r="H419" s="670"/>
    </row>
    <row r="420" spans="2:8" ht="14.25">
      <c r="B420" s="1064"/>
      <c r="E420" s="1063"/>
      <c r="F420" s="670"/>
      <c r="G420" s="670"/>
      <c r="H420" s="670"/>
    </row>
    <row r="421" spans="2:8" ht="14.25">
      <c r="B421" s="1064"/>
      <c r="E421" s="1063"/>
      <c r="F421" s="670"/>
      <c r="G421" s="670"/>
      <c r="H421" s="670"/>
    </row>
    <row r="422" spans="2:8" ht="14.25">
      <c r="B422" s="1064"/>
      <c r="E422" s="1063"/>
      <c r="F422" s="670"/>
      <c r="G422" s="670"/>
      <c r="H422" s="670"/>
    </row>
    <row r="423" spans="2:8" ht="14.25">
      <c r="B423" s="1064"/>
      <c r="E423" s="1063"/>
      <c r="F423" s="670"/>
      <c r="G423" s="670"/>
      <c r="H423" s="670"/>
    </row>
    <row r="424" spans="2:8" ht="14.25">
      <c r="B424" s="1064"/>
      <c r="E424" s="1063"/>
      <c r="F424" s="670"/>
      <c r="G424" s="670"/>
      <c r="H424" s="670"/>
    </row>
    <row r="425" spans="2:8" ht="14.25">
      <c r="B425" s="1064"/>
      <c r="E425" s="1063"/>
      <c r="F425" s="670"/>
      <c r="G425" s="670"/>
      <c r="H425" s="670"/>
    </row>
    <row r="426" spans="2:8" ht="14.25">
      <c r="B426" s="1064"/>
      <c r="E426" s="1063"/>
      <c r="F426" s="670"/>
      <c r="G426" s="670"/>
      <c r="H426" s="670"/>
    </row>
    <row r="427" spans="2:8" ht="14.25">
      <c r="B427" s="1064"/>
      <c r="E427" s="1063"/>
      <c r="F427" s="670"/>
      <c r="G427" s="670"/>
      <c r="H427" s="670"/>
    </row>
    <row r="428" spans="2:8" ht="14.25">
      <c r="B428" s="1064"/>
      <c r="E428" s="1063"/>
      <c r="F428" s="670"/>
      <c r="G428" s="670"/>
      <c r="H428" s="670"/>
    </row>
    <row r="429" spans="2:8" ht="14.25">
      <c r="B429" s="1064"/>
      <c r="E429" s="1063"/>
      <c r="F429" s="670"/>
      <c r="G429" s="670"/>
      <c r="H429" s="670"/>
    </row>
    <row r="430" spans="2:8" ht="14.25">
      <c r="B430" s="1064"/>
      <c r="E430" s="1063"/>
      <c r="F430" s="670"/>
      <c r="G430" s="670"/>
      <c r="H430" s="670"/>
    </row>
    <row r="431" spans="2:8" ht="14.25">
      <c r="B431" s="1064"/>
      <c r="E431" s="1063"/>
      <c r="F431" s="670"/>
      <c r="G431" s="670"/>
      <c r="H431" s="670"/>
    </row>
    <row r="432" spans="2:8" ht="14.25">
      <c r="B432" s="1064"/>
      <c r="E432" s="1063"/>
      <c r="F432" s="670"/>
      <c r="G432" s="670"/>
      <c r="H432" s="670"/>
    </row>
    <row r="433" spans="2:8" ht="14.25">
      <c r="B433" s="1064"/>
      <c r="E433" s="1063"/>
      <c r="F433" s="670"/>
      <c r="G433" s="670"/>
      <c r="H433" s="670"/>
    </row>
    <row r="434" spans="2:8" ht="14.25">
      <c r="B434" s="1064"/>
      <c r="E434" s="1063"/>
      <c r="F434" s="670"/>
      <c r="G434" s="670"/>
      <c r="H434" s="670"/>
    </row>
    <row r="435" spans="2:8" ht="14.25">
      <c r="B435" s="1064"/>
      <c r="E435" s="1063"/>
      <c r="F435" s="670"/>
      <c r="G435" s="670"/>
      <c r="H435" s="670"/>
    </row>
    <row r="436" spans="2:8" ht="14.25">
      <c r="B436" s="1064"/>
      <c r="E436" s="1063"/>
      <c r="F436" s="670"/>
      <c r="G436" s="670"/>
      <c r="H436" s="670"/>
    </row>
    <row r="437" spans="2:8" ht="14.25">
      <c r="B437" s="1064"/>
      <c r="E437" s="1063"/>
      <c r="F437" s="670"/>
      <c r="G437" s="670"/>
      <c r="H437" s="670"/>
    </row>
    <row r="438" spans="2:8" ht="14.25">
      <c r="B438" s="1064"/>
      <c r="E438" s="1063"/>
      <c r="F438" s="670"/>
      <c r="G438" s="670"/>
      <c r="H438" s="670"/>
    </row>
    <row r="439" spans="2:8" ht="14.25">
      <c r="B439" s="1064"/>
      <c r="E439" s="1063"/>
      <c r="F439" s="670"/>
      <c r="G439" s="670"/>
      <c r="H439" s="670"/>
    </row>
    <row r="440" spans="2:8" ht="14.25">
      <c r="B440" s="1064"/>
      <c r="E440" s="1063"/>
      <c r="F440" s="670"/>
      <c r="G440" s="670"/>
      <c r="H440" s="670"/>
    </row>
    <row r="441" spans="2:8" ht="14.25">
      <c r="B441" s="1064"/>
      <c r="E441" s="1063"/>
      <c r="F441" s="670"/>
      <c r="G441" s="670"/>
      <c r="H441" s="670"/>
    </row>
    <row r="442" spans="2:8" ht="14.25">
      <c r="B442" s="1064"/>
      <c r="E442" s="1063"/>
      <c r="F442" s="670"/>
      <c r="G442" s="670"/>
      <c r="H442" s="670"/>
    </row>
    <row r="443" spans="2:8" ht="14.25">
      <c r="B443" s="1064"/>
      <c r="E443" s="1063"/>
      <c r="F443" s="670"/>
      <c r="G443" s="670"/>
      <c r="H443" s="670"/>
    </row>
    <row r="444" spans="2:8" ht="14.25">
      <c r="B444" s="1064"/>
      <c r="E444" s="1063"/>
      <c r="F444" s="670"/>
      <c r="G444" s="670"/>
      <c r="H444" s="670"/>
    </row>
    <row r="445" spans="2:8" ht="14.25">
      <c r="B445" s="1064"/>
      <c r="E445" s="1063"/>
      <c r="F445" s="670"/>
      <c r="G445" s="670"/>
      <c r="H445" s="670"/>
    </row>
    <row r="446" spans="2:8" ht="14.25">
      <c r="B446" s="1064"/>
      <c r="E446" s="1063"/>
      <c r="F446" s="670"/>
      <c r="G446" s="670"/>
      <c r="H446" s="670"/>
    </row>
    <row r="447" spans="2:8" ht="14.25">
      <c r="B447" s="1064"/>
      <c r="E447" s="1063"/>
      <c r="F447" s="670"/>
      <c r="G447" s="670"/>
      <c r="H447" s="670"/>
    </row>
    <row r="448" spans="2:8" ht="14.25">
      <c r="B448" s="1064"/>
      <c r="E448" s="1063"/>
      <c r="F448" s="670"/>
      <c r="G448" s="670"/>
      <c r="H448" s="670"/>
    </row>
    <row r="449" spans="2:8" ht="14.25">
      <c r="B449" s="1064"/>
      <c r="E449" s="1063"/>
      <c r="F449" s="670"/>
      <c r="G449" s="670"/>
      <c r="H449" s="670"/>
    </row>
    <row r="450" spans="2:8" ht="14.25">
      <c r="B450" s="1064"/>
      <c r="E450" s="1063"/>
      <c r="F450" s="670"/>
      <c r="G450" s="670"/>
      <c r="H450" s="670"/>
    </row>
    <row r="451" spans="2:8" ht="14.25">
      <c r="B451" s="1064"/>
      <c r="E451" s="1063"/>
      <c r="F451" s="670"/>
      <c r="G451" s="670"/>
      <c r="H451" s="670"/>
    </row>
    <row r="452" spans="2:8" ht="14.25">
      <c r="B452" s="1064"/>
      <c r="E452" s="1063"/>
      <c r="F452" s="670"/>
      <c r="G452" s="670"/>
      <c r="H452" s="670"/>
    </row>
    <row r="453" spans="2:8" ht="14.25">
      <c r="B453" s="1064"/>
      <c r="E453" s="1063"/>
      <c r="F453" s="670"/>
      <c r="G453" s="670"/>
      <c r="H453" s="670"/>
    </row>
    <row r="454" spans="2:8" ht="14.25">
      <c r="B454" s="1064"/>
      <c r="E454" s="1063"/>
      <c r="F454" s="670"/>
      <c r="G454" s="670"/>
      <c r="H454" s="670"/>
    </row>
    <row r="455" spans="2:8" ht="14.25">
      <c r="B455" s="1064"/>
      <c r="E455" s="1063"/>
      <c r="F455" s="670"/>
      <c r="G455" s="670"/>
      <c r="H455" s="670"/>
    </row>
    <row r="456" spans="2:8" ht="14.25">
      <c r="B456" s="1064"/>
      <c r="E456" s="1063"/>
      <c r="F456" s="670"/>
      <c r="G456" s="670"/>
      <c r="H456" s="670"/>
    </row>
    <row r="457" spans="2:8" ht="14.25">
      <c r="B457" s="1064"/>
      <c r="E457" s="1063"/>
      <c r="F457" s="670"/>
      <c r="G457" s="670"/>
      <c r="H457" s="670"/>
    </row>
    <row r="458" spans="2:8" ht="14.25">
      <c r="B458" s="1064"/>
      <c r="E458" s="1063"/>
      <c r="F458" s="670"/>
      <c r="G458" s="670"/>
      <c r="H458" s="670"/>
    </row>
    <row r="459" spans="2:8" ht="14.25">
      <c r="B459" s="1064"/>
      <c r="E459" s="1063"/>
      <c r="F459" s="670"/>
      <c r="G459" s="670"/>
      <c r="H459" s="670"/>
    </row>
    <row r="460" spans="2:8" ht="14.25">
      <c r="B460" s="1064"/>
      <c r="E460" s="1063"/>
      <c r="F460" s="670"/>
      <c r="G460" s="670"/>
      <c r="H460" s="670"/>
    </row>
    <row r="461" spans="2:8" ht="14.25">
      <c r="B461" s="1064"/>
      <c r="E461" s="1063"/>
      <c r="F461" s="670"/>
      <c r="G461" s="670"/>
      <c r="H461" s="670"/>
    </row>
    <row r="462" spans="2:8" ht="14.25">
      <c r="B462" s="1064"/>
      <c r="E462" s="1063"/>
      <c r="F462" s="670"/>
      <c r="G462" s="670"/>
      <c r="H462" s="670"/>
    </row>
    <row r="463" spans="2:8" ht="14.25">
      <c r="B463" s="1064"/>
      <c r="E463" s="1063"/>
      <c r="F463" s="670"/>
      <c r="G463" s="670"/>
      <c r="H463" s="670"/>
    </row>
    <row r="464" spans="2:8" ht="14.25">
      <c r="B464" s="1064"/>
      <c r="E464" s="1063"/>
      <c r="F464" s="670"/>
      <c r="G464" s="670"/>
      <c r="H464" s="670"/>
    </row>
    <row r="465" spans="2:8" ht="14.25">
      <c r="B465" s="1064"/>
      <c r="E465" s="1063"/>
      <c r="F465" s="670"/>
      <c r="G465" s="670"/>
      <c r="H465" s="670"/>
    </row>
    <row r="466" spans="2:8" ht="14.25">
      <c r="B466" s="1064"/>
      <c r="E466" s="1063"/>
      <c r="F466" s="670"/>
      <c r="G466" s="670"/>
      <c r="H466" s="670"/>
    </row>
    <row r="467" spans="2:8" ht="14.25">
      <c r="B467" s="1064"/>
      <c r="E467" s="1063"/>
      <c r="F467" s="670"/>
      <c r="G467" s="670"/>
      <c r="H467" s="670"/>
    </row>
    <row r="468" spans="2:8" ht="14.25">
      <c r="B468" s="1064"/>
      <c r="E468" s="1063"/>
      <c r="F468" s="670"/>
      <c r="G468" s="670"/>
      <c r="H468" s="670"/>
    </row>
    <row r="469" spans="2:8" ht="14.25">
      <c r="B469" s="1064"/>
      <c r="E469" s="1063"/>
      <c r="F469" s="670"/>
      <c r="G469" s="670"/>
      <c r="H469" s="670"/>
    </row>
    <row r="470" spans="2:8" ht="14.25">
      <c r="B470" s="1064"/>
      <c r="E470" s="1063"/>
      <c r="F470" s="670"/>
      <c r="G470" s="670"/>
      <c r="H470" s="670"/>
    </row>
    <row r="471" spans="2:8" ht="14.25">
      <c r="B471" s="1064"/>
      <c r="E471" s="1063"/>
      <c r="F471" s="670"/>
      <c r="G471" s="670"/>
      <c r="H471" s="670"/>
    </row>
    <row r="472" spans="2:8" ht="14.25">
      <c r="B472" s="1064"/>
      <c r="E472" s="1063"/>
      <c r="F472" s="670"/>
      <c r="G472" s="670"/>
      <c r="H472" s="670"/>
    </row>
    <row r="473" spans="2:8" ht="14.25">
      <c r="B473" s="1064"/>
      <c r="E473" s="1063"/>
      <c r="F473" s="670"/>
      <c r="G473" s="670"/>
      <c r="H473" s="670"/>
    </row>
    <row r="474" spans="2:8" ht="14.25">
      <c r="B474" s="1064"/>
      <c r="E474" s="1063"/>
      <c r="F474" s="670"/>
      <c r="G474" s="670"/>
      <c r="H474" s="670"/>
    </row>
    <row r="475" spans="2:8" ht="14.25">
      <c r="B475" s="1064"/>
      <c r="E475" s="1063"/>
      <c r="F475" s="670"/>
      <c r="G475" s="670"/>
      <c r="H475" s="670"/>
    </row>
    <row r="476" spans="2:8" ht="14.25">
      <c r="B476" s="1064"/>
      <c r="E476" s="1063"/>
      <c r="F476" s="670"/>
      <c r="G476" s="670"/>
      <c r="H476" s="670"/>
    </row>
    <row r="477" spans="2:8" ht="14.25">
      <c r="B477" s="1064"/>
      <c r="E477" s="1063"/>
      <c r="F477" s="670"/>
      <c r="G477" s="670"/>
      <c r="H477" s="670"/>
    </row>
    <row r="478" spans="2:8" ht="14.25">
      <c r="B478" s="1064"/>
      <c r="E478" s="1063"/>
      <c r="F478" s="670"/>
      <c r="G478" s="670"/>
      <c r="H478" s="670"/>
    </row>
    <row r="479" spans="2:8" ht="14.25">
      <c r="B479" s="1064"/>
      <c r="E479" s="1063"/>
      <c r="F479" s="670"/>
      <c r="G479" s="670"/>
      <c r="H479" s="670"/>
    </row>
    <row r="480" spans="2:8" ht="14.25">
      <c r="B480" s="1064"/>
      <c r="E480" s="1063"/>
      <c r="F480" s="670"/>
      <c r="G480" s="670"/>
      <c r="H480" s="670"/>
    </row>
    <row r="481" spans="2:8" ht="14.25">
      <c r="B481" s="1064"/>
      <c r="E481" s="1063"/>
      <c r="F481" s="670"/>
      <c r="G481" s="670"/>
      <c r="H481" s="670"/>
    </row>
    <row r="482" spans="2:8" ht="14.25">
      <c r="B482" s="1064"/>
      <c r="E482" s="1063"/>
      <c r="F482" s="670"/>
      <c r="G482" s="670"/>
      <c r="H482" s="670"/>
    </row>
    <row r="483" spans="2:8" ht="14.25">
      <c r="B483" s="1064"/>
      <c r="E483" s="1063"/>
      <c r="F483" s="670"/>
      <c r="G483" s="670"/>
      <c r="H483" s="670"/>
    </row>
    <row r="484" spans="2:8" ht="14.25">
      <c r="B484" s="1064"/>
      <c r="E484" s="1063"/>
      <c r="F484" s="670"/>
      <c r="G484" s="670"/>
      <c r="H484" s="670"/>
    </row>
    <row r="485" spans="2:8" ht="14.25">
      <c r="B485" s="1064"/>
      <c r="E485" s="1063"/>
      <c r="F485" s="670"/>
      <c r="G485" s="670"/>
      <c r="H485" s="670"/>
    </row>
    <row r="486" spans="2:8" ht="14.25">
      <c r="B486" s="1064"/>
      <c r="E486" s="1063"/>
      <c r="F486" s="670"/>
      <c r="G486" s="670"/>
      <c r="H486" s="670"/>
    </row>
    <row r="487" spans="2:8" ht="14.25">
      <c r="B487" s="1064"/>
      <c r="E487" s="1063"/>
      <c r="F487" s="670"/>
      <c r="G487" s="670"/>
      <c r="H487" s="670"/>
    </row>
    <row r="488" spans="2:8" ht="14.25">
      <c r="B488" s="1064"/>
      <c r="E488" s="1063"/>
      <c r="F488" s="670"/>
      <c r="G488" s="670"/>
      <c r="H488" s="670"/>
    </row>
    <row r="489" spans="2:8" ht="14.25">
      <c r="B489" s="1064"/>
      <c r="E489" s="1063"/>
      <c r="F489" s="670"/>
      <c r="G489" s="670"/>
      <c r="H489" s="670"/>
    </row>
    <row r="490" spans="2:8" ht="14.25">
      <c r="B490" s="1064"/>
      <c r="E490" s="1063"/>
      <c r="F490" s="670"/>
      <c r="G490" s="670"/>
      <c r="H490" s="670"/>
    </row>
    <row r="491" spans="2:8" ht="14.25">
      <c r="B491" s="1064"/>
      <c r="E491" s="1063"/>
      <c r="F491" s="670"/>
      <c r="G491" s="670"/>
      <c r="H491" s="670"/>
    </row>
    <row r="492" spans="2:8" ht="14.25">
      <c r="B492" s="1064"/>
      <c r="E492" s="1063"/>
      <c r="F492" s="670"/>
      <c r="G492" s="670"/>
      <c r="H492" s="670"/>
    </row>
    <row r="493" spans="2:8" ht="14.25">
      <c r="B493" s="1064"/>
      <c r="E493" s="1063"/>
      <c r="F493" s="670"/>
      <c r="G493" s="670"/>
      <c r="H493" s="670"/>
    </row>
    <row r="494" spans="2:8" ht="14.25">
      <c r="B494" s="1064"/>
      <c r="E494" s="1063"/>
      <c r="F494" s="670"/>
      <c r="G494" s="670"/>
      <c r="H494" s="670"/>
    </row>
    <row r="495" spans="2:8" ht="14.25">
      <c r="B495" s="1064"/>
      <c r="E495" s="1063"/>
      <c r="F495" s="670"/>
      <c r="G495" s="670"/>
      <c r="H495" s="670"/>
    </row>
    <row r="496" spans="2:8" ht="14.25">
      <c r="B496" s="1064"/>
      <c r="E496" s="1063"/>
      <c r="F496" s="670"/>
      <c r="G496" s="670"/>
      <c r="H496" s="670"/>
    </row>
    <row r="497" spans="2:8" ht="14.25">
      <c r="B497" s="1064"/>
      <c r="E497" s="1063"/>
      <c r="F497" s="670"/>
      <c r="G497" s="670"/>
      <c r="H497" s="670"/>
    </row>
    <row r="498" spans="2:8" ht="14.25">
      <c r="B498" s="1064"/>
      <c r="E498" s="1063"/>
      <c r="F498" s="670"/>
      <c r="G498" s="670"/>
      <c r="H498" s="670"/>
    </row>
    <row r="499" spans="2:8" ht="14.25">
      <c r="B499" s="1064"/>
      <c r="E499" s="1063"/>
      <c r="F499" s="670"/>
      <c r="G499" s="670"/>
      <c r="H499" s="670"/>
    </row>
    <row r="500" spans="2:8" ht="14.25">
      <c r="B500" s="1064"/>
      <c r="E500" s="1063"/>
      <c r="F500" s="670"/>
      <c r="G500" s="670"/>
      <c r="H500" s="670"/>
    </row>
    <row r="501" spans="2:8" ht="14.25">
      <c r="B501" s="1064"/>
      <c r="E501" s="1063"/>
      <c r="F501" s="670"/>
      <c r="G501" s="670"/>
      <c r="H501" s="670"/>
    </row>
    <row r="502" spans="2:8" ht="14.25">
      <c r="B502" s="1064"/>
      <c r="E502" s="1063"/>
      <c r="F502" s="670"/>
      <c r="G502" s="670"/>
      <c r="H502" s="670"/>
    </row>
    <row r="503" spans="2:8" ht="14.25">
      <c r="B503" s="1064"/>
      <c r="E503" s="1063"/>
      <c r="F503" s="670"/>
      <c r="G503" s="670"/>
      <c r="H503" s="670"/>
    </row>
    <row r="504" spans="2:8" ht="14.25">
      <c r="B504" s="1064"/>
      <c r="E504" s="1063"/>
      <c r="F504" s="670"/>
      <c r="G504" s="670"/>
      <c r="H504" s="670"/>
    </row>
    <row r="505" spans="2:8" ht="14.25">
      <c r="B505" s="1064"/>
      <c r="E505" s="1063"/>
      <c r="F505" s="670"/>
      <c r="G505" s="670"/>
      <c r="H505" s="670"/>
    </row>
    <row r="506" spans="2:8" ht="14.25">
      <c r="B506" s="1064"/>
      <c r="E506" s="1063"/>
      <c r="F506" s="670"/>
      <c r="G506" s="670"/>
      <c r="H506" s="670"/>
    </row>
    <row r="507" spans="2:8" ht="14.25">
      <c r="B507" s="1064"/>
      <c r="E507" s="1063"/>
      <c r="F507" s="670"/>
      <c r="G507" s="670"/>
      <c r="H507" s="670"/>
    </row>
    <row r="508" spans="2:8" ht="14.25">
      <c r="B508" s="1064"/>
      <c r="E508" s="1063"/>
      <c r="F508" s="670"/>
      <c r="G508" s="670"/>
      <c r="H508" s="670"/>
    </row>
    <row r="509" spans="2:8" ht="14.25">
      <c r="B509" s="1064"/>
      <c r="E509" s="1063"/>
      <c r="F509" s="670"/>
      <c r="G509" s="670"/>
      <c r="H509" s="670"/>
    </row>
    <row r="510" spans="2:8" ht="14.25">
      <c r="B510" s="1064"/>
      <c r="E510" s="1063"/>
      <c r="F510" s="670"/>
      <c r="G510" s="670"/>
      <c r="H510" s="670"/>
    </row>
    <row r="511" spans="2:8" ht="14.25">
      <c r="B511" s="1064"/>
      <c r="E511" s="1063"/>
      <c r="F511" s="670"/>
      <c r="G511" s="670"/>
      <c r="H511" s="670"/>
    </row>
    <row r="512" spans="2:8" ht="14.25">
      <c r="B512" s="1064"/>
      <c r="E512" s="1063"/>
      <c r="F512" s="670"/>
      <c r="G512" s="670"/>
      <c r="H512" s="670"/>
    </row>
    <row r="513" spans="2:8" ht="14.25">
      <c r="B513" s="1064"/>
      <c r="E513" s="1063"/>
      <c r="F513" s="670"/>
      <c r="G513" s="670"/>
      <c r="H513" s="670"/>
    </row>
    <row r="514" spans="2:8" ht="14.25">
      <c r="B514" s="1064"/>
      <c r="E514" s="1063"/>
      <c r="F514" s="670"/>
      <c r="G514" s="670"/>
      <c r="H514" s="670"/>
    </row>
    <row r="515" spans="2:8" ht="14.25">
      <c r="B515" s="1064"/>
      <c r="E515" s="1063"/>
      <c r="F515" s="670"/>
      <c r="G515" s="670"/>
      <c r="H515" s="670"/>
    </row>
    <row r="516" spans="2:8" ht="14.25">
      <c r="B516" s="1064"/>
      <c r="E516" s="1063"/>
      <c r="F516" s="670"/>
      <c r="G516" s="670"/>
      <c r="H516" s="670"/>
    </row>
    <row r="517" spans="2:8" ht="14.25">
      <c r="B517" s="1064"/>
      <c r="E517" s="1063"/>
      <c r="F517" s="670"/>
      <c r="G517" s="670"/>
      <c r="H517" s="670"/>
    </row>
    <row r="518" spans="2:8" ht="14.25">
      <c r="B518" s="1064"/>
      <c r="E518" s="1063"/>
      <c r="F518" s="670"/>
      <c r="G518" s="670"/>
      <c r="H518" s="670"/>
    </row>
    <row r="519" spans="2:8" ht="14.25">
      <c r="B519" s="1064"/>
      <c r="E519" s="1063"/>
      <c r="F519" s="670"/>
      <c r="G519" s="670"/>
      <c r="H519" s="670"/>
    </row>
    <row r="520" spans="2:8" ht="14.25">
      <c r="B520" s="1064"/>
      <c r="E520" s="1063"/>
      <c r="F520" s="670"/>
      <c r="G520" s="670"/>
      <c r="H520" s="670"/>
    </row>
    <row r="521" spans="2:8" ht="14.25">
      <c r="B521" s="1064"/>
      <c r="E521" s="1063"/>
      <c r="F521" s="670"/>
      <c r="G521" s="670"/>
      <c r="H521" s="670"/>
    </row>
    <row r="522" spans="2:8" ht="14.25">
      <c r="B522" s="1064"/>
      <c r="E522" s="1063"/>
      <c r="F522" s="670"/>
      <c r="G522" s="670"/>
      <c r="H522" s="670"/>
    </row>
    <row r="523" spans="2:8" ht="14.25">
      <c r="B523" s="1064"/>
      <c r="E523" s="1063"/>
      <c r="F523" s="670"/>
      <c r="G523" s="670"/>
      <c r="H523" s="670"/>
    </row>
    <row r="524" spans="2:8" ht="14.25">
      <c r="B524" s="1064"/>
      <c r="E524" s="1063"/>
      <c r="F524" s="670"/>
      <c r="G524" s="670"/>
      <c r="H524" s="670"/>
    </row>
    <row r="525" spans="2:8" ht="14.25">
      <c r="B525" s="1064"/>
      <c r="E525" s="1063"/>
      <c r="F525" s="670"/>
      <c r="G525" s="670"/>
      <c r="H525" s="670"/>
    </row>
    <row r="526" spans="2:8" ht="14.25">
      <c r="B526" s="1064"/>
      <c r="E526" s="1063"/>
      <c r="F526" s="670"/>
      <c r="G526" s="670"/>
      <c r="H526" s="670"/>
    </row>
    <row r="527" spans="2:8" ht="14.25">
      <c r="B527" s="1064"/>
      <c r="E527" s="1063"/>
      <c r="F527" s="670"/>
      <c r="G527" s="670"/>
      <c r="H527" s="670"/>
    </row>
    <row r="528" spans="2:8" ht="14.25">
      <c r="B528" s="1064"/>
      <c r="E528" s="1063"/>
      <c r="F528" s="670"/>
      <c r="G528" s="670"/>
      <c r="H528" s="670"/>
    </row>
    <row r="529" spans="2:8" ht="14.25">
      <c r="B529" s="1064"/>
      <c r="E529" s="1063"/>
      <c r="F529" s="670"/>
      <c r="G529" s="670"/>
      <c r="H529" s="670"/>
    </row>
    <row r="530" spans="2:8" ht="14.25">
      <c r="B530" s="1064"/>
      <c r="E530" s="1063"/>
      <c r="F530" s="670"/>
      <c r="G530" s="670"/>
      <c r="H530" s="670"/>
    </row>
    <row r="531" spans="2:8" ht="14.25">
      <c r="B531" s="1064"/>
      <c r="E531" s="1063"/>
      <c r="F531" s="670"/>
      <c r="G531" s="670"/>
      <c r="H531" s="670"/>
    </row>
    <row r="532" spans="2:8" ht="14.25">
      <c r="B532" s="1064"/>
      <c r="E532" s="1063"/>
      <c r="F532" s="670"/>
      <c r="G532" s="670"/>
      <c r="H532" s="670"/>
    </row>
    <row r="533" spans="2:8" ht="14.25">
      <c r="B533" s="1064"/>
      <c r="E533" s="1063"/>
      <c r="F533" s="670"/>
      <c r="G533" s="670"/>
      <c r="H533" s="670"/>
    </row>
    <row r="534" spans="2:8" ht="14.25">
      <c r="B534" s="1064"/>
      <c r="E534" s="1063"/>
      <c r="F534" s="670"/>
      <c r="G534" s="670"/>
      <c r="H534" s="670"/>
    </row>
    <row r="535" spans="2:8" ht="14.25">
      <c r="B535" s="1064"/>
      <c r="E535" s="1063"/>
      <c r="F535" s="670"/>
      <c r="G535" s="670"/>
      <c r="H535" s="670"/>
    </row>
    <row r="536" spans="2:8" ht="14.25">
      <c r="B536" s="1064"/>
      <c r="E536" s="1063"/>
      <c r="F536" s="670"/>
      <c r="G536" s="670"/>
      <c r="H536" s="670"/>
    </row>
    <row r="537" spans="2:8" ht="14.25">
      <c r="B537" s="1064"/>
      <c r="E537" s="1063"/>
      <c r="F537" s="670"/>
      <c r="G537" s="670"/>
      <c r="H537" s="670"/>
    </row>
    <row r="538" spans="2:8" ht="14.25">
      <c r="B538" s="1064"/>
      <c r="E538" s="1063"/>
      <c r="F538" s="670"/>
      <c r="G538" s="670"/>
      <c r="H538" s="670"/>
    </row>
    <row r="539" spans="2:8" ht="14.25">
      <c r="B539" s="1064"/>
      <c r="E539" s="1063"/>
      <c r="F539" s="670"/>
      <c r="G539" s="670"/>
      <c r="H539" s="670"/>
    </row>
    <row r="540" spans="2:8" ht="14.25">
      <c r="B540" s="1064"/>
      <c r="E540" s="1063"/>
      <c r="F540" s="670"/>
      <c r="G540" s="670"/>
      <c r="H540" s="670"/>
    </row>
    <row r="541" spans="2:8" ht="14.25">
      <c r="B541" s="1064"/>
      <c r="E541" s="1063"/>
      <c r="F541" s="670"/>
      <c r="G541" s="670"/>
      <c r="H541" s="670"/>
    </row>
    <row r="542" spans="2:8" ht="14.25">
      <c r="B542" s="1064"/>
      <c r="E542" s="1063"/>
      <c r="F542" s="670"/>
      <c r="G542" s="670"/>
      <c r="H542" s="670"/>
    </row>
    <row r="543" spans="2:8" ht="14.25">
      <c r="B543" s="1064"/>
      <c r="E543" s="1063"/>
      <c r="F543" s="670"/>
      <c r="G543" s="670"/>
      <c r="H543" s="670"/>
    </row>
    <row r="544" spans="2:8" ht="14.25">
      <c r="B544" s="1064"/>
      <c r="E544" s="1063"/>
      <c r="F544" s="670"/>
      <c r="G544" s="670"/>
      <c r="H544" s="670"/>
    </row>
    <row r="545" spans="2:8" ht="14.25">
      <c r="B545" s="1064"/>
      <c r="E545" s="1063"/>
      <c r="F545" s="670"/>
      <c r="G545" s="670"/>
      <c r="H545" s="670"/>
    </row>
    <row r="546" spans="2:8" ht="14.25">
      <c r="B546" s="1064"/>
      <c r="E546" s="1063"/>
      <c r="F546" s="670"/>
      <c r="G546" s="670"/>
      <c r="H546" s="670"/>
    </row>
    <row r="547" spans="2:8" ht="14.25">
      <c r="B547" s="1064"/>
      <c r="E547" s="1063"/>
      <c r="F547" s="670"/>
      <c r="G547" s="670"/>
      <c r="H547" s="670"/>
    </row>
    <row r="548" spans="2:8" ht="14.25">
      <c r="B548" s="1064"/>
      <c r="E548" s="1063"/>
      <c r="F548" s="670"/>
      <c r="G548" s="670"/>
      <c r="H548" s="670"/>
    </row>
    <row r="549" spans="2:8" ht="14.25">
      <c r="B549" s="1064"/>
      <c r="E549" s="1063"/>
      <c r="F549" s="670"/>
      <c r="G549" s="670"/>
      <c r="H549" s="670"/>
    </row>
    <row r="550" spans="2:8" ht="14.25">
      <c r="B550" s="1064"/>
      <c r="E550" s="1063"/>
      <c r="F550" s="670"/>
      <c r="G550" s="670"/>
      <c r="H550" s="670"/>
    </row>
    <row r="551" spans="2:8" ht="14.25">
      <c r="B551" s="1064"/>
      <c r="E551" s="1063"/>
      <c r="F551" s="670"/>
      <c r="G551" s="670"/>
      <c r="H551" s="670"/>
    </row>
    <row r="552" spans="2:8" ht="14.25">
      <c r="B552" s="1064"/>
      <c r="E552" s="1063"/>
      <c r="F552" s="670"/>
      <c r="G552" s="670"/>
      <c r="H552" s="670"/>
    </row>
    <row r="553" spans="2:8" ht="14.25">
      <c r="B553" s="1064"/>
      <c r="E553" s="1063"/>
      <c r="F553" s="670"/>
      <c r="G553" s="670"/>
      <c r="H553" s="670"/>
    </row>
    <row r="554" spans="2:8" ht="14.25">
      <c r="B554" s="1064"/>
      <c r="E554" s="1063"/>
      <c r="F554" s="670"/>
      <c r="G554" s="670"/>
      <c r="H554" s="670"/>
    </row>
    <row r="555" spans="2:8" ht="14.25">
      <c r="B555" s="1064"/>
      <c r="E555" s="1063"/>
      <c r="F555" s="670"/>
      <c r="G555" s="670"/>
      <c r="H555" s="670"/>
    </row>
    <row r="556" spans="2:8" ht="14.25">
      <c r="B556" s="1064"/>
      <c r="E556" s="1063"/>
      <c r="F556" s="670"/>
      <c r="G556" s="670"/>
      <c r="H556" s="670"/>
    </row>
    <row r="557" spans="2:8" ht="14.25">
      <c r="B557" s="1064"/>
      <c r="E557" s="1063"/>
      <c r="F557" s="670"/>
      <c r="G557" s="670"/>
      <c r="H557" s="670"/>
    </row>
    <row r="558" spans="2:8" ht="14.25">
      <c r="B558" s="1064"/>
      <c r="E558" s="1063"/>
      <c r="F558" s="670"/>
      <c r="G558" s="670"/>
      <c r="H558" s="670"/>
    </row>
    <row r="559" spans="2:8" ht="14.25">
      <c r="B559" s="1064"/>
      <c r="E559" s="1063"/>
      <c r="F559" s="670"/>
      <c r="G559" s="670"/>
      <c r="H559" s="670"/>
    </row>
    <row r="560" spans="2:8" ht="14.25">
      <c r="B560" s="1064"/>
      <c r="E560" s="1063"/>
      <c r="F560" s="670"/>
      <c r="G560" s="670"/>
      <c r="H560" s="670"/>
    </row>
    <row r="561" spans="2:8" ht="14.25">
      <c r="B561" s="1064"/>
      <c r="E561" s="1063"/>
      <c r="F561" s="670"/>
      <c r="G561" s="670"/>
      <c r="H561" s="670"/>
    </row>
    <row r="562" spans="2:8" ht="14.25">
      <c r="B562" s="1064"/>
      <c r="E562" s="1063"/>
      <c r="F562" s="670"/>
      <c r="G562" s="670"/>
      <c r="H562" s="670"/>
    </row>
    <row r="563" spans="2:8" ht="14.25">
      <c r="B563" s="1064"/>
      <c r="E563" s="1063"/>
      <c r="F563" s="670"/>
      <c r="G563" s="670"/>
      <c r="H563" s="670"/>
    </row>
    <row r="564" spans="2:8" ht="14.25">
      <c r="B564" s="1064"/>
      <c r="E564" s="1063"/>
      <c r="F564" s="670"/>
      <c r="G564" s="670"/>
      <c r="H564" s="670"/>
    </row>
    <row r="565" spans="2:8" ht="14.25">
      <c r="B565" s="1064"/>
      <c r="E565" s="1063"/>
      <c r="F565" s="670"/>
      <c r="G565" s="670"/>
      <c r="H565" s="670"/>
    </row>
    <row r="566" spans="2:8" ht="14.25">
      <c r="B566" s="1064"/>
      <c r="E566" s="1063"/>
      <c r="F566" s="670"/>
      <c r="G566" s="670"/>
      <c r="H566" s="670"/>
    </row>
    <row r="567" spans="2:8" ht="14.25">
      <c r="B567" s="1064"/>
      <c r="E567" s="1063"/>
      <c r="F567" s="670"/>
      <c r="G567" s="670"/>
      <c r="H567" s="670"/>
    </row>
    <row r="568" spans="2:8" ht="14.25">
      <c r="B568" s="1064"/>
      <c r="E568" s="1063"/>
      <c r="F568" s="670"/>
      <c r="G568" s="670"/>
      <c r="H568" s="670"/>
    </row>
    <row r="569" spans="2:8" ht="14.25">
      <c r="B569" s="1064"/>
      <c r="E569" s="1063"/>
      <c r="F569" s="670"/>
      <c r="G569" s="670"/>
      <c r="H569" s="670"/>
    </row>
    <row r="570" spans="2:8" ht="14.25">
      <c r="B570" s="1064"/>
      <c r="E570" s="1063"/>
      <c r="F570" s="670"/>
      <c r="G570" s="670"/>
      <c r="H570" s="670"/>
    </row>
    <row r="571" spans="2:8" ht="14.25">
      <c r="B571" s="1064"/>
      <c r="E571" s="1063"/>
      <c r="F571" s="670"/>
      <c r="G571" s="670"/>
      <c r="H571" s="670"/>
    </row>
    <row r="572" spans="2:8" ht="14.25">
      <c r="B572" s="1064"/>
      <c r="E572" s="1063"/>
      <c r="F572" s="670"/>
      <c r="G572" s="670"/>
      <c r="H572" s="670"/>
    </row>
    <row r="573" spans="2:8" ht="14.25">
      <c r="B573" s="1064"/>
      <c r="E573" s="1063"/>
      <c r="F573" s="670"/>
      <c r="G573" s="670"/>
      <c r="H573" s="670"/>
    </row>
    <row r="574" spans="2:8" ht="14.25">
      <c r="B574" s="1064"/>
      <c r="E574" s="1063"/>
      <c r="F574" s="670"/>
      <c r="G574" s="670"/>
      <c r="H574" s="670"/>
    </row>
    <row r="575" spans="2:8" ht="14.25">
      <c r="B575" s="1064"/>
      <c r="E575" s="1063"/>
      <c r="F575" s="670"/>
      <c r="G575" s="670"/>
      <c r="H575" s="670"/>
    </row>
    <row r="576" spans="2:8" ht="14.25">
      <c r="B576" s="1064"/>
      <c r="E576" s="1063"/>
      <c r="F576" s="670"/>
      <c r="G576" s="670"/>
      <c r="H576" s="670"/>
    </row>
    <row r="577" spans="2:8" ht="14.25">
      <c r="B577" s="1064"/>
      <c r="E577" s="1063"/>
      <c r="F577" s="670"/>
      <c r="G577" s="670"/>
      <c r="H577" s="670"/>
    </row>
    <row r="578" spans="2:8" ht="14.25">
      <c r="B578" s="1064"/>
      <c r="E578" s="1063"/>
      <c r="F578" s="670"/>
      <c r="G578" s="670"/>
      <c r="H578" s="670"/>
    </row>
    <row r="579" spans="2:8" ht="14.25">
      <c r="B579" s="1064"/>
      <c r="E579" s="1063"/>
      <c r="F579" s="670"/>
      <c r="G579" s="670"/>
      <c r="H579" s="670"/>
    </row>
    <row r="580" spans="2:8" ht="14.25">
      <c r="B580" s="1064"/>
      <c r="E580" s="1063"/>
      <c r="F580" s="670"/>
      <c r="G580" s="670"/>
      <c r="H580" s="670"/>
    </row>
    <row r="581" spans="2:8" ht="14.25">
      <c r="B581" s="1064"/>
      <c r="E581" s="1063"/>
      <c r="F581" s="670"/>
      <c r="G581" s="670"/>
      <c r="H581" s="670"/>
    </row>
    <row r="582" spans="2:8" ht="14.25">
      <c r="B582" s="1064"/>
      <c r="E582" s="1063"/>
      <c r="F582" s="670"/>
      <c r="G582" s="670"/>
      <c r="H582" s="670"/>
    </row>
    <row r="583" spans="2:8" ht="14.25">
      <c r="B583" s="1064"/>
      <c r="E583" s="1063"/>
      <c r="F583" s="670"/>
      <c r="G583" s="670"/>
      <c r="H583" s="670"/>
    </row>
    <row r="584" spans="2:8" ht="14.25">
      <c r="B584" s="1064"/>
      <c r="E584" s="1063"/>
      <c r="F584" s="670"/>
      <c r="G584" s="670"/>
      <c r="H584" s="670"/>
    </row>
    <row r="585" spans="2:8" ht="14.25">
      <c r="B585" s="1064"/>
      <c r="E585" s="1063"/>
      <c r="F585" s="670"/>
      <c r="G585" s="670"/>
      <c r="H585" s="670"/>
    </row>
    <row r="586" spans="2:8" ht="14.25">
      <c r="B586" s="1064"/>
      <c r="E586" s="1063"/>
      <c r="F586" s="670"/>
      <c r="G586" s="670"/>
      <c r="H586" s="670"/>
    </row>
    <row r="587" spans="2:8" ht="14.25">
      <c r="B587" s="1064"/>
      <c r="E587" s="1063"/>
      <c r="F587" s="670"/>
      <c r="G587" s="670"/>
      <c r="H587" s="670"/>
    </row>
    <row r="588" spans="2:8" ht="14.25">
      <c r="B588" s="1064"/>
      <c r="E588" s="1063"/>
      <c r="F588" s="670"/>
      <c r="G588" s="670"/>
      <c r="H588" s="670"/>
    </row>
    <row r="589" spans="2:8" ht="14.25">
      <c r="B589" s="1064"/>
      <c r="E589" s="1063"/>
      <c r="F589" s="670"/>
      <c r="G589" s="670"/>
      <c r="H589" s="670"/>
    </row>
    <row r="590" spans="2:8" ht="14.25">
      <c r="B590" s="1064"/>
      <c r="E590" s="1063"/>
      <c r="F590" s="670"/>
      <c r="G590" s="670"/>
      <c r="H590" s="670"/>
    </row>
    <row r="591" spans="2:8" ht="14.25">
      <c r="B591" s="1064"/>
      <c r="E591" s="1063"/>
      <c r="F591" s="670"/>
      <c r="G591" s="670"/>
      <c r="H591" s="670"/>
    </row>
    <row r="592" spans="2:8" ht="14.25">
      <c r="B592" s="1064"/>
      <c r="E592" s="1063"/>
      <c r="F592" s="670"/>
      <c r="G592" s="670"/>
      <c r="H592" s="670"/>
    </row>
    <row r="593" spans="2:8" ht="14.25">
      <c r="B593" s="1064"/>
      <c r="E593" s="1063"/>
      <c r="F593" s="670"/>
      <c r="G593" s="670"/>
      <c r="H593" s="670"/>
    </row>
    <row r="594" spans="2:8" ht="14.25">
      <c r="B594" s="1064"/>
      <c r="E594" s="1063"/>
      <c r="F594" s="670"/>
      <c r="G594" s="670"/>
      <c r="H594" s="670"/>
    </row>
    <row r="595" spans="2:8" ht="14.25">
      <c r="B595" s="1064"/>
      <c r="E595" s="1063"/>
      <c r="F595" s="670"/>
      <c r="G595" s="670"/>
      <c r="H595" s="670"/>
    </row>
    <row r="596" spans="2:8" ht="14.25">
      <c r="B596" s="1064"/>
      <c r="E596" s="1063"/>
      <c r="F596" s="670"/>
      <c r="G596" s="670"/>
      <c r="H596" s="670"/>
    </row>
    <row r="597" spans="2:8" ht="14.25">
      <c r="B597" s="1064"/>
      <c r="E597" s="1063"/>
      <c r="F597" s="670"/>
      <c r="G597" s="670"/>
      <c r="H597" s="670"/>
    </row>
    <row r="598" spans="2:8" ht="14.25">
      <c r="B598" s="1064"/>
      <c r="E598" s="1063"/>
      <c r="F598" s="670"/>
      <c r="G598" s="670"/>
      <c r="H598" s="670"/>
    </row>
    <row r="599" spans="2:8" ht="14.25">
      <c r="B599" s="1064"/>
      <c r="E599" s="1063"/>
      <c r="F599" s="670"/>
      <c r="G599" s="670"/>
      <c r="H599" s="670"/>
    </row>
    <row r="600" spans="2:8" ht="14.25">
      <c r="B600" s="1064"/>
      <c r="E600" s="1063"/>
      <c r="F600" s="670"/>
      <c r="G600" s="670"/>
      <c r="H600" s="670"/>
    </row>
    <row r="601" spans="2:8" ht="14.25">
      <c r="B601" s="1064"/>
      <c r="E601" s="1063"/>
      <c r="F601" s="670"/>
      <c r="G601" s="670"/>
      <c r="H601" s="670"/>
    </row>
    <row r="602" spans="2:8" ht="14.25">
      <c r="B602" s="1064"/>
      <c r="E602" s="1063"/>
      <c r="F602" s="670"/>
      <c r="G602" s="670"/>
      <c r="H602" s="670"/>
    </row>
    <row r="603" spans="2:8" ht="14.25">
      <c r="B603" s="1064"/>
      <c r="E603" s="1063"/>
      <c r="F603" s="670"/>
      <c r="G603" s="670"/>
      <c r="H603" s="670"/>
    </row>
    <row r="604" spans="2:8" ht="14.25">
      <c r="B604" s="1064"/>
      <c r="E604" s="1063"/>
      <c r="F604" s="670"/>
      <c r="G604" s="670"/>
      <c r="H604" s="670"/>
    </row>
    <row r="605" spans="2:8" ht="14.25">
      <c r="B605" s="1064"/>
      <c r="E605" s="1063"/>
      <c r="F605" s="670"/>
      <c r="G605" s="670"/>
      <c r="H605" s="670"/>
    </row>
    <row r="606" spans="2:8" ht="14.25">
      <c r="B606" s="1064"/>
      <c r="E606" s="1063"/>
      <c r="F606" s="670"/>
      <c r="G606" s="670"/>
      <c r="H606" s="670"/>
    </row>
    <row r="607" spans="2:8" ht="14.25">
      <c r="B607" s="1064"/>
      <c r="E607" s="1063"/>
      <c r="F607" s="670"/>
      <c r="G607" s="670"/>
      <c r="H607" s="670"/>
    </row>
    <row r="608" spans="2:8" ht="14.25">
      <c r="B608" s="1064"/>
      <c r="E608" s="1063"/>
      <c r="F608" s="670"/>
      <c r="G608" s="670"/>
      <c r="H608" s="670"/>
    </row>
    <row r="609" spans="2:8" ht="14.25">
      <c r="B609" s="1064"/>
      <c r="E609" s="1063"/>
      <c r="F609" s="670"/>
      <c r="G609" s="670"/>
      <c r="H609" s="670"/>
    </row>
    <row r="610" spans="2:8" ht="14.25">
      <c r="B610" s="1064"/>
      <c r="E610" s="1063"/>
      <c r="F610" s="670"/>
      <c r="G610" s="670"/>
      <c r="H610" s="670"/>
    </row>
    <row r="611" spans="2:8" ht="14.25">
      <c r="B611" s="1064"/>
      <c r="E611" s="1063"/>
      <c r="F611" s="670"/>
      <c r="G611" s="670"/>
      <c r="H611" s="670"/>
    </row>
    <row r="612" spans="2:8" ht="14.25">
      <c r="B612" s="1064"/>
      <c r="E612" s="1063"/>
      <c r="F612" s="670"/>
      <c r="G612" s="670"/>
      <c r="H612" s="670"/>
    </row>
    <row r="613" spans="2:8" ht="14.25">
      <c r="B613" s="1064"/>
      <c r="E613" s="1063"/>
      <c r="F613" s="670"/>
      <c r="G613" s="670"/>
      <c r="H613" s="670"/>
    </row>
    <row r="614" spans="2:8" ht="14.25">
      <c r="B614" s="1064"/>
      <c r="E614" s="1063"/>
      <c r="F614" s="670"/>
      <c r="G614" s="670"/>
      <c r="H614" s="670"/>
    </row>
    <row r="615" spans="2:8" ht="14.25">
      <c r="B615" s="1064"/>
      <c r="E615" s="1063"/>
      <c r="F615" s="670"/>
      <c r="G615" s="670"/>
      <c r="H615" s="670"/>
    </row>
    <row r="616" spans="2:8" ht="14.25">
      <c r="B616" s="1064"/>
      <c r="E616" s="1063"/>
      <c r="F616" s="670"/>
      <c r="G616" s="670"/>
      <c r="H616" s="670"/>
    </row>
    <row r="617" spans="2:8" ht="14.25">
      <c r="B617" s="1064"/>
      <c r="E617" s="1063"/>
      <c r="F617" s="670"/>
      <c r="G617" s="670"/>
      <c r="H617" s="670"/>
    </row>
    <row r="618" spans="2:8" ht="14.25">
      <c r="B618" s="1064"/>
      <c r="E618" s="1063"/>
      <c r="F618" s="670"/>
      <c r="G618" s="670"/>
      <c r="H618" s="670"/>
    </row>
    <row r="619" spans="2:8" ht="14.25">
      <c r="B619" s="1064"/>
      <c r="E619" s="1063"/>
      <c r="F619" s="670"/>
      <c r="G619" s="670"/>
      <c r="H619" s="670"/>
    </row>
    <row r="620" spans="2:8" ht="14.25">
      <c r="B620" s="1064"/>
      <c r="E620" s="1063"/>
      <c r="F620" s="670"/>
      <c r="G620" s="670"/>
      <c r="H620" s="670"/>
    </row>
    <row r="621" spans="2:8" ht="14.25">
      <c r="B621" s="1064"/>
      <c r="E621" s="1063"/>
      <c r="F621" s="670"/>
      <c r="G621" s="670"/>
      <c r="H621" s="670"/>
    </row>
    <row r="622" spans="2:8" ht="14.25">
      <c r="B622" s="1064"/>
      <c r="E622" s="1063"/>
      <c r="F622" s="670"/>
      <c r="G622" s="670"/>
      <c r="H622" s="670"/>
    </row>
    <row r="623" spans="2:8" ht="14.25">
      <c r="B623" s="1064"/>
      <c r="E623" s="1063"/>
      <c r="F623" s="670"/>
      <c r="G623" s="670"/>
      <c r="H623" s="670"/>
    </row>
    <row r="624" spans="2:8" ht="14.25">
      <c r="B624" s="1064"/>
      <c r="E624" s="1063"/>
      <c r="F624" s="670"/>
      <c r="G624" s="670"/>
      <c r="H624" s="670"/>
    </row>
    <row r="625" spans="2:8" ht="14.25">
      <c r="B625" s="1064"/>
      <c r="E625" s="1063"/>
      <c r="F625" s="670"/>
      <c r="G625" s="670"/>
      <c r="H625" s="670"/>
    </row>
    <row r="626" spans="2:8" ht="14.25">
      <c r="B626" s="1064"/>
      <c r="E626" s="1063"/>
      <c r="F626" s="670"/>
      <c r="G626" s="670"/>
      <c r="H626" s="670"/>
    </row>
    <row r="627" spans="2:8" ht="14.25">
      <c r="B627" s="1064"/>
      <c r="E627" s="1063"/>
      <c r="F627" s="670"/>
      <c r="G627" s="670"/>
      <c r="H627" s="670"/>
    </row>
    <row r="628" spans="2:8" ht="14.25">
      <c r="B628" s="1064"/>
      <c r="E628" s="1063"/>
      <c r="F628" s="670"/>
      <c r="G628" s="670"/>
      <c r="H628" s="670"/>
    </row>
    <row r="629" spans="2:8" ht="14.25">
      <c r="B629" s="1064"/>
      <c r="E629" s="1063"/>
      <c r="F629" s="670"/>
      <c r="G629" s="670"/>
      <c r="H629" s="670"/>
    </row>
    <row r="630" spans="2:8" ht="14.25">
      <c r="B630" s="1064"/>
      <c r="E630" s="1063"/>
      <c r="F630" s="670"/>
      <c r="G630" s="670"/>
      <c r="H630" s="670"/>
    </row>
    <row r="631" spans="2:8" ht="14.25">
      <c r="B631" s="1064"/>
      <c r="E631" s="1063"/>
      <c r="F631" s="670"/>
      <c r="G631" s="670"/>
      <c r="H631" s="670"/>
    </row>
    <row r="632" spans="2:8" ht="14.25">
      <c r="B632" s="1064"/>
      <c r="E632" s="1063"/>
      <c r="F632" s="670"/>
      <c r="G632" s="670"/>
      <c r="H632" s="670"/>
    </row>
    <row r="633" spans="2:8" ht="14.25">
      <c r="B633" s="1064"/>
      <c r="E633" s="1063"/>
      <c r="F633" s="670"/>
      <c r="G633" s="670"/>
      <c r="H633" s="670"/>
    </row>
    <row r="634" spans="2:8" ht="14.25">
      <c r="B634" s="1064"/>
      <c r="E634" s="1063"/>
      <c r="F634" s="670"/>
      <c r="G634" s="670"/>
      <c r="H634" s="670"/>
    </row>
    <row r="635" spans="2:8" ht="14.25">
      <c r="B635" s="1064"/>
      <c r="E635" s="1063"/>
      <c r="F635" s="670"/>
      <c r="G635" s="670"/>
      <c r="H635" s="670"/>
    </row>
    <row r="636" spans="2:8" ht="14.25">
      <c r="B636" s="1064"/>
      <c r="E636" s="1063"/>
      <c r="F636" s="670"/>
      <c r="G636" s="670"/>
      <c r="H636" s="670"/>
    </row>
    <row r="637" spans="2:8" ht="14.25">
      <c r="B637" s="1064"/>
      <c r="E637" s="1063"/>
      <c r="F637" s="670"/>
      <c r="G637" s="670"/>
      <c r="H637" s="670"/>
    </row>
    <row r="638" spans="2:8" ht="14.25">
      <c r="B638" s="1064"/>
      <c r="E638" s="1063"/>
      <c r="F638" s="670"/>
      <c r="G638" s="670"/>
      <c r="H638" s="670"/>
    </row>
    <row r="639" spans="2:8" ht="14.25">
      <c r="B639" s="1064"/>
      <c r="E639" s="1063"/>
      <c r="F639" s="670"/>
      <c r="G639" s="670"/>
      <c r="H639" s="670"/>
    </row>
    <row r="640" spans="2:8" ht="14.25">
      <c r="B640" s="1064"/>
      <c r="E640" s="1063"/>
      <c r="F640" s="670"/>
      <c r="G640" s="670"/>
      <c r="H640" s="670"/>
    </row>
    <row r="641" spans="2:8" ht="14.25">
      <c r="B641" s="1064"/>
      <c r="E641" s="1063"/>
      <c r="F641" s="670"/>
      <c r="G641" s="670"/>
      <c r="H641" s="670"/>
    </row>
    <row r="642" spans="2:8" ht="14.25">
      <c r="B642" s="1064"/>
      <c r="E642" s="1063"/>
      <c r="F642" s="670"/>
      <c r="G642" s="670"/>
      <c r="H642" s="670"/>
    </row>
    <row r="643" spans="2:8" ht="14.25">
      <c r="B643" s="1064"/>
      <c r="E643" s="1063"/>
      <c r="F643" s="670"/>
      <c r="G643" s="670"/>
      <c r="H643" s="670"/>
    </row>
    <row r="644" spans="2:8" ht="14.25">
      <c r="B644" s="1064"/>
      <c r="E644" s="1063"/>
      <c r="F644" s="670"/>
      <c r="G644" s="670"/>
      <c r="H644" s="670"/>
    </row>
    <row r="645" spans="2:8" ht="14.25">
      <c r="B645" s="1064"/>
      <c r="E645" s="1063"/>
      <c r="F645" s="670"/>
      <c r="G645" s="670"/>
      <c r="H645" s="670"/>
    </row>
    <row r="646" spans="2:8" ht="14.25">
      <c r="B646" s="1064"/>
      <c r="E646" s="1063"/>
      <c r="F646" s="670"/>
      <c r="G646" s="670"/>
      <c r="H646" s="670"/>
    </row>
    <row r="647" spans="2:8" ht="14.25">
      <c r="B647" s="1064"/>
      <c r="E647" s="1063"/>
      <c r="F647" s="670"/>
      <c r="G647" s="670"/>
      <c r="H647" s="670"/>
    </row>
    <row r="648" spans="2:8" ht="14.25">
      <c r="B648" s="1064"/>
      <c r="E648" s="1063"/>
      <c r="F648" s="670"/>
      <c r="G648" s="670"/>
      <c r="H648" s="670"/>
    </row>
    <row r="649" spans="2:8" ht="14.25">
      <c r="B649" s="1064"/>
      <c r="E649" s="1063"/>
      <c r="F649" s="670"/>
      <c r="G649" s="670"/>
      <c r="H649" s="670"/>
    </row>
    <row r="650" spans="2:8" ht="14.25">
      <c r="B650" s="1064"/>
      <c r="E650" s="1063"/>
      <c r="F650" s="670"/>
      <c r="G650" s="670"/>
      <c r="H650" s="670"/>
    </row>
    <row r="651" spans="2:8" ht="14.25">
      <c r="B651" s="1064"/>
      <c r="E651" s="1063"/>
      <c r="F651" s="670"/>
      <c r="G651" s="670"/>
      <c r="H651" s="670"/>
    </row>
    <row r="652" spans="2:8" ht="14.25">
      <c r="B652" s="1064"/>
      <c r="E652" s="1063"/>
      <c r="F652" s="670"/>
      <c r="G652" s="670"/>
      <c r="H652" s="670"/>
    </row>
    <row r="653" spans="2:8" ht="14.25">
      <c r="B653" s="1064"/>
      <c r="E653" s="1063"/>
      <c r="F653" s="670"/>
      <c r="G653" s="670"/>
      <c r="H653" s="670"/>
    </row>
    <row r="654" spans="2:8" ht="14.25">
      <c r="B654" s="1064"/>
      <c r="E654" s="1063"/>
      <c r="F654" s="670"/>
      <c r="G654" s="670"/>
      <c r="H654" s="670"/>
    </row>
    <row r="655" spans="2:8" ht="14.25">
      <c r="B655" s="1064"/>
      <c r="E655" s="1063"/>
      <c r="F655" s="670"/>
      <c r="G655" s="670"/>
      <c r="H655" s="670"/>
    </row>
    <row r="656" spans="2:8" ht="14.25">
      <c r="B656" s="1064"/>
      <c r="E656" s="1063"/>
      <c r="F656" s="670"/>
      <c r="G656" s="670"/>
      <c r="H656" s="670"/>
    </row>
    <row r="657" spans="2:8" ht="14.25">
      <c r="B657" s="1064"/>
      <c r="E657" s="1063"/>
      <c r="F657" s="670"/>
      <c r="G657" s="670"/>
      <c r="H657" s="670"/>
    </row>
    <row r="658" spans="2:8" ht="14.25">
      <c r="B658" s="1064"/>
      <c r="E658" s="1063"/>
      <c r="F658" s="670"/>
      <c r="G658" s="670"/>
      <c r="H658" s="670"/>
    </row>
    <row r="659" spans="2:8" ht="14.25">
      <c r="B659" s="1064"/>
      <c r="E659" s="1063"/>
      <c r="F659" s="670"/>
      <c r="G659" s="670"/>
      <c r="H659" s="670"/>
    </row>
    <row r="660" spans="2:8" ht="14.25">
      <c r="B660" s="1064"/>
      <c r="E660" s="1063"/>
      <c r="F660" s="670"/>
      <c r="G660" s="670"/>
      <c r="H660" s="670"/>
    </row>
    <row r="661" spans="2:8" ht="14.25">
      <c r="B661" s="1064"/>
      <c r="E661" s="1063"/>
      <c r="F661" s="670"/>
      <c r="G661" s="670"/>
      <c r="H661" s="670"/>
    </row>
    <row r="662" spans="2:8" ht="14.25">
      <c r="B662" s="1064"/>
      <c r="E662" s="1063"/>
      <c r="F662" s="670"/>
      <c r="G662" s="670"/>
      <c r="H662" s="670"/>
    </row>
    <row r="663" spans="2:8" ht="14.25">
      <c r="B663" s="1064"/>
      <c r="E663" s="1063"/>
      <c r="F663" s="670"/>
      <c r="G663" s="670"/>
      <c r="H663" s="670"/>
    </row>
    <row r="664" spans="2:8" ht="14.25">
      <c r="B664" s="1064"/>
      <c r="E664" s="1063"/>
      <c r="F664" s="670"/>
      <c r="G664" s="670"/>
      <c r="H664" s="670"/>
    </row>
    <row r="665" spans="2:8" ht="14.25">
      <c r="B665" s="1064"/>
      <c r="E665" s="1063"/>
      <c r="F665" s="670"/>
      <c r="G665" s="670"/>
      <c r="H665" s="670"/>
    </row>
    <row r="666" spans="2:8" ht="14.25">
      <c r="B666" s="1064"/>
      <c r="E666" s="1063"/>
      <c r="F666" s="670"/>
      <c r="G666" s="670"/>
      <c r="H666" s="670"/>
    </row>
    <row r="667" spans="2:8" ht="14.25">
      <c r="B667" s="1064"/>
      <c r="E667" s="1063"/>
      <c r="F667" s="670"/>
      <c r="G667" s="670"/>
      <c r="H667" s="670"/>
    </row>
    <row r="668" spans="2:8" ht="14.25">
      <c r="B668" s="1064"/>
      <c r="E668" s="1063"/>
      <c r="F668" s="670"/>
      <c r="G668" s="670"/>
      <c r="H668" s="670"/>
    </row>
    <row r="669" spans="2:8" ht="14.25">
      <c r="B669" s="1064"/>
      <c r="E669" s="1063"/>
      <c r="F669" s="670"/>
      <c r="G669" s="670"/>
      <c r="H669" s="670"/>
    </row>
    <row r="670" spans="2:8" ht="14.25">
      <c r="B670" s="1064"/>
      <c r="E670" s="1063"/>
      <c r="F670" s="670"/>
      <c r="G670" s="670"/>
      <c r="H670" s="670"/>
    </row>
    <row r="671" spans="2:8" ht="14.25">
      <c r="B671" s="1064"/>
      <c r="E671" s="1063"/>
      <c r="F671" s="670"/>
      <c r="G671" s="670"/>
      <c r="H671" s="670"/>
    </row>
    <row r="672" spans="2:8" ht="14.25">
      <c r="B672" s="1064"/>
      <c r="E672" s="1063"/>
      <c r="F672" s="670"/>
      <c r="G672" s="670"/>
      <c r="H672" s="670"/>
    </row>
    <row r="673" spans="2:8" ht="14.25">
      <c r="B673" s="1064"/>
      <c r="E673" s="1063"/>
      <c r="F673" s="670"/>
      <c r="G673" s="670"/>
      <c r="H673" s="670"/>
    </row>
    <row r="674" spans="2:8" ht="14.25">
      <c r="B674" s="1064"/>
      <c r="E674" s="1063"/>
      <c r="F674" s="670"/>
      <c r="G674" s="670"/>
      <c r="H674" s="670"/>
    </row>
    <row r="675" spans="2:8" ht="14.25">
      <c r="B675" s="1064"/>
      <c r="E675" s="1063"/>
      <c r="F675" s="670"/>
      <c r="G675" s="670"/>
      <c r="H675" s="670"/>
    </row>
    <row r="676" spans="2:8" ht="14.25">
      <c r="B676" s="1064"/>
      <c r="E676" s="1063"/>
      <c r="F676" s="670"/>
      <c r="G676" s="670"/>
      <c r="H676" s="670"/>
    </row>
    <row r="677" spans="2:8" ht="14.25">
      <c r="B677" s="1064"/>
      <c r="E677" s="1063"/>
      <c r="F677" s="670"/>
      <c r="G677" s="670"/>
      <c r="H677" s="670"/>
    </row>
    <row r="678" spans="2:8" ht="14.25">
      <c r="B678" s="1064"/>
      <c r="E678" s="1063"/>
      <c r="F678" s="670"/>
      <c r="G678" s="670"/>
      <c r="H678" s="670"/>
    </row>
    <row r="679" spans="2:8" ht="14.25">
      <c r="B679" s="1064"/>
      <c r="E679" s="1063"/>
      <c r="F679" s="670"/>
      <c r="G679" s="670"/>
      <c r="H679" s="670"/>
    </row>
    <row r="680" spans="2:8" ht="14.25">
      <c r="B680" s="1064"/>
      <c r="E680" s="1063"/>
      <c r="F680" s="670"/>
      <c r="G680" s="670"/>
      <c r="H680" s="670"/>
    </row>
    <row r="681" spans="2:8" ht="14.25">
      <c r="B681" s="1064"/>
      <c r="E681" s="1063"/>
      <c r="F681" s="670"/>
      <c r="G681" s="670"/>
      <c r="H681" s="670"/>
    </row>
    <row r="682" spans="2:8" ht="14.25">
      <c r="B682" s="1064"/>
      <c r="E682" s="1063"/>
      <c r="F682" s="670"/>
      <c r="G682" s="670"/>
      <c r="H682" s="670"/>
    </row>
    <row r="683" spans="2:8" ht="14.25">
      <c r="B683" s="1064"/>
      <c r="E683" s="1063"/>
      <c r="F683" s="670"/>
      <c r="G683" s="670"/>
      <c r="H683" s="670"/>
    </row>
    <row r="684" spans="2:8" ht="14.25">
      <c r="B684" s="1064"/>
      <c r="E684" s="1063"/>
      <c r="F684" s="670"/>
      <c r="G684" s="670"/>
      <c r="H684" s="670"/>
    </row>
    <row r="685" spans="2:8" ht="14.25">
      <c r="B685" s="1064"/>
      <c r="E685" s="1063"/>
      <c r="F685" s="670"/>
      <c r="G685" s="670"/>
      <c r="H685" s="670"/>
    </row>
    <row r="686" spans="2:8" ht="14.25">
      <c r="B686" s="1064"/>
      <c r="E686" s="1063"/>
      <c r="F686" s="670"/>
      <c r="G686" s="670"/>
      <c r="H686" s="670"/>
    </row>
    <row r="687" spans="2:8" ht="14.25">
      <c r="B687" s="1064"/>
      <c r="E687" s="1063"/>
      <c r="F687" s="670"/>
      <c r="G687" s="670"/>
      <c r="H687" s="670"/>
    </row>
    <row r="688" spans="2:8" ht="14.25">
      <c r="B688" s="1064"/>
      <c r="E688" s="1063"/>
      <c r="F688" s="670"/>
      <c r="G688" s="670"/>
      <c r="H688" s="670"/>
    </row>
    <row r="689" spans="2:8" ht="14.25">
      <c r="B689" s="1064"/>
      <c r="E689" s="1063"/>
      <c r="F689" s="670"/>
      <c r="G689" s="670"/>
      <c r="H689" s="670"/>
    </row>
    <row r="690" spans="2:8" ht="14.25">
      <c r="B690" s="1064"/>
      <c r="E690" s="1063"/>
      <c r="F690" s="670"/>
      <c r="G690" s="670"/>
      <c r="H690" s="670"/>
    </row>
    <row r="691" spans="2:8" ht="14.25">
      <c r="B691" s="1064"/>
      <c r="E691" s="1063"/>
      <c r="F691" s="670"/>
      <c r="G691" s="670"/>
      <c r="H691" s="670"/>
    </row>
    <row r="692" spans="2:8" ht="14.25">
      <c r="B692" s="1064"/>
      <c r="E692" s="1063"/>
      <c r="F692" s="670"/>
      <c r="G692" s="670"/>
      <c r="H692" s="670"/>
    </row>
    <row r="693" spans="2:8" ht="14.25">
      <c r="B693" s="1064"/>
      <c r="E693" s="1063"/>
      <c r="F693" s="670"/>
      <c r="G693" s="670"/>
      <c r="H693" s="670"/>
    </row>
    <row r="694" spans="2:8" ht="14.25">
      <c r="B694" s="1064"/>
      <c r="E694" s="1063"/>
      <c r="F694" s="670"/>
      <c r="G694" s="670"/>
      <c r="H694" s="670"/>
    </row>
    <row r="695" spans="2:8" ht="14.25">
      <c r="B695" s="1064"/>
      <c r="E695" s="1063"/>
      <c r="F695" s="670"/>
      <c r="G695" s="670"/>
      <c r="H695" s="670"/>
    </row>
    <row r="696" spans="2:8" ht="14.25">
      <c r="B696" s="1064"/>
      <c r="E696" s="1063"/>
      <c r="F696" s="670"/>
      <c r="G696" s="670"/>
      <c r="H696" s="670"/>
    </row>
    <row r="697" spans="2:8" ht="14.25">
      <c r="B697" s="1064"/>
      <c r="E697" s="1063"/>
      <c r="F697" s="670"/>
      <c r="G697" s="670"/>
      <c r="H697" s="670"/>
    </row>
    <row r="698" spans="2:8" ht="14.25">
      <c r="B698" s="1064"/>
      <c r="E698" s="1063"/>
      <c r="F698" s="670"/>
      <c r="G698" s="670"/>
      <c r="H698" s="670"/>
    </row>
    <row r="699" spans="2:8" ht="14.25">
      <c r="B699" s="1064"/>
      <c r="E699" s="1063"/>
      <c r="F699" s="670"/>
      <c r="G699" s="670"/>
      <c r="H699" s="670"/>
    </row>
    <row r="700" spans="2:8" ht="14.25">
      <c r="B700" s="1064"/>
      <c r="E700" s="1063"/>
      <c r="F700" s="670"/>
      <c r="G700" s="670"/>
      <c r="H700" s="670"/>
    </row>
    <row r="701" spans="2:8" ht="14.25">
      <c r="B701" s="1064"/>
      <c r="E701" s="1063"/>
      <c r="F701" s="670"/>
      <c r="G701" s="670"/>
      <c r="H701" s="670"/>
    </row>
    <row r="702" spans="2:8" ht="14.25">
      <c r="B702" s="1064"/>
      <c r="E702" s="1063"/>
      <c r="F702" s="670"/>
      <c r="G702" s="670"/>
      <c r="H702" s="670"/>
    </row>
    <row r="703" spans="2:8" ht="14.25">
      <c r="B703" s="1064"/>
      <c r="E703" s="1063"/>
      <c r="F703" s="670"/>
      <c r="G703" s="670"/>
      <c r="H703" s="670"/>
    </row>
    <row r="704" spans="2:8" ht="14.25">
      <c r="B704" s="1064"/>
      <c r="E704" s="1063"/>
      <c r="F704" s="670"/>
      <c r="G704" s="670"/>
      <c r="H704" s="670"/>
    </row>
    <row r="705" spans="2:8" ht="14.25">
      <c r="B705" s="1064"/>
      <c r="E705" s="1063"/>
      <c r="F705" s="670"/>
      <c r="G705" s="670"/>
      <c r="H705" s="670"/>
    </row>
    <row r="706" spans="2:8" ht="14.25">
      <c r="B706" s="1064"/>
      <c r="E706" s="1063"/>
      <c r="F706" s="670"/>
      <c r="G706" s="670"/>
      <c r="H706" s="670"/>
    </row>
    <row r="707" spans="2:8" ht="14.25">
      <c r="B707" s="1064"/>
      <c r="E707" s="1063"/>
      <c r="F707" s="670"/>
      <c r="G707" s="670"/>
      <c r="H707" s="670"/>
    </row>
    <row r="708" spans="2:8" ht="14.25">
      <c r="B708" s="1064"/>
      <c r="E708" s="1063"/>
      <c r="F708" s="670"/>
      <c r="G708" s="670"/>
      <c r="H708" s="670"/>
    </row>
    <row r="709" spans="2:8" ht="14.25">
      <c r="B709" s="1064"/>
      <c r="E709" s="1063"/>
      <c r="F709" s="670"/>
      <c r="G709" s="670"/>
      <c r="H709" s="670"/>
    </row>
    <row r="710" spans="2:8" ht="14.25">
      <c r="B710" s="1064"/>
      <c r="E710" s="1063"/>
      <c r="F710" s="670"/>
      <c r="G710" s="670"/>
      <c r="H710" s="670"/>
    </row>
    <row r="711" spans="2:8" ht="14.25">
      <c r="B711" s="1064"/>
      <c r="E711" s="1063"/>
      <c r="F711" s="670"/>
      <c r="G711" s="670"/>
      <c r="H711" s="670"/>
    </row>
    <row r="712" spans="2:8" ht="14.25">
      <c r="B712" s="1064"/>
      <c r="E712" s="1063"/>
      <c r="F712" s="670"/>
      <c r="G712" s="670"/>
      <c r="H712" s="670"/>
    </row>
    <row r="713" spans="2:8" ht="14.25">
      <c r="B713" s="1064"/>
      <c r="E713" s="1063"/>
      <c r="F713" s="670"/>
      <c r="G713" s="670"/>
      <c r="H713" s="670"/>
    </row>
    <row r="714" spans="2:8" ht="14.25">
      <c r="B714" s="1064"/>
      <c r="E714" s="1063"/>
      <c r="F714" s="670"/>
      <c r="G714" s="670"/>
      <c r="H714" s="670"/>
    </row>
    <row r="715" spans="2:8" ht="14.25">
      <c r="B715" s="1064"/>
      <c r="E715" s="1063"/>
      <c r="F715" s="670"/>
      <c r="G715" s="670"/>
      <c r="H715" s="670"/>
    </row>
    <row r="716" spans="2:8" ht="14.25">
      <c r="B716" s="1064"/>
      <c r="E716" s="1063"/>
      <c r="F716" s="670"/>
      <c r="G716" s="670"/>
      <c r="H716" s="670"/>
    </row>
    <row r="717" spans="2:8" ht="14.25">
      <c r="B717" s="1064"/>
      <c r="E717" s="1063"/>
      <c r="F717" s="670"/>
      <c r="G717" s="670"/>
      <c r="H717" s="670"/>
    </row>
    <row r="718" spans="2:8" ht="14.25">
      <c r="B718" s="1064"/>
      <c r="E718" s="1063"/>
      <c r="F718" s="670"/>
      <c r="G718" s="670"/>
      <c r="H718" s="670"/>
    </row>
    <row r="719" spans="2:8" ht="14.25">
      <c r="B719" s="1064"/>
      <c r="E719" s="1063"/>
      <c r="F719" s="670"/>
      <c r="G719" s="670"/>
      <c r="H719" s="670"/>
    </row>
    <row r="720" spans="2:8" ht="14.25">
      <c r="B720" s="1064"/>
      <c r="E720" s="1063"/>
      <c r="F720" s="670"/>
      <c r="G720" s="670"/>
      <c r="H720" s="670"/>
    </row>
    <row r="721" spans="2:8" ht="14.25">
      <c r="B721" s="1064"/>
      <c r="E721" s="1063"/>
      <c r="F721" s="670"/>
      <c r="G721" s="670"/>
      <c r="H721" s="670"/>
    </row>
    <row r="722" spans="2:8" ht="14.25">
      <c r="B722" s="1064"/>
      <c r="E722" s="1063"/>
      <c r="F722" s="670"/>
      <c r="G722" s="670"/>
      <c r="H722" s="670"/>
    </row>
    <row r="723" spans="2:8" ht="14.25">
      <c r="B723" s="1064"/>
      <c r="E723" s="1063"/>
      <c r="F723" s="670"/>
      <c r="G723" s="670"/>
      <c r="H723" s="670"/>
    </row>
    <row r="724" spans="2:8" ht="14.25">
      <c r="B724" s="1064"/>
      <c r="E724" s="1063"/>
      <c r="F724" s="670"/>
      <c r="G724" s="670"/>
      <c r="H724" s="670"/>
    </row>
    <row r="725" spans="2:8" ht="14.25">
      <c r="B725" s="1064"/>
      <c r="E725" s="1063"/>
      <c r="F725" s="670"/>
      <c r="G725" s="670"/>
      <c r="H725" s="670"/>
    </row>
    <row r="726" spans="2:8" ht="14.25">
      <c r="B726" s="1064"/>
      <c r="E726" s="1063"/>
      <c r="F726" s="670"/>
      <c r="G726" s="670"/>
      <c r="H726" s="670"/>
    </row>
    <row r="727" spans="2:8" ht="14.25">
      <c r="B727" s="1064"/>
      <c r="E727" s="1063"/>
      <c r="F727" s="670"/>
      <c r="G727" s="670"/>
      <c r="H727" s="670"/>
    </row>
    <row r="728" spans="2:8" ht="14.25">
      <c r="B728" s="1064"/>
      <c r="E728" s="1063"/>
      <c r="F728" s="670"/>
      <c r="G728" s="670"/>
      <c r="H728" s="670"/>
    </row>
    <row r="729" spans="2:8" ht="14.25">
      <c r="B729" s="1064"/>
      <c r="E729" s="1063"/>
      <c r="F729" s="670"/>
      <c r="G729" s="670"/>
      <c r="H729" s="670"/>
    </row>
    <row r="730" spans="2:8" ht="14.25">
      <c r="B730" s="1064"/>
      <c r="E730" s="1063"/>
      <c r="F730" s="670"/>
      <c r="G730" s="670"/>
      <c r="H730" s="670"/>
    </row>
    <row r="731" spans="2:8" ht="14.25">
      <c r="B731" s="1064"/>
      <c r="E731" s="1063"/>
      <c r="F731" s="670"/>
      <c r="G731" s="670"/>
      <c r="H731" s="670"/>
    </row>
    <row r="732" spans="2:8" ht="14.25">
      <c r="B732" s="1064"/>
      <c r="E732" s="1063"/>
      <c r="F732" s="670"/>
      <c r="G732" s="670"/>
      <c r="H732" s="670"/>
    </row>
    <row r="733" spans="2:8" ht="14.25">
      <c r="B733" s="1064"/>
      <c r="E733" s="1063"/>
      <c r="F733" s="670"/>
      <c r="G733" s="670"/>
      <c r="H733" s="670"/>
    </row>
    <row r="734" spans="2:8" ht="14.25">
      <c r="B734" s="1064"/>
      <c r="E734" s="1063"/>
      <c r="F734" s="670"/>
      <c r="G734" s="670"/>
      <c r="H734" s="670"/>
    </row>
    <row r="735" spans="2:8" ht="14.25">
      <c r="B735" s="1064"/>
      <c r="E735" s="1063"/>
      <c r="F735" s="670"/>
      <c r="G735" s="670"/>
      <c r="H735" s="670"/>
    </row>
    <row r="736" spans="2:8" ht="14.25">
      <c r="B736" s="1064"/>
      <c r="E736" s="1063"/>
      <c r="F736" s="670"/>
      <c r="G736" s="670"/>
      <c r="H736" s="670"/>
    </row>
    <row r="737" spans="2:8" ht="14.25">
      <c r="B737" s="1064"/>
      <c r="E737" s="1063"/>
      <c r="F737" s="670"/>
      <c r="G737" s="670"/>
      <c r="H737" s="670"/>
    </row>
    <row r="738" spans="2:8" ht="14.25">
      <c r="B738" s="1064"/>
      <c r="E738" s="1063"/>
      <c r="F738" s="670"/>
      <c r="G738" s="670"/>
      <c r="H738" s="670"/>
    </row>
    <row r="739" spans="2:8" ht="14.25">
      <c r="B739" s="1064"/>
      <c r="E739" s="1063"/>
      <c r="F739" s="670"/>
      <c r="G739" s="670"/>
      <c r="H739" s="670"/>
    </row>
    <row r="740" spans="2:8" ht="14.25">
      <c r="B740" s="1064"/>
      <c r="E740" s="1063"/>
      <c r="F740" s="670"/>
      <c r="G740" s="670"/>
      <c r="H740" s="670"/>
    </row>
    <row r="741" spans="2:8" ht="14.25">
      <c r="B741" s="1064"/>
      <c r="E741" s="1063"/>
      <c r="F741" s="670"/>
      <c r="G741" s="670"/>
      <c r="H741" s="670"/>
    </row>
    <row r="742" spans="2:8" ht="14.25">
      <c r="B742" s="1064"/>
      <c r="E742" s="1063"/>
      <c r="F742" s="670"/>
      <c r="G742" s="670"/>
      <c r="H742" s="670"/>
    </row>
    <row r="743" spans="2:8" ht="14.25">
      <c r="B743" s="1064"/>
      <c r="E743" s="1063"/>
      <c r="F743" s="670"/>
      <c r="G743" s="670"/>
      <c r="H743" s="670"/>
    </row>
    <row r="744" spans="2:8" ht="14.25">
      <c r="B744" s="1064"/>
      <c r="E744" s="1063"/>
      <c r="F744" s="670"/>
      <c r="G744" s="670"/>
      <c r="H744" s="670"/>
    </row>
    <row r="745" spans="2:8" ht="14.25">
      <c r="B745" s="1064"/>
      <c r="E745" s="1063"/>
      <c r="F745" s="670"/>
      <c r="G745" s="670"/>
      <c r="H745" s="670"/>
    </row>
    <row r="746" spans="2:8" ht="14.25">
      <c r="B746" s="1064"/>
      <c r="E746" s="1063"/>
      <c r="F746" s="670"/>
      <c r="G746" s="670"/>
      <c r="H746" s="670"/>
    </row>
    <row r="747" spans="2:8" ht="14.25">
      <c r="B747" s="1064"/>
      <c r="E747" s="1063"/>
      <c r="F747" s="670"/>
      <c r="G747" s="670"/>
      <c r="H747" s="670"/>
    </row>
    <row r="748" spans="2:8" ht="14.25">
      <c r="B748" s="1064"/>
      <c r="E748" s="1063"/>
      <c r="F748" s="670"/>
      <c r="G748" s="670"/>
      <c r="H748" s="670"/>
    </row>
    <row r="749" spans="2:8" ht="14.25">
      <c r="B749" s="1064"/>
      <c r="E749" s="1063"/>
      <c r="F749" s="670"/>
      <c r="G749" s="670"/>
      <c r="H749" s="670"/>
    </row>
    <row r="750" spans="2:8" ht="14.25">
      <c r="B750" s="1064"/>
      <c r="E750" s="1063"/>
      <c r="F750" s="670"/>
      <c r="G750" s="670"/>
      <c r="H750" s="670"/>
    </row>
    <row r="751" spans="2:8" ht="14.25">
      <c r="B751" s="1064"/>
      <c r="E751" s="1063"/>
      <c r="F751" s="670"/>
      <c r="G751" s="670"/>
      <c r="H751" s="670"/>
    </row>
    <row r="752" spans="2:8" ht="14.25">
      <c r="B752" s="1064"/>
      <c r="E752" s="1063"/>
      <c r="F752" s="670"/>
      <c r="G752" s="670"/>
      <c r="H752" s="670"/>
    </row>
    <row r="753" spans="2:8" ht="14.25">
      <c r="B753" s="1064"/>
      <c r="E753" s="1063"/>
      <c r="F753" s="670"/>
      <c r="G753" s="670"/>
      <c r="H753" s="670"/>
    </row>
    <row r="754" spans="2:8" ht="14.25">
      <c r="B754" s="1064"/>
      <c r="E754" s="1063"/>
      <c r="F754" s="670"/>
      <c r="G754" s="670"/>
      <c r="H754" s="670"/>
    </row>
    <row r="755" spans="2:8" ht="14.25">
      <c r="B755" s="1064"/>
      <c r="E755" s="1063"/>
      <c r="F755" s="670"/>
      <c r="G755" s="670"/>
      <c r="H755" s="670"/>
    </row>
    <row r="756" spans="2:8" ht="14.25">
      <c r="B756" s="1064"/>
      <c r="E756" s="1063"/>
      <c r="F756" s="670"/>
      <c r="G756" s="670"/>
      <c r="H756" s="670"/>
    </row>
    <row r="757" spans="2:8" ht="14.25">
      <c r="B757" s="1064"/>
      <c r="E757" s="1063"/>
      <c r="F757" s="670"/>
      <c r="G757" s="670"/>
      <c r="H757" s="670"/>
    </row>
    <row r="758" spans="2:8" ht="14.25">
      <c r="B758" s="1064"/>
      <c r="E758" s="1063"/>
      <c r="F758" s="670"/>
      <c r="G758" s="670"/>
      <c r="H758" s="670"/>
    </row>
    <row r="759" spans="2:8" ht="14.25">
      <c r="B759" s="1064"/>
      <c r="E759" s="1063"/>
      <c r="F759" s="670"/>
      <c r="G759" s="670"/>
      <c r="H759" s="670"/>
    </row>
    <row r="760" spans="2:8" ht="14.25">
      <c r="B760" s="1064"/>
      <c r="E760" s="1063"/>
      <c r="F760" s="670"/>
      <c r="G760" s="670"/>
      <c r="H760" s="670"/>
    </row>
    <row r="761" spans="2:8" ht="14.25">
      <c r="B761" s="1064"/>
      <c r="E761" s="1063"/>
      <c r="F761" s="670"/>
      <c r="G761" s="670"/>
      <c r="H761" s="670"/>
    </row>
    <row r="762" spans="2:8" ht="14.25">
      <c r="B762" s="1064"/>
      <c r="E762" s="1063"/>
      <c r="F762" s="670"/>
      <c r="G762" s="670"/>
      <c r="H762" s="670"/>
    </row>
    <row r="763" spans="2:8" ht="14.25">
      <c r="B763" s="1064"/>
      <c r="E763" s="1063"/>
      <c r="F763" s="670"/>
      <c r="G763" s="670"/>
      <c r="H763" s="670"/>
    </row>
    <row r="764" spans="2:8" ht="14.25">
      <c r="B764" s="1064"/>
      <c r="E764" s="1063"/>
      <c r="F764" s="670"/>
      <c r="G764" s="670"/>
      <c r="H764" s="670"/>
    </row>
    <row r="765" spans="2:8" ht="14.25">
      <c r="B765" s="1064"/>
      <c r="E765" s="1063"/>
      <c r="F765" s="670"/>
      <c r="G765" s="670"/>
      <c r="H765" s="670"/>
    </row>
    <row r="766" spans="2:8" ht="14.25">
      <c r="B766" s="1064"/>
      <c r="E766" s="1063"/>
      <c r="F766" s="670"/>
      <c r="G766" s="670"/>
      <c r="H766" s="670"/>
    </row>
    <row r="767" spans="2:8" ht="14.25">
      <c r="B767" s="1064"/>
      <c r="E767" s="1063"/>
      <c r="F767" s="670"/>
      <c r="G767" s="670"/>
      <c r="H767" s="670"/>
    </row>
    <row r="768" spans="2:8" ht="14.25">
      <c r="B768" s="1064"/>
      <c r="E768" s="1063"/>
      <c r="F768" s="670"/>
      <c r="G768" s="670"/>
      <c r="H768" s="670"/>
    </row>
    <row r="769" spans="2:8" ht="14.25">
      <c r="B769" s="1064"/>
      <c r="E769" s="1063"/>
      <c r="F769" s="670"/>
      <c r="G769" s="670"/>
      <c r="H769" s="670"/>
    </row>
    <row r="770" spans="2:8" ht="14.25">
      <c r="B770" s="1064"/>
      <c r="E770" s="1063"/>
      <c r="F770" s="670"/>
      <c r="G770" s="670"/>
      <c r="H770" s="670"/>
    </row>
    <row r="771" spans="2:8" ht="14.25">
      <c r="B771" s="1064"/>
      <c r="E771" s="1063"/>
      <c r="F771" s="670"/>
      <c r="G771" s="670"/>
      <c r="H771" s="670"/>
    </row>
    <row r="772" spans="2:8" ht="14.25">
      <c r="B772" s="1064"/>
      <c r="E772" s="1063"/>
      <c r="F772" s="670"/>
      <c r="G772" s="670"/>
      <c r="H772" s="670"/>
    </row>
    <row r="773" spans="2:8" ht="14.25">
      <c r="B773" s="1064"/>
      <c r="E773" s="1063"/>
      <c r="F773" s="670"/>
      <c r="G773" s="670"/>
      <c r="H773" s="670"/>
    </row>
    <row r="774" spans="2:8" ht="14.25">
      <c r="B774" s="1064"/>
      <c r="E774" s="1063"/>
      <c r="F774" s="670"/>
      <c r="G774" s="670"/>
      <c r="H774" s="670"/>
    </row>
    <row r="775" spans="2:8" ht="14.25">
      <c r="B775" s="1064"/>
      <c r="E775" s="1063"/>
      <c r="F775" s="670"/>
      <c r="G775" s="670"/>
      <c r="H775" s="670"/>
    </row>
    <row r="776" spans="2:8" ht="14.25">
      <c r="B776" s="1064"/>
      <c r="E776" s="1063"/>
      <c r="F776" s="670"/>
      <c r="G776" s="670"/>
      <c r="H776" s="670"/>
    </row>
    <row r="777" spans="2:8" ht="14.25">
      <c r="B777" s="1064"/>
      <c r="E777" s="1063"/>
      <c r="F777" s="670"/>
      <c r="G777" s="670"/>
      <c r="H777" s="670"/>
    </row>
    <row r="778" spans="2:8" ht="14.25">
      <c r="B778" s="1064"/>
      <c r="E778" s="1063"/>
      <c r="F778" s="670"/>
      <c r="G778" s="670"/>
      <c r="H778" s="670"/>
    </row>
    <row r="779" spans="2:8" ht="14.25">
      <c r="B779" s="1064"/>
      <c r="E779" s="1063"/>
      <c r="F779" s="670"/>
      <c r="G779" s="670"/>
      <c r="H779" s="670"/>
    </row>
    <row r="780" spans="2:8" ht="14.25">
      <c r="B780" s="1064"/>
      <c r="E780" s="1063"/>
      <c r="F780" s="670"/>
      <c r="G780" s="670"/>
      <c r="H780" s="670"/>
    </row>
    <row r="781" spans="2:8" ht="14.25">
      <c r="B781" s="1064"/>
      <c r="E781" s="1063"/>
      <c r="F781" s="670"/>
      <c r="G781" s="670"/>
      <c r="H781" s="670"/>
    </row>
    <row r="782" spans="2:8" ht="14.25">
      <c r="B782" s="1064"/>
      <c r="E782" s="1063"/>
      <c r="F782" s="670"/>
      <c r="G782" s="670"/>
      <c r="H782" s="670"/>
    </row>
    <row r="783" spans="2:8" ht="14.25">
      <c r="B783" s="1064"/>
      <c r="E783" s="1063"/>
      <c r="F783" s="670"/>
      <c r="G783" s="670"/>
      <c r="H783" s="670"/>
    </row>
    <row r="784" spans="2:8" ht="14.25">
      <c r="B784" s="1064"/>
      <c r="E784" s="1063"/>
      <c r="F784" s="670"/>
      <c r="G784" s="670"/>
      <c r="H784" s="670"/>
    </row>
    <row r="785" spans="2:8" ht="14.25">
      <c r="B785" s="1064"/>
      <c r="E785" s="1063"/>
      <c r="F785" s="670"/>
      <c r="G785" s="670"/>
      <c r="H785" s="670"/>
    </row>
    <row r="786" spans="2:8" ht="14.25">
      <c r="B786" s="1064"/>
      <c r="E786" s="1063"/>
      <c r="F786" s="670"/>
      <c r="G786" s="670"/>
      <c r="H786" s="670"/>
    </row>
    <row r="787" spans="2:8" ht="14.25">
      <c r="B787" s="1064"/>
      <c r="E787" s="1063"/>
      <c r="F787" s="670"/>
      <c r="G787" s="670"/>
      <c r="H787" s="670"/>
    </row>
    <row r="788" spans="2:8" ht="14.25">
      <c r="B788" s="1064"/>
      <c r="E788" s="1063"/>
      <c r="F788" s="670"/>
      <c r="G788" s="670"/>
      <c r="H788" s="670"/>
    </row>
    <row r="789" spans="2:8" ht="14.25">
      <c r="B789" s="1064"/>
      <c r="E789" s="1063"/>
      <c r="F789" s="670"/>
      <c r="G789" s="670"/>
      <c r="H789" s="670"/>
    </row>
    <row r="790" spans="2:8" ht="14.25">
      <c r="B790" s="1064"/>
      <c r="E790" s="1063"/>
      <c r="F790" s="670"/>
      <c r="G790" s="670"/>
      <c r="H790" s="670"/>
    </row>
    <row r="791" spans="2:8" ht="14.25">
      <c r="B791" s="1064"/>
      <c r="E791" s="1063"/>
      <c r="F791" s="670"/>
      <c r="G791" s="670"/>
      <c r="H791" s="670"/>
    </row>
    <row r="792" spans="2:8" ht="14.25">
      <c r="B792" s="1064"/>
      <c r="E792" s="1063"/>
      <c r="F792" s="670"/>
      <c r="G792" s="670"/>
      <c r="H792" s="670"/>
    </row>
    <row r="793" spans="2:8" ht="14.25">
      <c r="B793" s="1064"/>
      <c r="E793" s="1063"/>
      <c r="F793" s="670"/>
      <c r="G793" s="670"/>
      <c r="H793" s="670"/>
    </row>
    <row r="794" spans="2:8" ht="14.25">
      <c r="B794" s="1064"/>
      <c r="E794" s="1063"/>
      <c r="F794" s="670"/>
      <c r="G794" s="670"/>
      <c r="H794" s="670"/>
    </row>
    <row r="795" spans="2:8" ht="14.25">
      <c r="B795" s="1064"/>
      <c r="E795" s="1063"/>
      <c r="F795" s="670"/>
      <c r="G795" s="670"/>
      <c r="H795" s="670"/>
    </row>
    <row r="796" spans="2:8" ht="14.25">
      <c r="B796" s="1064"/>
      <c r="E796" s="1063"/>
      <c r="F796" s="670"/>
      <c r="G796" s="670"/>
      <c r="H796" s="670"/>
    </row>
    <row r="797" spans="2:8" ht="14.25">
      <c r="B797" s="1064"/>
      <c r="E797" s="1063"/>
      <c r="F797" s="670"/>
      <c r="G797" s="670"/>
      <c r="H797" s="670"/>
    </row>
    <row r="798" spans="2:8" ht="14.25">
      <c r="B798" s="1064"/>
      <c r="E798" s="1063"/>
      <c r="F798" s="670"/>
      <c r="G798" s="670"/>
      <c r="H798" s="670"/>
    </row>
    <row r="799" spans="2:8" ht="14.25">
      <c r="B799" s="1064"/>
      <c r="E799" s="1063"/>
      <c r="F799" s="670"/>
      <c r="G799" s="670"/>
      <c r="H799" s="670"/>
    </row>
    <row r="800" spans="2:8" ht="14.25">
      <c r="B800" s="1064"/>
      <c r="E800" s="1063"/>
      <c r="F800" s="670"/>
      <c r="G800" s="670"/>
      <c r="H800" s="670"/>
    </row>
    <row r="801" spans="2:8" ht="14.25">
      <c r="B801" s="1064"/>
      <c r="E801" s="1063"/>
      <c r="F801" s="670"/>
      <c r="G801" s="670"/>
      <c r="H801" s="670"/>
    </row>
    <row r="802" spans="2:8" ht="14.25">
      <c r="B802" s="1064"/>
      <c r="E802" s="1063"/>
      <c r="F802" s="670"/>
      <c r="G802" s="670"/>
      <c r="H802" s="670"/>
    </row>
    <row r="803" spans="2:8" ht="14.25">
      <c r="B803" s="1064"/>
      <c r="E803" s="1063"/>
      <c r="F803" s="670"/>
      <c r="G803" s="670"/>
      <c r="H803" s="670"/>
    </row>
    <row r="804" spans="2:8" ht="14.25">
      <c r="B804" s="1064"/>
      <c r="E804" s="1063"/>
      <c r="F804" s="670"/>
      <c r="G804" s="670"/>
      <c r="H804" s="670"/>
    </row>
    <row r="805" spans="2:8" ht="14.25">
      <c r="B805" s="1064"/>
      <c r="E805" s="1063"/>
      <c r="F805" s="670"/>
      <c r="G805" s="670"/>
      <c r="H805" s="670"/>
    </row>
    <row r="806" spans="2:8" ht="14.25">
      <c r="B806" s="1064"/>
      <c r="E806" s="1063"/>
      <c r="F806" s="670"/>
      <c r="G806" s="670"/>
      <c r="H806" s="670"/>
    </row>
    <row r="807" spans="2:8" ht="14.25">
      <c r="B807" s="1064"/>
      <c r="E807" s="1063"/>
      <c r="F807" s="670"/>
      <c r="G807" s="670"/>
      <c r="H807" s="670"/>
    </row>
    <row r="808" spans="2:8" ht="14.25">
      <c r="B808" s="1064"/>
      <c r="E808" s="1063"/>
      <c r="F808" s="670"/>
      <c r="G808" s="670"/>
      <c r="H808" s="670"/>
    </row>
    <row r="809" spans="2:8" ht="14.25">
      <c r="B809" s="1064"/>
      <c r="E809" s="1063"/>
      <c r="F809" s="670"/>
      <c r="G809" s="670"/>
      <c r="H809" s="670"/>
    </row>
    <row r="810" spans="2:8" ht="14.25">
      <c r="B810" s="1064"/>
      <c r="E810" s="1063"/>
      <c r="F810" s="670"/>
      <c r="G810" s="670"/>
      <c r="H810" s="670"/>
    </row>
    <row r="811" spans="2:8" ht="14.25">
      <c r="B811" s="1064"/>
      <c r="E811" s="1063"/>
      <c r="F811" s="670"/>
      <c r="G811" s="670"/>
      <c r="H811" s="670"/>
    </row>
    <row r="812" spans="2:8" ht="14.25">
      <c r="B812" s="1064"/>
      <c r="E812" s="1063"/>
      <c r="F812" s="670"/>
      <c r="G812" s="670"/>
      <c r="H812" s="670"/>
    </row>
    <row r="813" spans="2:8" ht="14.25">
      <c r="B813" s="1064"/>
      <c r="E813" s="1063"/>
      <c r="F813" s="670"/>
      <c r="G813" s="670"/>
      <c r="H813" s="670"/>
    </row>
    <row r="814" spans="2:8" ht="14.25">
      <c r="B814" s="1064"/>
      <c r="E814" s="1063"/>
      <c r="F814" s="670"/>
      <c r="G814" s="670"/>
      <c r="H814" s="670"/>
    </row>
    <row r="815" spans="2:8" ht="14.25">
      <c r="B815" s="1064"/>
      <c r="E815" s="1063"/>
      <c r="F815" s="670"/>
      <c r="G815" s="670"/>
      <c r="H815" s="670"/>
    </row>
    <row r="816" spans="2:8" ht="14.25">
      <c r="B816" s="1064"/>
      <c r="E816" s="1063"/>
      <c r="F816" s="670"/>
      <c r="G816" s="670"/>
      <c r="H816" s="670"/>
    </row>
    <row r="817" spans="2:8" ht="14.25">
      <c r="B817" s="1064"/>
      <c r="E817" s="1063"/>
      <c r="F817" s="670"/>
      <c r="G817" s="670"/>
      <c r="H817" s="670"/>
    </row>
    <row r="818" spans="2:8" ht="14.25">
      <c r="B818" s="1064"/>
      <c r="E818" s="1063"/>
      <c r="F818" s="670"/>
      <c r="G818" s="670"/>
      <c r="H818" s="670"/>
    </row>
    <row r="819" spans="2:8" ht="14.25">
      <c r="B819" s="1064"/>
      <c r="E819" s="1063"/>
      <c r="F819" s="670"/>
      <c r="G819" s="670"/>
      <c r="H819" s="670"/>
    </row>
    <row r="820" spans="2:8" ht="14.25">
      <c r="B820" s="1064"/>
      <c r="E820" s="1063"/>
      <c r="F820" s="670"/>
      <c r="G820" s="670"/>
      <c r="H820" s="670"/>
    </row>
    <row r="821" spans="2:8" ht="14.25">
      <c r="B821" s="1064"/>
      <c r="E821" s="1063"/>
      <c r="F821" s="670"/>
      <c r="G821" s="670"/>
      <c r="H821" s="670"/>
    </row>
    <row r="822" spans="2:8" ht="14.25">
      <c r="B822" s="1064"/>
      <c r="E822" s="1063"/>
      <c r="F822" s="670"/>
      <c r="G822" s="670"/>
      <c r="H822" s="670"/>
    </row>
    <row r="823" spans="2:8" ht="14.25">
      <c r="B823" s="1064"/>
      <c r="E823" s="1063"/>
      <c r="F823" s="670"/>
      <c r="G823" s="670"/>
      <c r="H823" s="670"/>
    </row>
    <row r="824" spans="2:8" ht="14.25">
      <c r="B824" s="1064"/>
      <c r="E824" s="1063"/>
      <c r="F824" s="670"/>
      <c r="G824" s="670"/>
      <c r="H824" s="670"/>
    </row>
    <row r="825" spans="2:8" ht="14.25">
      <c r="B825" s="1064"/>
      <c r="E825" s="1063"/>
      <c r="F825" s="670"/>
      <c r="G825" s="670"/>
      <c r="H825" s="670"/>
    </row>
    <row r="826" spans="2:8" ht="14.25">
      <c r="B826" s="1064"/>
      <c r="E826" s="1063"/>
      <c r="F826" s="670"/>
      <c r="G826" s="670"/>
      <c r="H826" s="670"/>
    </row>
    <row r="827" spans="2:8" ht="14.25">
      <c r="B827" s="1064"/>
      <c r="E827" s="1063"/>
      <c r="F827" s="670"/>
      <c r="G827" s="670"/>
      <c r="H827" s="670"/>
    </row>
    <row r="828" spans="2:8" ht="14.25">
      <c r="B828" s="1064"/>
      <c r="E828" s="1063"/>
      <c r="F828" s="670"/>
      <c r="G828" s="670"/>
      <c r="H828" s="670"/>
    </row>
    <row r="829" spans="2:8" ht="14.25">
      <c r="B829" s="1064"/>
      <c r="E829" s="1063"/>
      <c r="F829" s="670"/>
      <c r="G829" s="670"/>
      <c r="H829" s="670"/>
    </row>
    <row r="830" spans="2:8" ht="14.25">
      <c r="B830" s="1064"/>
      <c r="E830" s="1063"/>
      <c r="F830" s="670"/>
      <c r="G830" s="670"/>
      <c r="H830" s="670"/>
    </row>
    <row r="831" spans="2:8" ht="14.25">
      <c r="B831" s="1064"/>
      <c r="E831" s="1063"/>
      <c r="F831" s="670"/>
      <c r="G831" s="670"/>
      <c r="H831" s="670"/>
    </row>
    <row r="832" spans="2:8" ht="14.25">
      <c r="B832" s="1064"/>
      <c r="E832" s="1063"/>
      <c r="F832" s="670"/>
      <c r="G832" s="670"/>
      <c r="H832" s="670"/>
    </row>
    <row r="833" spans="2:8" ht="14.25">
      <c r="B833" s="1064"/>
      <c r="E833" s="1063"/>
      <c r="F833" s="670"/>
      <c r="G833" s="670"/>
      <c r="H833" s="670"/>
    </row>
    <row r="834" spans="2:8" ht="14.25">
      <c r="B834" s="1064"/>
      <c r="E834" s="1063"/>
      <c r="F834" s="670"/>
      <c r="G834" s="670"/>
      <c r="H834" s="670"/>
    </row>
    <row r="835" spans="2:8" ht="14.25">
      <c r="B835" s="1064"/>
      <c r="E835" s="1063"/>
      <c r="F835" s="670"/>
      <c r="G835" s="670"/>
      <c r="H835" s="670"/>
    </row>
    <row r="836" spans="2:8" ht="14.25">
      <c r="B836" s="1064"/>
      <c r="E836" s="1063"/>
      <c r="F836" s="670"/>
      <c r="G836" s="670"/>
      <c r="H836" s="670"/>
    </row>
    <row r="837" spans="2:8" ht="14.25">
      <c r="B837" s="1064"/>
      <c r="E837" s="1063"/>
      <c r="F837" s="670"/>
      <c r="G837" s="670"/>
      <c r="H837" s="670"/>
    </row>
    <row r="838" spans="2:8" ht="14.25">
      <c r="B838" s="1064"/>
      <c r="E838" s="1063"/>
      <c r="F838" s="670"/>
      <c r="G838" s="670"/>
      <c r="H838" s="670"/>
    </row>
    <row r="839" spans="2:8" ht="14.25">
      <c r="B839" s="1064"/>
      <c r="E839" s="1063"/>
      <c r="F839" s="670"/>
      <c r="G839" s="670"/>
      <c r="H839" s="670"/>
    </row>
    <row r="840" spans="2:8" ht="14.25">
      <c r="B840" s="1064"/>
      <c r="E840" s="1063"/>
      <c r="F840" s="670"/>
      <c r="G840" s="670"/>
      <c r="H840" s="670"/>
    </row>
    <row r="841" spans="2:8" ht="14.25">
      <c r="B841" s="1064"/>
      <c r="E841" s="1063"/>
      <c r="F841" s="670"/>
      <c r="G841" s="670"/>
      <c r="H841" s="670"/>
    </row>
    <row r="842" spans="2:8" ht="14.25">
      <c r="B842" s="1064"/>
      <c r="E842" s="1063"/>
      <c r="F842" s="670"/>
      <c r="G842" s="670"/>
      <c r="H842" s="670"/>
    </row>
    <row r="843" spans="2:8" ht="14.25">
      <c r="B843" s="1064"/>
      <c r="E843" s="1063"/>
      <c r="F843" s="670"/>
      <c r="G843" s="670"/>
      <c r="H843" s="670"/>
    </row>
    <row r="844" spans="2:8" ht="14.25">
      <c r="B844" s="1064"/>
      <c r="E844" s="1063"/>
      <c r="F844" s="670"/>
      <c r="G844" s="670"/>
      <c r="H844" s="670"/>
    </row>
    <row r="845" spans="2:8" ht="14.25">
      <c r="B845" s="1064"/>
      <c r="E845" s="1063"/>
      <c r="F845" s="670"/>
      <c r="G845" s="670"/>
      <c r="H845" s="670"/>
    </row>
    <row r="846" spans="2:8" ht="14.25">
      <c r="B846" s="1064"/>
      <c r="E846" s="1063"/>
      <c r="F846" s="670"/>
      <c r="G846" s="670"/>
      <c r="H846" s="670"/>
    </row>
    <row r="847" spans="2:8" ht="14.25">
      <c r="B847" s="1064"/>
      <c r="E847" s="1063"/>
      <c r="F847" s="670"/>
      <c r="G847" s="670"/>
      <c r="H847" s="670"/>
    </row>
    <row r="848" spans="2:8" ht="14.25">
      <c r="B848" s="1064"/>
      <c r="E848" s="1063"/>
      <c r="F848" s="670"/>
      <c r="G848" s="670"/>
      <c r="H848" s="670"/>
    </row>
    <row r="849" spans="2:8" ht="14.25">
      <c r="B849" s="1064"/>
      <c r="E849" s="1063"/>
      <c r="F849" s="670"/>
      <c r="G849" s="670"/>
      <c r="H849" s="670"/>
    </row>
    <row r="850" spans="2:8" ht="14.25">
      <c r="B850" s="1064"/>
      <c r="E850" s="1063"/>
      <c r="F850" s="670"/>
      <c r="G850" s="670"/>
      <c r="H850" s="670"/>
    </row>
    <row r="851" spans="2:8" ht="14.25">
      <c r="B851" s="1064"/>
      <c r="E851" s="1063"/>
      <c r="F851" s="670"/>
      <c r="G851" s="670"/>
      <c r="H851" s="670"/>
    </row>
    <row r="852" spans="2:8" ht="14.25">
      <c r="B852" s="1064"/>
      <c r="E852" s="1063"/>
      <c r="F852" s="670"/>
      <c r="G852" s="670"/>
      <c r="H852" s="670"/>
    </row>
    <row r="853" spans="2:8" ht="14.25">
      <c r="B853" s="1064"/>
      <c r="E853" s="1063"/>
      <c r="F853" s="670"/>
      <c r="G853" s="670"/>
      <c r="H853" s="670"/>
    </row>
    <row r="854" spans="2:8" ht="14.25">
      <c r="B854" s="1064"/>
      <c r="E854" s="1063"/>
      <c r="F854" s="670"/>
      <c r="G854" s="670"/>
      <c r="H854" s="670"/>
    </row>
    <row r="855" spans="2:8" ht="14.25">
      <c r="B855" s="1064"/>
      <c r="E855" s="1063"/>
      <c r="F855" s="670"/>
      <c r="G855" s="670"/>
      <c r="H855" s="670"/>
    </row>
    <row r="856" spans="2:8" ht="14.25">
      <c r="B856" s="1064"/>
      <c r="E856" s="1063"/>
      <c r="F856" s="670"/>
      <c r="G856" s="670"/>
      <c r="H856" s="670"/>
    </row>
    <row r="857" spans="2:8" ht="14.25">
      <c r="B857" s="1064"/>
      <c r="E857" s="1063"/>
      <c r="F857" s="670"/>
      <c r="G857" s="670"/>
      <c r="H857" s="670"/>
    </row>
    <row r="858" spans="2:8" ht="14.25">
      <c r="B858" s="1064"/>
      <c r="E858" s="1063"/>
      <c r="F858" s="670"/>
      <c r="G858" s="670"/>
      <c r="H858" s="670"/>
    </row>
    <row r="859" spans="2:8" ht="14.25">
      <c r="B859" s="1064"/>
      <c r="E859" s="1063"/>
      <c r="F859" s="670"/>
      <c r="G859" s="670"/>
      <c r="H859" s="670"/>
    </row>
    <row r="860" spans="2:8" ht="14.25">
      <c r="B860" s="1064"/>
      <c r="E860" s="1063"/>
      <c r="F860" s="670"/>
      <c r="G860" s="670"/>
      <c r="H860" s="670"/>
    </row>
    <row r="861" spans="2:8" ht="14.25">
      <c r="B861" s="1064"/>
      <c r="E861" s="1063"/>
      <c r="F861" s="670"/>
      <c r="G861" s="670"/>
      <c r="H861" s="670"/>
    </row>
    <row r="862" spans="2:8" ht="14.25">
      <c r="B862" s="1064"/>
      <c r="E862" s="1063"/>
      <c r="F862" s="670"/>
      <c r="G862" s="670"/>
      <c r="H862" s="670"/>
    </row>
    <row r="863" spans="2:8" ht="14.25">
      <c r="B863" s="1064"/>
      <c r="E863" s="1063"/>
      <c r="F863" s="670"/>
      <c r="G863" s="670"/>
      <c r="H863" s="670"/>
    </row>
    <row r="864" spans="2:8" ht="14.25">
      <c r="B864" s="1064"/>
      <c r="E864" s="1063"/>
      <c r="F864" s="670"/>
      <c r="G864" s="670"/>
      <c r="H864" s="670"/>
    </row>
    <row r="865" spans="2:8" ht="14.25">
      <c r="B865" s="1064"/>
      <c r="E865" s="1063"/>
      <c r="F865" s="670"/>
      <c r="G865" s="670"/>
      <c r="H865" s="670"/>
    </row>
    <row r="866" spans="2:8" ht="14.25">
      <c r="B866" s="1064"/>
      <c r="E866" s="1063"/>
      <c r="F866" s="670"/>
      <c r="G866" s="670"/>
      <c r="H866" s="670"/>
    </row>
    <row r="867" spans="2:8" ht="14.25">
      <c r="B867" s="1064"/>
      <c r="E867" s="1063"/>
      <c r="F867" s="670"/>
      <c r="G867" s="670"/>
      <c r="H867" s="670"/>
    </row>
    <row r="868" spans="2:8" ht="14.25">
      <c r="B868" s="1064"/>
      <c r="E868" s="1063"/>
      <c r="F868" s="670"/>
      <c r="G868" s="670"/>
      <c r="H868" s="670"/>
    </row>
    <row r="869" spans="2:8" ht="14.25">
      <c r="B869" s="1064"/>
      <c r="E869" s="1063"/>
      <c r="F869" s="670"/>
      <c r="G869" s="670"/>
      <c r="H869" s="670"/>
    </row>
    <row r="870" spans="2:8" ht="14.25">
      <c r="B870" s="1064"/>
      <c r="E870" s="1063"/>
      <c r="F870" s="670"/>
      <c r="G870" s="670"/>
      <c r="H870" s="670"/>
    </row>
    <row r="871" spans="2:8" ht="14.25">
      <c r="B871" s="1064"/>
      <c r="E871" s="1063"/>
      <c r="F871" s="670"/>
      <c r="G871" s="670"/>
      <c r="H871" s="670"/>
    </row>
    <row r="872" spans="2:8" ht="14.25">
      <c r="B872" s="1064"/>
      <c r="E872" s="1063"/>
      <c r="F872" s="670"/>
      <c r="G872" s="670"/>
      <c r="H872" s="670"/>
    </row>
    <row r="873" spans="2:8" ht="14.25">
      <c r="B873" s="1064"/>
      <c r="E873" s="1063"/>
      <c r="F873" s="670"/>
      <c r="G873" s="670"/>
      <c r="H873" s="670"/>
    </row>
    <row r="874" spans="2:8" ht="14.25">
      <c r="B874" s="1064"/>
      <c r="E874" s="1063"/>
      <c r="F874" s="670"/>
      <c r="G874" s="670"/>
      <c r="H874" s="670"/>
    </row>
    <row r="875" spans="2:8" ht="14.25">
      <c r="B875" s="1064"/>
      <c r="E875" s="1063"/>
      <c r="F875" s="670"/>
      <c r="G875" s="670"/>
      <c r="H875" s="670"/>
    </row>
    <row r="876" spans="2:8" ht="14.25">
      <c r="B876" s="1064"/>
      <c r="E876" s="1063"/>
      <c r="F876" s="670"/>
      <c r="G876" s="670"/>
      <c r="H876" s="670"/>
    </row>
    <row r="877" spans="2:8" ht="14.25">
      <c r="B877" s="1064"/>
      <c r="E877" s="1063"/>
      <c r="F877" s="670"/>
      <c r="G877" s="670"/>
      <c r="H877" s="670"/>
    </row>
    <row r="878" spans="2:8" ht="14.25">
      <c r="B878" s="1064"/>
      <c r="E878" s="1063"/>
      <c r="F878" s="670"/>
      <c r="G878" s="670"/>
      <c r="H878" s="670"/>
    </row>
    <row r="879" spans="2:8" ht="14.25">
      <c r="B879" s="1064"/>
      <c r="E879" s="1063"/>
      <c r="F879" s="670"/>
      <c r="G879" s="670"/>
      <c r="H879" s="670"/>
    </row>
    <row r="880" spans="2:8" ht="14.25">
      <c r="B880" s="1064"/>
      <c r="E880" s="1063"/>
      <c r="F880" s="670"/>
      <c r="G880" s="670"/>
      <c r="H880" s="670"/>
    </row>
    <row r="881" spans="2:8" ht="14.25">
      <c r="B881" s="1064"/>
      <c r="E881" s="1063"/>
      <c r="F881" s="670"/>
      <c r="G881" s="670"/>
      <c r="H881" s="670"/>
    </row>
    <row r="882" spans="2:8" ht="14.25">
      <c r="B882" s="1064"/>
      <c r="E882" s="1063"/>
      <c r="F882" s="670"/>
      <c r="G882" s="670"/>
      <c r="H882" s="670"/>
    </row>
    <row r="883" spans="2:8" ht="14.25">
      <c r="B883" s="1064"/>
      <c r="E883" s="1063"/>
      <c r="F883" s="670"/>
      <c r="G883" s="670"/>
      <c r="H883" s="670"/>
    </row>
    <row r="884" spans="2:8" ht="14.25">
      <c r="B884" s="1064"/>
      <c r="E884" s="1063"/>
      <c r="F884" s="670"/>
      <c r="G884" s="670"/>
      <c r="H884" s="670"/>
    </row>
    <row r="885" spans="2:8" ht="14.25">
      <c r="B885" s="1064"/>
      <c r="E885" s="1063"/>
      <c r="F885" s="670"/>
      <c r="G885" s="670"/>
      <c r="H885" s="670"/>
    </row>
    <row r="886" spans="2:8" ht="14.25">
      <c r="B886" s="1064"/>
      <c r="E886" s="1063"/>
      <c r="F886" s="670"/>
      <c r="G886" s="670"/>
      <c r="H886" s="670"/>
    </row>
    <row r="887" spans="2:8" ht="14.25">
      <c r="B887" s="1064"/>
      <c r="E887" s="1063"/>
      <c r="F887" s="670"/>
      <c r="G887" s="670"/>
      <c r="H887" s="670"/>
    </row>
    <row r="888" spans="2:8" ht="14.25">
      <c r="B888" s="1064"/>
      <c r="E888" s="1063"/>
      <c r="F888" s="670"/>
      <c r="G888" s="670"/>
      <c r="H888" s="670"/>
    </row>
    <row r="889" spans="2:8" ht="14.25">
      <c r="B889" s="1064"/>
      <c r="E889" s="1063"/>
      <c r="F889" s="670"/>
      <c r="G889" s="670"/>
      <c r="H889" s="670"/>
    </row>
    <row r="890" spans="2:8" ht="14.25">
      <c r="B890" s="1064"/>
      <c r="E890" s="1063"/>
      <c r="F890" s="670"/>
      <c r="G890" s="670"/>
      <c r="H890" s="670"/>
    </row>
    <row r="891" spans="2:8" ht="14.25">
      <c r="B891" s="1064"/>
      <c r="E891" s="1063"/>
      <c r="F891" s="670"/>
      <c r="G891" s="670"/>
      <c r="H891" s="670"/>
    </row>
    <row r="892" spans="2:8" ht="14.25">
      <c r="B892" s="1064"/>
      <c r="E892" s="1063"/>
      <c r="F892" s="670"/>
      <c r="G892" s="670"/>
      <c r="H892" s="670"/>
    </row>
    <row r="893" spans="2:8" ht="14.25">
      <c r="B893" s="1064"/>
      <c r="E893" s="1063"/>
      <c r="F893" s="670"/>
      <c r="G893" s="670"/>
      <c r="H893" s="670"/>
    </row>
    <row r="894" spans="2:8" ht="14.25">
      <c r="B894" s="1064"/>
      <c r="E894" s="1063"/>
      <c r="F894" s="670"/>
      <c r="G894" s="670"/>
      <c r="H894" s="670"/>
    </row>
    <row r="895" spans="2:8" ht="14.25">
      <c r="B895" s="1064"/>
      <c r="E895" s="1063"/>
      <c r="F895" s="670"/>
      <c r="G895" s="670"/>
      <c r="H895" s="670"/>
    </row>
    <row r="896" spans="2:8" ht="14.25">
      <c r="B896" s="1064"/>
      <c r="E896" s="1063"/>
      <c r="F896" s="670"/>
      <c r="G896" s="670"/>
      <c r="H896" s="670"/>
    </row>
    <row r="897" spans="2:8" ht="14.25">
      <c r="B897" s="1064"/>
      <c r="E897" s="1063"/>
      <c r="F897" s="670"/>
      <c r="G897" s="670"/>
      <c r="H897" s="670"/>
    </row>
    <row r="898" spans="2:8" ht="14.25">
      <c r="B898" s="1064"/>
      <c r="E898" s="1063"/>
      <c r="F898" s="670"/>
      <c r="G898" s="670"/>
      <c r="H898" s="670"/>
    </row>
    <row r="899" spans="2:8" ht="14.25">
      <c r="B899" s="1064"/>
      <c r="E899" s="1063"/>
      <c r="F899" s="670"/>
      <c r="G899" s="670"/>
      <c r="H899" s="670"/>
    </row>
    <row r="900" spans="2:8" ht="14.25">
      <c r="B900" s="1064"/>
      <c r="E900" s="1063"/>
      <c r="F900" s="670"/>
      <c r="G900" s="670"/>
      <c r="H900" s="670"/>
    </row>
    <row r="901" spans="2:8" ht="14.25">
      <c r="B901" s="1064"/>
      <c r="E901" s="1063"/>
      <c r="F901" s="670"/>
      <c r="G901" s="670"/>
      <c r="H901" s="670"/>
    </row>
    <row r="902" spans="2:8" ht="14.25">
      <c r="B902" s="1064"/>
      <c r="E902" s="1063"/>
      <c r="F902" s="670"/>
      <c r="G902" s="670"/>
      <c r="H902" s="670"/>
    </row>
    <row r="903" spans="2:8" ht="14.25">
      <c r="B903" s="1064"/>
      <c r="E903" s="1063"/>
      <c r="F903" s="670"/>
      <c r="G903" s="670"/>
      <c r="H903" s="670"/>
    </row>
    <row r="904" spans="2:8" ht="14.25">
      <c r="B904" s="1064"/>
      <c r="E904" s="1063"/>
      <c r="F904" s="670"/>
      <c r="G904" s="670"/>
      <c r="H904" s="670"/>
    </row>
    <row r="905" spans="2:8" ht="14.25">
      <c r="B905" s="1064"/>
      <c r="E905" s="1063"/>
      <c r="F905" s="670"/>
      <c r="G905" s="670"/>
      <c r="H905" s="670"/>
    </row>
    <row r="906" spans="2:8" ht="14.25">
      <c r="B906" s="1064"/>
      <c r="E906" s="1063"/>
      <c r="F906" s="670"/>
      <c r="G906" s="670"/>
      <c r="H906" s="670"/>
    </row>
    <row r="907" spans="2:8" ht="14.25">
      <c r="B907" s="1064"/>
      <c r="E907" s="1063"/>
      <c r="F907" s="670"/>
      <c r="G907" s="670"/>
      <c r="H907" s="670"/>
    </row>
    <row r="908" spans="2:8" ht="14.25">
      <c r="B908" s="1064"/>
      <c r="E908" s="1063"/>
      <c r="F908" s="670"/>
      <c r="G908" s="670"/>
      <c r="H908" s="670"/>
    </row>
    <row r="909" spans="2:8" ht="14.25">
      <c r="B909" s="1064"/>
      <c r="E909" s="1063"/>
      <c r="F909" s="670"/>
      <c r="G909" s="670"/>
      <c r="H909" s="670"/>
    </row>
    <row r="910" spans="2:8" ht="14.25">
      <c r="B910" s="1064"/>
      <c r="E910" s="1063"/>
      <c r="F910" s="670"/>
      <c r="G910" s="670"/>
      <c r="H910" s="670"/>
    </row>
    <row r="911" spans="2:8" ht="14.25">
      <c r="B911" s="1064"/>
      <c r="E911" s="1063"/>
      <c r="F911" s="670"/>
      <c r="G911" s="670"/>
      <c r="H911" s="670"/>
    </row>
    <row r="912" spans="2:8" ht="14.25">
      <c r="B912" s="1064"/>
      <c r="E912" s="1063"/>
      <c r="F912" s="670"/>
      <c r="G912" s="670"/>
      <c r="H912" s="670"/>
    </row>
    <row r="913" spans="2:8" ht="14.25">
      <c r="B913" s="1064"/>
      <c r="E913" s="1063"/>
      <c r="F913" s="670"/>
      <c r="G913" s="670"/>
      <c r="H913" s="670"/>
    </row>
    <row r="914" spans="2:8" ht="14.25">
      <c r="B914" s="1064"/>
      <c r="E914" s="1063"/>
      <c r="F914" s="670"/>
      <c r="G914" s="670"/>
      <c r="H914" s="670"/>
    </row>
    <row r="915" spans="2:8" ht="14.25">
      <c r="B915" s="1064"/>
      <c r="E915" s="1063"/>
      <c r="F915" s="670"/>
      <c r="G915" s="670"/>
      <c r="H915" s="670"/>
    </row>
    <row r="916" spans="2:8" ht="14.25">
      <c r="B916" s="1064"/>
      <c r="E916" s="1063"/>
      <c r="F916" s="670"/>
      <c r="G916" s="670"/>
      <c r="H916" s="670"/>
    </row>
    <row r="917" spans="2:8" ht="14.25">
      <c r="B917" s="1064"/>
      <c r="E917" s="1063"/>
      <c r="F917" s="670"/>
      <c r="G917" s="670"/>
      <c r="H917" s="670"/>
    </row>
    <row r="918" spans="2:8" ht="14.25">
      <c r="B918" s="1064"/>
      <c r="E918" s="1063"/>
      <c r="F918" s="670"/>
      <c r="G918" s="670"/>
      <c r="H918" s="670"/>
    </row>
    <row r="919" spans="2:8" ht="14.25">
      <c r="B919" s="1064"/>
      <c r="E919" s="1063"/>
      <c r="F919" s="670"/>
      <c r="G919" s="670"/>
      <c r="H919" s="670"/>
    </row>
    <row r="920" spans="2:8" ht="14.25">
      <c r="B920" s="1064"/>
      <c r="E920" s="1063"/>
      <c r="F920" s="670"/>
      <c r="G920" s="670"/>
      <c r="H920" s="670"/>
    </row>
    <row r="921" spans="2:8" ht="14.25">
      <c r="B921" s="1064"/>
      <c r="E921" s="1063"/>
      <c r="F921" s="670"/>
      <c r="G921" s="670"/>
      <c r="H921" s="670"/>
    </row>
    <row r="922" spans="2:8" ht="14.25">
      <c r="B922" s="1064"/>
      <c r="E922" s="1063"/>
      <c r="F922" s="670"/>
      <c r="G922" s="670"/>
      <c r="H922" s="670"/>
    </row>
    <row r="923" spans="2:8" ht="14.25">
      <c r="B923" s="1064"/>
      <c r="E923" s="1063"/>
      <c r="F923" s="670"/>
      <c r="G923" s="670"/>
      <c r="H923" s="670"/>
    </row>
    <row r="924" spans="2:8" ht="14.25">
      <c r="B924" s="1064"/>
      <c r="E924" s="1063"/>
      <c r="F924" s="670"/>
      <c r="G924" s="670"/>
      <c r="H924" s="670"/>
    </row>
    <row r="925" spans="2:8" ht="14.25">
      <c r="B925" s="1064"/>
      <c r="E925" s="1063"/>
      <c r="F925" s="670"/>
      <c r="G925" s="670"/>
      <c r="H925" s="670"/>
    </row>
    <row r="926" spans="2:8" ht="14.25">
      <c r="B926" s="1064"/>
      <c r="E926" s="1063"/>
      <c r="F926" s="670"/>
      <c r="G926" s="670"/>
      <c r="H926" s="670"/>
    </row>
    <row r="927" spans="2:8" ht="14.25">
      <c r="B927" s="1064"/>
      <c r="E927" s="1063"/>
      <c r="F927" s="670"/>
      <c r="G927" s="670"/>
      <c r="H927" s="670"/>
    </row>
    <row r="928" spans="2:8" ht="14.25">
      <c r="B928" s="1064"/>
      <c r="E928" s="1063"/>
      <c r="F928" s="670"/>
      <c r="G928" s="670"/>
      <c r="H928" s="670"/>
    </row>
    <row r="929" spans="2:8" ht="14.25">
      <c r="B929" s="1064"/>
      <c r="E929" s="1063"/>
      <c r="F929" s="670"/>
      <c r="G929" s="670"/>
      <c r="H929" s="670"/>
    </row>
    <row r="930" spans="2:8" ht="14.25">
      <c r="B930" s="1064"/>
      <c r="E930" s="1063"/>
      <c r="F930" s="670"/>
      <c r="G930" s="670"/>
      <c r="H930" s="670"/>
    </row>
    <row r="931" spans="2:8" ht="14.25">
      <c r="B931" s="1064"/>
      <c r="E931" s="1063"/>
      <c r="F931" s="670"/>
      <c r="G931" s="670"/>
      <c r="H931" s="670"/>
    </row>
    <row r="932" spans="2:8" ht="14.25">
      <c r="B932" s="1064"/>
      <c r="E932" s="1063"/>
      <c r="F932" s="670"/>
      <c r="G932" s="670"/>
      <c r="H932" s="670"/>
    </row>
    <row r="933" spans="2:8" ht="14.25">
      <c r="B933" s="1064"/>
      <c r="E933" s="1063"/>
      <c r="F933" s="670"/>
      <c r="G933" s="670"/>
      <c r="H933" s="670"/>
    </row>
    <row r="934" spans="2:8" ht="14.25">
      <c r="B934" s="1064"/>
      <c r="E934" s="1063"/>
      <c r="F934" s="670"/>
      <c r="G934" s="670"/>
      <c r="H934" s="670"/>
    </row>
    <row r="935" spans="2:8" ht="14.25">
      <c r="B935" s="1064"/>
      <c r="E935" s="1063"/>
      <c r="F935" s="670"/>
      <c r="G935" s="670"/>
      <c r="H935" s="670"/>
    </row>
    <row r="936" spans="2:8" ht="14.25">
      <c r="B936" s="1064"/>
      <c r="E936" s="1063"/>
      <c r="F936" s="670"/>
      <c r="G936" s="670"/>
      <c r="H936" s="670"/>
    </row>
    <row r="937" spans="2:8" ht="14.25">
      <c r="B937" s="1064"/>
      <c r="E937" s="1063"/>
      <c r="F937" s="670"/>
      <c r="G937" s="670"/>
      <c r="H937" s="670"/>
    </row>
    <row r="938" spans="2:8" ht="14.25">
      <c r="B938" s="1064"/>
      <c r="E938" s="1063"/>
      <c r="F938" s="670"/>
      <c r="G938" s="670"/>
      <c r="H938" s="670"/>
    </row>
    <row r="939" spans="2:8" ht="14.25">
      <c r="B939" s="1064"/>
      <c r="E939" s="1063"/>
      <c r="F939" s="670"/>
      <c r="G939" s="670"/>
      <c r="H939" s="670"/>
    </row>
    <row r="940" spans="2:8" ht="14.25">
      <c r="B940" s="1064"/>
      <c r="E940" s="1063"/>
      <c r="F940" s="670"/>
      <c r="G940" s="670"/>
      <c r="H940" s="670"/>
    </row>
    <row r="941" spans="2:8" ht="14.25">
      <c r="B941" s="1064"/>
      <c r="E941" s="1063"/>
      <c r="F941" s="670"/>
      <c r="G941" s="670"/>
      <c r="H941" s="670"/>
    </row>
    <row r="942" spans="2:8" ht="14.25">
      <c r="B942" s="1064"/>
      <c r="E942" s="1063"/>
      <c r="F942" s="670"/>
      <c r="G942" s="670"/>
      <c r="H942" s="670"/>
    </row>
    <row r="943" spans="2:8" ht="14.25">
      <c r="B943" s="1064"/>
      <c r="E943" s="1063"/>
      <c r="F943" s="670"/>
      <c r="G943" s="670"/>
      <c r="H943" s="670"/>
    </row>
    <row r="944" spans="2:8" ht="14.25">
      <c r="B944" s="1064"/>
      <c r="E944" s="1063"/>
      <c r="F944" s="670"/>
      <c r="G944" s="670"/>
      <c r="H944" s="670"/>
    </row>
    <row r="945" spans="2:8" ht="14.25">
      <c r="B945" s="1064"/>
      <c r="E945" s="1063"/>
      <c r="F945" s="670"/>
      <c r="G945" s="670"/>
      <c r="H945" s="670"/>
    </row>
    <row r="946" spans="2:8" ht="14.25">
      <c r="B946" s="1064"/>
      <c r="E946" s="1063"/>
      <c r="F946" s="670"/>
      <c r="G946" s="670"/>
      <c r="H946" s="670"/>
    </row>
    <row r="947" spans="2:8" ht="14.25">
      <c r="B947" s="1064"/>
      <c r="E947" s="1063"/>
      <c r="F947" s="670"/>
      <c r="G947" s="670"/>
      <c r="H947" s="670"/>
    </row>
    <row r="948" spans="2:8" ht="14.25">
      <c r="B948" s="1064"/>
      <c r="E948" s="1063"/>
      <c r="F948" s="670"/>
      <c r="G948" s="670"/>
      <c r="H948" s="670"/>
    </row>
    <row r="949" spans="2:8" ht="14.25">
      <c r="B949" s="1064"/>
      <c r="E949" s="1063"/>
      <c r="F949" s="670"/>
      <c r="G949" s="670"/>
      <c r="H949" s="670"/>
    </row>
    <row r="950" spans="2:8" ht="14.25">
      <c r="B950" s="1064"/>
      <c r="E950" s="1063"/>
      <c r="F950" s="670"/>
      <c r="G950" s="670"/>
      <c r="H950" s="670"/>
    </row>
    <row r="951" spans="2:8" ht="14.25">
      <c r="B951" s="1064"/>
      <c r="E951" s="1063"/>
      <c r="F951" s="670"/>
      <c r="G951" s="670"/>
      <c r="H951" s="670"/>
    </row>
    <row r="952" spans="2:8" ht="14.25">
      <c r="B952" s="1064"/>
      <c r="E952" s="1063"/>
      <c r="F952" s="670"/>
      <c r="G952" s="670"/>
      <c r="H952" s="670"/>
    </row>
    <row r="953" spans="2:8" ht="14.25">
      <c r="B953" s="1064"/>
      <c r="E953" s="1063"/>
      <c r="F953" s="670"/>
      <c r="G953" s="670"/>
      <c r="H953" s="670"/>
    </row>
    <row r="954" spans="2:8" ht="14.25">
      <c r="B954" s="1064"/>
      <c r="E954" s="1063"/>
      <c r="F954" s="670"/>
      <c r="G954" s="670"/>
      <c r="H954" s="670"/>
    </row>
    <row r="955" spans="2:8" ht="14.25">
      <c r="B955" s="1064"/>
      <c r="E955" s="1063"/>
      <c r="F955" s="670"/>
      <c r="G955" s="670"/>
      <c r="H955" s="670"/>
    </row>
    <row r="956" spans="2:8" ht="14.25">
      <c r="B956" s="1064"/>
      <c r="E956" s="1063"/>
      <c r="F956" s="670"/>
      <c r="G956" s="670"/>
      <c r="H956" s="670"/>
    </row>
    <row r="957" spans="2:8" ht="14.25">
      <c r="B957" s="1064"/>
      <c r="E957" s="1063"/>
      <c r="F957" s="670"/>
      <c r="G957" s="670"/>
      <c r="H957" s="670"/>
    </row>
    <row r="958" spans="2:8" ht="14.25">
      <c r="B958" s="1064"/>
      <c r="E958" s="1063"/>
      <c r="F958" s="670"/>
      <c r="G958" s="670"/>
      <c r="H958" s="670"/>
    </row>
    <row r="959" spans="2:8" ht="14.25">
      <c r="B959" s="1064"/>
      <c r="E959" s="1063"/>
      <c r="F959" s="670"/>
      <c r="G959" s="670"/>
      <c r="H959" s="670"/>
    </row>
    <row r="960" spans="2:8" ht="14.25">
      <c r="B960" s="1064"/>
      <c r="E960" s="1063"/>
      <c r="F960" s="670"/>
      <c r="G960" s="670"/>
      <c r="H960" s="670"/>
    </row>
    <row r="961" spans="2:8" ht="14.25">
      <c r="B961" s="1064"/>
      <c r="E961" s="1063"/>
      <c r="F961" s="670"/>
      <c r="G961" s="670"/>
      <c r="H961" s="670"/>
    </row>
    <row r="962" spans="2:8" ht="14.25">
      <c r="B962" s="1064"/>
      <c r="E962" s="1063"/>
      <c r="F962" s="670"/>
      <c r="G962" s="670"/>
      <c r="H962" s="670"/>
    </row>
    <row r="963" spans="2:8" ht="14.25">
      <c r="B963" s="1064"/>
      <c r="E963" s="1063"/>
      <c r="F963" s="670"/>
      <c r="G963" s="670"/>
      <c r="H963" s="670"/>
    </row>
    <row r="964" spans="2:8" ht="14.25">
      <c r="B964" s="1064"/>
      <c r="E964" s="1063"/>
      <c r="F964" s="670"/>
      <c r="G964" s="670"/>
      <c r="H964" s="670"/>
    </row>
    <row r="965" spans="2:8" ht="14.25">
      <c r="B965" s="1064"/>
      <c r="E965" s="1063"/>
      <c r="F965" s="670"/>
      <c r="G965" s="670"/>
      <c r="H965" s="670"/>
    </row>
    <row r="966" spans="2:8" ht="14.25">
      <c r="B966" s="1064"/>
      <c r="E966" s="1063"/>
      <c r="F966" s="670"/>
      <c r="G966" s="670"/>
      <c r="H966" s="670"/>
    </row>
    <row r="967" spans="2:8" ht="14.25">
      <c r="B967" s="1064"/>
      <c r="E967" s="1063"/>
      <c r="F967" s="670"/>
      <c r="G967" s="670"/>
      <c r="H967" s="670"/>
    </row>
    <row r="968" spans="2:8" ht="14.25">
      <c r="B968" s="1064"/>
      <c r="E968" s="1063"/>
      <c r="F968" s="670"/>
      <c r="G968" s="670"/>
      <c r="H968" s="670"/>
    </row>
    <row r="969" spans="2:8" ht="14.25">
      <c r="B969" s="1064"/>
      <c r="E969" s="1063"/>
      <c r="F969" s="670"/>
      <c r="G969" s="670"/>
      <c r="H969" s="670"/>
    </row>
    <row r="970" spans="2:8" ht="14.25">
      <c r="B970" s="1064"/>
      <c r="E970" s="1063"/>
      <c r="F970" s="670"/>
      <c r="G970" s="670"/>
      <c r="H970" s="670"/>
    </row>
  </sheetData>
  <autoFilter ref="A19:E60"/>
  <mergeCells count="11">
    <mergeCell ref="F42:G42"/>
    <mergeCell ref="F38:G38"/>
    <mergeCell ref="F56:G56"/>
    <mergeCell ref="F55:G55"/>
    <mergeCell ref="B1:D1"/>
    <mergeCell ref="F59:G59"/>
    <mergeCell ref="F60:G60"/>
    <mergeCell ref="F45:G45"/>
    <mergeCell ref="F46:G46"/>
    <mergeCell ref="F43:G43"/>
    <mergeCell ref="F44:G44"/>
  </mergeCells>
  <conditionalFormatting sqref="E21:E56 B20:B970">
    <cfRule type="cellIs" dxfId="22" priority="1" operator="equal">
      <formula>"OC"</formula>
    </cfRule>
  </conditionalFormatting>
  <conditionalFormatting sqref="E21:E56 B20:B970">
    <cfRule type="cellIs" dxfId="21" priority="2" operator="equal">
      <formula>"IC"</formula>
    </cfRule>
  </conditionalFormatting>
  <conditionalFormatting sqref="E21:E56 B20:B970">
    <cfRule type="cellIs" dxfId="20" priority="3" operator="equal">
      <formula>"B"</formula>
    </cfRule>
  </conditionalFormatting>
  <conditionalFormatting sqref="G50 G61:H61 G63:H63 G65:H65 G67:H67">
    <cfRule type="cellIs" dxfId="19" priority="4" operator="equal">
      <formula>"G"</formula>
    </cfRule>
  </conditionalFormatting>
  <conditionalFormatting sqref="G50 G61:H61 G63:H63 G65:H65 G67:H67">
    <cfRule type="cellIs" dxfId="18" priority="5" operator="equal">
      <formula>"L"</formula>
    </cfRule>
  </conditionalFormatting>
  <conditionalFormatting sqref="G50 G61:H61 G63:H63 G65:H65 G67:H67">
    <cfRule type="cellIs" dxfId="17" priority="6" operator="equal">
      <formula>"B"</formula>
    </cfRule>
  </conditionalFormatting>
  <conditionalFormatting sqref="E21:E56 B20:B970">
    <cfRule type="cellIs" dxfId="16" priority="7" operator="equal">
      <formula>"O"</formula>
    </cfRule>
  </conditionalFormatting>
  <conditionalFormatting sqref="E21:E56 B20:B970">
    <cfRule type="cellIs" dxfId="15" priority="8" operator="equal">
      <formula>"SB"</formula>
    </cfRule>
  </conditionalFormatting>
  <dataValidations count="1">
    <dataValidation type="list" allowBlank="1" sqref="A20:A160">
      <formula1>$J$3:$J$17</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wC_JobCode xmlns="b8415709-c5d3-42e2-8a91-716af9c8fcbb">F000</PwC_JobCode>
    <PwC_JobSearch xmlns="b8415709-c5d3-42e2-8a91-716af9c8fcbb">F000 - ABC III_SC 519_FAIR DATA COST BENEFIT</PwC_JobSearch>
    <PwC_Language xmlns="b8415709-c5d3-42e2-8a91-716af9c8fcbb">EN</PwC_Language>
    <PwC_FiscalYear xmlns="b8415709-c5d3-42e2-8a91-716af9c8fcbb">FY18</PwC_FiscalYear>
    <PwC_ExpirationDate xmlns="b8415709-c5d3-42e2-8a91-716af9c8fcbb">2025-06-18T22:00:00+00:00</PwC_ExpirationDate>
    <PwC_ClientSearch xmlns="b8415709-c5d3-42e2-8a91-716af9c8fcbb">86146785 - DG RESEARCH AND INNOVATION (RTD)</PwC_ClientSearch>
    <PwC_ClientCode xmlns="b8415709-c5d3-42e2-8a91-716af9c8fcbb">86146785</PwC_ClientCode>
    <RelatedItems xmlns="http://schemas.microsoft.com/sharepoint/v3" xsi:nil="true"/>
    <_dlc_DocId xmlns="6046a62a-ebff-4de4-b9d1-a185d6d4b005">C6J2KPVRZE3P-509724511-107</_dlc_DocId>
    <_dlc_DocIdUrl xmlns="6046a62a-ebff-4de4-b9d1-a185d6d4b005">
      <Url>https://be-docbox.be.ema.pwcinternal.com/sites/10007883/86146785F000/_layouts/15/DocIdRedir.aspx?ID=C6J2KPVRZE3P-509724511-107</Url>
      <Description>C6J2KPVRZE3P-509724511-107</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PwC Job Document" ma:contentTypeID="0x0101008E49C3D400044AB3A2F1DD14073E74F6001D06D12572244BE3A11AAEE3ED60F576000AAB1FD6C2134AF1A3EA6F52344189D8007ABD96D6CF888C44896CC8772E21DED6" ma:contentTypeVersion="2" ma:contentTypeDescription="" ma:contentTypeScope="" ma:versionID="fde303867389ed167f5ef3b4dc316dd6">
  <xsd:schema xmlns:xsd="http://www.w3.org/2001/XMLSchema" xmlns:xs="http://www.w3.org/2001/XMLSchema" xmlns:p="http://schemas.microsoft.com/office/2006/metadata/properties" xmlns:ns1="http://schemas.microsoft.com/sharepoint/v3" xmlns:ns2="6046a62a-ebff-4de4-b9d1-a185d6d4b005" xmlns:ns3="b8415709-c5d3-42e2-8a91-716af9c8fcbb" targetNamespace="http://schemas.microsoft.com/office/2006/metadata/properties" ma:root="true" ma:fieldsID="57e77e0f51a85e21a5ccb6390eb55718" ns1:_="" ns2:_="" ns3:_="">
    <xsd:import namespace="http://schemas.microsoft.com/sharepoint/v3"/>
    <xsd:import namespace="6046a62a-ebff-4de4-b9d1-a185d6d4b005"/>
    <xsd:import namespace="b8415709-c5d3-42e2-8a91-716af9c8fcbb"/>
    <xsd:element name="properties">
      <xsd:complexType>
        <xsd:sequence>
          <xsd:element name="documentManagement">
            <xsd:complexType>
              <xsd:all>
                <xsd:element ref="ns2:_dlc_DocId" minOccurs="0"/>
                <xsd:element ref="ns2:_dlc_DocIdUrl" minOccurs="0"/>
                <xsd:element ref="ns2:_dlc_DocIdPersistId" minOccurs="0"/>
                <xsd:element ref="ns3:PwC_Language"/>
                <xsd:element ref="ns3:PwC_ExpirationDate"/>
                <xsd:element ref="ns1:RelatedItems" minOccurs="0"/>
                <xsd:element ref="ns3:PwC_FiscalYear"/>
                <xsd:element ref="ns3:PwC_ClientSearch"/>
                <xsd:element ref="ns3:PwC_ClientCode" minOccurs="0"/>
                <xsd:element ref="ns3:PwC_JobSearch"/>
                <xsd:element ref="ns3:PwC_Job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13"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046a62a-ebff-4de4-b9d1-a185d6d4b00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8415709-c5d3-42e2-8a91-716af9c8fcbb" elementFormDefault="qualified">
    <xsd:import namespace="http://schemas.microsoft.com/office/2006/documentManagement/types"/>
    <xsd:import namespace="http://schemas.microsoft.com/office/infopath/2007/PartnerControls"/>
    <xsd:element name="PwC_Language" ma:index="11" ma:displayName="Language" ma:default="EN" ma:internalName="PwC_Language">
      <xsd:simpleType>
        <xsd:restriction base="dms:Choice">
          <xsd:enumeration value="DE"/>
          <xsd:enumeration value="EN"/>
          <xsd:enumeration value="FR"/>
          <xsd:enumeration value="NL"/>
          <xsd:enumeration value="Other"/>
        </xsd:restriction>
      </xsd:simpleType>
    </xsd:element>
    <xsd:element name="PwC_ExpirationDate" ma:index="12" ma:displayName="Expiration Date" ma:format="DateOnly" ma:internalName="PwC_ExpirationDate">
      <xsd:simpleType>
        <xsd:restriction base="dms:DateTime"/>
      </xsd:simpleType>
    </xsd:element>
    <xsd:element name="PwC_FiscalYear" ma:index="14" ma:displayName="Fiscal Year" ma:internalName="PwC_FiscalYear">
      <xsd:simpleType>
        <xsd:restriction base="dms:Text">
          <xsd:maxLength value="4"/>
        </xsd:restriction>
      </xsd:simpleType>
    </xsd:element>
    <xsd:element name="PwC_ClientSearch" ma:index="15" ma:displayName="Client" ma:internalName="PwC_ClientSearch">
      <xsd:simpleType>
        <xsd:restriction base="dms:Unknown"/>
      </xsd:simpleType>
    </xsd:element>
    <xsd:element name="PwC_ClientCode" ma:index="16" nillable="true" ma:displayName="Client Code" ma:internalName="PwC_ClientCode">
      <xsd:simpleType>
        <xsd:restriction base="dms:Text"/>
      </xsd:simpleType>
    </xsd:element>
    <xsd:element name="PwC_JobSearch" ma:index="17" ma:displayName="Job" ma:internalName="PwC_JobSearch">
      <xsd:simpleType>
        <xsd:restriction base="dms:Unknown"/>
      </xsd:simpleType>
    </xsd:element>
    <xsd:element name="PwC_JobCode" ma:index="18" nillable="true" ma:displayName="Job Code" ma:internalName="PwC_JobCod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8B89D2A-4736-4D04-9F2A-C8D42CC32A0C}">
  <ds:schemaRefs>
    <ds:schemaRef ds:uri="http://schemas.microsoft.com/office/2006/documentManagement/types"/>
    <ds:schemaRef ds:uri="http://schemas.openxmlformats.org/package/2006/metadata/core-properties"/>
    <ds:schemaRef ds:uri="http://purl.org/dc/elements/1.1/"/>
    <ds:schemaRef ds:uri="b8415709-c5d3-42e2-8a91-716af9c8fcbb"/>
    <ds:schemaRef ds:uri="http://schemas.microsoft.com/office/infopath/2007/PartnerControls"/>
    <ds:schemaRef ds:uri="6046a62a-ebff-4de4-b9d1-a185d6d4b005"/>
    <ds:schemaRef ds:uri="http://schemas.microsoft.com/sharepoint/v3"/>
    <ds:schemaRef ds:uri="http://purl.org/dc/term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E0DD2B33-A43F-4290-AE7B-20E0D32A25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046a62a-ebff-4de4-b9d1-a185d6d4b005"/>
    <ds:schemaRef ds:uri="b8415709-c5d3-42e2-8a91-716af9c8fc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64D429-795D-4F34-A9EB-61B9CC279489}">
  <ds:schemaRefs>
    <ds:schemaRef ds:uri="http://schemas.microsoft.com/sharepoint/events"/>
  </ds:schemaRefs>
</ds:datastoreItem>
</file>

<file path=customXml/itemProps4.xml><?xml version="1.0" encoding="utf-8"?>
<ds:datastoreItem xmlns:ds="http://schemas.openxmlformats.org/officeDocument/2006/customXml" ds:itemID="{6411ABC4-B712-4890-9F80-4A1BA74E5E9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1. Introduction</vt:lpstr>
      <vt:lpstr>2.1 Input_FAIR_Facets</vt:lpstr>
      <vt:lpstr>2.2 Input_General_Information</vt:lpstr>
      <vt:lpstr>2.3 Input_Main_Questionnaire</vt:lpstr>
      <vt:lpstr>3. Results</vt:lpstr>
      <vt:lpstr>Results_data_timeseries</vt:lpstr>
      <vt:lpstr>Results_data_timeseries_Export</vt:lpstr>
      <vt:lpstr>Results_data</vt:lpstr>
      <vt:lpstr>Summary_Calc</vt:lpstr>
      <vt:lpstr>Glossary</vt:lpstr>
      <vt:lpstr>Calc_time</vt:lpstr>
      <vt:lpstr>Calc_Misc</vt:lpstr>
      <vt:lpstr>Calc_Storage</vt:lpstr>
      <vt:lpstr>Researchers_Salaries</vt:lpstr>
      <vt:lpstr>Growth</vt:lpstr>
      <vt:lpstr>Inflation</vt:lpstr>
      <vt:lpstr>FAIR_Assumption(s)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Florian Barthelemy</dc:creator>
  <cp:lastModifiedBy>Florian Barthelemy</cp:lastModifiedBy>
  <dcterms:created xsi:type="dcterms:W3CDTF">2018-06-18T12:03:16Z</dcterms:created>
  <dcterms:modified xsi:type="dcterms:W3CDTF">2018-06-29T14:00:49Z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0x0101008E49C3D400044AB3A2F1DD14073E74F6001D06D12572244BE3A11AAEE3ED60F576000AAB1FD6C2134AF1A3EA6F52344189D8007ABD96D6CF888C44896CC8772E21DED6</vt:lpwstr>
  </property>
  <property fmtid="{D5CDD505-2E9C-101B-9397-08002B2CF9AE}" pid="3" name="_dlc_DocIdItemGuid">
    <vt:lpwstr>f4bf8ad0-03c7-4435-9d2e-1a08fa468178</vt:lpwstr>
  </property>
</Properties>
</file>